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mc:AlternateContent xmlns:mc="http://schemas.openxmlformats.org/markup-compatibility/2006">
    <mc:Choice Requires="x15">
      <x15ac:absPath xmlns:x15ac="http://schemas.microsoft.com/office/spreadsheetml/2010/11/ac" url="N:\JPG\Investor Reporting\Paragon Finance\PM13\"/>
    </mc:Choice>
  </mc:AlternateContent>
  <xr:revisionPtr revIDLastSave="0" documentId="13_ncr:1_{2425331B-D55A-4322-AC8B-62A93E7C40D8}" xr6:coauthVersionLast="45" xr6:coauthVersionMax="45" xr10:uidLastSave="{00000000-0000-0000-0000-000000000000}"/>
  <bookViews>
    <workbookView xWindow="-108" yWindow="-108" windowWidth="20376" windowHeight="12216" firstSheet="49" activeTab="57" xr2:uid="{00000000-000D-0000-FFFF-FFFF00000000}"/>
  </bookViews>
  <sheets>
    <sheet name="Dec 06" sheetId="1" r:id="rId1"/>
    <sheet name="March 07" sheetId="2" r:id="rId2"/>
    <sheet name="June 07" sheetId="3" r:id="rId3"/>
    <sheet name="September 07" sheetId="4" r:id="rId4"/>
    <sheet name="Dec 07" sheetId="5" r:id="rId5"/>
    <sheet name="March 08" sheetId="6" r:id="rId6"/>
    <sheet name="June 08" sheetId="7" r:id="rId7"/>
    <sheet name="September 08" sheetId="8" r:id="rId8"/>
    <sheet name="Dec 08" sheetId="9" r:id="rId9"/>
    <sheet name="March 09" sheetId="10" r:id="rId10"/>
    <sheet name="June 09" sheetId="11" r:id="rId11"/>
    <sheet name="September 09" sheetId="12" r:id="rId12"/>
    <sheet name="Dec 09" sheetId="13" r:id="rId13"/>
    <sheet name="March 10" sheetId="14" r:id="rId14"/>
    <sheet name="June 10" sheetId="15" r:id="rId15"/>
    <sheet name="September 10" sheetId="16" r:id="rId16"/>
    <sheet name="Dec 10" sheetId="17" r:id="rId17"/>
    <sheet name="March 11" sheetId="18" r:id="rId18"/>
    <sheet name="June 11" sheetId="19" r:id="rId19"/>
    <sheet name="September 11" sheetId="20" r:id="rId20"/>
    <sheet name="Dec 11" sheetId="21" r:id="rId21"/>
    <sheet name="March 12" sheetId="22" r:id="rId22"/>
    <sheet name="June 12" sheetId="23" r:id="rId23"/>
    <sheet name="September 12" sheetId="24" r:id="rId24"/>
    <sheet name="Dec 12" sheetId="25" r:id="rId25"/>
    <sheet name="March 13" sheetId="26" r:id="rId26"/>
    <sheet name="June 13" sheetId="27" r:id="rId27"/>
    <sheet name="September 13" sheetId="28" r:id="rId28"/>
    <sheet name="Dec 13" sheetId="29" r:id="rId29"/>
    <sheet name="March 14" sheetId="30" r:id="rId30"/>
    <sheet name="June 14" sheetId="31" r:id="rId31"/>
    <sheet name="Sept 14" sheetId="32" r:id="rId32"/>
    <sheet name="Dec 14" sheetId="33" r:id="rId33"/>
    <sheet name="March 15" sheetId="34" r:id="rId34"/>
    <sheet name="June 15" sheetId="35" r:id="rId35"/>
    <sheet name="Sept 15" sheetId="36" r:id="rId36"/>
    <sheet name="Dec 15" sheetId="37" r:id="rId37"/>
    <sheet name="March 16" sheetId="38" r:id="rId38"/>
    <sheet name="June 16" sheetId="39" r:id="rId39"/>
    <sheet name="Sept 2016" sheetId="40" r:id="rId40"/>
    <sheet name="Dec 16" sheetId="41" r:id="rId41"/>
    <sheet name="March 17" sheetId="42" r:id="rId42"/>
    <sheet name="June 17" sheetId="43" r:id="rId43"/>
    <sheet name="Sept 17" sheetId="44" r:id="rId44"/>
    <sheet name="Dec 17" sheetId="45" r:id="rId45"/>
    <sheet name="March 18" sheetId="46" r:id="rId46"/>
    <sheet name="June 18" sheetId="47" r:id="rId47"/>
    <sheet name="Sept 18" sheetId="48" r:id="rId48"/>
    <sheet name="Dec 18" sheetId="49" r:id="rId49"/>
    <sheet name="March 19" sheetId="50" r:id="rId50"/>
    <sheet name="June 19" sheetId="51" r:id="rId51"/>
    <sheet name="Sept 19" sheetId="52" r:id="rId52"/>
    <sheet name="Dec 19" sheetId="53" r:id="rId53"/>
    <sheet name="Mar 20" sheetId="54" r:id="rId54"/>
    <sheet name="June 20" sheetId="55" r:id="rId55"/>
    <sheet name="Sept 20" sheetId="56" r:id="rId56"/>
    <sheet name="Dec 20" sheetId="57" r:id="rId57"/>
    <sheet name="Mar 21" sheetId="58" r:id="rId58"/>
  </sheets>
  <definedNames>
    <definedName name="_100PAGE_4" localSheetId="22">'June 12'!$A$198:$W$292</definedName>
    <definedName name="_101PAGE_4" localSheetId="26">'June 13'!$A$199:$W$293</definedName>
    <definedName name="_102PAGE_4" localSheetId="1">'March 07'!$A$197:$W$280</definedName>
    <definedName name="_103PAGE_4" localSheetId="5">'March 08'!$A$198:$W$280</definedName>
    <definedName name="_104PAGE_4" localSheetId="9">'March 09'!$A$198:$W$280</definedName>
    <definedName name="_105PAGE_4" localSheetId="13">'March 10'!$A$199:$W$281</definedName>
    <definedName name="_106PAGE_4" localSheetId="17">'March 11'!$A$198:$W$292</definedName>
    <definedName name="_107PAGE_4" localSheetId="21">'March 12'!$A$198:$W$292</definedName>
    <definedName name="_108PAGE_4" localSheetId="25">'March 13'!$A$199:$W$293</definedName>
    <definedName name="_109PAGE_4" localSheetId="3">'September 07'!$A$197:$W$279</definedName>
    <definedName name="_10PAGE_1" localSheetId="10">'June 09'!$A$1:$W$64</definedName>
    <definedName name="_110PAGE_4" localSheetId="7">'September 08'!$A$198:$W$280</definedName>
    <definedName name="_111PAGE_4" localSheetId="11">'September 09'!$A$198:$W$280</definedName>
    <definedName name="_112PAGE_4" localSheetId="15">'September 10'!$A$198:$W$292</definedName>
    <definedName name="_113PAGE_4" localSheetId="19">'September 11'!$A$198:$W$292</definedName>
    <definedName name="_114PAGE_4" localSheetId="23">'September 12'!$A$198:$W$292</definedName>
    <definedName name="_115PAGE_4" localSheetId="27">'September 13'!$A$199:$W$293</definedName>
    <definedName name="_116PAGE_4">'Dec 06'!$A$196:$W$279</definedName>
    <definedName name="_11PAGE_1" localSheetId="14">'June 10'!$A$1:$W$64</definedName>
    <definedName name="_12PAGE_1" localSheetId="18">'June 11'!$A$1:$W$64</definedName>
    <definedName name="_13PAGE_1" localSheetId="22">'June 12'!$A$1:$W$64</definedName>
    <definedName name="_14PAGE_1" localSheetId="26">'June 13'!$A$1:$W$64</definedName>
    <definedName name="_15PAGE_1" localSheetId="1">'March 07'!$A$1:$W$64</definedName>
    <definedName name="_16PAGE_1" localSheetId="5">'March 08'!$A$1:$W$64</definedName>
    <definedName name="_17PAGE_1" localSheetId="9">'March 09'!$A$1:$W$64</definedName>
    <definedName name="_18PAGE_1" localSheetId="13">'March 10'!$A$1:$W$64</definedName>
    <definedName name="_19PAGE_1" localSheetId="17">'March 11'!$A$1:$W$64</definedName>
    <definedName name="_1PAGE_1" localSheetId="4">'Dec 07'!$A$1:$W$64</definedName>
    <definedName name="_20PAGE_1" localSheetId="21">'March 12'!$A$1:$W$64</definedName>
    <definedName name="_21PAGE_1" localSheetId="25">'March 13'!$A$1:$W$64</definedName>
    <definedName name="_22PAGE_1" localSheetId="3">'September 07'!$A$1:$W$64</definedName>
    <definedName name="_23PAGE_1" localSheetId="7">'September 08'!$A$1:$W$64</definedName>
    <definedName name="_24PAGE_1" localSheetId="11">'September 09'!$A$1:$W$64</definedName>
    <definedName name="_25PAGE_1" localSheetId="15">'September 10'!$A$1:$W$64</definedName>
    <definedName name="_26PAGE_1" localSheetId="19">'September 11'!$A$1:$W$64</definedName>
    <definedName name="_27PAGE_1" localSheetId="23">'September 12'!$A$1:$W$64</definedName>
    <definedName name="_28PAGE_1" localSheetId="27">'September 13'!$A$1:$W$64</definedName>
    <definedName name="_29PAGE_1">'Dec 06'!$A$1:$W$64</definedName>
    <definedName name="_2PAGE_1" localSheetId="8">'Dec 08'!$A$1:$W$64</definedName>
    <definedName name="_30PAGE_2" localSheetId="4">'Dec 07'!$A$65:$W$138</definedName>
    <definedName name="_31PAGE_2" localSheetId="8">'Dec 08'!$A$65:$W$138</definedName>
    <definedName name="_32PAGE_2" localSheetId="12">'Dec 09'!$A$65:$W$138</definedName>
    <definedName name="_33PAGE_2" localSheetId="16">'Dec 10'!$A$65:$W$137</definedName>
    <definedName name="_34PAGE_2" localSheetId="20">'Dec 11'!$A$65:$W$137</definedName>
    <definedName name="_35PAGE_2" localSheetId="24">'Dec 12'!$A$65:$W$137</definedName>
    <definedName name="_36PAGE_2" localSheetId="28">'Dec 13'!$A$65:$W$138</definedName>
    <definedName name="_36PAGE_2" localSheetId="32">'Dec 14'!$A$65:$W$138</definedName>
    <definedName name="_36PAGE_2" localSheetId="36">'Dec 15'!$A$64:$W$137</definedName>
    <definedName name="_36PAGE_2" localSheetId="40">'Dec 16'!$A$64:$W$137</definedName>
    <definedName name="_36PAGE_2" localSheetId="44">'Dec 17'!$A$64:$W$137</definedName>
    <definedName name="_36PAGE_2" localSheetId="48">'Dec 18'!$A$64:$W$137</definedName>
    <definedName name="_36PAGE_2" localSheetId="52">'Dec 19'!$A$64:$W$140</definedName>
    <definedName name="_36PAGE_2" localSheetId="56">'Dec 20'!$A$64:$W$140</definedName>
    <definedName name="_36PAGE_2" localSheetId="30">'June 14'!$A$65:$W$138</definedName>
    <definedName name="_36PAGE_2" localSheetId="34">'June 15'!$A$65:$W$138</definedName>
    <definedName name="_36PAGE_2" localSheetId="38">'June 16'!$A$64:$W$137</definedName>
    <definedName name="_36PAGE_2" localSheetId="42">'June 17'!$A$64:$W$137</definedName>
    <definedName name="_36PAGE_2" localSheetId="46">'June 18'!$A$64:$W$137</definedName>
    <definedName name="_36PAGE_2" localSheetId="50">'June 19'!$A$64:$W$137</definedName>
    <definedName name="_36PAGE_2" localSheetId="54">'June 20'!$A$64:$W$140</definedName>
    <definedName name="_36PAGE_2" localSheetId="53">'Mar 20'!$A$64:$W$140</definedName>
    <definedName name="_36PAGE_2" localSheetId="57">'Mar 21'!$A$64:$W$141</definedName>
    <definedName name="_36PAGE_2" localSheetId="29">'March 14'!$A$65:$W$138</definedName>
    <definedName name="_36PAGE_2" localSheetId="33">'March 15'!$A$65:$W$138</definedName>
    <definedName name="_36PAGE_2" localSheetId="37">'March 16'!$A$64:$W$137</definedName>
    <definedName name="_36PAGE_2" localSheetId="41">'March 17'!$A$64:$W$137</definedName>
    <definedName name="_36PAGE_2" localSheetId="45">'March 18'!$A$64:$W$137</definedName>
    <definedName name="_36PAGE_2" localSheetId="49">'March 19'!$A$64:$W$137</definedName>
    <definedName name="_36PAGE_2" localSheetId="31">'Sept 14'!$A$65:$W$138</definedName>
    <definedName name="_36PAGE_2" localSheetId="35">'Sept 15'!$A$64:$W$137</definedName>
    <definedName name="_36PAGE_2" localSheetId="43">'Sept 17'!$A$64:$W$137</definedName>
    <definedName name="_36PAGE_2" localSheetId="47">'Sept 18'!$A$64:$W$137</definedName>
    <definedName name="_36PAGE_2" localSheetId="51">'Sept 19'!$A$64:$W$140</definedName>
    <definedName name="_36PAGE_2" localSheetId="55">'Sept 20'!$A$64:$W$140</definedName>
    <definedName name="_36PAGE_2" localSheetId="39">'Sept 2016'!$A$64:$W$137</definedName>
    <definedName name="_37PAGE_2" localSheetId="2">'June 07'!$A$65:$W$137</definedName>
    <definedName name="_38PAGE_2" localSheetId="6">'June 08'!$A$65:$W$138</definedName>
    <definedName name="_39PAGE_2" localSheetId="10">'June 09'!$A$65:$W$138</definedName>
    <definedName name="_3PAGE_1" localSheetId="12">'Dec 09'!$A$1:$W$64</definedName>
    <definedName name="_40PAGE_2" localSheetId="14">'June 10'!$A$65:$W$137</definedName>
    <definedName name="_41PAGE_2" localSheetId="18">'June 11'!$A$65:$W$137</definedName>
    <definedName name="_42PAGE_2" localSheetId="22">'June 12'!$A$65:$W$137</definedName>
    <definedName name="_43PAGE_2" localSheetId="26">'June 13'!$A$65:$W$138</definedName>
    <definedName name="_44PAGE_2" localSheetId="1">'March 07'!$A$65:$W$137</definedName>
    <definedName name="_45PAGE_2" localSheetId="5">'March 08'!$A$65:$W$138</definedName>
    <definedName name="_46PAGE_2" localSheetId="9">'March 09'!$A$65:$W$138</definedName>
    <definedName name="_47PAGE_2" localSheetId="13">'March 10'!$A$65:$W$138</definedName>
    <definedName name="_48PAGE_2" localSheetId="17">'March 11'!$A$65:$W$137</definedName>
    <definedName name="_49PAGE_2" localSheetId="21">'March 12'!$A$65:$W$137</definedName>
    <definedName name="_4PAGE_1" localSheetId="16">'Dec 10'!$A$1:$W$64</definedName>
    <definedName name="_50PAGE_2" localSheetId="25">'March 13'!$A$65:$W$138</definedName>
    <definedName name="_51PAGE_2" localSheetId="3">'September 07'!$A$65:$W$137</definedName>
    <definedName name="_52PAGE_2" localSheetId="7">'September 08'!$A$65:$W$138</definedName>
    <definedName name="_53PAGE_2" localSheetId="11">'September 09'!$A$65:$W$138</definedName>
    <definedName name="_54PAGE_2" localSheetId="15">'September 10'!$A$65:$W$137</definedName>
    <definedName name="_55PAGE_2" localSheetId="19">'September 11'!$A$65:$W$137</definedName>
    <definedName name="_56PAGE_2" localSheetId="23">'September 12'!$A$65:$W$137</definedName>
    <definedName name="_57PAGE_2" localSheetId="27">'September 13'!$A$65:$W$138</definedName>
    <definedName name="_58PAGE_2">'Dec 06'!$A$65:$W$136</definedName>
    <definedName name="_59PAGE_3" localSheetId="4">'Dec 07'!$A$139:$W$197</definedName>
    <definedName name="_5PAGE_1" localSheetId="20">'Dec 11'!$A$1:$W$64</definedName>
    <definedName name="_60PAGE_3" localSheetId="8">'Dec 08'!$A$139:$W$197</definedName>
    <definedName name="_61PAGE_3" localSheetId="12">'Dec 09'!$A$139:$W$198</definedName>
    <definedName name="_62PAGE_3" localSheetId="16">'Dec 10'!$A$138:$W$197</definedName>
    <definedName name="_63PAGE_3" localSheetId="20">'Dec 11'!$A$138:$W$197</definedName>
    <definedName name="_64PAGE_3" localSheetId="24">'Dec 12'!$A$138:$W$197</definedName>
    <definedName name="_65PAGE_3" localSheetId="28">'Dec 13'!$A$139:$W$198</definedName>
    <definedName name="_65PAGE_3" localSheetId="32">'Dec 14'!$A$139:$W$198</definedName>
    <definedName name="_65PAGE_3" localSheetId="36">'Dec 15'!$A$138:$W$197</definedName>
    <definedName name="_65PAGE_3" localSheetId="40">'Dec 16'!$A$138:$W$197</definedName>
    <definedName name="_65PAGE_3" localSheetId="44">'Dec 17'!$A$138:$W$197</definedName>
    <definedName name="_65PAGE_3" localSheetId="48">'Dec 18'!$A$138:$W$197</definedName>
    <definedName name="_65PAGE_3" localSheetId="52">'Dec 19'!$A$141:$W$200</definedName>
    <definedName name="_65PAGE_3" localSheetId="56">'Dec 20'!$A$141:$W$200</definedName>
    <definedName name="_65PAGE_3" localSheetId="30">'June 14'!$A$139:$W$198</definedName>
    <definedName name="_65PAGE_3" localSheetId="34">'June 15'!$A$139:$W$198</definedName>
    <definedName name="_65PAGE_3" localSheetId="38">'June 16'!$A$138:$W$197</definedName>
    <definedName name="_65PAGE_3" localSheetId="42">'June 17'!$A$138:$W$197</definedName>
    <definedName name="_65PAGE_3" localSheetId="46">'June 18'!$A$138:$W$197</definedName>
    <definedName name="_65PAGE_3" localSheetId="50">'June 19'!$A$138:$W$197</definedName>
    <definedName name="_65PAGE_3" localSheetId="54">'June 20'!$A$141:$W$200</definedName>
    <definedName name="_65PAGE_3" localSheetId="53">'Mar 20'!$A$141:$W$200</definedName>
    <definedName name="_65PAGE_3" localSheetId="57">'Mar 21'!$A$142:$W$201</definedName>
    <definedName name="_65PAGE_3" localSheetId="29">'March 14'!$A$139:$W$198</definedName>
    <definedName name="_65PAGE_3" localSheetId="33">'March 15'!$A$139:$W$198</definedName>
    <definedName name="_65PAGE_3" localSheetId="37">'March 16'!$A$138:$W$197</definedName>
    <definedName name="_65PAGE_3" localSheetId="41">'March 17'!$A$138:$W$197</definedName>
    <definedName name="_65PAGE_3" localSheetId="45">'March 18'!$A$138:$W$197</definedName>
    <definedName name="_65PAGE_3" localSheetId="49">'March 19'!$A$138:$W$197</definedName>
    <definedName name="_65PAGE_3" localSheetId="31">'Sept 14'!$A$139:$W$198</definedName>
    <definedName name="_65PAGE_3" localSheetId="35">'Sept 15'!$A$138:$W$197</definedName>
    <definedName name="_65PAGE_3" localSheetId="43">'Sept 17'!$A$138:$W$197</definedName>
    <definedName name="_65PAGE_3" localSheetId="47">'Sept 18'!$A$138:$W$197</definedName>
    <definedName name="_65PAGE_3" localSheetId="51">'Sept 19'!$A$141:$W$200</definedName>
    <definedName name="_65PAGE_3" localSheetId="55">'Sept 20'!$A$141:$W$200</definedName>
    <definedName name="_65PAGE_3" localSheetId="39">'Sept 2016'!$A$138:$W$197</definedName>
    <definedName name="_66PAGE_3" localSheetId="2">'June 07'!$A$138:$W$196</definedName>
    <definedName name="_67PAGE_3" localSheetId="6">'June 08'!$A$139:$W$197</definedName>
    <definedName name="_68PAGE_3" localSheetId="10">'June 09'!$A$139:$W$197</definedName>
    <definedName name="_69PAGE_3" localSheetId="14">'June 10'!$A$138:$W$197</definedName>
    <definedName name="_6PAGE_1" localSheetId="24">'Dec 12'!$A$1:$W$64</definedName>
    <definedName name="_70PAGE_3" localSheetId="18">'June 11'!$A$138:$W$197</definedName>
    <definedName name="_71PAGE_3" localSheetId="22">'June 12'!$A$138:$W$197</definedName>
    <definedName name="_72PAGE_3" localSheetId="26">'June 13'!$A$139:$W$198</definedName>
    <definedName name="_73PAGE_3" localSheetId="1">'March 07'!$A$138:$W$196</definedName>
    <definedName name="_74PAGE_3" localSheetId="5">'March 08'!$A$139:$W$197</definedName>
    <definedName name="_75PAGE_3" localSheetId="9">'March 09'!$A$139:$W$197</definedName>
    <definedName name="_76PAGE_3" localSheetId="13">'March 10'!$A$139:$W$198</definedName>
    <definedName name="_77PAGE_3" localSheetId="17">'March 11'!$A$138:$W$197</definedName>
    <definedName name="_78PAGE_3" localSheetId="21">'March 12'!$A$138:$W$197</definedName>
    <definedName name="_79PAGE_3" localSheetId="25">'March 13'!$A$139:$W$198</definedName>
    <definedName name="_7PAGE_1" localSheetId="28">'Dec 13'!$A$1:$W$64</definedName>
    <definedName name="_7PAGE_1" localSheetId="32">'Dec 14'!$A$1:$W$64</definedName>
    <definedName name="_7PAGE_1" localSheetId="36">'Dec 15'!$A$1:$W$63</definedName>
    <definedName name="_7PAGE_1" localSheetId="40">'Dec 16'!$A$1:$W$63</definedName>
    <definedName name="_7PAGE_1" localSheetId="44">'Dec 17'!$A$1:$W$63</definedName>
    <definedName name="_7PAGE_1" localSheetId="48">'Dec 18'!$A$1:$W$63</definedName>
    <definedName name="_7PAGE_1" localSheetId="52">'Dec 19'!$A$1:$W$63</definedName>
    <definedName name="_7PAGE_1" localSheetId="56">'Dec 20'!$A$1:$W$63</definedName>
    <definedName name="_7PAGE_1" localSheetId="30">'June 14'!$A$1:$W$64</definedName>
    <definedName name="_7PAGE_1" localSheetId="34">'June 15'!$A$1:$W$64</definedName>
    <definedName name="_7PAGE_1" localSheetId="38">'June 16'!$A$1:$W$63</definedName>
    <definedName name="_7PAGE_1" localSheetId="42">'June 17'!$A$1:$W$63</definedName>
    <definedName name="_7PAGE_1" localSheetId="46">'June 18'!$A$1:$W$63</definedName>
    <definedName name="_7PAGE_1" localSheetId="50">'June 19'!$A$1:$W$63</definedName>
    <definedName name="_7PAGE_1" localSheetId="54">'June 20'!$A$1:$W$63</definedName>
    <definedName name="_7PAGE_1" localSheetId="53">'Mar 20'!$A$1:$W$63</definedName>
    <definedName name="_7PAGE_1" localSheetId="57">'Mar 21'!$A$1:$W$63</definedName>
    <definedName name="_7PAGE_1" localSheetId="29">'March 14'!$A$1:$W$64</definedName>
    <definedName name="_7PAGE_1" localSheetId="33">'March 15'!$A$1:$W$64</definedName>
    <definedName name="_7PAGE_1" localSheetId="37">'March 16'!$A$1:$W$63</definedName>
    <definedName name="_7PAGE_1" localSheetId="41">'March 17'!$A$1:$W$63</definedName>
    <definedName name="_7PAGE_1" localSheetId="45">'March 18'!$A$1:$W$63</definedName>
    <definedName name="_7PAGE_1" localSheetId="49">'March 19'!$A$1:$W$63</definedName>
    <definedName name="_7PAGE_1" localSheetId="31">'Sept 14'!$A$1:$W$64</definedName>
    <definedName name="_7PAGE_1" localSheetId="35">'Sept 15'!$A$1:$W$63</definedName>
    <definedName name="_7PAGE_1" localSheetId="43">'Sept 17'!$A$1:$W$63</definedName>
    <definedName name="_7PAGE_1" localSheetId="47">'Sept 18'!$A$1:$W$63</definedName>
    <definedName name="_7PAGE_1" localSheetId="51">'Sept 19'!$A$1:$W$63</definedName>
    <definedName name="_7PAGE_1" localSheetId="55">'Sept 20'!$A$1:$W$63</definedName>
    <definedName name="_7PAGE_1" localSheetId="39">'Sept 2016'!$A$1:$W$63</definedName>
    <definedName name="_80PAGE_3" localSheetId="3">'September 07'!$A$138:$W$196</definedName>
    <definedName name="_81PAGE_3" localSheetId="7">'September 08'!$A$139:$W$197</definedName>
    <definedName name="_82PAGE_3" localSheetId="11">'September 09'!$A$139:$W$197</definedName>
    <definedName name="_83PAGE_3" localSheetId="15">'September 10'!$A$138:$W$197</definedName>
    <definedName name="_84PAGE_3" localSheetId="19">'September 11'!$A$138:$W$197</definedName>
    <definedName name="_85PAGE_3" localSheetId="23">'September 12'!$A$138:$W$197</definedName>
    <definedName name="_86PAGE_3" localSheetId="27">'September 13'!$A$139:$W$198</definedName>
    <definedName name="_87PAGE_3">'Dec 06'!$A$137:$W$195</definedName>
    <definedName name="_88PAGE_4" localSheetId="4">'Dec 07'!$A$198:$W$280</definedName>
    <definedName name="_89PAGE_4" localSheetId="8">'Dec 08'!$A$198:$W$280</definedName>
    <definedName name="_8PAGE_1" localSheetId="2">'June 07'!$A$1:$W$64</definedName>
    <definedName name="_90PAGE_4" localSheetId="12">'Dec 09'!$A$199:$W$281</definedName>
    <definedName name="_91PAGE_4" localSheetId="16">'Dec 10'!$A$198:$W$292</definedName>
    <definedName name="_92PAGE_4" localSheetId="20">'Dec 11'!$A$198:$W$292</definedName>
    <definedName name="_93PAGE_4" localSheetId="24">'Dec 12'!$A$198:$W$292</definedName>
    <definedName name="_94PAGE_4" localSheetId="28">'Dec 13'!$A$199:$W$293</definedName>
    <definedName name="_94PAGE_4" localSheetId="32">'Dec 14'!$A$199:$W$293</definedName>
    <definedName name="_94PAGE_4" localSheetId="36">'Dec 15'!$A$198:$W$298</definedName>
    <definedName name="_94PAGE_4" localSheetId="40">'Dec 16'!$A$198:$W$298</definedName>
    <definedName name="_94PAGE_4" localSheetId="44">'Dec 17'!$A$198:$W$297</definedName>
    <definedName name="_94PAGE_4" localSheetId="48">'Dec 18'!$A$198:$W$297</definedName>
    <definedName name="_94PAGE_4" localSheetId="52">'Dec 19'!$A$201:$W$300</definedName>
    <definedName name="_94PAGE_4" localSheetId="56">'Dec 20'!$A$201:$W$326</definedName>
    <definedName name="_94PAGE_4" localSheetId="30">'June 14'!$A$199:$W$293</definedName>
    <definedName name="_94PAGE_4" localSheetId="34">'June 15'!$A$199:$W$293</definedName>
    <definedName name="_94PAGE_4" localSheetId="38">'June 16'!$A$198:$W$298</definedName>
    <definedName name="_94PAGE_4" localSheetId="42">'June 17'!$A$198:$W$297</definedName>
    <definedName name="_94PAGE_4" localSheetId="46">'June 18'!$A$198:$W$297</definedName>
    <definedName name="_94PAGE_4" localSheetId="50">'June 19'!$A$198:$W$297</definedName>
    <definedName name="_94PAGE_4" localSheetId="54">'June 20'!$A$201:$W$326</definedName>
    <definedName name="_94PAGE_4" localSheetId="53">'Mar 20'!$A$201:$W$314</definedName>
    <definedName name="_94PAGE_4" localSheetId="57">'Mar 21'!$A$202:$W$327</definedName>
    <definedName name="_94PAGE_4" localSheetId="29">'March 14'!$A$199:$W$293</definedName>
    <definedName name="_94PAGE_4" localSheetId="33">'March 15'!$A$199:$W$293</definedName>
    <definedName name="_94PAGE_4" localSheetId="37">'March 16'!$A$198:$W$298</definedName>
    <definedName name="_94PAGE_4" localSheetId="41">'March 17'!$A$198:$W$297</definedName>
    <definedName name="_94PAGE_4" localSheetId="45">'March 18'!$A$198:$W$297</definedName>
    <definedName name="_94PAGE_4" localSheetId="49">'March 19'!$A$198:$W$297</definedName>
    <definedName name="_94PAGE_4" localSheetId="31">'Sept 14'!$A$199:$W$293</definedName>
    <definedName name="_94PAGE_4" localSheetId="35">'Sept 15'!$A$198:$W$298</definedName>
    <definedName name="_94PAGE_4" localSheetId="43">'Sept 17'!$A$198:$W$297</definedName>
    <definedName name="_94PAGE_4" localSheetId="47">'Sept 18'!$A$198:$W$297</definedName>
    <definedName name="_94PAGE_4" localSheetId="51">'Sept 19'!$A$201:$W$300</definedName>
    <definedName name="_94PAGE_4" localSheetId="55">'Sept 20'!$A$201:$W$326</definedName>
    <definedName name="_94PAGE_4" localSheetId="39">'Sept 2016'!$A$198:$W$298</definedName>
    <definedName name="_95PAGE_4" localSheetId="2">'June 07'!$A$197:$W$279</definedName>
    <definedName name="_96PAGE_4" localSheetId="6">'June 08'!$A$198:$W$280</definedName>
    <definedName name="_97PAGE_4" localSheetId="10">'June 09'!$A$198:$W$280</definedName>
    <definedName name="_98PAGE_4" localSheetId="14">'June 10'!$A$198:$W$292</definedName>
    <definedName name="_99PAGE_4" localSheetId="18">'June 11'!$A$198:$W$292</definedName>
    <definedName name="_9PAGE_1" localSheetId="6">'June 08'!$A$1:$W$64</definedName>
    <definedName name="_xlnm.Print_Area" localSheetId="0">'Dec 06'!$A$1:$X$280</definedName>
    <definedName name="_xlnm.Print_Area" localSheetId="4">'Dec 07'!$A$1:$X$281</definedName>
    <definedName name="_xlnm.Print_Area" localSheetId="8">'Dec 08'!$A$1:$X$281</definedName>
    <definedName name="_xlnm.Print_Area" localSheetId="12">'Dec 09'!$A$1:$X$282</definedName>
    <definedName name="_xlnm.Print_Area" localSheetId="16">'Dec 10'!$A$1:$X$293</definedName>
    <definedName name="_xlnm.Print_Area" localSheetId="20">'Dec 11'!$A$1:$X$293</definedName>
    <definedName name="_xlnm.Print_Area" localSheetId="24">'Dec 12'!$A$1:$X$293</definedName>
    <definedName name="_xlnm.Print_Area" localSheetId="28">'Dec 13'!$A$1:$W$294</definedName>
    <definedName name="_xlnm.Print_Area" localSheetId="32">'Dec 14'!$A$1:$W$294</definedName>
    <definedName name="_xlnm.Print_Area" localSheetId="36">'Dec 15'!$A$1:$W$299</definedName>
    <definedName name="_xlnm.Print_Area" localSheetId="40">'Dec 16'!$A$1:$W$299</definedName>
    <definedName name="_xlnm.Print_Area" localSheetId="44">'Dec 17'!$A$1:$W$298</definedName>
    <definedName name="_xlnm.Print_Area" localSheetId="48">'Dec 18'!$A$1:$W$298</definedName>
    <definedName name="_xlnm.Print_Area" localSheetId="52">'Dec 19'!$A$1:$W$301</definedName>
    <definedName name="_xlnm.Print_Area" localSheetId="56">'Dec 20'!$A$1:$W$327</definedName>
    <definedName name="_xlnm.Print_Area" localSheetId="2">'June 07'!$A$1:$X$280</definedName>
    <definedName name="_xlnm.Print_Area" localSheetId="6">'June 08'!$A$1:$X$281</definedName>
    <definedName name="_xlnm.Print_Area" localSheetId="10">'June 09'!$A$1:$X$281</definedName>
    <definedName name="_xlnm.Print_Area" localSheetId="14">'June 10'!$A$1:$X$293</definedName>
    <definedName name="_xlnm.Print_Area" localSheetId="18">'June 11'!$A$1:$X$293</definedName>
    <definedName name="_xlnm.Print_Area" localSheetId="22">'June 12'!$A$1:$X$293</definedName>
    <definedName name="_xlnm.Print_Area" localSheetId="26">'June 13'!$A$1:$W$294</definedName>
    <definedName name="_xlnm.Print_Area" localSheetId="30">'June 14'!$A$1:$W$294</definedName>
    <definedName name="_xlnm.Print_Area" localSheetId="34">'June 15'!$A$1:$W$294</definedName>
    <definedName name="_xlnm.Print_Area" localSheetId="38">'June 16'!$A$1:$W$299</definedName>
    <definedName name="_xlnm.Print_Area" localSheetId="42">'June 17'!$A$1:$W$298</definedName>
    <definedName name="_xlnm.Print_Area" localSheetId="46">'June 18'!$A$1:$W$298</definedName>
    <definedName name="_xlnm.Print_Area" localSheetId="50">'June 19'!$A$1:$W$298</definedName>
    <definedName name="_xlnm.Print_Area" localSheetId="54">'June 20'!$A$1:$W$327</definedName>
    <definedName name="_xlnm.Print_Area" localSheetId="53">'Mar 20'!$A$1:$W$315</definedName>
    <definedName name="_xlnm.Print_Area" localSheetId="57">'Mar 21'!$A$1:$W$328</definedName>
    <definedName name="_xlnm.Print_Area" localSheetId="1">'March 07'!$A$1:$X$281</definedName>
    <definedName name="_xlnm.Print_Area" localSheetId="5">'March 08'!$A$1:$X$281</definedName>
    <definedName name="_xlnm.Print_Area" localSheetId="9">'March 09'!$A$1:$X$281</definedName>
    <definedName name="_xlnm.Print_Area" localSheetId="13">'March 10'!$A$1:$X$282</definedName>
    <definedName name="_xlnm.Print_Area" localSheetId="17">'March 11'!$A$1:$X$293</definedName>
    <definedName name="_xlnm.Print_Area" localSheetId="21">'March 12'!$A$1:$X$293</definedName>
    <definedName name="_xlnm.Print_Area" localSheetId="25">'March 13'!$A$1:$W$294</definedName>
    <definedName name="_xlnm.Print_Area" localSheetId="29">'March 14'!$A$1:$W$294</definedName>
    <definedName name="_xlnm.Print_Area" localSheetId="33">'March 15'!$A$1:$W$294</definedName>
    <definedName name="_xlnm.Print_Area" localSheetId="37">'March 16'!$A$1:$W$299</definedName>
    <definedName name="_xlnm.Print_Area" localSheetId="41">'March 17'!$A$1:$W$298</definedName>
    <definedName name="_xlnm.Print_Area" localSheetId="45">'March 18'!$A$1:$W$298</definedName>
    <definedName name="_xlnm.Print_Area" localSheetId="49">'March 19'!$A$1:$W$298</definedName>
    <definedName name="_xlnm.Print_Area" localSheetId="31">'Sept 14'!$A$1:$W$294</definedName>
    <definedName name="_xlnm.Print_Area" localSheetId="35">'Sept 15'!$A$1:$W$299</definedName>
    <definedName name="_xlnm.Print_Area" localSheetId="43">'Sept 17'!$A$1:$W$298</definedName>
    <definedName name="_xlnm.Print_Area" localSheetId="47">'Sept 18'!$A$1:$W$298</definedName>
    <definedName name="_xlnm.Print_Area" localSheetId="51">'Sept 19'!$A$1:$W$301</definedName>
    <definedName name="_xlnm.Print_Area" localSheetId="55">'Sept 20'!$A$1:$W$327</definedName>
    <definedName name="_xlnm.Print_Area" localSheetId="39">'Sept 2016'!$A$1:$W$299</definedName>
    <definedName name="_xlnm.Print_Area" localSheetId="3">'September 07'!$A$1:$X$280</definedName>
    <definedName name="_xlnm.Print_Area" localSheetId="7">'September 08'!$A$1:$X$281</definedName>
    <definedName name="_xlnm.Print_Area" localSheetId="11">'September 09'!$A$1:$X$281</definedName>
    <definedName name="_xlnm.Print_Area" localSheetId="15">'September 10'!$A$1:$X$293</definedName>
    <definedName name="_xlnm.Print_Area" localSheetId="19">'September 11'!$A$1:$X$293</definedName>
    <definedName name="_xlnm.Print_Area" localSheetId="23">'September 12'!$A$1:$X$293</definedName>
    <definedName name="_xlnm.Print_Area" localSheetId="27">'September 13'!$A$1:$W$294</definedName>
    <definedName name="_xlnm.Print_Area">'Dec 06'!$A$1:$W$64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24" i="58" l="1"/>
  <c r="V35" i="58" l="1"/>
  <c r="V52" i="58" l="1"/>
  <c r="V104" i="58" l="1"/>
  <c r="V90" i="58"/>
  <c r="V89" i="58"/>
  <c r="T88" i="58"/>
  <c r="P44" i="58" l="1"/>
  <c r="L44" i="58"/>
  <c r="F44" i="58"/>
  <c r="D44" i="58"/>
  <c r="V96" i="58" l="1"/>
  <c r="T185" i="58" l="1"/>
  <c r="S185" i="58"/>
  <c r="T309" i="58"/>
  <c r="R309" i="58"/>
  <c r="U295" i="58"/>
  <c r="T295" i="58"/>
  <c r="S295" i="58"/>
  <c r="R295" i="58"/>
  <c r="T283" i="58"/>
  <c r="R283" i="58"/>
  <c r="T273" i="58"/>
  <c r="R273" i="58"/>
  <c r="S273" i="58"/>
  <c r="T261" i="58"/>
  <c r="R261" i="58"/>
  <c r="T247" i="58"/>
  <c r="R247" i="58"/>
  <c r="T246" i="58"/>
  <c r="R246" i="58"/>
  <c r="T245" i="58"/>
  <c r="R245" i="58"/>
  <c r="T244" i="58"/>
  <c r="R244" i="58"/>
  <c r="T243" i="58"/>
  <c r="R243" i="58"/>
  <c r="T242" i="58"/>
  <c r="R242" i="58"/>
  <c r="T241" i="58"/>
  <c r="R241" i="58"/>
  <c r="T240" i="58"/>
  <c r="R240" i="58"/>
  <c r="T226" i="58"/>
  <c r="T227" i="58" s="1"/>
  <c r="T224" i="58"/>
  <c r="T222" i="58"/>
  <c r="S222" i="58"/>
  <c r="S221" i="58"/>
  <c r="T205" i="58"/>
  <c r="T206" i="58" s="1"/>
  <c r="V186" i="58"/>
  <c r="T187" i="58"/>
  <c r="V172" i="58"/>
  <c r="V171" i="58"/>
  <c r="V154" i="58"/>
  <c r="B141" i="58"/>
  <c r="B201" i="58" s="1"/>
  <c r="B327" i="58" s="1"/>
  <c r="T137" i="58"/>
  <c r="T128" i="58"/>
  <c r="T126" i="58"/>
  <c r="A116" i="58"/>
  <c r="A117" i="58" s="1"/>
  <c r="A118" i="58" s="1"/>
  <c r="A119" i="58" s="1"/>
  <c r="A120" i="58" s="1"/>
  <c r="A121" i="58" s="1"/>
  <c r="A122" i="58" s="1"/>
  <c r="A123" i="58" s="1"/>
  <c r="A124" i="58" s="1"/>
  <c r="T115" i="58"/>
  <c r="A115" i="58"/>
  <c r="A114" i="58"/>
  <c r="V103" i="58"/>
  <c r="A103" i="58"/>
  <c r="A104" i="58" s="1"/>
  <c r="T98" i="58"/>
  <c r="T97" i="58"/>
  <c r="V100" i="58"/>
  <c r="T96" i="58"/>
  <c r="T100" i="58" s="1"/>
  <c r="N86" i="58"/>
  <c r="V81" i="58"/>
  <c r="V80" i="58"/>
  <c r="L80" i="58"/>
  <c r="T70" i="58"/>
  <c r="R70" i="58"/>
  <c r="P70" i="58"/>
  <c r="N70" i="58"/>
  <c r="N83" i="58" s="1"/>
  <c r="V68" i="58"/>
  <c r="V67" i="58"/>
  <c r="L67" i="58"/>
  <c r="L70" i="58" s="1"/>
  <c r="L83" i="58" s="1"/>
  <c r="R57" i="58"/>
  <c r="R56" i="58"/>
  <c r="V50" i="58"/>
  <c r="P43" i="58"/>
  <c r="L43" i="58"/>
  <c r="F43" i="58"/>
  <c r="D43" i="58"/>
  <c r="R36" i="58"/>
  <c r="P36" i="58"/>
  <c r="N36" i="58"/>
  <c r="L36" i="58"/>
  <c r="J36" i="58"/>
  <c r="H36" i="58"/>
  <c r="F36" i="58"/>
  <c r="D36" i="58"/>
  <c r="R35" i="58"/>
  <c r="P35" i="58"/>
  <c r="N35" i="58"/>
  <c r="L35" i="58"/>
  <c r="J35" i="58"/>
  <c r="H35" i="58"/>
  <c r="F35" i="58"/>
  <c r="D35" i="58"/>
  <c r="V34" i="58"/>
  <c r="R33" i="58"/>
  <c r="P33" i="58"/>
  <c r="N33" i="58"/>
  <c r="L33" i="58"/>
  <c r="J33" i="58"/>
  <c r="H33" i="58"/>
  <c r="F33" i="58"/>
  <c r="D33" i="58"/>
  <c r="R32" i="58"/>
  <c r="P32" i="58"/>
  <c r="N32" i="58"/>
  <c r="L32" i="58"/>
  <c r="J32" i="58"/>
  <c r="H32" i="58"/>
  <c r="F32" i="58"/>
  <c r="D32" i="58"/>
  <c r="T138" i="58" l="1"/>
  <c r="V173" i="58"/>
  <c r="V70" i="58"/>
  <c r="V43" i="58"/>
  <c r="T209" i="58" s="1"/>
  <c r="V36" i="58"/>
  <c r="T297" i="58"/>
  <c r="U273" i="58"/>
  <c r="T221" i="58"/>
  <c r="R249" i="58"/>
  <c r="R297" i="58"/>
  <c r="V185" i="58"/>
  <c r="S187" i="58"/>
  <c r="V187" i="58" s="1"/>
  <c r="V137" i="58"/>
  <c r="V138" i="58" s="1"/>
  <c r="V179" i="58"/>
  <c r="V83" i="58"/>
  <c r="V180" i="58" s="1"/>
  <c r="V145" i="58"/>
  <c r="S184" i="58"/>
  <c r="T249" i="58"/>
  <c r="U310" i="57"/>
  <c r="U261" i="58" l="1"/>
  <c r="S261" i="58"/>
  <c r="U283" i="58"/>
  <c r="S283" i="58"/>
  <c r="U309" i="58"/>
  <c r="S309" i="58"/>
  <c r="S188" i="58"/>
  <c r="V106" i="57"/>
  <c r="V105" i="57"/>
  <c r="V103" i="57"/>
  <c r="V90" i="57"/>
  <c r="V89" i="57"/>
  <c r="T88" i="57"/>
  <c r="S249" i="58" l="1"/>
  <c r="U249" i="58"/>
  <c r="V173" i="57"/>
  <c r="T308" i="57" l="1"/>
  <c r="U311" i="57" s="1"/>
  <c r="R308" i="57"/>
  <c r="S310" i="57" s="1"/>
  <c r="U294" i="57"/>
  <c r="T294" i="57"/>
  <c r="T221" i="57" s="1"/>
  <c r="S294" i="57"/>
  <c r="R294" i="57"/>
  <c r="T282" i="57"/>
  <c r="U280" i="57" s="1"/>
  <c r="R282" i="57"/>
  <c r="S280" i="57" s="1"/>
  <c r="T272" i="57"/>
  <c r="U270" i="57" s="1"/>
  <c r="R272" i="57"/>
  <c r="S269" i="57" s="1"/>
  <c r="T260" i="57"/>
  <c r="U258" i="57" s="1"/>
  <c r="R260" i="57"/>
  <c r="S257" i="57" s="1"/>
  <c r="T246" i="57"/>
  <c r="R246" i="57"/>
  <c r="T245" i="57"/>
  <c r="R245" i="57"/>
  <c r="T244" i="57"/>
  <c r="R244" i="57"/>
  <c r="T243" i="57"/>
  <c r="R243" i="57"/>
  <c r="T242" i="57"/>
  <c r="R242" i="57"/>
  <c r="T241" i="57"/>
  <c r="R241" i="57"/>
  <c r="T240" i="57"/>
  <c r="R240" i="57"/>
  <c r="T239" i="57"/>
  <c r="R239" i="57"/>
  <c r="T225" i="57"/>
  <c r="T223" i="57"/>
  <c r="S221" i="57"/>
  <c r="T215" i="57"/>
  <c r="T204" i="57"/>
  <c r="T205" i="57" s="1"/>
  <c r="V185" i="57"/>
  <c r="V171" i="57"/>
  <c r="V170" i="57"/>
  <c r="V153" i="57"/>
  <c r="B140" i="57"/>
  <c r="B200" i="57" s="1"/>
  <c r="B326" i="57" s="1"/>
  <c r="T127" i="57"/>
  <c r="T136" i="57" s="1"/>
  <c r="T125" i="57"/>
  <c r="T114" i="57"/>
  <c r="A113" i="57"/>
  <c r="A114" i="57" s="1"/>
  <c r="A115" i="57" s="1"/>
  <c r="A116" i="57" s="1"/>
  <c r="A117" i="57" s="1"/>
  <c r="A118" i="57" s="1"/>
  <c r="A119" i="57" s="1"/>
  <c r="A120" i="57" s="1"/>
  <c r="A121" i="57" s="1"/>
  <c r="A122" i="57" s="1"/>
  <c r="A123" i="57" s="1"/>
  <c r="V102" i="57"/>
  <c r="A102" i="57"/>
  <c r="A103" i="57" s="1"/>
  <c r="T97" i="57"/>
  <c r="T96" i="57"/>
  <c r="T95" i="57"/>
  <c r="T99" i="57" s="1"/>
  <c r="N86" i="57"/>
  <c r="V81" i="57"/>
  <c r="V80" i="57"/>
  <c r="L80" i="57"/>
  <c r="T70" i="57"/>
  <c r="R70" i="57"/>
  <c r="P70" i="57"/>
  <c r="N70" i="57"/>
  <c r="N83" i="57" s="1"/>
  <c r="L70" i="57"/>
  <c r="L83" i="57" s="1"/>
  <c r="V68" i="57"/>
  <c r="V67" i="57"/>
  <c r="V70" i="57" s="1"/>
  <c r="L67" i="57"/>
  <c r="R57" i="57"/>
  <c r="R56" i="57"/>
  <c r="V52" i="57"/>
  <c r="V50" i="57"/>
  <c r="P43" i="57"/>
  <c r="L43" i="57"/>
  <c r="F43" i="57"/>
  <c r="D43" i="57"/>
  <c r="R36" i="57"/>
  <c r="P36" i="57"/>
  <c r="N36" i="57"/>
  <c r="L36" i="57"/>
  <c r="J36" i="57"/>
  <c r="H36" i="57"/>
  <c r="F36" i="57"/>
  <c r="D36" i="57"/>
  <c r="R35" i="57"/>
  <c r="P35" i="57"/>
  <c r="N35" i="57"/>
  <c r="L35" i="57"/>
  <c r="J35" i="57"/>
  <c r="H35" i="57"/>
  <c r="F35" i="57"/>
  <c r="D35" i="57"/>
  <c r="V34" i="57"/>
  <c r="V144" i="57" s="1"/>
  <c r="R33" i="57"/>
  <c r="P33" i="57"/>
  <c r="N33" i="57"/>
  <c r="L33" i="57"/>
  <c r="J33" i="57"/>
  <c r="H33" i="57"/>
  <c r="F33" i="57"/>
  <c r="D33" i="57"/>
  <c r="R32" i="57"/>
  <c r="P32" i="57"/>
  <c r="N32" i="57"/>
  <c r="L32" i="57"/>
  <c r="J32" i="57"/>
  <c r="H32" i="57"/>
  <c r="F32" i="57"/>
  <c r="D32" i="57"/>
  <c r="T137" i="57" l="1"/>
  <c r="V172" i="57"/>
  <c r="V36" i="57"/>
  <c r="U275" i="57"/>
  <c r="U278" i="57"/>
  <c r="S276" i="57"/>
  <c r="S278" i="57"/>
  <c r="S275" i="57"/>
  <c r="S279" i="57"/>
  <c r="U299" i="57"/>
  <c r="U305" i="57"/>
  <c r="U302" i="57"/>
  <c r="U303" i="57"/>
  <c r="U301" i="57"/>
  <c r="U306" i="57"/>
  <c r="S220" i="57"/>
  <c r="U263" i="57"/>
  <c r="U267" i="57"/>
  <c r="T220" i="57"/>
  <c r="U265" i="57"/>
  <c r="U269" i="57"/>
  <c r="U264" i="57"/>
  <c r="U268" i="57"/>
  <c r="U266" i="57"/>
  <c r="S264" i="57"/>
  <c r="S265" i="57"/>
  <c r="S270" i="57"/>
  <c r="S267" i="57"/>
  <c r="S268" i="57"/>
  <c r="U252" i="57"/>
  <c r="U256" i="57"/>
  <c r="U255" i="57"/>
  <c r="U253" i="57"/>
  <c r="U260" i="57" s="1"/>
  <c r="U257" i="57"/>
  <c r="U251" i="57"/>
  <c r="U254" i="57"/>
  <c r="T296" i="57"/>
  <c r="U309" i="57" s="1"/>
  <c r="S252" i="57"/>
  <c r="S255" i="57"/>
  <c r="R248" i="57"/>
  <c r="S243" i="57" s="1"/>
  <c r="S258" i="57"/>
  <c r="S303" i="57"/>
  <c r="S253" i="57"/>
  <c r="S256" i="57"/>
  <c r="U276" i="57"/>
  <c r="U279" i="57"/>
  <c r="R296" i="57"/>
  <c r="S309" i="57" s="1"/>
  <c r="S277" i="57"/>
  <c r="U300" i="57"/>
  <c r="U304" i="57"/>
  <c r="S299" i="57"/>
  <c r="V35" i="57"/>
  <c r="V43" i="57" s="1"/>
  <c r="T207" i="57" s="1"/>
  <c r="T208" i="57" s="1"/>
  <c r="V51" i="57"/>
  <c r="V95" i="57"/>
  <c r="V99" i="57" s="1"/>
  <c r="V195" i="57" s="1"/>
  <c r="S251" i="57"/>
  <c r="S254" i="57"/>
  <c r="S263" i="57"/>
  <c r="S266" i="57"/>
  <c r="U277" i="57"/>
  <c r="S301" i="57"/>
  <c r="S305" i="57"/>
  <c r="V178" i="57"/>
  <c r="V83" i="57"/>
  <c r="V179" i="57" s="1"/>
  <c r="S183" i="57"/>
  <c r="T248" i="57"/>
  <c r="U240" i="57" s="1"/>
  <c r="S311" i="57"/>
  <c r="S300" i="57"/>
  <c r="S302" i="57"/>
  <c r="S304" i="57"/>
  <c r="S306" i="57"/>
  <c r="V123" i="57" l="1"/>
  <c r="V136" i="57" s="1"/>
  <c r="V137" i="57" s="1"/>
  <c r="U282" i="57"/>
  <c r="S282" i="57"/>
  <c r="U272" i="57"/>
  <c r="S239" i="57"/>
  <c r="S244" i="57"/>
  <c r="S245" i="57"/>
  <c r="S246" i="57"/>
  <c r="S240" i="57"/>
  <c r="S241" i="57"/>
  <c r="S242" i="57"/>
  <c r="S260" i="57"/>
  <c r="T209" i="57"/>
  <c r="V193" i="57"/>
  <c r="U308" i="57"/>
  <c r="V191" i="57"/>
  <c r="S308" i="57"/>
  <c r="S272" i="57"/>
  <c r="U246" i="57"/>
  <c r="U244" i="57"/>
  <c r="U245" i="57"/>
  <c r="U242" i="57"/>
  <c r="U241" i="57"/>
  <c r="U243" i="57"/>
  <c r="U239" i="57"/>
  <c r="S248" i="57" l="1"/>
  <c r="U248" i="57"/>
  <c r="V106" i="56"/>
  <c r="V105" i="56"/>
  <c r="V103" i="56"/>
  <c r="V90" i="56"/>
  <c r="V89" i="56"/>
  <c r="T88" i="56"/>
  <c r="P44" i="56" l="1"/>
  <c r="L44" i="56"/>
  <c r="F44" i="56"/>
  <c r="D44" i="56"/>
  <c r="T184" i="56" l="1"/>
  <c r="S184" i="56"/>
  <c r="T308" i="56"/>
  <c r="R308" i="56"/>
  <c r="U294" i="56"/>
  <c r="T294" i="56"/>
  <c r="S294" i="56"/>
  <c r="R294" i="56"/>
  <c r="S221" i="56" s="1"/>
  <c r="T282" i="56"/>
  <c r="U279" i="56" s="1"/>
  <c r="R282" i="56"/>
  <c r="S280" i="56" s="1"/>
  <c r="T272" i="56"/>
  <c r="U267" i="56" s="1"/>
  <c r="R272" i="56"/>
  <c r="S270" i="56" s="1"/>
  <c r="S264" i="56"/>
  <c r="T260" i="56"/>
  <c r="U258" i="56" s="1"/>
  <c r="R260" i="56"/>
  <c r="S258" i="56" s="1"/>
  <c r="T246" i="56"/>
  <c r="R246" i="56"/>
  <c r="T245" i="56"/>
  <c r="R245" i="56"/>
  <c r="T244" i="56"/>
  <c r="R244" i="56"/>
  <c r="T243" i="56"/>
  <c r="R243" i="56"/>
  <c r="T242" i="56"/>
  <c r="R242" i="56"/>
  <c r="T241" i="56"/>
  <c r="R241" i="56"/>
  <c r="T240" i="56"/>
  <c r="R240" i="56"/>
  <c r="T239" i="56"/>
  <c r="R239" i="56"/>
  <c r="T225" i="56"/>
  <c r="T226" i="56" s="1"/>
  <c r="T226" i="57" s="1"/>
  <c r="T223" i="56"/>
  <c r="T221" i="56"/>
  <c r="S220" i="56"/>
  <c r="T215" i="56"/>
  <c r="T204" i="56"/>
  <c r="T205" i="56" s="1"/>
  <c r="V185" i="56"/>
  <c r="V184" i="56"/>
  <c r="T186" i="56"/>
  <c r="T184" i="57" s="1"/>
  <c r="T186" i="57" s="1"/>
  <c r="S186" i="56"/>
  <c r="S184" i="57" s="1"/>
  <c r="V171" i="56"/>
  <c r="V170" i="56"/>
  <c r="V172" i="56" s="1"/>
  <c r="V153" i="56"/>
  <c r="B140" i="56"/>
  <c r="B200" i="56" s="1"/>
  <c r="B326" i="56" s="1"/>
  <c r="T127" i="56"/>
  <c r="T125" i="56"/>
  <c r="T114" i="56"/>
  <c r="A113" i="56"/>
  <c r="A114" i="56" s="1"/>
  <c r="A115" i="56" s="1"/>
  <c r="A116" i="56" s="1"/>
  <c r="A117" i="56" s="1"/>
  <c r="A118" i="56" s="1"/>
  <c r="A119" i="56" s="1"/>
  <c r="A120" i="56" s="1"/>
  <c r="A121" i="56" s="1"/>
  <c r="A122" i="56" s="1"/>
  <c r="A123" i="56" s="1"/>
  <c r="V102" i="56"/>
  <c r="A102" i="56"/>
  <c r="A103" i="56" s="1"/>
  <c r="T97" i="56"/>
  <c r="T96" i="56"/>
  <c r="V95" i="56"/>
  <c r="V99" i="56" s="1"/>
  <c r="T95" i="56"/>
  <c r="T99" i="56" s="1"/>
  <c r="N86" i="56"/>
  <c r="V81" i="56"/>
  <c r="V80" i="56"/>
  <c r="L80" i="56"/>
  <c r="T70" i="56"/>
  <c r="R70" i="56"/>
  <c r="P70" i="56"/>
  <c r="N70" i="56"/>
  <c r="N83" i="56" s="1"/>
  <c r="V68" i="56"/>
  <c r="V67" i="56"/>
  <c r="V70" i="56" s="1"/>
  <c r="L67" i="56"/>
  <c r="L70" i="56" s="1"/>
  <c r="L83" i="56" s="1"/>
  <c r="R57" i="56"/>
  <c r="R56" i="56"/>
  <c r="V50" i="56"/>
  <c r="P43" i="56"/>
  <c r="L43" i="56"/>
  <c r="F43" i="56"/>
  <c r="D43" i="56"/>
  <c r="R36" i="56"/>
  <c r="P36" i="56"/>
  <c r="N36" i="56"/>
  <c r="L36" i="56"/>
  <c r="J36" i="56"/>
  <c r="H36" i="56"/>
  <c r="F36" i="56"/>
  <c r="D36" i="56"/>
  <c r="R35" i="56"/>
  <c r="P35" i="56"/>
  <c r="N35" i="56"/>
  <c r="L35" i="56"/>
  <c r="J35" i="56"/>
  <c r="H35" i="56"/>
  <c r="F35" i="56"/>
  <c r="D35" i="56"/>
  <c r="V34" i="56"/>
  <c r="V144" i="56" s="1"/>
  <c r="R33" i="56"/>
  <c r="P33" i="56"/>
  <c r="N33" i="56"/>
  <c r="L33" i="56"/>
  <c r="J33" i="56"/>
  <c r="H33" i="56"/>
  <c r="F33" i="56"/>
  <c r="D33" i="56"/>
  <c r="R32" i="56"/>
  <c r="P32" i="56"/>
  <c r="N32" i="56"/>
  <c r="L32" i="56"/>
  <c r="J32" i="56"/>
  <c r="H32" i="56"/>
  <c r="F32" i="56"/>
  <c r="D32" i="56"/>
  <c r="V51" i="56" l="1"/>
  <c r="S310" i="56"/>
  <c r="V36" i="56"/>
  <c r="S263" i="56"/>
  <c r="U311" i="56"/>
  <c r="S186" i="57"/>
  <c r="V184" i="57"/>
  <c r="V52" i="56"/>
  <c r="T136" i="56"/>
  <c r="S265" i="56"/>
  <c r="V35" i="56"/>
  <c r="V43" i="56" s="1"/>
  <c r="T207" i="56" s="1"/>
  <c r="T208" i="56" s="1"/>
  <c r="S278" i="56"/>
  <c r="S276" i="56"/>
  <c r="U278" i="56"/>
  <c r="U277" i="56"/>
  <c r="U280" i="56"/>
  <c r="U275" i="56"/>
  <c r="U276" i="56"/>
  <c r="S279" i="56"/>
  <c r="S275" i="56"/>
  <c r="S277" i="56"/>
  <c r="U310" i="56"/>
  <c r="U304" i="56"/>
  <c r="U301" i="56"/>
  <c r="U305" i="56"/>
  <c r="U300" i="56"/>
  <c r="U302" i="56"/>
  <c r="U306" i="56"/>
  <c r="U299" i="56"/>
  <c r="U303" i="56"/>
  <c r="S300" i="56"/>
  <c r="S302" i="56"/>
  <c r="S304" i="56"/>
  <c r="S306" i="56"/>
  <c r="S299" i="56"/>
  <c r="S301" i="56"/>
  <c r="S303" i="56"/>
  <c r="S305" i="56"/>
  <c r="T220" i="56"/>
  <c r="U263" i="56"/>
  <c r="U265" i="56"/>
  <c r="U269" i="56"/>
  <c r="U268" i="56"/>
  <c r="U266" i="56"/>
  <c r="U270" i="56"/>
  <c r="U264" i="56"/>
  <c r="S266" i="56"/>
  <c r="S267" i="56"/>
  <c r="S269" i="56"/>
  <c r="S268" i="56"/>
  <c r="U254" i="56"/>
  <c r="U253" i="56"/>
  <c r="U251" i="56"/>
  <c r="U257" i="56"/>
  <c r="T296" i="56"/>
  <c r="U309" i="56" s="1"/>
  <c r="U255" i="56"/>
  <c r="U252" i="56"/>
  <c r="U256" i="56"/>
  <c r="R248" i="56"/>
  <c r="S240" i="56" s="1"/>
  <c r="S252" i="56"/>
  <c r="S254" i="56"/>
  <c r="S256" i="56"/>
  <c r="R296" i="56"/>
  <c r="S309" i="56" s="1"/>
  <c r="S251" i="56"/>
  <c r="S253" i="56"/>
  <c r="S255" i="56"/>
  <c r="S257" i="56"/>
  <c r="T137" i="56"/>
  <c r="V186" i="56"/>
  <c r="V178" i="56"/>
  <c r="V83" i="56"/>
  <c r="V179" i="56" s="1"/>
  <c r="V193" i="56"/>
  <c r="T209" i="56"/>
  <c r="V191" i="56"/>
  <c r="V123" i="56"/>
  <c r="V136" i="56" s="1"/>
  <c r="V137" i="56" s="1"/>
  <c r="V195" i="56"/>
  <c r="S183" i="56"/>
  <c r="S187" i="56" s="1"/>
  <c r="T248" i="56"/>
  <c r="U246" i="56" s="1"/>
  <c r="S311" i="56"/>
  <c r="V103" i="55"/>
  <c r="V90" i="55"/>
  <c r="V89" i="55"/>
  <c r="T88" i="55"/>
  <c r="V106" i="55"/>
  <c r="V105" i="55"/>
  <c r="S272" i="56" l="1"/>
  <c r="V186" i="57"/>
  <c r="S187" i="57"/>
  <c r="S282" i="56"/>
  <c r="U282" i="56"/>
  <c r="U308" i="56"/>
  <c r="S308" i="56"/>
  <c r="U272" i="56"/>
  <c r="S243" i="56"/>
  <c r="S245" i="56"/>
  <c r="S244" i="56"/>
  <c r="S239" i="56"/>
  <c r="S246" i="56"/>
  <c r="S241" i="56"/>
  <c r="S242" i="56"/>
  <c r="U260" i="56"/>
  <c r="U244" i="56"/>
  <c r="U245" i="56"/>
  <c r="U241" i="56"/>
  <c r="U239" i="56"/>
  <c r="S260" i="56"/>
  <c r="U242" i="56"/>
  <c r="U243" i="56"/>
  <c r="U240" i="56"/>
  <c r="P44" i="55"/>
  <c r="L44" i="55"/>
  <c r="F44" i="55"/>
  <c r="D44" i="55"/>
  <c r="S248" i="56" l="1"/>
  <c r="U248" i="56"/>
  <c r="T282" i="55"/>
  <c r="U277" i="55" s="1"/>
  <c r="R282" i="55"/>
  <c r="S280" i="55" s="1"/>
  <c r="T308" i="55"/>
  <c r="R308" i="55"/>
  <c r="S303" i="55"/>
  <c r="S300" i="55"/>
  <c r="U294" i="55"/>
  <c r="T294" i="55"/>
  <c r="S294" i="55"/>
  <c r="R294" i="55"/>
  <c r="T272" i="55"/>
  <c r="U270" i="55" s="1"/>
  <c r="R272" i="55"/>
  <c r="S270" i="55" s="1"/>
  <c r="T260" i="55"/>
  <c r="U257" i="55" s="1"/>
  <c r="R260" i="55"/>
  <c r="S258" i="55" s="1"/>
  <c r="T246" i="55"/>
  <c r="R246" i="55"/>
  <c r="T245" i="55"/>
  <c r="R245" i="55"/>
  <c r="T244" i="55"/>
  <c r="R244" i="55"/>
  <c r="T243" i="55"/>
  <c r="R243" i="55"/>
  <c r="T242" i="55"/>
  <c r="R242" i="55"/>
  <c r="T241" i="55"/>
  <c r="R241" i="55"/>
  <c r="T240" i="55"/>
  <c r="R240" i="55"/>
  <c r="T239" i="55"/>
  <c r="R239" i="55"/>
  <c r="T225" i="55"/>
  <c r="T223" i="55"/>
  <c r="S221" i="55"/>
  <c r="T215" i="55"/>
  <c r="V185" i="55"/>
  <c r="V172" i="55"/>
  <c r="V171" i="55"/>
  <c r="V170" i="55"/>
  <c r="V153" i="55"/>
  <c r="B140" i="55"/>
  <c r="B200" i="55" s="1"/>
  <c r="B326" i="55" s="1"/>
  <c r="T127" i="55"/>
  <c r="T125" i="55"/>
  <c r="T114" i="55"/>
  <c r="A113" i="55"/>
  <c r="A114" i="55" s="1"/>
  <c r="A115" i="55" s="1"/>
  <c r="A116" i="55" s="1"/>
  <c r="A117" i="55" s="1"/>
  <c r="A118" i="55" s="1"/>
  <c r="A119" i="55" s="1"/>
  <c r="A120" i="55" s="1"/>
  <c r="A121" i="55" s="1"/>
  <c r="A122" i="55" s="1"/>
  <c r="A123" i="55" s="1"/>
  <c r="V102" i="55"/>
  <c r="A102" i="55"/>
  <c r="A103" i="55" s="1"/>
  <c r="T97" i="55"/>
  <c r="T96" i="55"/>
  <c r="T95" i="55"/>
  <c r="N86" i="55"/>
  <c r="V81" i="55"/>
  <c r="V80" i="55"/>
  <c r="L80" i="55"/>
  <c r="T70" i="55"/>
  <c r="R70" i="55"/>
  <c r="P70" i="55"/>
  <c r="N70" i="55"/>
  <c r="N83" i="55" s="1"/>
  <c r="L70" i="55"/>
  <c r="L83" i="55" s="1"/>
  <c r="V68" i="55"/>
  <c r="V67" i="55"/>
  <c r="L67" i="55"/>
  <c r="R57" i="55"/>
  <c r="R56" i="55"/>
  <c r="V50" i="55"/>
  <c r="P43" i="55"/>
  <c r="L43" i="55"/>
  <c r="F43" i="55"/>
  <c r="D43" i="55"/>
  <c r="R36" i="55"/>
  <c r="P36" i="55"/>
  <c r="N36" i="55"/>
  <c r="L36" i="55"/>
  <c r="J36" i="55"/>
  <c r="H36" i="55"/>
  <c r="F36" i="55"/>
  <c r="D36" i="55"/>
  <c r="R35" i="55"/>
  <c r="P35" i="55"/>
  <c r="N35" i="55"/>
  <c r="L35" i="55"/>
  <c r="J35" i="55"/>
  <c r="H35" i="55"/>
  <c r="F35" i="55"/>
  <c r="D35" i="55"/>
  <c r="V34" i="55"/>
  <c r="S183" i="55" s="1"/>
  <c r="R33" i="55"/>
  <c r="P33" i="55"/>
  <c r="N33" i="55"/>
  <c r="L33" i="55"/>
  <c r="J33" i="55"/>
  <c r="H33" i="55"/>
  <c r="F33" i="55"/>
  <c r="D33" i="55"/>
  <c r="R32" i="55"/>
  <c r="P32" i="55"/>
  <c r="N32" i="55"/>
  <c r="L32" i="55"/>
  <c r="J32" i="55"/>
  <c r="H32" i="55"/>
  <c r="F32" i="55"/>
  <c r="D32" i="55"/>
  <c r="S306" i="55" l="1"/>
  <c r="S309" i="55"/>
  <c r="S311" i="55"/>
  <c r="S310" i="55"/>
  <c r="T136" i="55"/>
  <c r="S299" i="55"/>
  <c r="U305" i="55"/>
  <c r="U311" i="55"/>
  <c r="U310" i="55"/>
  <c r="V36" i="55"/>
  <c r="V51" i="55"/>
  <c r="V35" i="55"/>
  <c r="V43" i="55" s="1"/>
  <c r="T207" i="55" s="1"/>
  <c r="T208" i="55" s="1"/>
  <c r="U275" i="55"/>
  <c r="U278" i="55"/>
  <c r="U279" i="55"/>
  <c r="U276" i="55"/>
  <c r="U280" i="55"/>
  <c r="S275" i="55"/>
  <c r="S304" i="55"/>
  <c r="S301" i="55"/>
  <c r="S305" i="55"/>
  <c r="S302" i="55"/>
  <c r="S308" i="55" s="1"/>
  <c r="T220" i="55"/>
  <c r="U269" i="55"/>
  <c r="T248" i="55"/>
  <c r="U242" i="55" s="1"/>
  <c r="U263" i="55"/>
  <c r="U265" i="55"/>
  <c r="U267" i="55"/>
  <c r="U266" i="55"/>
  <c r="U264" i="55"/>
  <c r="U268" i="55"/>
  <c r="S220" i="55"/>
  <c r="T296" i="55"/>
  <c r="U309" i="55" s="1"/>
  <c r="U258" i="55"/>
  <c r="S256" i="55"/>
  <c r="S257" i="55"/>
  <c r="S251" i="55"/>
  <c r="S255" i="55"/>
  <c r="S252" i="55"/>
  <c r="S253" i="55"/>
  <c r="S254" i="55"/>
  <c r="S277" i="55"/>
  <c r="S279" i="55"/>
  <c r="S276" i="55"/>
  <c r="S278" i="55"/>
  <c r="V70" i="55"/>
  <c r="V83" i="55" s="1"/>
  <c r="V179" i="55" s="1"/>
  <c r="V95" i="55"/>
  <c r="V99" i="55" s="1"/>
  <c r="V195" i="55" s="1"/>
  <c r="U252" i="55"/>
  <c r="U254" i="55"/>
  <c r="U256" i="55"/>
  <c r="S264" i="55"/>
  <c r="S269" i="55"/>
  <c r="U300" i="55"/>
  <c r="U302" i="55"/>
  <c r="U304" i="55"/>
  <c r="U306" i="55"/>
  <c r="T99" i="55"/>
  <c r="T137" i="55" s="1"/>
  <c r="R248" i="55"/>
  <c r="S245" i="55" s="1"/>
  <c r="S267" i="55"/>
  <c r="R296" i="55"/>
  <c r="T221" i="55"/>
  <c r="U251" i="55"/>
  <c r="U253" i="55"/>
  <c r="U255" i="55"/>
  <c r="S263" i="55"/>
  <c r="S265" i="55"/>
  <c r="U299" i="55"/>
  <c r="U301" i="55"/>
  <c r="U303" i="55"/>
  <c r="V52" i="55"/>
  <c r="V144" i="55"/>
  <c r="S266" i="55"/>
  <c r="S268" i="55"/>
  <c r="U243" i="55" l="1"/>
  <c r="V191" i="55"/>
  <c r="T209" i="55"/>
  <c r="V123" i="55"/>
  <c r="V136" i="55" s="1"/>
  <c r="V137" i="55" s="1"/>
  <c r="V193" i="55"/>
  <c r="V178" i="55"/>
  <c r="U282" i="55"/>
  <c r="S282" i="55"/>
  <c r="U244" i="55"/>
  <c r="U245" i="55"/>
  <c r="U246" i="55"/>
  <c r="U239" i="55"/>
  <c r="U248" i="55" s="1"/>
  <c r="U240" i="55"/>
  <c r="U241" i="55"/>
  <c r="U272" i="55"/>
  <c r="S246" i="55"/>
  <c r="S241" i="55"/>
  <c r="S272" i="55"/>
  <c r="S242" i="55"/>
  <c r="S239" i="55"/>
  <c r="S243" i="55"/>
  <c r="S240" i="55"/>
  <c r="S244" i="55"/>
  <c r="S260" i="55"/>
  <c r="U308" i="55"/>
  <c r="U260" i="55"/>
  <c r="V106" i="54"/>
  <c r="V105" i="54"/>
  <c r="V103" i="54"/>
  <c r="V90" i="54"/>
  <c r="V89" i="54"/>
  <c r="T88" i="54"/>
  <c r="S248" i="55" l="1"/>
  <c r="P44" i="54"/>
  <c r="L44" i="54"/>
  <c r="F44" i="54"/>
  <c r="D44" i="54"/>
  <c r="S292" i="54" l="1"/>
  <c r="S293" i="54"/>
  <c r="S296" i="54"/>
  <c r="S289" i="54"/>
  <c r="T298" i="54"/>
  <c r="R298" i="54"/>
  <c r="S295" i="54" l="1"/>
  <c r="S291" i="54"/>
  <c r="U290" i="54"/>
  <c r="S294" i="54"/>
  <c r="S290" i="54"/>
  <c r="S298" i="54" s="1"/>
  <c r="U289" i="54"/>
  <c r="U293" i="54"/>
  <c r="U296" i="54"/>
  <c r="U292" i="54"/>
  <c r="U295" i="54"/>
  <c r="U291" i="54"/>
  <c r="U294" i="54"/>
  <c r="U298" i="54"/>
  <c r="U284" i="54" l="1"/>
  <c r="T284" i="54"/>
  <c r="T221" i="54" s="1"/>
  <c r="S284" i="54"/>
  <c r="R284" i="54"/>
  <c r="T272" i="54"/>
  <c r="U270" i="54" s="1"/>
  <c r="R272" i="54"/>
  <c r="S270" i="54" s="1"/>
  <c r="T260" i="54"/>
  <c r="U255" i="54" s="1"/>
  <c r="R260" i="54"/>
  <c r="S258" i="54" s="1"/>
  <c r="T246" i="54"/>
  <c r="R246" i="54"/>
  <c r="T245" i="54"/>
  <c r="R245" i="54"/>
  <c r="T244" i="54"/>
  <c r="R244" i="54"/>
  <c r="T243" i="54"/>
  <c r="R243" i="54"/>
  <c r="T242" i="54"/>
  <c r="R242" i="54"/>
  <c r="T241" i="54"/>
  <c r="R241" i="54"/>
  <c r="T240" i="54"/>
  <c r="R240" i="54"/>
  <c r="T239" i="54"/>
  <c r="R239" i="54"/>
  <c r="T225" i="54"/>
  <c r="T223" i="54"/>
  <c r="S221" i="54"/>
  <c r="T215" i="54"/>
  <c r="V185" i="54"/>
  <c r="V171" i="54"/>
  <c r="V170" i="54"/>
  <c r="V172" i="54" s="1"/>
  <c r="V153" i="54"/>
  <c r="B140" i="54"/>
  <c r="B200" i="54" s="1"/>
  <c r="B314" i="54" s="1"/>
  <c r="T127" i="54"/>
  <c r="T125" i="54"/>
  <c r="T136" i="54" s="1"/>
  <c r="T114" i="54"/>
  <c r="A113" i="54"/>
  <c r="A114" i="54" s="1"/>
  <c r="A115" i="54" s="1"/>
  <c r="A116" i="54" s="1"/>
  <c r="A117" i="54" s="1"/>
  <c r="A118" i="54" s="1"/>
  <c r="A119" i="54" s="1"/>
  <c r="A120" i="54" s="1"/>
  <c r="A121" i="54" s="1"/>
  <c r="A122" i="54" s="1"/>
  <c r="A123" i="54" s="1"/>
  <c r="V102" i="54"/>
  <c r="A102" i="54"/>
  <c r="A103" i="54" s="1"/>
  <c r="T97" i="54"/>
  <c r="T96" i="54"/>
  <c r="V95" i="54"/>
  <c r="V99" i="54" s="1"/>
  <c r="T95" i="54"/>
  <c r="T99" i="54" s="1"/>
  <c r="T137" i="54" s="1"/>
  <c r="N86" i="54"/>
  <c r="V81" i="54"/>
  <c r="V80" i="54"/>
  <c r="L80" i="54"/>
  <c r="T70" i="54"/>
  <c r="R70" i="54"/>
  <c r="P70" i="54"/>
  <c r="N70" i="54"/>
  <c r="N83" i="54" s="1"/>
  <c r="V68" i="54"/>
  <c r="V67" i="54"/>
  <c r="V70" i="54" s="1"/>
  <c r="L67" i="54"/>
  <c r="L70" i="54" s="1"/>
  <c r="R57" i="54"/>
  <c r="R56" i="54"/>
  <c r="V50" i="54"/>
  <c r="P43" i="54"/>
  <c r="L43" i="54"/>
  <c r="F43" i="54"/>
  <c r="D43" i="54"/>
  <c r="R36" i="54"/>
  <c r="P36" i="54"/>
  <c r="N36" i="54"/>
  <c r="L36" i="54"/>
  <c r="J36" i="54"/>
  <c r="H36" i="54"/>
  <c r="F36" i="54"/>
  <c r="D36" i="54"/>
  <c r="R35" i="54"/>
  <c r="P35" i="54"/>
  <c r="N35" i="54"/>
  <c r="L35" i="54"/>
  <c r="J35" i="54"/>
  <c r="H35" i="54"/>
  <c r="F35" i="54"/>
  <c r="D35" i="54"/>
  <c r="V34" i="54"/>
  <c r="S183" i="54" s="1"/>
  <c r="R33" i="54"/>
  <c r="P33" i="54"/>
  <c r="N33" i="54"/>
  <c r="L33" i="54"/>
  <c r="J33" i="54"/>
  <c r="H33" i="54"/>
  <c r="F33" i="54"/>
  <c r="D33" i="54"/>
  <c r="R32" i="54"/>
  <c r="P32" i="54"/>
  <c r="N32" i="54"/>
  <c r="L32" i="54"/>
  <c r="J32" i="54"/>
  <c r="H32" i="54"/>
  <c r="F32" i="54"/>
  <c r="D32" i="54"/>
  <c r="L83" i="54" l="1"/>
  <c r="V83" i="54"/>
  <c r="V179" i="54" s="1"/>
  <c r="V36" i="54"/>
  <c r="V35" i="54"/>
  <c r="V43" i="54" s="1"/>
  <c r="T207" i="54" s="1"/>
  <c r="T208" i="54" s="1"/>
  <c r="U266" i="54"/>
  <c r="U263" i="54"/>
  <c r="U267" i="54"/>
  <c r="T220" i="54"/>
  <c r="U264" i="54"/>
  <c r="U268" i="54"/>
  <c r="U265" i="54"/>
  <c r="U269" i="54"/>
  <c r="S265" i="54"/>
  <c r="S263" i="54"/>
  <c r="S269" i="54"/>
  <c r="S267" i="54"/>
  <c r="U252" i="54"/>
  <c r="U256" i="54"/>
  <c r="T248" i="54"/>
  <c r="U243" i="54" s="1"/>
  <c r="T286" i="54"/>
  <c r="T299" i="54" s="1"/>
  <c r="U253" i="54"/>
  <c r="U257" i="54"/>
  <c r="U254" i="54"/>
  <c r="U258" i="54"/>
  <c r="U251" i="54"/>
  <c r="S253" i="54"/>
  <c r="S251" i="54"/>
  <c r="V52" i="54"/>
  <c r="R286" i="54"/>
  <c r="R299" i="54" s="1"/>
  <c r="S257" i="54"/>
  <c r="V51" i="54"/>
  <c r="S255" i="54"/>
  <c r="V123" i="54"/>
  <c r="V136" i="54" s="1"/>
  <c r="V137" i="54" s="1"/>
  <c r="V195" i="54"/>
  <c r="V193" i="54"/>
  <c r="T209" i="54"/>
  <c r="V191" i="54"/>
  <c r="V178" i="54"/>
  <c r="R248" i="54"/>
  <c r="S240" i="54" s="1"/>
  <c r="S220" i="54"/>
  <c r="V144" i="54"/>
  <c r="S252" i="54"/>
  <c r="S254" i="54"/>
  <c r="S256" i="54"/>
  <c r="S264" i="54"/>
  <c r="S266" i="54"/>
  <c r="S268" i="54"/>
  <c r="U272" i="54" l="1"/>
  <c r="U240" i="54"/>
  <c r="U245" i="54"/>
  <c r="U241" i="54"/>
  <c r="U246" i="54"/>
  <c r="U242" i="54"/>
  <c r="U244" i="54"/>
  <c r="U260" i="54"/>
  <c r="U239" i="54"/>
  <c r="S243" i="54"/>
  <c r="S260" i="54"/>
  <c r="S272" i="54"/>
  <c r="S246" i="54"/>
  <c r="S241" i="54"/>
  <c r="S244" i="54"/>
  <c r="S239" i="54"/>
  <c r="S242" i="54"/>
  <c r="S245" i="54"/>
  <c r="V106" i="53"/>
  <c r="V105" i="53"/>
  <c r="V103" i="53"/>
  <c r="V90" i="53"/>
  <c r="V89" i="53"/>
  <c r="T88" i="53"/>
  <c r="U248" i="54" l="1"/>
  <c r="S248" i="54"/>
  <c r="P44" i="53"/>
  <c r="L44" i="53"/>
  <c r="F44" i="53"/>
  <c r="D44" i="53"/>
  <c r="V173" i="53" l="1"/>
  <c r="U284" i="53" l="1"/>
  <c r="T284" i="53"/>
  <c r="S284" i="53"/>
  <c r="R284" i="53"/>
  <c r="T272" i="53"/>
  <c r="U267" i="53" s="1"/>
  <c r="R272" i="53"/>
  <c r="S270" i="53" s="1"/>
  <c r="T260" i="53"/>
  <c r="U258" i="53" s="1"/>
  <c r="R260" i="53"/>
  <c r="S258" i="53" s="1"/>
  <c r="U251" i="53"/>
  <c r="T246" i="53"/>
  <c r="R246" i="53"/>
  <c r="T245" i="53"/>
  <c r="R245" i="53"/>
  <c r="T244" i="53"/>
  <c r="R244" i="53"/>
  <c r="T243" i="53"/>
  <c r="R243" i="53"/>
  <c r="T242" i="53"/>
  <c r="R242" i="53"/>
  <c r="T241" i="53"/>
  <c r="R241" i="53"/>
  <c r="T240" i="53"/>
  <c r="R240" i="53"/>
  <c r="T239" i="53"/>
  <c r="R239" i="53"/>
  <c r="T225" i="53"/>
  <c r="T223" i="53"/>
  <c r="T221" i="53"/>
  <c r="S221" i="53"/>
  <c r="T215" i="53"/>
  <c r="V185" i="53"/>
  <c r="V172" i="53"/>
  <c r="V171" i="53"/>
  <c r="V170" i="53"/>
  <c r="V153" i="53"/>
  <c r="B140" i="53"/>
  <c r="B200" i="53" s="1"/>
  <c r="B300" i="53" s="1"/>
  <c r="T127" i="53"/>
  <c r="T125" i="53"/>
  <c r="T136" i="53" s="1"/>
  <c r="T114" i="53"/>
  <c r="A113" i="53"/>
  <c r="A114" i="53" s="1"/>
  <c r="A115" i="53" s="1"/>
  <c r="A116" i="53" s="1"/>
  <c r="A117" i="53" s="1"/>
  <c r="A118" i="53" s="1"/>
  <c r="A119" i="53" s="1"/>
  <c r="A120" i="53" s="1"/>
  <c r="A121" i="53" s="1"/>
  <c r="A122" i="53" s="1"/>
  <c r="A123" i="53" s="1"/>
  <c r="V102" i="53"/>
  <c r="A102" i="53"/>
  <c r="A103" i="53" s="1"/>
  <c r="T97" i="53"/>
  <c r="T96" i="53"/>
  <c r="T95" i="53"/>
  <c r="V95" i="53"/>
  <c r="V99" i="53" s="1"/>
  <c r="N86" i="53"/>
  <c r="V81" i="53"/>
  <c r="V80" i="53"/>
  <c r="L80" i="53"/>
  <c r="T70" i="53"/>
  <c r="R70" i="53"/>
  <c r="P70" i="53"/>
  <c r="N70" i="53"/>
  <c r="N83" i="53" s="1"/>
  <c r="L70" i="53"/>
  <c r="L83" i="53" s="1"/>
  <c r="V68" i="53"/>
  <c r="V67" i="53"/>
  <c r="L67" i="53"/>
  <c r="R57" i="53"/>
  <c r="R56" i="53"/>
  <c r="V50" i="53"/>
  <c r="P43" i="53"/>
  <c r="L43" i="53"/>
  <c r="F43" i="53"/>
  <c r="D43" i="53"/>
  <c r="R36" i="53"/>
  <c r="P36" i="53"/>
  <c r="N36" i="53"/>
  <c r="L36" i="53"/>
  <c r="J36" i="53"/>
  <c r="H36" i="53"/>
  <c r="F36" i="53"/>
  <c r="D36" i="53"/>
  <c r="R35" i="53"/>
  <c r="P35" i="53"/>
  <c r="N35" i="53"/>
  <c r="L35" i="53"/>
  <c r="J35" i="53"/>
  <c r="H35" i="53"/>
  <c r="F35" i="53"/>
  <c r="D35" i="53"/>
  <c r="V34" i="53"/>
  <c r="S183" i="53" s="1"/>
  <c r="R33" i="53"/>
  <c r="P33" i="53"/>
  <c r="N33" i="53"/>
  <c r="L33" i="53"/>
  <c r="J33" i="53"/>
  <c r="H33" i="53"/>
  <c r="F33" i="53"/>
  <c r="D33" i="53"/>
  <c r="R32" i="53"/>
  <c r="P32" i="53"/>
  <c r="N32" i="53"/>
  <c r="L32" i="53"/>
  <c r="J32" i="53"/>
  <c r="H32" i="53"/>
  <c r="F32" i="53"/>
  <c r="D32" i="53"/>
  <c r="T99" i="53" l="1"/>
  <c r="T137" i="53" s="1"/>
  <c r="V70" i="53"/>
  <c r="V83" i="53" s="1"/>
  <c r="V179" i="53" s="1"/>
  <c r="V36" i="53"/>
  <c r="V51" i="53"/>
  <c r="V35" i="53"/>
  <c r="V43" i="53" s="1"/>
  <c r="T207" i="53" s="1"/>
  <c r="T208" i="53" s="1"/>
  <c r="U265" i="53"/>
  <c r="U269" i="53"/>
  <c r="U268" i="53"/>
  <c r="U266" i="53"/>
  <c r="U270" i="53"/>
  <c r="U264" i="53"/>
  <c r="T220" i="53"/>
  <c r="U263" i="53"/>
  <c r="S220" i="53"/>
  <c r="S263" i="53"/>
  <c r="S265" i="53"/>
  <c r="S267" i="53"/>
  <c r="S269" i="53"/>
  <c r="S264" i="53"/>
  <c r="S266" i="53"/>
  <c r="S268" i="53"/>
  <c r="U254" i="53"/>
  <c r="U252" i="53"/>
  <c r="U255" i="53"/>
  <c r="U256" i="53"/>
  <c r="T248" i="53"/>
  <c r="U246" i="53" s="1"/>
  <c r="U253" i="53"/>
  <c r="T286" i="53"/>
  <c r="U257" i="53"/>
  <c r="S251" i="53"/>
  <c r="S257" i="53"/>
  <c r="S255" i="53"/>
  <c r="S253" i="53"/>
  <c r="S252" i="53"/>
  <c r="S254" i="53"/>
  <c r="S256" i="53"/>
  <c r="R286" i="53"/>
  <c r="V191" i="53"/>
  <c r="V123" i="53"/>
  <c r="V136" i="53" s="1"/>
  <c r="V137" i="53" s="1"/>
  <c r="V195" i="53"/>
  <c r="V193" i="53"/>
  <c r="T209" i="53"/>
  <c r="V144" i="53"/>
  <c r="R248" i="53"/>
  <c r="S246" i="53" s="1"/>
  <c r="V52" i="53"/>
  <c r="V178" i="53" l="1"/>
  <c r="U243" i="53"/>
  <c r="U272" i="53"/>
  <c r="S272" i="53"/>
  <c r="U240" i="53"/>
  <c r="U244" i="53"/>
  <c r="U239" i="53"/>
  <c r="U241" i="53"/>
  <c r="U242" i="53"/>
  <c r="U245" i="53"/>
  <c r="U260" i="53"/>
  <c r="S244" i="53"/>
  <c r="S260" i="53"/>
  <c r="S241" i="53"/>
  <c r="S242" i="53"/>
  <c r="S239" i="53"/>
  <c r="S245" i="53"/>
  <c r="S240" i="53"/>
  <c r="S243" i="53"/>
  <c r="U248" i="53" l="1"/>
  <c r="S248" i="53"/>
  <c r="V106" i="52"/>
  <c r="V105" i="52"/>
  <c r="V103" i="52"/>
  <c r="V90" i="52"/>
  <c r="V89" i="52"/>
  <c r="T88" i="52"/>
  <c r="P44" i="52" l="1"/>
  <c r="L44" i="52"/>
  <c r="F44" i="52"/>
  <c r="D44" i="52"/>
  <c r="U284" i="52" l="1"/>
  <c r="T284" i="52"/>
  <c r="T221" i="52" s="1"/>
  <c r="S284" i="52"/>
  <c r="R284" i="52"/>
  <c r="T272" i="52"/>
  <c r="U269" i="52" s="1"/>
  <c r="R272" i="52"/>
  <c r="S270" i="52" s="1"/>
  <c r="T260" i="52"/>
  <c r="U258" i="52" s="1"/>
  <c r="R260" i="52"/>
  <c r="S258" i="52" s="1"/>
  <c r="T246" i="52"/>
  <c r="R246" i="52"/>
  <c r="T245" i="52"/>
  <c r="R245" i="52"/>
  <c r="T244" i="52"/>
  <c r="R244" i="52"/>
  <c r="T243" i="52"/>
  <c r="R243" i="52"/>
  <c r="T242" i="52"/>
  <c r="R242" i="52"/>
  <c r="T241" i="52"/>
  <c r="R241" i="52"/>
  <c r="T240" i="52"/>
  <c r="R240" i="52"/>
  <c r="T239" i="52"/>
  <c r="R239" i="52"/>
  <c r="T225" i="52"/>
  <c r="T223" i="52"/>
  <c r="S221" i="52"/>
  <c r="T215" i="52"/>
  <c r="V185" i="52"/>
  <c r="V171" i="52"/>
  <c r="V170" i="52"/>
  <c r="V153" i="52"/>
  <c r="B140" i="52"/>
  <c r="B200" i="52" s="1"/>
  <c r="B300" i="52" s="1"/>
  <c r="T127" i="52"/>
  <c r="T125" i="52"/>
  <c r="T136" i="52" s="1"/>
  <c r="T114" i="52"/>
  <c r="A113" i="52"/>
  <c r="A114" i="52" s="1"/>
  <c r="A115" i="52" s="1"/>
  <c r="A116" i="52" s="1"/>
  <c r="A117" i="52" s="1"/>
  <c r="A118" i="52" s="1"/>
  <c r="A119" i="52" s="1"/>
  <c r="A120" i="52" s="1"/>
  <c r="A121" i="52" s="1"/>
  <c r="A122" i="52" s="1"/>
  <c r="A123" i="52" s="1"/>
  <c r="V102" i="52"/>
  <c r="A102" i="52"/>
  <c r="A103" i="52" s="1"/>
  <c r="T97" i="52"/>
  <c r="T96" i="52"/>
  <c r="V95" i="52"/>
  <c r="V99" i="52" s="1"/>
  <c r="V123" i="52" s="1"/>
  <c r="T95" i="52"/>
  <c r="T99" i="52" s="1"/>
  <c r="N86" i="52"/>
  <c r="V81" i="52"/>
  <c r="V80" i="52"/>
  <c r="L80" i="52"/>
  <c r="T70" i="52"/>
  <c r="R70" i="52"/>
  <c r="P70" i="52"/>
  <c r="N70" i="52"/>
  <c r="N83" i="52" s="1"/>
  <c r="V68" i="52"/>
  <c r="V67" i="52"/>
  <c r="V70" i="52" s="1"/>
  <c r="V178" i="52" s="1"/>
  <c r="L67" i="52"/>
  <c r="L70" i="52" s="1"/>
  <c r="L83" i="52" s="1"/>
  <c r="R57" i="52"/>
  <c r="R56" i="52"/>
  <c r="V52" i="52"/>
  <c r="V50" i="52"/>
  <c r="P43" i="52"/>
  <c r="L43" i="52"/>
  <c r="F43" i="52"/>
  <c r="D43" i="52"/>
  <c r="R36" i="52"/>
  <c r="P36" i="52"/>
  <c r="N36" i="52"/>
  <c r="L36" i="52"/>
  <c r="J36" i="52"/>
  <c r="H36" i="52"/>
  <c r="F36" i="52"/>
  <c r="D36" i="52"/>
  <c r="R35" i="52"/>
  <c r="P35" i="52"/>
  <c r="N35" i="52"/>
  <c r="L35" i="52"/>
  <c r="J35" i="52"/>
  <c r="H35" i="52"/>
  <c r="F35" i="52"/>
  <c r="D35" i="52"/>
  <c r="V35" i="52" s="1"/>
  <c r="V34" i="52"/>
  <c r="S183" i="52" s="1"/>
  <c r="R33" i="52"/>
  <c r="P33" i="52"/>
  <c r="N33" i="52"/>
  <c r="L33" i="52"/>
  <c r="J33" i="52"/>
  <c r="H33" i="52"/>
  <c r="F33" i="52"/>
  <c r="D33" i="52"/>
  <c r="R32" i="52"/>
  <c r="P32" i="52"/>
  <c r="N32" i="52"/>
  <c r="L32" i="52"/>
  <c r="J32" i="52"/>
  <c r="H32" i="52"/>
  <c r="F32" i="52"/>
  <c r="D32" i="52"/>
  <c r="V144" i="52" l="1"/>
  <c r="V172" i="52"/>
  <c r="V51" i="52"/>
  <c r="V36" i="52"/>
  <c r="V43" i="52"/>
  <c r="T207" i="52" s="1"/>
  <c r="T208" i="52" s="1"/>
  <c r="U266" i="52"/>
  <c r="U270" i="52"/>
  <c r="U265" i="52"/>
  <c r="U263" i="52"/>
  <c r="U267" i="52"/>
  <c r="T220" i="52"/>
  <c r="U264" i="52"/>
  <c r="U268" i="52"/>
  <c r="S263" i="52"/>
  <c r="S265" i="52"/>
  <c r="T248" i="52"/>
  <c r="U245" i="52" s="1"/>
  <c r="U251" i="52"/>
  <c r="U252" i="52"/>
  <c r="U255" i="52"/>
  <c r="U256" i="52"/>
  <c r="U253" i="52"/>
  <c r="U257" i="52"/>
  <c r="U254" i="52"/>
  <c r="T286" i="52"/>
  <c r="S253" i="52"/>
  <c r="S255" i="52"/>
  <c r="S251" i="52"/>
  <c r="R286" i="52"/>
  <c r="V195" i="52"/>
  <c r="V193" i="52"/>
  <c r="T209" i="52"/>
  <c r="V191" i="52"/>
  <c r="T137" i="52"/>
  <c r="V136" i="52"/>
  <c r="V137" i="52" s="1"/>
  <c r="R248" i="52"/>
  <c r="S239" i="52" s="1"/>
  <c r="S257" i="52"/>
  <c r="V83" i="52"/>
  <c r="V179" i="52" s="1"/>
  <c r="S220" i="52"/>
  <c r="S267" i="52"/>
  <c r="S269" i="52"/>
  <c r="S252" i="52"/>
  <c r="S254" i="52"/>
  <c r="S256" i="52"/>
  <c r="S264" i="52"/>
  <c r="S266" i="52"/>
  <c r="S268" i="52"/>
  <c r="U240" i="52" l="1"/>
  <c r="U242" i="52"/>
  <c r="U244" i="52"/>
  <c r="U239" i="52"/>
  <c r="U246" i="52"/>
  <c r="U243" i="52"/>
  <c r="U272" i="52"/>
  <c r="U241" i="52"/>
  <c r="S272" i="52"/>
  <c r="U260" i="52"/>
  <c r="S245" i="52"/>
  <c r="S243" i="52"/>
  <c r="S244" i="52"/>
  <c r="S242" i="52"/>
  <c r="S241" i="52"/>
  <c r="S260" i="52"/>
  <c r="S240" i="52"/>
  <c r="S246" i="52"/>
  <c r="U248" i="52" l="1"/>
  <c r="S248" i="52"/>
  <c r="T88" i="51"/>
  <c r="V106" i="51" l="1"/>
  <c r="V105" i="51"/>
  <c r="V103" i="51"/>
  <c r="V90" i="51"/>
  <c r="V89" i="51"/>
  <c r="P44" i="51" l="1"/>
  <c r="L44" i="51"/>
  <c r="F44" i="51"/>
  <c r="D44" i="51"/>
  <c r="U281" i="51" l="1"/>
  <c r="T281" i="51"/>
  <c r="S281" i="51"/>
  <c r="R281" i="51"/>
  <c r="T269" i="51"/>
  <c r="U265" i="51" s="1"/>
  <c r="R269" i="51"/>
  <c r="S267" i="51" s="1"/>
  <c r="T257" i="51"/>
  <c r="U254" i="51" s="1"/>
  <c r="R257" i="51"/>
  <c r="S255" i="51" s="1"/>
  <c r="T243" i="51"/>
  <c r="R243" i="51"/>
  <c r="T242" i="51"/>
  <c r="R242" i="51"/>
  <c r="T241" i="51"/>
  <c r="R241" i="51"/>
  <c r="T240" i="51"/>
  <c r="R240" i="51"/>
  <c r="T239" i="51"/>
  <c r="R239" i="51"/>
  <c r="T238" i="51"/>
  <c r="R238" i="51"/>
  <c r="T237" i="51"/>
  <c r="R237" i="51"/>
  <c r="T236" i="51"/>
  <c r="R236" i="51"/>
  <c r="T222" i="51"/>
  <c r="T220" i="51"/>
  <c r="T218" i="51"/>
  <c r="S218" i="51"/>
  <c r="T212" i="51"/>
  <c r="V182" i="51"/>
  <c r="V168" i="51"/>
  <c r="V167" i="51"/>
  <c r="V150" i="51"/>
  <c r="B137" i="51"/>
  <c r="B197" i="51" s="1"/>
  <c r="B297" i="51" s="1"/>
  <c r="T124" i="51"/>
  <c r="T133" i="51" s="1"/>
  <c r="T122" i="51"/>
  <c r="T114" i="51"/>
  <c r="A113" i="51"/>
  <c r="A114" i="51" s="1"/>
  <c r="A115" i="51" s="1"/>
  <c r="A116" i="51" s="1"/>
  <c r="A117" i="51" s="1"/>
  <c r="A118" i="51" s="1"/>
  <c r="A119" i="51" s="1"/>
  <c r="A120" i="51" s="1"/>
  <c r="V102" i="51"/>
  <c r="A102" i="51"/>
  <c r="A103" i="51" s="1"/>
  <c r="T97" i="51"/>
  <c r="T96" i="51"/>
  <c r="V95" i="51"/>
  <c r="V99" i="51" s="1"/>
  <c r="T95" i="51"/>
  <c r="N86" i="51"/>
  <c r="V81" i="51"/>
  <c r="V80" i="51"/>
  <c r="L80" i="51"/>
  <c r="T70" i="51"/>
  <c r="R70" i="51"/>
  <c r="P70" i="51"/>
  <c r="N70" i="51"/>
  <c r="N83" i="51" s="1"/>
  <c r="V68" i="51"/>
  <c r="V67" i="51"/>
  <c r="V70" i="51" s="1"/>
  <c r="L67" i="51"/>
  <c r="L70" i="51" s="1"/>
  <c r="R57" i="51"/>
  <c r="R56" i="51"/>
  <c r="V50" i="51"/>
  <c r="P43" i="51"/>
  <c r="L43" i="51"/>
  <c r="F43" i="51"/>
  <c r="D43" i="51"/>
  <c r="R36" i="51"/>
  <c r="P36" i="51"/>
  <c r="N36" i="51"/>
  <c r="L36" i="51"/>
  <c r="J36" i="51"/>
  <c r="H36" i="51"/>
  <c r="F36" i="51"/>
  <c r="D36" i="51"/>
  <c r="R35" i="51"/>
  <c r="P35" i="51"/>
  <c r="N35" i="51"/>
  <c r="L35" i="51"/>
  <c r="J35" i="51"/>
  <c r="H35" i="51"/>
  <c r="F35" i="51"/>
  <c r="D35" i="51"/>
  <c r="V34" i="51"/>
  <c r="S180" i="51" s="1"/>
  <c r="R33" i="51"/>
  <c r="P33" i="51"/>
  <c r="N33" i="51"/>
  <c r="L33" i="51"/>
  <c r="J33" i="51"/>
  <c r="H33" i="51"/>
  <c r="F33" i="51"/>
  <c r="D33" i="51"/>
  <c r="R32" i="51"/>
  <c r="P32" i="51"/>
  <c r="N32" i="51"/>
  <c r="L32" i="51"/>
  <c r="J32" i="51"/>
  <c r="H32" i="51"/>
  <c r="F32" i="51"/>
  <c r="D32" i="51"/>
  <c r="T99" i="51" l="1"/>
  <c r="S260" i="51"/>
  <c r="L83" i="51"/>
  <c r="V35" i="51"/>
  <c r="V43" i="51" s="1"/>
  <c r="T204" i="51" s="1"/>
  <c r="T205" i="51" s="1"/>
  <c r="V83" i="51"/>
  <c r="V176" i="51" s="1"/>
  <c r="V141" i="51"/>
  <c r="S217" i="51"/>
  <c r="S264" i="51"/>
  <c r="V36" i="51"/>
  <c r="S266" i="51"/>
  <c r="V169" i="51"/>
  <c r="T134" i="51"/>
  <c r="V51" i="51"/>
  <c r="T217" i="51"/>
  <c r="U260" i="51"/>
  <c r="U266" i="51"/>
  <c r="U261" i="51"/>
  <c r="U264" i="51"/>
  <c r="U267" i="51"/>
  <c r="U263" i="51"/>
  <c r="U262" i="51"/>
  <c r="S262" i="51"/>
  <c r="U251" i="51"/>
  <c r="U255" i="51"/>
  <c r="U249" i="51"/>
  <c r="T245" i="51"/>
  <c r="U243" i="51" s="1"/>
  <c r="U252" i="51"/>
  <c r="U248" i="51"/>
  <c r="U253" i="51"/>
  <c r="U250" i="51"/>
  <c r="T283" i="51"/>
  <c r="S250" i="51"/>
  <c r="S248" i="51"/>
  <c r="R283" i="51"/>
  <c r="S249" i="51"/>
  <c r="S254" i="51"/>
  <c r="S252" i="51"/>
  <c r="V192" i="51"/>
  <c r="T206" i="51"/>
  <c r="V188" i="51"/>
  <c r="V190" i="51"/>
  <c r="V120" i="51"/>
  <c r="V133" i="51" s="1"/>
  <c r="V134" i="51" s="1"/>
  <c r="V52" i="51"/>
  <c r="V175" i="51"/>
  <c r="R245" i="51"/>
  <c r="S242" i="51" s="1"/>
  <c r="S251" i="51"/>
  <c r="S253" i="51"/>
  <c r="S261" i="51"/>
  <c r="S263" i="51"/>
  <c r="S265" i="51"/>
  <c r="U237" i="51" l="1"/>
  <c r="U239" i="51"/>
  <c r="U238" i="51"/>
  <c r="U236" i="51"/>
  <c r="U240" i="51"/>
  <c r="U241" i="51"/>
  <c r="U242" i="51"/>
  <c r="U269" i="51"/>
  <c r="S269" i="51"/>
  <c r="U257" i="51"/>
  <c r="S240" i="51"/>
  <c r="S238" i="51"/>
  <c r="S241" i="51"/>
  <c r="S243" i="51"/>
  <c r="S257" i="51"/>
  <c r="S239" i="51"/>
  <c r="S236" i="51"/>
  <c r="S237" i="51"/>
  <c r="V106" i="50"/>
  <c r="V105" i="50"/>
  <c r="V103" i="50"/>
  <c r="V90" i="50"/>
  <c r="V89" i="50"/>
  <c r="T88" i="50"/>
  <c r="R36" i="50"/>
  <c r="N36" i="50"/>
  <c r="J36" i="50"/>
  <c r="P36" i="50"/>
  <c r="L36" i="50"/>
  <c r="H36" i="50"/>
  <c r="R35" i="50"/>
  <c r="P35" i="50"/>
  <c r="N35" i="50"/>
  <c r="L35" i="50"/>
  <c r="L33" i="50"/>
  <c r="J33" i="50"/>
  <c r="P44" i="50"/>
  <c r="L44" i="50"/>
  <c r="F44" i="50"/>
  <c r="D44" i="50"/>
  <c r="U245" i="51" l="1"/>
  <c r="S245" i="51"/>
  <c r="U281" i="50"/>
  <c r="T281" i="50"/>
  <c r="T218" i="50" s="1"/>
  <c r="S281" i="50"/>
  <c r="R281" i="50"/>
  <c r="T269" i="50"/>
  <c r="U264" i="50" s="1"/>
  <c r="R269" i="50"/>
  <c r="S267" i="50" s="1"/>
  <c r="T257" i="50"/>
  <c r="U254" i="50" s="1"/>
  <c r="R257" i="50"/>
  <c r="S254" i="50" s="1"/>
  <c r="S250" i="50"/>
  <c r="S248" i="50"/>
  <c r="T243" i="50"/>
  <c r="R243" i="50"/>
  <c r="T242" i="50"/>
  <c r="R242" i="50"/>
  <c r="T241" i="50"/>
  <c r="R241" i="50"/>
  <c r="T240" i="50"/>
  <c r="R240" i="50"/>
  <c r="T239" i="50"/>
  <c r="R239" i="50"/>
  <c r="T238" i="50"/>
  <c r="R238" i="50"/>
  <c r="T237" i="50"/>
  <c r="R237" i="50"/>
  <c r="T236" i="50"/>
  <c r="R236" i="50"/>
  <c r="R245" i="50" s="1"/>
  <c r="T222" i="50"/>
  <c r="T220" i="50"/>
  <c r="S218" i="50"/>
  <c r="V182" i="50"/>
  <c r="V168" i="50"/>
  <c r="V167" i="50"/>
  <c r="V150" i="50"/>
  <c r="B137" i="50"/>
  <c r="B197" i="50" s="1"/>
  <c r="B297" i="50" s="1"/>
  <c r="T124" i="50"/>
  <c r="T122" i="50"/>
  <c r="T114" i="50"/>
  <c r="A114" i="50"/>
  <c r="A115" i="50" s="1"/>
  <c r="A116" i="50" s="1"/>
  <c r="A117" i="50" s="1"/>
  <c r="A118" i="50" s="1"/>
  <c r="A119" i="50" s="1"/>
  <c r="A120" i="50" s="1"/>
  <c r="A113" i="50"/>
  <c r="V102" i="50"/>
  <c r="A102" i="50"/>
  <c r="A103" i="50" s="1"/>
  <c r="T97" i="50"/>
  <c r="T96" i="50"/>
  <c r="V95" i="50"/>
  <c r="V99" i="50" s="1"/>
  <c r="T95" i="50"/>
  <c r="N86" i="50"/>
  <c r="V81" i="50"/>
  <c r="V80" i="50"/>
  <c r="L80" i="50"/>
  <c r="T70" i="50"/>
  <c r="N70" i="50"/>
  <c r="N83" i="50" s="1"/>
  <c r="V68" i="50"/>
  <c r="R70" i="50"/>
  <c r="T212" i="50"/>
  <c r="L67" i="50"/>
  <c r="L70" i="50" s="1"/>
  <c r="R57" i="50"/>
  <c r="R56" i="50"/>
  <c r="V50" i="50"/>
  <c r="P43" i="50"/>
  <c r="L43" i="50"/>
  <c r="F43" i="50"/>
  <c r="D43" i="50"/>
  <c r="F36" i="50"/>
  <c r="D36" i="50"/>
  <c r="V36" i="50" s="1"/>
  <c r="J35" i="50"/>
  <c r="H35" i="50"/>
  <c r="F35" i="50"/>
  <c r="D35" i="50"/>
  <c r="V34" i="50"/>
  <c r="S180" i="50" s="1"/>
  <c r="R33" i="50"/>
  <c r="P33" i="50"/>
  <c r="N33" i="50"/>
  <c r="H33" i="50"/>
  <c r="F33" i="50"/>
  <c r="D33" i="50"/>
  <c r="R32" i="50"/>
  <c r="P32" i="50"/>
  <c r="N32" i="50"/>
  <c r="L32" i="50"/>
  <c r="J32" i="50"/>
  <c r="H32" i="50"/>
  <c r="F32" i="50"/>
  <c r="D32" i="50"/>
  <c r="T99" i="50" l="1"/>
  <c r="V141" i="50"/>
  <c r="V35" i="50"/>
  <c r="L83" i="50"/>
  <c r="T133" i="50"/>
  <c r="T134" i="50" s="1"/>
  <c r="V169" i="50"/>
  <c r="V51" i="50"/>
  <c r="V43" i="50"/>
  <c r="T204" i="50" s="1"/>
  <c r="T205" i="50" s="1"/>
  <c r="U261" i="50"/>
  <c r="U262" i="50"/>
  <c r="U266" i="50"/>
  <c r="U265" i="50"/>
  <c r="T217" i="50"/>
  <c r="U263" i="50"/>
  <c r="U267" i="50"/>
  <c r="U260" i="50"/>
  <c r="S262" i="50"/>
  <c r="S266" i="50"/>
  <c r="S260" i="50"/>
  <c r="S264" i="50"/>
  <c r="S217" i="50"/>
  <c r="S261" i="50"/>
  <c r="S263" i="50"/>
  <c r="S265" i="50"/>
  <c r="U248" i="50"/>
  <c r="U249" i="50"/>
  <c r="U252" i="50"/>
  <c r="U251" i="50"/>
  <c r="T245" i="50"/>
  <c r="U240" i="50" s="1"/>
  <c r="U253" i="50"/>
  <c r="U255" i="50"/>
  <c r="T283" i="50"/>
  <c r="U250" i="50"/>
  <c r="S252" i="50"/>
  <c r="S249" i="50"/>
  <c r="S251" i="50"/>
  <c r="S253" i="50"/>
  <c r="S255" i="50"/>
  <c r="R283" i="50"/>
  <c r="V190" i="50"/>
  <c r="T206" i="50"/>
  <c r="V192" i="50"/>
  <c r="V188" i="50"/>
  <c r="V120" i="50"/>
  <c r="V133" i="50" s="1"/>
  <c r="V134" i="50" s="1"/>
  <c r="S243" i="50"/>
  <c r="S242" i="50"/>
  <c r="S241" i="50"/>
  <c r="S240" i="50"/>
  <c r="S239" i="50"/>
  <c r="S238" i="50"/>
  <c r="S237" i="50"/>
  <c r="S236" i="50"/>
  <c r="V52" i="50"/>
  <c r="V67" i="50"/>
  <c r="V70" i="50" s="1"/>
  <c r="P70" i="50"/>
  <c r="V106" i="49"/>
  <c r="V105" i="49"/>
  <c r="V103" i="49"/>
  <c r="V90" i="49"/>
  <c r="V89" i="49"/>
  <c r="T88" i="49"/>
  <c r="P67" i="49"/>
  <c r="R67" i="49"/>
  <c r="S257" i="50" l="1"/>
  <c r="U269" i="50"/>
  <c r="S269" i="50"/>
  <c r="U257" i="50"/>
  <c r="U237" i="50"/>
  <c r="U238" i="50"/>
  <c r="U241" i="50"/>
  <c r="U236" i="50"/>
  <c r="U242" i="50"/>
  <c r="U239" i="50"/>
  <c r="U243" i="50"/>
  <c r="V175" i="50"/>
  <c r="V83" i="50"/>
  <c r="V176" i="50" s="1"/>
  <c r="S245" i="50"/>
  <c r="P44" i="49"/>
  <c r="L44" i="49"/>
  <c r="F44" i="49"/>
  <c r="D44" i="49"/>
  <c r="U245" i="50" l="1"/>
  <c r="U281" i="49"/>
  <c r="T281" i="49"/>
  <c r="T218" i="49" s="1"/>
  <c r="S281" i="49"/>
  <c r="R281" i="49"/>
  <c r="T269" i="49"/>
  <c r="U266" i="49" s="1"/>
  <c r="R269" i="49"/>
  <c r="S267" i="49" s="1"/>
  <c r="U267" i="49"/>
  <c r="U265" i="49"/>
  <c r="U264" i="49"/>
  <c r="U263" i="49"/>
  <c r="U262" i="49"/>
  <c r="S262" i="49"/>
  <c r="U261" i="49"/>
  <c r="U260" i="49"/>
  <c r="S260" i="49"/>
  <c r="T257" i="49"/>
  <c r="R257" i="49"/>
  <c r="S255" i="49" s="1"/>
  <c r="S250" i="49"/>
  <c r="S248" i="49"/>
  <c r="T243" i="49"/>
  <c r="R243" i="49"/>
  <c r="T242" i="49"/>
  <c r="R242" i="49"/>
  <c r="T241" i="49"/>
  <c r="R241" i="49"/>
  <c r="T240" i="49"/>
  <c r="R240" i="49"/>
  <c r="T239" i="49"/>
  <c r="R239" i="49"/>
  <c r="T238" i="49"/>
  <c r="R238" i="49"/>
  <c r="T237" i="49"/>
  <c r="R237" i="49"/>
  <c r="T236" i="49"/>
  <c r="R236" i="49"/>
  <c r="T222" i="49"/>
  <c r="T220" i="49"/>
  <c r="S218" i="49"/>
  <c r="T217" i="49"/>
  <c r="S217" i="49"/>
  <c r="V182" i="49"/>
  <c r="V168" i="49"/>
  <c r="V167" i="49"/>
  <c r="V150" i="49"/>
  <c r="B137" i="49"/>
  <c r="B197" i="49" s="1"/>
  <c r="B297" i="49" s="1"/>
  <c r="T122" i="49"/>
  <c r="T114" i="49"/>
  <c r="A113" i="49"/>
  <c r="A114" i="49" s="1"/>
  <c r="A115" i="49" s="1"/>
  <c r="A116" i="49" s="1"/>
  <c r="A117" i="49" s="1"/>
  <c r="A118" i="49" s="1"/>
  <c r="A119" i="49" s="1"/>
  <c r="A120" i="49" s="1"/>
  <c r="V102" i="49"/>
  <c r="A102" i="49"/>
  <c r="A103" i="49" s="1"/>
  <c r="T97" i="49"/>
  <c r="T96" i="49"/>
  <c r="T95" i="49"/>
  <c r="V95" i="49"/>
  <c r="V99" i="49" s="1"/>
  <c r="N86" i="49"/>
  <c r="V81" i="49"/>
  <c r="V80" i="49"/>
  <c r="L80" i="49"/>
  <c r="T70" i="49"/>
  <c r="N70" i="49"/>
  <c r="N83" i="49" s="1"/>
  <c r="V68" i="49"/>
  <c r="R70" i="49"/>
  <c r="T212" i="49"/>
  <c r="L67" i="49"/>
  <c r="L70" i="49" s="1"/>
  <c r="R57" i="49"/>
  <c r="R56" i="49"/>
  <c r="V50" i="49"/>
  <c r="P43" i="49"/>
  <c r="L43" i="49"/>
  <c r="F43" i="49"/>
  <c r="D43" i="49"/>
  <c r="J36" i="49"/>
  <c r="H36" i="49"/>
  <c r="F36" i="49"/>
  <c r="D36" i="49"/>
  <c r="R35" i="49"/>
  <c r="P35" i="49"/>
  <c r="N35" i="49"/>
  <c r="L35" i="49"/>
  <c r="J35" i="49"/>
  <c r="H35" i="49"/>
  <c r="F35" i="49"/>
  <c r="D35" i="49"/>
  <c r="V34" i="49"/>
  <c r="R33" i="49"/>
  <c r="P33" i="49"/>
  <c r="N33" i="49"/>
  <c r="L33" i="49"/>
  <c r="J33" i="49"/>
  <c r="H33" i="49"/>
  <c r="F33" i="49"/>
  <c r="D33" i="49"/>
  <c r="R32" i="49"/>
  <c r="P32" i="49"/>
  <c r="N32" i="49"/>
  <c r="L32" i="49"/>
  <c r="J32" i="49"/>
  <c r="H32" i="49"/>
  <c r="F32" i="49"/>
  <c r="D32" i="49"/>
  <c r="S252" i="49" l="1"/>
  <c r="S266" i="49"/>
  <c r="S264" i="49"/>
  <c r="L83" i="49"/>
  <c r="S254" i="49"/>
  <c r="U269" i="49"/>
  <c r="V35" i="49"/>
  <c r="V43" i="49" s="1"/>
  <c r="T204" i="49" s="1"/>
  <c r="T205" i="49" s="1"/>
  <c r="S261" i="49"/>
  <c r="S269" i="49" s="1"/>
  <c r="S263" i="49"/>
  <c r="S265" i="49"/>
  <c r="V51" i="49"/>
  <c r="V36" i="49"/>
  <c r="V141" i="49"/>
  <c r="V52" i="49"/>
  <c r="T99" i="49"/>
  <c r="V169" i="49"/>
  <c r="S249" i="49"/>
  <c r="S251" i="49"/>
  <c r="S253" i="49"/>
  <c r="T283" i="49"/>
  <c r="T245" i="49"/>
  <c r="U243" i="49" s="1"/>
  <c r="U248" i="49"/>
  <c r="U249" i="49"/>
  <c r="U250" i="49"/>
  <c r="U251" i="49"/>
  <c r="U252" i="49"/>
  <c r="U253" i="49"/>
  <c r="U254" i="49"/>
  <c r="U255" i="49"/>
  <c r="R245" i="49"/>
  <c r="S243" i="49" s="1"/>
  <c r="R283" i="49"/>
  <c r="U237" i="49"/>
  <c r="U236" i="49"/>
  <c r="V190" i="49"/>
  <c r="V120" i="49"/>
  <c r="V133" i="49" s="1"/>
  <c r="V134" i="49" s="1"/>
  <c r="T206" i="49"/>
  <c r="V192" i="49"/>
  <c r="V188" i="49"/>
  <c r="V67" i="49"/>
  <c r="V70" i="49" s="1"/>
  <c r="P70" i="49"/>
  <c r="S180" i="49"/>
  <c r="T124" i="49"/>
  <c r="T133" i="49" s="1"/>
  <c r="S237" i="49" l="1"/>
  <c r="S257" i="49"/>
  <c r="S241" i="49"/>
  <c r="U238" i="49"/>
  <c r="T134" i="49"/>
  <c r="S239" i="49"/>
  <c r="U239" i="49"/>
  <c r="U240" i="49"/>
  <c r="U245" i="49" s="1"/>
  <c r="U241" i="49"/>
  <c r="U242" i="49"/>
  <c r="S236" i="49"/>
  <c r="S238" i="49"/>
  <c r="S240" i="49"/>
  <c r="S242" i="49"/>
  <c r="U257" i="49"/>
  <c r="V83" i="49"/>
  <c r="V176" i="49" s="1"/>
  <c r="V175" i="49"/>
  <c r="V106" i="48"/>
  <c r="V105" i="48"/>
  <c r="V103" i="48"/>
  <c r="V90" i="48"/>
  <c r="V89" i="48"/>
  <c r="S182" i="48"/>
  <c r="T88" i="48"/>
  <c r="R67" i="48"/>
  <c r="P67" i="48"/>
  <c r="S245" i="49" l="1"/>
  <c r="P44" i="48"/>
  <c r="L44" i="48"/>
  <c r="F44" i="48"/>
  <c r="D44" i="48"/>
  <c r="U281" i="48" l="1"/>
  <c r="T281" i="48"/>
  <c r="T218" i="48" s="1"/>
  <c r="S281" i="48"/>
  <c r="R281" i="48"/>
  <c r="S218" i="48" s="1"/>
  <c r="T269" i="48"/>
  <c r="U267" i="48" s="1"/>
  <c r="R269" i="48"/>
  <c r="S267" i="48" s="1"/>
  <c r="U266" i="48"/>
  <c r="S266" i="48"/>
  <c r="U264" i="48"/>
  <c r="S263" i="48"/>
  <c r="U262" i="48"/>
  <c r="S262" i="48"/>
  <c r="U260" i="48"/>
  <c r="T257" i="48"/>
  <c r="U254" i="48" s="1"/>
  <c r="R257" i="48"/>
  <c r="S255" i="48" s="1"/>
  <c r="U255" i="48"/>
  <c r="S249" i="48"/>
  <c r="T243" i="48"/>
  <c r="R243" i="48"/>
  <c r="T242" i="48"/>
  <c r="R242" i="48"/>
  <c r="T241" i="48"/>
  <c r="R241" i="48"/>
  <c r="T240" i="48"/>
  <c r="R240" i="48"/>
  <c r="T239" i="48"/>
  <c r="R239" i="48"/>
  <c r="T238" i="48"/>
  <c r="R238" i="48"/>
  <c r="T237" i="48"/>
  <c r="R237" i="48"/>
  <c r="T236" i="48"/>
  <c r="R236" i="48"/>
  <c r="T222" i="48"/>
  <c r="T220" i="48"/>
  <c r="T217" i="48"/>
  <c r="V182" i="48"/>
  <c r="V168" i="48"/>
  <c r="V167" i="48"/>
  <c r="V150" i="48"/>
  <c r="B137" i="48"/>
  <c r="B197" i="48" s="1"/>
  <c r="B297" i="48" s="1"/>
  <c r="T124" i="48"/>
  <c r="T122" i="48"/>
  <c r="T114" i="48"/>
  <c r="A113" i="48"/>
  <c r="A114" i="48" s="1"/>
  <c r="A115" i="48" s="1"/>
  <c r="A116" i="48" s="1"/>
  <c r="A117" i="48" s="1"/>
  <c r="A118" i="48" s="1"/>
  <c r="A119" i="48" s="1"/>
  <c r="A120" i="48" s="1"/>
  <c r="V102" i="48"/>
  <c r="A102" i="48"/>
  <c r="A103" i="48" s="1"/>
  <c r="T97" i="48"/>
  <c r="T96" i="48"/>
  <c r="T95" i="48"/>
  <c r="V95" i="48"/>
  <c r="V99" i="48" s="1"/>
  <c r="N86" i="48"/>
  <c r="V81" i="48"/>
  <c r="V80" i="48"/>
  <c r="L80" i="48"/>
  <c r="T70" i="48"/>
  <c r="N70" i="48"/>
  <c r="N83" i="48" s="1"/>
  <c r="V68" i="48"/>
  <c r="R70" i="48"/>
  <c r="T212" i="48"/>
  <c r="L67" i="48"/>
  <c r="L70" i="48" s="1"/>
  <c r="L83" i="48" s="1"/>
  <c r="R57" i="48"/>
  <c r="R56" i="48"/>
  <c r="V50" i="48"/>
  <c r="P43" i="48"/>
  <c r="L43" i="48"/>
  <c r="F43" i="48"/>
  <c r="D43" i="48"/>
  <c r="J36" i="48"/>
  <c r="H36" i="48"/>
  <c r="F36" i="48"/>
  <c r="D36" i="48"/>
  <c r="R35" i="48"/>
  <c r="P35" i="48"/>
  <c r="N35" i="48"/>
  <c r="L35" i="48"/>
  <c r="J35" i="48"/>
  <c r="H35" i="48"/>
  <c r="F35" i="48"/>
  <c r="D35" i="48"/>
  <c r="V34" i="48"/>
  <c r="V52" i="48" s="1"/>
  <c r="R33" i="48"/>
  <c r="P33" i="48"/>
  <c r="N33" i="48"/>
  <c r="L33" i="48"/>
  <c r="J33" i="48"/>
  <c r="H33" i="48"/>
  <c r="F33" i="48"/>
  <c r="D33" i="48"/>
  <c r="R32" i="48"/>
  <c r="P32" i="48"/>
  <c r="N32" i="48"/>
  <c r="L32" i="48"/>
  <c r="J32" i="48"/>
  <c r="H32" i="48"/>
  <c r="F32" i="48"/>
  <c r="D32" i="48"/>
  <c r="V35" i="48" l="1"/>
  <c r="S250" i="48"/>
  <c r="S251" i="48"/>
  <c r="S248" i="48"/>
  <c r="S257" i="48" s="1"/>
  <c r="S252" i="48"/>
  <c r="U248" i="48"/>
  <c r="U249" i="48"/>
  <c r="U250" i="48"/>
  <c r="U251" i="48"/>
  <c r="U252" i="48"/>
  <c r="S253" i="48"/>
  <c r="S217" i="48"/>
  <c r="S260" i="48"/>
  <c r="S261" i="48"/>
  <c r="S264" i="48"/>
  <c r="S265" i="48"/>
  <c r="U253" i="48"/>
  <c r="R245" i="48"/>
  <c r="S241" i="48" s="1"/>
  <c r="S254" i="48"/>
  <c r="T99" i="48"/>
  <c r="R283" i="48"/>
  <c r="T245" i="48"/>
  <c r="U240" i="48" s="1"/>
  <c r="U261" i="48"/>
  <c r="U263" i="48"/>
  <c r="U265" i="48"/>
  <c r="T283" i="48"/>
  <c r="T133" i="48"/>
  <c r="T134" i="48" s="1"/>
  <c r="V169" i="48"/>
  <c r="V36" i="48"/>
  <c r="V43" i="48"/>
  <c r="T204" i="48" s="1"/>
  <c r="T205" i="48" s="1"/>
  <c r="V190" i="48"/>
  <c r="T206" i="48"/>
  <c r="V192" i="48"/>
  <c r="V188" i="48"/>
  <c r="V120" i="48"/>
  <c r="V133" i="48" s="1"/>
  <c r="V134" i="48" s="1"/>
  <c r="S243" i="48"/>
  <c r="U241" i="48"/>
  <c r="U237" i="48"/>
  <c r="V51" i="48"/>
  <c r="V141" i="48"/>
  <c r="S180" i="48"/>
  <c r="V67" i="48"/>
  <c r="V70" i="48" s="1"/>
  <c r="P70" i="48"/>
  <c r="S238" i="48" l="1"/>
  <c r="U257" i="48"/>
  <c r="U242" i="48"/>
  <c r="U239" i="48"/>
  <c r="S242" i="48"/>
  <c r="S236" i="48"/>
  <c r="S237" i="48"/>
  <c r="U243" i="48"/>
  <c r="U236" i="48"/>
  <c r="U238" i="48"/>
  <c r="U269" i="48"/>
  <c r="S269" i="48"/>
  <c r="S239" i="48"/>
  <c r="S240" i="48"/>
  <c r="V175" i="48"/>
  <c r="V83" i="48"/>
  <c r="V176" i="48" s="1"/>
  <c r="U245" i="48" l="1"/>
  <c r="S245" i="48"/>
  <c r="T88" i="47"/>
  <c r="P67" i="47"/>
  <c r="V170" i="47" l="1"/>
  <c r="V106" i="47" l="1"/>
  <c r="V105" i="47"/>
  <c r="V103" i="47"/>
  <c r="V90" i="47"/>
  <c r="V89" i="47"/>
  <c r="S182" i="47"/>
  <c r="R67" i="47"/>
  <c r="P44" i="47"/>
  <c r="L44" i="47"/>
  <c r="F44" i="47"/>
  <c r="D44" i="47"/>
  <c r="U281" i="47" l="1"/>
  <c r="T281" i="47"/>
  <c r="T218" i="47" s="1"/>
  <c r="S281" i="47"/>
  <c r="R281" i="47"/>
  <c r="S218" i="47" s="1"/>
  <c r="T269" i="47"/>
  <c r="U264" i="47" s="1"/>
  <c r="R269" i="47"/>
  <c r="S267" i="47" s="1"/>
  <c r="T257" i="47"/>
  <c r="R257" i="47"/>
  <c r="S255" i="47" s="1"/>
  <c r="T243" i="47"/>
  <c r="R243" i="47"/>
  <c r="T242" i="47"/>
  <c r="R242" i="47"/>
  <c r="T241" i="47"/>
  <c r="R241" i="47"/>
  <c r="T240" i="47"/>
  <c r="R240" i="47"/>
  <c r="T239" i="47"/>
  <c r="R239" i="47"/>
  <c r="T238" i="47"/>
  <c r="R238" i="47"/>
  <c r="T237" i="47"/>
  <c r="R237" i="47"/>
  <c r="T236" i="47"/>
  <c r="R236" i="47"/>
  <c r="T222" i="47"/>
  <c r="T220" i="47"/>
  <c r="V182" i="47"/>
  <c r="V168" i="47"/>
  <c r="V167" i="47"/>
  <c r="V150" i="47"/>
  <c r="B137" i="47"/>
  <c r="B197" i="47" s="1"/>
  <c r="B297" i="47" s="1"/>
  <c r="T124" i="47"/>
  <c r="T122" i="47"/>
  <c r="T114" i="47"/>
  <c r="A113" i="47"/>
  <c r="A114" i="47" s="1"/>
  <c r="A115" i="47" s="1"/>
  <c r="A116" i="47" s="1"/>
  <c r="A117" i="47" s="1"/>
  <c r="A118" i="47" s="1"/>
  <c r="A119" i="47" s="1"/>
  <c r="A120" i="47" s="1"/>
  <c r="V102" i="47"/>
  <c r="A102" i="47"/>
  <c r="A103" i="47" s="1"/>
  <c r="T97" i="47"/>
  <c r="T96" i="47"/>
  <c r="V95" i="47"/>
  <c r="V99" i="47" s="1"/>
  <c r="V120" i="47" s="1"/>
  <c r="V133" i="47" s="1"/>
  <c r="T95" i="47"/>
  <c r="N86" i="47"/>
  <c r="V81" i="47"/>
  <c r="V80" i="47"/>
  <c r="L80" i="47"/>
  <c r="T70" i="47"/>
  <c r="R70" i="47"/>
  <c r="N70" i="47"/>
  <c r="N83" i="47" s="1"/>
  <c r="V68" i="47"/>
  <c r="T212" i="47"/>
  <c r="L67" i="47"/>
  <c r="L70" i="47" s="1"/>
  <c r="R57" i="47"/>
  <c r="R56" i="47"/>
  <c r="V50" i="47"/>
  <c r="P43" i="47"/>
  <c r="L43" i="47"/>
  <c r="F43" i="47"/>
  <c r="D43" i="47"/>
  <c r="J36" i="47"/>
  <c r="H36" i="47"/>
  <c r="F36" i="47"/>
  <c r="D36" i="47"/>
  <c r="R35" i="47"/>
  <c r="P35" i="47"/>
  <c r="N35" i="47"/>
  <c r="L35" i="47"/>
  <c r="J35" i="47"/>
  <c r="H35" i="47"/>
  <c r="F35" i="47"/>
  <c r="D35" i="47"/>
  <c r="V34" i="47"/>
  <c r="S180" i="47" s="1"/>
  <c r="R33" i="47"/>
  <c r="P33" i="47"/>
  <c r="N33" i="47"/>
  <c r="L33" i="47"/>
  <c r="J33" i="47"/>
  <c r="H33" i="47"/>
  <c r="F33" i="47"/>
  <c r="D33" i="47"/>
  <c r="R32" i="47"/>
  <c r="P32" i="47"/>
  <c r="N32" i="47"/>
  <c r="L32" i="47"/>
  <c r="J32" i="47"/>
  <c r="H32" i="47"/>
  <c r="F32" i="47"/>
  <c r="D32" i="47"/>
  <c r="L83" i="47" l="1"/>
  <c r="V35" i="47"/>
  <c r="V43" i="47" s="1"/>
  <c r="T204" i="47" s="1"/>
  <c r="T205" i="47" s="1"/>
  <c r="T99" i="47"/>
  <c r="V51" i="47"/>
  <c r="V36" i="47"/>
  <c r="T133" i="47"/>
  <c r="V169" i="47"/>
  <c r="T283" i="47"/>
  <c r="U253" i="47"/>
  <c r="U249" i="47"/>
  <c r="U251" i="47"/>
  <c r="U255" i="47"/>
  <c r="U248" i="47"/>
  <c r="U252" i="47"/>
  <c r="U250" i="47"/>
  <c r="U254" i="47"/>
  <c r="S248" i="47"/>
  <c r="S250" i="47"/>
  <c r="S254" i="47"/>
  <c r="S252" i="47"/>
  <c r="S249" i="47"/>
  <c r="S251" i="47"/>
  <c r="S253" i="47"/>
  <c r="U261" i="47"/>
  <c r="U265" i="47"/>
  <c r="T245" i="47"/>
  <c r="U241" i="47" s="1"/>
  <c r="U262" i="47"/>
  <c r="U266" i="47"/>
  <c r="U263" i="47"/>
  <c r="U267" i="47"/>
  <c r="T217" i="47"/>
  <c r="U260" i="47"/>
  <c r="S260" i="47"/>
  <c r="S264" i="47"/>
  <c r="S262" i="47"/>
  <c r="R245" i="47"/>
  <c r="S241" i="47" s="1"/>
  <c r="S266" i="47"/>
  <c r="S217" i="47"/>
  <c r="R283" i="47"/>
  <c r="S261" i="47"/>
  <c r="S263" i="47"/>
  <c r="S265" i="47"/>
  <c r="V190" i="47"/>
  <c r="T206" i="47"/>
  <c r="V192" i="47"/>
  <c r="V188" i="47"/>
  <c r="V134" i="47"/>
  <c r="V52" i="47"/>
  <c r="V141" i="47"/>
  <c r="V67" i="47"/>
  <c r="V70" i="47" s="1"/>
  <c r="P70" i="47"/>
  <c r="T88" i="46"/>
  <c r="P67" i="46"/>
  <c r="S269" i="47" l="1"/>
  <c r="T134" i="47"/>
  <c r="U257" i="47"/>
  <c r="S257" i="47"/>
  <c r="U240" i="47"/>
  <c r="U243" i="47"/>
  <c r="U236" i="47"/>
  <c r="U238" i="47"/>
  <c r="U239" i="47"/>
  <c r="U242" i="47"/>
  <c r="U269" i="47"/>
  <c r="U237" i="47"/>
  <c r="S243" i="47"/>
  <c r="S239" i="47"/>
  <c r="S238" i="47"/>
  <c r="S242" i="47"/>
  <c r="S240" i="47"/>
  <c r="S236" i="47"/>
  <c r="S237" i="47"/>
  <c r="V175" i="47"/>
  <c r="V83" i="47"/>
  <c r="V176" i="47" s="1"/>
  <c r="V106" i="46"/>
  <c r="V105" i="46"/>
  <c r="V103" i="46"/>
  <c r="V90" i="46"/>
  <c r="V89" i="46"/>
  <c r="P44" i="46"/>
  <c r="L44" i="46"/>
  <c r="F44" i="46"/>
  <c r="D44" i="46"/>
  <c r="U245" i="47" l="1"/>
  <c r="S245" i="47"/>
  <c r="U281" i="46"/>
  <c r="T281" i="46"/>
  <c r="T218" i="46" s="1"/>
  <c r="R281" i="46"/>
  <c r="S281" i="46" s="1"/>
  <c r="T269" i="46"/>
  <c r="U267" i="46" s="1"/>
  <c r="R269" i="46"/>
  <c r="S217" i="46" s="1"/>
  <c r="T257" i="46"/>
  <c r="U255" i="46" s="1"/>
  <c r="R257" i="46"/>
  <c r="S255" i="46" s="1"/>
  <c r="S248" i="46"/>
  <c r="T243" i="46"/>
  <c r="R243" i="46"/>
  <c r="T242" i="46"/>
  <c r="R242" i="46"/>
  <c r="T241" i="46"/>
  <c r="R241" i="46"/>
  <c r="T240" i="46"/>
  <c r="R240" i="46"/>
  <c r="T239" i="46"/>
  <c r="R239" i="46"/>
  <c r="T238" i="46"/>
  <c r="R238" i="46"/>
  <c r="T237" i="46"/>
  <c r="R237" i="46"/>
  <c r="T236" i="46"/>
  <c r="R236" i="46"/>
  <c r="T222" i="46"/>
  <c r="T220" i="46"/>
  <c r="S218" i="46"/>
  <c r="T217" i="46"/>
  <c r="V182" i="46"/>
  <c r="V168" i="46"/>
  <c r="V167" i="46"/>
  <c r="V150" i="46"/>
  <c r="B137" i="46"/>
  <c r="B197" i="46" s="1"/>
  <c r="B297" i="46" s="1"/>
  <c r="T124" i="46"/>
  <c r="T122" i="46"/>
  <c r="T114" i="46"/>
  <c r="A113" i="46"/>
  <c r="A114" i="46" s="1"/>
  <c r="A115" i="46" s="1"/>
  <c r="A116" i="46" s="1"/>
  <c r="A117" i="46" s="1"/>
  <c r="A118" i="46" s="1"/>
  <c r="A119" i="46" s="1"/>
  <c r="A120" i="46" s="1"/>
  <c r="V102" i="46"/>
  <c r="A102" i="46"/>
  <c r="A103" i="46" s="1"/>
  <c r="T97" i="46"/>
  <c r="T96" i="46"/>
  <c r="V95" i="46"/>
  <c r="V99" i="46" s="1"/>
  <c r="T95" i="46"/>
  <c r="N86" i="46"/>
  <c r="V81" i="46"/>
  <c r="V80" i="46"/>
  <c r="L80" i="46"/>
  <c r="T70" i="46"/>
  <c r="R70" i="46"/>
  <c r="N70" i="46"/>
  <c r="N83" i="46" s="1"/>
  <c r="V68" i="46"/>
  <c r="L67" i="46"/>
  <c r="L70" i="46" s="1"/>
  <c r="R57" i="46"/>
  <c r="R56" i="46"/>
  <c r="V50" i="46"/>
  <c r="P43" i="46"/>
  <c r="L43" i="46"/>
  <c r="F43" i="46"/>
  <c r="D43" i="46"/>
  <c r="J36" i="46"/>
  <c r="H36" i="46"/>
  <c r="F36" i="46"/>
  <c r="D36" i="46"/>
  <c r="R35" i="46"/>
  <c r="P35" i="46"/>
  <c r="N35" i="46"/>
  <c r="L35" i="46"/>
  <c r="J35" i="46"/>
  <c r="H35" i="46"/>
  <c r="F35" i="46"/>
  <c r="D35" i="46"/>
  <c r="V34" i="46"/>
  <c r="V52" i="46" s="1"/>
  <c r="R33" i="46"/>
  <c r="P33" i="46"/>
  <c r="N33" i="46"/>
  <c r="L33" i="46"/>
  <c r="J33" i="46"/>
  <c r="H33" i="46"/>
  <c r="F33" i="46"/>
  <c r="D33" i="46"/>
  <c r="R32" i="46"/>
  <c r="P32" i="46"/>
  <c r="N32" i="46"/>
  <c r="L32" i="46"/>
  <c r="J32" i="46"/>
  <c r="H32" i="46"/>
  <c r="F32" i="46"/>
  <c r="D32" i="46"/>
  <c r="S249" i="46" l="1"/>
  <c r="S250" i="46"/>
  <c r="L83" i="46"/>
  <c r="T133" i="46"/>
  <c r="V51" i="46"/>
  <c r="V36" i="46"/>
  <c r="T99" i="46"/>
  <c r="S251" i="46"/>
  <c r="V169" i="46"/>
  <c r="V35" i="46"/>
  <c r="V43" i="46" s="1"/>
  <c r="T204" i="46" s="1"/>
  <c r="T205" i="46" s="1"/>
  <c r="S260" i="46"/>
  <c r="S262" i="46"/>
  <c r="S264" i="46"/>
  <c r="S266" i="46"/>
  <c r="S261" i="46"/>
  <c r="S263" i="46"/>
  <c r="S265" i="46"/>
  <c r="S267" i="46"/>
  <c r="S252" i="46"/>
  <c r="S254" i="46"/>
  <c r="S253" i="46"/>
  <c r="R283" i="46"/>
  <c r="T206" i="46"/>
  <c r="V192" i="46"/>
  <c r="V188" i="46"/>
  <c r="V190" i="46"/>
  <c r="V120" i="46"/>
  <c r="P70" i="46"/>
  <c r="V67" i="46"/>
  <c r="V70" i="46" s="1"/>
  <c r="T212" i="46"/>
  <c r="S180" i="46"/>
  <c r="V141" i="46"/>
  <c r="R245" i="46"/>
  <c r="S236" i="46" s="1"/>
  <c r="T245" i="46"/>
  <c r="U236" i="46" s="1"/>
  <c r="T283" i="46"/>
  <c r="U248" i="46"/>
  <c r="U249" i="46"/>
  <c r="U250" i="46"/>
  <c r="U251" i="46"/>
  <c r="U252" i="46"/>
  <c r="U253" i="46"/>
  <c r="U254" i="46"/>
  <c r="U260" i="46"/>
  <c r="U261" i="46"/>
  <c r="U262" i="46"/>
  <c r="U263" i="46"/>
  <c r="U264" i="46"/>
  <c r="U265" i="46"/>
  <c r="U266" i="46"/>
  <c r="T134" i="46" l="1"/>
  <c r="S257" i="46"/>
  <c r="V133" i="46"/>
  <c r="V134" i="46" s="1"/>
  <c r="S269" i="46"/>
  <c r="S241" i="46"/>
  <c r="S243" i="46"/>
  <c r="S239" i="46"/>
  <c r="S237" i="46"/>
  <c r="U269" i="46"/>
  <c r="U243" i="46"/>
  <c r="U241" i="46"/>
  <c r="U239" i="46"/>
  <c r="U237" i="46"/>
  <c r="U257" i="46"/>
  <c r="U242" i="46"/>
  <c r="U240" i="46"/>
  <c r="U238" i="46"/>
  <c r="S242" i="46"/>
  <c r="S240" i="46"/>
  <c r="S238" i="46"/>
  <c r="V175" i="46"/>
  <c r="V83" i="46"/>
  <c r="V176" i="46" s="1"/>
  <c r="V103" i="45"/>
  <c r="V106" i="45"/>
  <c r="V105" i="45"/>
  <c r="V90" i="45"/>
  <c r="V89" i="45"/>
  <c r="T88" i="45"/>
  <c r="P67" i="45"/>
  <c r="P44" i="45"/>
  <c r="L44" i="45"/>
  <c r="F44" i="45"/>
  <c r="D44" i="45"/>
  <c r="U245" i="46" l="1"/>
  <c r="S245" i="46"/>
  <c r="D43" i="36"/>
  <c r="D36" i="36"/>
  <c r="D35" i="36"/>
  <c r="D33" i="36"/>
  <c r="D32" i="36"/>
  <c r="U281" i="45" l="1"/>
  <c r="T281" i="45"/>
  <c r="R281" i="45"/>
  <c r="S272" i="45" s="1"/>
  <c r="S281" i="45" s="1"/>
  <c r="T269" i="45"/>
  <c r="U267" i="45" s="1"/>
  <c r="R269" i="45"/>
  <c r="S217" i="45" s="1"/>
  <c r="T257" i="45"/>
  <c r="U255" i="45" s="1"/>
  <c r="R257" i="45"/>
  <c r="S255" i="45" s="1"/>
  <c r="S254" i="45"/>
  <c r="T243" i="45"/>
  <c r="R243" i="45"/>
  <c r="T242" i="45"/>
  <c r="R242" i="45"/>
  <c r="T241" i="45"/>
  <c r="R241" i="45"/>
  <c r="T240" i="45"/>
  <c r="R240" i="45"/>
  <c r="T239" i="45"/>
  <c r="R239" i="45"/>
  <c r="T238" i="45"/>
  <c r="R238" i="45"/>
  <c r="T237" i="45"/>
  <c r="R237" i="45"/>
  <c r="T236" i="45"/>
  <c r="R236" i="45"/>
  <c r="T222" i="45"/>
  <c r="T220" i="45"/>
  <c r="T218" i="45"/>
  <c r="T212" i="45"/>
  <c r="V182" i="45"/>
  <c r="V170" i="45"/>
  <c r="V168" i="45"/>
  <c r="V167" i="45"/>
  <c r="V150" i="45"/>
  <c r="B137" i="45"/>
  <c r="B197" i="45" s="1"/>
  <c r="B297" i="45" s="1"/>
  <c r="T124" i="45"/>
  <c r="T122" i="45"/>
  <c r="T114" i="45"/>
  <c r="A114" i="45"/>
  <c r="A115" i="45" s="1"/>
  <c r="A116" i="45" s="1"/>
  <c r="A117" i="45" s="1"/>
  <c r="A118" i="45" s="1"/>
  <c r="A119" i="45" s="1"/>
  <c r="A120" i="45" s="1"/>
  <c r="A113" i="45"/>
  <c r="V102" i="45"/>
  <c r="A102" i="45"/>
  <c r="A103" i="45" s="1"/>
  <c r="T97" i="45"/>
  <c r="T96" i="45"/>
  <c r="T95" i="45"/>
  <c r="V95" i="45"/>
  <c r="V99" i="45" s="1"/>
  <c r="N86" i="45"/>
  <c r="V81" i="45"/>
  <c r="V80" i="45"/>
  <c r="L80" i="45"/>
  <c r="T70" i="45"/>
  <c r="R70" i="45"/>
  <c r="P70" i="45"/>
  <c r="N70" i="45"/>
  <c r="N83" i="45" s="1"/>
  <c r="V68" i="45"/>
  <c r="V67" i="45"/>
  <c r="L67" i="45"/>
  <c r="L70" i="45" s="1"/>
  <c r="R57" i="45"/>
  <c r="R56" i="45"/>
  <c r="V50" i="45"/>
  <c r="P43" i="45"/>
  <c r="L43" i="45"/>
  <c r="F43" i="45"/>
  <c r="D43" i="45"/>
  <c r="J36" i="45"/>
  <c r="H36" i="45"/>
  <c r="F36" i="45"/>
  <c r="D36" i="45"/>
  <c r="R35" i="45"/>
  <c r="P35" i="45"/>
  <c r="N35" i="45"/>
  <c r="L35" i="45"/>
  <c r="J35" i="45"/>
  <c r="H35" i="45"/>
  <c r="F35" i="45"/>
  <c r="D35" i="45"/>
  <c r="V34" i="45"/>
  <c r="V52" i="45" s="1"/>
  <c r="R33" i="45"/>
  <c r="P33" i="45"/>
  <c r="N33" i="45"/>
  <c r="L33" i="45"/>
  <c r="J33" i="45"/>
  <c r="H33" i="45"/>
  <c r="F33" i="45"/>
  <c r="D33" i="45"/>
  <c r="R32" i="45"/>
  <c r="P32" i="45"/>
  <c r="N32" i="45"/>
  <c r="L32" i="45"/>
  <c r="J32" i="45"/>
  <c r="H32" i="45"/>
  <c r="F32" i="45"/>
  <c r="D32" i="45"/>
  <c r="S218" i="45" l="1"/>
  <c r="S248" i="45"/>
  <c r="S249" i="45"/>
  <c r="S252" i="45"/>
  <c r="V51" i="45"/>
  <c r="L83" i="45"/>
  <c r="V141" i="45"/>
  <c r="V70" i="45"/>
  <c r="V175" i="45" s="1"/>
  <c r="T99" i="45"/>
  <c r="T133" i="45"/>
  <c r="S180" i="45"/>
  <c r="S250" i="45"/>
  <c r="V169" i="45"/>
  <c r="V36" i="45"/>
  <c r="V35" i="45"/>
  <c r="V43" i="45" s="1"/>
  <c r="T204" i="45" s="1"/>
  <c r="T205" i="45" s="1"/>
  <c r="T217" i="45"/>
  <c r="S260" i="45"/>
  <c r="S264" i="45"/>
  <c r="S262" i="45"/>
  <c r="S266" i="45"/>
  <c r="S261" i="45"/>
  <c r="S263" i="45"/>
  <c r="S265" i="45"/>
  <c r="S267" i="45"/>
  <c r="S251" i="45"/>
  <c r="S253" i="45"/>
  <c r="R283" i="45"/>
  <c r="V83" i="45"/>
  <c r="V176" i="45" s="1"/>
  <c r="T206" i="45"/>
  <c r="V192" i="45"/>
  <c r="V188" i="45"/>
  <c r="V190" i="45"/>
  <c r="V120" i="45"/>
  <c r="V133" i="45" s="1"/>
  <c r="V134" i="45" s="1"/>
  <c r="R245" i="45"/>
  <c r="S236" i="45" s="1"/>
  <c r="T245" i="45"/>
  <c r="U236" i="45" s="1"/>
  <c r="T283" i="45"/>
  <c r="U248" i="45"/>
  <c r="U249" i="45"/>
  <c r="U250" i="45"/>
  <c r="U251" i="45"/>
  <c r="U252" i="45"/>
  <c r="U253" i="45"/>
  <c r="U254" i="45"/>
  <c r="U260" i="45"/>
  <c r="U261" i="45"/>
  <c r="U262" i="45"/>
  <c r="U263" i="45"/>
  <c r="U264" i="45"/>
  <c r="U265" i="45"/>
  <c r="U266" i="45"/>
  <c r="V106" i="44"/>
  <c r="V103" i="44"/>
  <c r="V90" i="44"/>
  <c r="V89" i="44"/>
  <c r="T88" i="44"/>
  <c r="P67" i="44"/>
  <c r="S257" i="45" l="1"/>
  <c r="T134" i="45"/>
  <c r="S269" i="45"/>
  <c r="S243" i="45"/>
  <c r="S239" i="45"/>
  <c r="S241" i="45"/>
  <c r="S237" i="45"/>
  <c r="U269" i="45"/>
  <c r="U243" i="45"/>
  <c r="U241" i="45"/>
  <c r="U239" i="45"/>
  <c r="U237" i="45"/>
  <c r="U257" i="45"/>
  <c r="U242" i="45"/>
  <c r="U240" i="45"/>
  <c r="U238" i="45"/>
  <c r="S242" i="45"/>
  <c r="S240" i="45"/>
  <c r="S238" i="45"/>
  <c r="P44" i="44"/>
  <c r="L44" i="44"/>
  <c r="F44" i="44"/>
  <c r="D44" i="44"/>
  <c r="S245" i="45" l="1"/>
  <c r="U245" i="45"/>
  <c r="T281" i="44"/>
  <c r="U281" i="44" s="1"/>
  <c r="R281" i="44"/>
  <c r="S272" i="44" s="1"/>
  <c r="S281" i="44" s="1"/>
  <c r="T269" i="44"/>
  <c r="U266" i="44" s="1"/>
  <c r="R269" i="44"/>
  <c r="S267" i="44" s="1"/>
  <c r="T257" i="44"/>
  <c r="U255" i="44" s="1"/>
  <c r="R257" i="44"/>
  <c r="S255" i="44" s="1"/>
  <c r="T243" i="44"/>
  <c r="R243" i="44"/>
  <c r="T242" i="44"/>
  <c r="R242" i="44"/>
  <c r="T241" i="44"/>
  <c r="R241" i="44"/>
  <c r="T240" i="44"/>
  <c r="R240" i="44"/>
  <c r="T239" i="44"/>
  <c r="R239" i="44"/>
  <c r="T238" i="44"/>
  <c r="R238" i="44"/>
  <c r="T237" i="44"/>
  <c r="R237" i="44"/>
  <c r="T236" i="44"/>
  <c r="R236" i="44"/>
  <c r="T222" i="44"/>
  <c r="T220" i="44"/>
  <c r="T218" i="44"/>
  <c r="T217" i="44"/>
  <c r="S217" i="44"/>
  <c r="V182" i="44"/>
  <c r="V170" i="44"/>
  <c r="V168" i="44"/>
  <c r="V167" i="44"/>
  <c r="V150" i="44"/>
  <c r="B137" i="44"/>
  <c r="B197" i="44" s="1"/>
  <c r="B297" i="44" s="1"/>
  <c r="T124" i="44"/>
  <c r="T122" i="44"/>
  <c r="T114" i="44"/>
  <c r="A113" i="44"/>
  <c r="A114" i="44" s="1"/>
  <c r="A115" i="44" s="1"/>
  <c r="A116" i="44" s="1"/>
  <c r="A117" i="44" s="1"/>
  <c r="A118" i="44" s="1"/>
  <c r="A119" i="44" s="1"/>
  <c r="A120" i="44" s="1"/>
  <c r="V102" i="44"/>
  <c r="A102" i="44"/>
  <c r="A103" i="44" s="1"/>
  <c r="T97" i="44"/>
  <c r="T96" i="44"/>
  <c r="T95" i="44"/>
  <c r="V95" i="44"/>
  <c r="V99" i="44" s="1"/>
  <c r="N86" i="44"/>
  <c r="V81" i="44"/>
  <c r="V80" i="44"/>
  <c r="L80" i="44"/>
  <c r="T70" i="44"/>
  <c r="R70" i="44"/>
  <c r="P70" i="44"/>
  <c r="N70" i="44"/>
  <c r="N83" i="44" s="1"/>
  <c r="V68" i="44"/>
  <c r="V67" i="44"/>
  <c r="T212" i="44"/>
  <c r="L67" i="44"/>
  <c r="L70" i="44" s="1"/>
  <c r="L83" i="44" s="1"/>
  <c r="R57" i="44"/>
  <c r="R56" i="44"/>
  <c r="V50" i="44"/>
  <c r="P43" i="44"/>
  <c r="L43" i="44"/>
  <c r="F43" i="44"/>
  <c r="D43" i="44"/>
  <c r="J36" i="44"/>
  <c r="H36" i="44"/>
  <c r="F36" i="44"/>
  <c r="D36" i="44"/>
  <c r="R35" i="44"/>
  <c r="P35" i="44"/>
  <c r="N35" i="44"/>
  <c r="L35" i="44"/>
  <c r="J35" i="44"/>
  <c r="H35" i="44"/>
  <c r="F35" i="44"/>
  <c r="D35" i="44"/>
  <c r="V34" i="44"/>
  <c r="S180" i="44" s="1"/>
  <c r="R33" i="44"/>
  <c r="P33" i="44"/>
  <c r="N33" i="44"/>
  <c r="L33" i="44"/>
  <c r="J33" i="44"/>
  <c r="H33" i="44"/>
  <c r="F33" i="44"/>
  <c r="D33" i="44"/>
  <c r="R32" i="44"/>
  <c r="P32" i="44"/>
  <c r="N32" i="44"/>
  <c r="L32" i="44"/>
  <c r="J32" i="44"/>
  <c r="H32" i="44"/>
  <c r="F32" i="44"/>
  <c r="D32" i="44"/>
  <c r="U248" i="44" l="1"/>
  <c r="S250" i="44"/>
  <c r="T133" i="44"/>
  <c r="S252" i="44"/>
  <c r="S248" i="44"/>
  <c r="S254" i="44"/>
  <c r="U252" i="44"/>
  <c r="S264" i="44"/>
  <c r="U250" i="44"/>
  <c r="U254" i="44"/>
  <c r="V70" i="44"/>
  <c r="V83" i="44" s="1"/>
  <c r="V176" i="44" s="1"/>
  <c r="S218" i="44"/>
  <c r="T99" i="44"/>
  <c r="S249" i="44"/>
  <c r="S251" i="44"/>
  <c r="S253" i="44"/>
  <c r="U249" i="44"/>
  <c r="U251" i="44"/>
  <c r="U253" i="44"/>
  <c r="U264" i="44"/>
  <c r="S262" i="44"/>
  <c r="S266" i="44"/>
  <c r="S260" i="44"/>
  <c r="S261" i="44"/>
  <c r="S265" i="44"/>
  <c r="U263" i="44"/>
  <c r="U261" i="44"/>
  <c r="U260" i="44"/>
  <c r="U262" i="44"/>
  <c r="U267" i="44"/>
  <c r="U265" i="44"/>
  <c r="S263" i="44"/>
  <c r="T283" i="44"/>
  <c r="V169" i="44"/>
  <c r="V51" i="44"/>
  <c r="V36" i="44"/>
  <c r="V35" i="44"/>
  <c r="V43" i="44" s="1"/>
  <c r="T204" i="44" s="1"/>
  <c r="T205" i="44" s="1"/>
  <c r="T245" i="44"/>
  <c r="U242" i="44" s="1"/>
  <c r="R245" i="44"/>
  <c r="S242" i="44" s="1"/>
  <c r="R283" i="44"/>
  <c r="V175" i="44"/>
  <c r="V190" i="44"/>
  <c r="V120" i="44"/>
  <c r="V133" i="44" s="1"/>
  <c r="V134" i="44" s="1"/>
  <c r="T206" i="44"/>
  <c r="V192" i="44"/>
  <c r="V188" i="44"/>
  <c r="V52" i="44"/>
  <c r="V141" i="44"/>
  <c r="V105" i="43"/>
  <c r="V106" i="43"/>
  <c r="V103" i="43"/>
  <c r="V90" i="43"/>
  <c r="V89" i="43"/>
  <c r="T88" i="43"/>
  <c r="P67" i="43"/>
  <c r="P44" i="43"/>
  <c r="L44" i="43"/>
  <c r="F44" i="43"/>
  <c r="D44" i="43"/>
  <c r="T134" i="44" l="1"/>
  <c r="S269" i="44"/>
  <c r="S257" i="44"/>
  <c r="U257" i="44"/>
  <c r="U269" i="44"/>
  <c r="S243" i="44"/>
  <c r="S236" i="44"/>
  <c r="S237" i="44"/>
  <c r="U243" i="44"/>
  <c r="S238" i="44"/>
  <c r="U238" i="44"/>
  <c r="U236" i="44"/>
  <c r="U240" i="44"/>
  <c r="U237" i="44"/>
  <c r="U239" i="44"/>
  <c r="U241" i="44"/>
  <c r="S239" i="44"/>
  <c r="S240" i="44"/>
  <c r="S241" i="44"/>
  <c r="V170" i="43"/>
  <c r="S245" i="44" l="1"/>
  <c r="U245" i="44"/>
  <c r="T281" i="43"/>
  <c r="U272" i="43" s="1"/>
  <c r="U281" i="43" s="1"/>
  <c r="R281" i="43"/>
  <c r="S272" i="43" s="1"/>
  <c r="S281" i="43" s="1"/>
  <c r="T269" i="43"/>
  <c r="R269" i="43"/>
  <c r="U267" i="43"/>
  <c r="S267" i="43"/>
  <c r="U266" i="43"/>
  <c r="S266" i="43"/>
  <c r="U265" i="43"/>
  <c r="S265" i="43"/>
  <c r="U264" i="43"/>
  <c r="S264" i="43"/>
  <c r="U263" i="43"/>
  <c r="S263" i="43"/>
  <c r="U262" i="43"/>
  <c r="S262" i="43"/>
  <c r="U261" i="43"/>
  <c r="S261" i="43"/>
  <c r="U260" i="43"/>
  <c r="S260" i="43"/>
  <c r="T257" i="43"/>
  <c r="U255" i="43" s="1"/>
  <c r="R257" i="43"/>
  <c r="S255" i="43" s="1"/>
  <c r="T243" i="43"/>
  <c r="R243" i="43"/>
  <c r="T242" i="43"/>
  <c r="R242" i="43"/>
  <c r="T241" i="43"/>
  <c r="R241" i="43"/>
  <c r="T240" i="43"/>
  <c r="R240" i="43"/>
  <c r="T239" i="43"/>
  <c r="R239" i="43"/>
  <c r="T238" i="43"/>
  <c r="R238" i="43"/>
  <c r="T237" i="43"/>
  <c r="R237" i="43"/>
  <c r="T236" i="43"/>
  <c r="R236" i="43"/>
  <c r="T222" i="43"/>
  <c r="T220" i="43"/>
  <c r="T218" i="43"/>
  <c r="S218" i="43"/>
  <c r="T217" i="43"/>
  <c r="S217" i="43"/>
  <c r="V182" i="43"/>
  <c r="V168" i="43"/>
  <c r="V167" i="43"/>
  <c r="V150" i="43"/>
  <c r="B137" i="43"/>
  <c r="B197" i="43" s="1"/>
  <c r="B297" i="43" s="1"/>
  <c r="T122" i="43"/>
  <c r="T114" i="43"/>
  <c r="A113" i="43"/>
  <c r="A114" i="43" s="1"/>
  <c r="A115" i="43" s="1"/>
  <c r="A116" i="43" s="1"/>
  <c r="A117" i="43" s="1"/>
  <c r="A118" i="43" s="1"/>
  <c r="A119" i="43" s="1"/>
  <c r="A120" i="43" s="1"/>
  <c r="V102" i="43"/>
  <c r="A102" i="43"/>
  <c r="A103" i="43" s="1"/>
  <c r="T97" i="43"/>
  <c r="T96" i="43"/>
  <c r="T95" i="43"/>
  <c r="V95" i="43"/>
  <c r="V99" i="43" s="1"/>
  <c r="N86" i="43"/>
  <c r="V81" i="43"/>
  <c r="V80" i="43"/>
  <c r="L80" i="43"/>
  <c r="T70" i="43"/>
  <c r="N70" i="43"/>
  <c r="N83" i="43" s="1"/>
  <c r="V68" i="43"/>
  <c r="R70" i="43"/>
  <c r="T212" i="43"/>
  <c r="L67" i="43"/>
  <c r="L70" i="43" s="1"/>
  <c r="R57" i="43"/>
  <c r="R56" i="43"/>
  <c r="V50" i="43"/>
  <c r="P43" i="43"/>
  <c r="L43" i="43"/>
  <c r="F43" i="43"/>
  <c r="D43" i="43"/>
  <c r="J36" i="43"/>
  <c r="H36" i="43"/>
  <c r="F36" i="43"/>
  <c r="D36" i="43"/>
  <c r="R35" i="43"/>
  <c r="P35" i="43"/>
  <c r="N35" i="43"/>
  <c r="L35" i="43"/>
  <c r="J35" i="43"/>
  <c r="H35" i="43"/>
  <c r="F35" i="43"/>
  <c r="D35" i="43"/>
  <c r="V34" i="43"/>
  <c r="V141" i="43" s="1"/>
  <c r="R33" i="43"/>
  <c r="P33" i="43"/>
  <c r="N33" i="43"/>
  <c r="L33" i="43"/>
  <c r="J33" i="43"/>
  <c r="H33" i="43"/>
  <c r="F33" i="43"/>
  <c r="D33" i="43"/>
  <c r="R32" i="43"/>
  <c r="P32" i="43"/>
  <c r="N32" i="43"/>
  <c r="L32" i="43"/>
  <c r="J32" i="43"/>
  <c r="H32" i="43"/>
  <c r="F32" i="43"/>
  <c r="D32" i="43"/>
  <c r="L83" i="43" l="1"/>
  <c r="T99" i="43"/>
  <c r="S248" i="43"/>
  <c r="U269" i="43"/>
  <c r="S249" i="43"/>
  <c r="S253" i="43"/>
  <c r="S250" i="43"/>
  <c r="S254" i="43"/>
  <c r="S257" i="43" s="1"/>
  <c r="S252" i="43"/>
  <c r="V35" i="43"/>
  <c r="S251" i="43"/>
  <c r="V169" i="43"/>
  <c r="V51" i="43"/>
  <c r="V43" i="43"/>
  <c r="T204" i="43" s="1"/>
  <c r="T205" i="43" s="1"/>
  <c r="S269" i="43"/>
  <c r="T245" i="43"/>
  <c r="U242" i="43" s="1"/>
  <c r="U248" i="43"/>
  <c r="U249" i="43"/>
  <c r="U250" i="43"/>
  <c r="U251" i="43"/>
  <c r="U252" i="43"/>
  <c r="U253" i="43"/>
  <c r="U254" i="43"/>
  <c r="T283" i="43"/>
  <c r="R245" i="43"/>
  <c r="S242" i="43" s="1"/>
  <c r="R283" i="43"/>
  <c r="V190" i="43"/>
  <c r="V120" i="43"/>
  <c r="V133" i="43" s="1"/>
  <c r="V134" i="43" s="1"/>
  <c r="T206" i="43"/>
  <c r="V192" i="43"/>
  <c r="V188" i="43"/>
  <c r="V36" i="43"/>
  <c r="V52" i="43"/>
  <c r="V67" i="43"/>
  <c r="V70" i="43" s="1"/>
  <c r="P70" i="43"/>
  <c r="S180" i="43"/>
  <c r="T124" i="43"/>
  <c r="T133" i="43" s="1"/>
  <c r="V105" i="36"/>
  <c r="V106" i="36"/>
  <c r="T134" i="43" l="1"/>
  <c r="U239" i="43"/>
  <c r="U257" i="43"/>
  <c r="U236" i="43"/>
  <c r="U240" i="43"/>
  <c r="U237" i="43"/>
  <c r="U241" i="43"/>
  <c r="S236" i="43"/>
  <c r="U238" i="43"/>
  <c r="U243" i="43"/>
  <c r="S243" i="43"/>
  <c r="S237" i="43"/>
  <c r="S238" i="43"/>
  <c r="S239" i="43"/>
  <c r="S240" i="43"/>
  <c r="S241" i="43"/>
  <c r="V83" i="43"/>
  <c r="V176" i="43" s="1"/>
  <c r="V175" i="43"/>
  <c r="V106" i="37"/>
  <c r="V105" i="37"/>
  <c r="U245" i="43" l="1"/>
  <c r="S245" i="43"/>
  <c r="V106" i="38"/>
  <c r="V105" i="38"/>
  <c r="V106" i="39" l="1"/>
  <c r="V105" i="39"/>
  <c r="V106" i="40" l="1"/>
  <c r="V105" i="40"/>
  <c r="V106" i="41" l="1"/>
  <c r="V105" i="41"/>
  <c r="V106" i="42" l="1"/>
  <c r="V105" i="42"/>
  <c r="T88" i="42" l="1"/>
  <c r="P67" i="42"/>
  <c r="R67" i="42"/>
  <c r="S182" i="42"/>
  <c r="V103" i="42" l="1"/>
  <c r="V90" i="42"/>
  <c r="V89" i="42"/>
  <c r="P44" i="42"/>
  <c r="L44" i="42"/>
  <c r="F44" i="42"/>
  <c r="D44" i="42"/>
  <c r="U281" i="42" l="1"/>
  <c r="T281" i="42"/>
  <c r="S281" i="42"/>
  <c r="R281" i="42"/>
  <c r="S218" i="42" s="1"/>
  <c r="T269" i="42"/>
  <c r="R269" i="42"/>
  <c r="U267" i="42"/>
  <c r="S267" i="42"/>
  <c r="U266" i="42"/>
  <c r="S266" i="42"/>
  <c r="U265" i="42"/>
  <c r="S265" i="42"/>
  <c r="U264" i="42"/>
  <c r="S264" i="42"/>
  <c r="U263" i="42"/>
  <c r="S263" i="42"/>
  <c r="U262" i="42"/>
  <c r="S262" i="42"/>
  <c r="U261" i="42"/>
  <c r="S261" i="42"/>
  <c r="U260" i="42"/>
  <c r="S260" i="42"/>
  <c r="T257" i="42"/>
  <c r="U255" i="42" s="1"/>
  <c r="R257" i="42"/>
  <c r="S255" i="42" s="1"/>
  <c r="T243" i="42"/>
  <c r="R243" i="42"/>
  <c r="T242" i="42"/>
  <c r="R242" i="42"/>
  <c r="T241" i="42"/>
  <c r="R241" i="42"/>
  <c r="T240" i="42"/>
  <c r="R240" i="42"/>
  <c r="T239" i="42"/>
  <c r="R239" i="42"/>
  <c r="T238" i="42"/>
  <c r="R238" i="42"/>
  <c r="T237" i="42"/>
  <c r="R237" i="42"/>
  <c r="T236" i="42"/>
  <c r="R236" i="42"/>
  <c r="T222" i="42"/>
  <c r="T220" i="42"/>
  <c r="T218" i="42"/>
  <c r="T217" i="42"/>
  <c r="S217" i="42"/>
  <c r="V182" i="42"/>
  <c r="V168" i="42"/>
  <c r="V167" i="42"/>
  <c r="V150" i="42"/>
  <c r="B137" i="42"/>
  <c r="B197" i="42" s="1"/>
  <c r="B297" i="42" s="1"/>
  <c r="T124" i="42"/>
  <c r="T122" i="42"/>
  <c r="T114" i="42"/>
  <c r="A113" i="42"/>
  <c r="A114" i="42" s="1"/>
  <c r="A115" i="42" s="1"/>
  <c r="A116" i="42" s="1"/>
  <c r="A117" i="42" s="1"/>
  <c r="A118" i="42" s="1"/>
  <c r="A119" i="42" s="1"/>
  <c r="A120" i="42" s="1"/>
  <c r="V102" i="42"/>
  <c r="A102" i="42"/>
  <c r="A103" i="42" s="1"/>
  <c r="T97" i="42"/>
  <c r="T96" i="42"/>
  <c r="T95" i="42"/>
  <c r="N86" i="42"/>
  <c r="V81" i="42"/>
  <c r="V80" i="42"/>
  <c r="L80" i="42"/>
  <c r="T70" i="42"/>
  <c r="R70" i="42"/>
  <c r="N70" i="42"/>
  <c r="N83" i="42" s="1"/>
  <c r="V68" i="42"/>
  <c r="T212" i="42"/>
  <c r="L67" i="42"/>
  <c r="L70" i="42" s="1"/>
  <c r="R57" i="42"/>
  <c r="R56" i="42"/>
  <c r="V50" i="42"/>
  <c r="P43" i="42"/>
  <c r="L43" i="42"/>
  <c r="F43" i="42"/>
  <c r="D43" i="42"/>
  <c r="J36" i="42"/>
  <c r="H36" i="42"/>
  <c r="F36" i="42"/>
  <c r="D36" i="42"/>
  <c r="R35" i="42"/>
  <c r="P35" i="42"/>
  <c r="N35" i="42"/>
  <c r="L35" i="42"/>
  <c r="J35" i="42"/>
  <c r="H35" i="42"/>
  <c r="F35" i="42"/>
  <c r="D35" i="42"/>
  <c r="V34" i="42"/>
  <c r="S180" i="42" s="1"/>
  <c r="R33" i="42"/>
  <c r="P33" i="42"/>
  <c r="N33" i="42"/>
  <c r="L33" i="42"/>
  <c r="J33" i="42"/>
  <c r="H33" i="42"/>
  <c r="F33" i="42"/>
  <c r="D33" i="42"/>
  <c r="R32" i="42"/>
  <c r="P32" i="42"/>
  <c r="N32" i="42"/>
  <c r="L32" i="42"/>
  <c r="J32" i="42"/>
  <c r="H32" i="42"/>
  <c r="F32" i="42"/>
  <c r="D32" i="42"/>
  <c r="L83" i="42" l="1"/>
  <c r="U250" i="42"/>
  <c r="S250" i="42"/>
  <c r="S248" i="42"/>
  <c r="S252" i="42"/>
  <c r="U248" i="42"/>
  <c r="U252" i="42"/>
  <c r="V169" i="42"/>
  <c r="S254" i="42"/>
  <c r="U254" i="42"/>
  <c r="V35" i="42"/>
  <c r="V43" i="42" s="1"/>
  <c r="T204" i="42" s="1"/>
  <c r="T205" i="42" s="1"/>
  <c r="V36" i="42"/>
  <c r="S249" i="42"/>
  <c r="S251" i="42"/>
  <c r="S253" i="42"/>
  <c r="S269" i="42"/>
  <c r="U249" i="42"/>
  <c r="U251" i="42"/>
  <c r="U253" i="42"/>
  <c r="T133" i="42"/>
  <c r="V51" i="42"/>
  <c r="U269" i="42"/>
  <c r="T245" i="42"/>
  <c r="U240" i="42" s="1"/>
  <c r="T283" i="42"/>
  <c r="R245" i="42"/>
  <c r="S240" i="42" s="1"/>
  <c r="T99" i="42"/>
  <c r="V95" i="42"/>
  <c r="V99" i="42" s="1"/>
  <c r="V192" i="42" s="1"/>
  <c r="R283" i="42"/>
  <c r="S243" i="42"/>
  <c r="S238" i="42"/>
  <c r="V52" i="42"/>
  <c r="V67" i="42"/>
  <c r="V70" i="42" s="1"/>
  <c r="P70" i="42"/>
  <c r="V141" i="42"/>
  <c r="V103" i="41"/>
  <c r="V90" i="41"/>
  <c r="V89" i="41"/>
  <c r="T88" i="41"/>
  <c r="P67" i="41"/>
  <c r="P44" i="41"/>
  <c r="L44" i="41"/>
  <c r="F44" i="41"/>
  <c r="D44" i="41"/>
  <c r="U237" i="42" l="1"/>
  <c r="U238" i="42"/>
  <c r="U242" i="42"/>
  <c r="S239" i="42"/>
  <c r="S241" i="42"/>
  <c r="S237" i="42"/>
  <c r="S242" i="42"/>
  <c r="U241" i="42"/>
  <c r="U257" i="42"/>
  <c r="S257" i="42"/>
  <c r="U239" i="42"/>
  <c r="U243" i="42"/>
  <c r="S236" i="42"/>
  <c r="U236" i="42"/>
  <c r="T206" i="42"/>
  <c r="V188" i="42"/>
  <c r="V190" i="42"/>
  <c r="V120" i="42"/>
  <c r="V133" i="42" s="1"/>
  <c r="V134" i="42" s="1"/>
  <c r="T134" i="42"/>
  <c r="V175" i="42"/>
  <c r="V83" i="42"/>
  <c r="V176" i="42" s="1"/>
  <c r="V170" i="41"/>
  <c r="S245" i="42" l="1"/>
  <c r="U245" i="42"/>
  <c r="U281" i="41"/>
  <c r="T281" i="41"/>
  <c r="T218" i="41" s="1"/>
  <c r="S281" i="41"/>
  <c r="R281" i="41"/>
  <c r="S218" i="41" s="1"/>
  <c r="T269" i="41"/>
  <c r="U266" i="41" s="1"/>
  <c r="R269" i="41"/>
  <c r="S267" i="41" s="1"/>
  <c r="U261" i="41"/>
  <c r="U260" i="41"/>
  <c r="T257" i="41"/>
  <c r="U255" i="41" s="1"/>
  <c r="R257" i="41"/>
  <c r="S255" i="41" s="1"/>
  <c r="T243" i="41"/>
  <c r="R243" i="41"/>
  <c r="T242" i="41"/>
  <c r="R242" i="41"/>
  <c r="T241" i="41"/>
  <c r="R241" i="41"/>
  <c r="T240" i="41"/>
  <c r="R240" i="41"/>
  <c r="T239" i="41"/>
  <c r="R239" i="41"/>
  <c r="T238" i="41"/>
  <c r="R238" i="41"/>
  <c r="T237" i="41"/>
  <c r="R237" i="41"/>
  <c r="T236" i="41"/>
  <c r="R236" i="41"/>
  <c r="T222" i="41"/>
  <c r="T220" i="41"/>
  <c r="V182" i="41"/>
  <c r="V168" i="41"/>
  <c r="V167" i="41"/>
  <c r="V150" i="41"/>
  <c r="B137" i="41"/>
  <c r="B197" i="41" s="1"/>
  <c r="B298" i="41" s="1"/>
  <c r="T122" i="41"/>
  <c r="T114" i="41"/>
  <c r="A113" i="41"/>
  <c r="A114" i="41" s="1"/>
  <c r="A115" i="41" s="1"/>
  <c r="A116" i="41" s="1"/>
  <c r="A117" i="41" s="1"/>
  <c r="A118" i="41" s="1"/>
  <c r="A119" i="41" s="1"/>
  <c r="A120" i="41" s="1"/>
  <c r="V102" i="41"/>
  <c r="A102" i="41"/>
  <c r="A103" i="41" s="1"/>
  <c r="T97" i="41"/>
  <c r="T96" i="41"/>
  <c r="V95" i="41"/>
  <c r="V99" i="41" s="1"/>
  <c r="V120" i="41" s="1"/>
  <c r="T95" i="41"/>
  <c r="N86" i="41"/>
  <c r="V81" i="41"/>
  <c r="V80" i="41"/>
  <c r="L80" i="41"/>
  <c r="T70" i="41"/>
  <c r="N70" i="41"/>
  <c r="N83" i="41" s="1"/>
  <c r="V68" i="41"/>
  <c r="R70" i="41"/>
  <c r="T212" i="41"/>
  <c r="L67" i="41"/>
  <c r="L70" i="41" s="1"/>
  <c r="R57" i="41"/>
  <c r="R56" i="41"/>
  <c r="V50" i="41"/>
  <c r="P43" i="41"/>
  <c r="L43" i="41"/>
  <c r="F43" i="41"/>
  <c r="D43" i="41"/>
  <c r="J36" i="41"/>
  <c r="H36" i="41"/>
  <c r="F36" i="41"/>
  <c r="D36" i="41"/>
  <c r="R35" i="41"/>
  <c r="P35" i="41"/>
  <c r="N35" i="41"/>
  <c r="L35" i="41"/>
  <c r="J35" i="41"/>
  <c r="H35" i="41"/>
  <c r="F35" i="41"/>
  <c r="D35" i="41"/>
  <c r="V34" i="41"/>
  <c r="V141" i="41" s="1"/>
  <c r="R33" i="41"/>
  <c r="P33" i="41"/>
  <c r="N33" i="41"/>
  <c r="L33" i="41"/>
  <c r="J33" i="41"/>
  <c r="H33" i="41"/>
  <c r="F33" i="41"/>
  <c r="D33" i="41"/>
  <c r="R32" i="41"/>
  <c r="P32" i="41"/>
  <c r="N32" i="41"/>
  <c r="L32" i="41"/>
  <c r="J32" i="41"/>
  <c r="H32" i="41"/>
  <c r="F32" i="41"/>
  <c r="D32" i="41"/>
  <c r="T217" i="41" l="1"/>
  <c r="U263" i="41"/>
  <c r="U264" i="41"/>
  <c r="S262" i="41"/>
  <c r="U265" i="41"/>
  <c r="L83" i="41"/>
  <c r="S217" i="41"/>
  <c r="S260" i="41"/>
  <c r="U262" i="41"/>
  <c r="U267" i="41"/>
  <c r="S266" i="41"/>
  <c r="S264" i="41"/>
  <c r="S261" i="41"/>
  <c r="S263" i="41"/>
  <c r="S265" i="41"/>
  <c r="S249" i="41"/>
  <c r="S253" i="41"/>
  <c r="S248" i="41"/>
  <c r="S252" i="41"/>
  <c r="T99" i="41"/>
  <c r="S250" i="41"/>
  <c r="S254" i="41"/>
  <c r="S180" i="41"/>
  <c r="S251" i="41"/>
  <c r="V169" i="41"/>
  <c r="V36" i="41"/>
  <c r="V51" i="41"/>
  <c r="V35" i="41"/>
  <c r="V43" i="41" s="1"/>
  <c r="T204" i="41" s="1"/>
  <c r="T205" i="41" s="1"/>
  <c r="U269" i="41"/>
  <c r="T245" i="41"/>
  <c r="U242" i="41" s="1"/>
  <c r="T283" i="41"/>
  <c r="U248" i="41"/>
  <c r="U249" i="41"/>
  <c r="U250" i="41"/>
  <c r="U251" i="41"/>
  <c r="U252" i="41"/>
  <c r="U253" i="41"/>
  <c r="U254" i="41"/>
  <c r="R245" i="41"/>
  <c r="S243" i="41" s="1"/>
  <c r="R283" i="41"/>
  <c r="V190" i="41"/>
  <c r="V133" i="41"/>
  <c r="V134" i="41" s="1"/>
  <c r="T206" i="41"/>
  <c r="V192" i="41"/>
  <c r="V188" i="41"/>
  <c r="V52" i="41"/>
  <c r="V67" i="41"/>
  <c r="V70" i="41" s="1"/>
  <c r="P70" i="41"/>
  <c r="T124" i="41"/>
  <c r="T133" i="41" s="1"/>
  <c r="T134" i="41" s="1"/>
  <c r="V103" i="40"/>
  <c r="V90" i="40"/>
  <c r="V89" i="40"/>
  <c r="S182" i="40"/>
  <c r="T88" i="40"/>
  <c r="R67" i="40"/>
  <c r="P67" i="40"/>
  <c r="P44" i="40"/>
  <c r="L44" i="40"/>
  <c r="F44" i="40"/>
  <c r="D44" i="40"/>
  <c r="S242" i="41" l="1"/>
  <c r="S240" i="41"/>
  <c r="S236" i="41"/>
  <c r="S238" i="41"/>
  <c r="S269" i="41"/>
  <c r="S257" i="41"/>
  <c r="U241" i="41"/>
  <c r="U243" i="41"/>
  <c r="U237" i="41"/>
  <c r="U239" i="41"/>
  <c r="S237" i="41"/>
  <c r="S241" i="41"/>
  <c r="U236" i="41"/>
  <c r="U240" i="41"/>
  <c r="S239" i="41"/>
  <c r="U238" i="41"/>
  <c r="U257" i="41"/>
  <c r="V175" i="41"/>
  <c r="V83" i="41"/>
  <c r="V176" i="41" s="1"/>
  <c r="U281" i="40"/>
  <c r="T281" i="40"/>
  <c r="T218" i="40" s="1"/>
  <c r="S281" i="40"/>
  <c r="R281" i="40"/>
  <c r="T269" i="40"/>
  <c r="U267" i="40" s="1"/>
  <c r="R269" i="40"/>
  <c r="S267" i="40" s="1"/>
  <c r="T257" i="40"/>
  <c r="U255" i="40" s="1"/>
  <c r="R257" i="40"/>
  <c r="S255" i="40" s="1"/>
  <c r="U248" i="40"/>
  <c r="T243" i="40"/>
  <c r="R243" i="40"/>
  <c r="T242" i="40"/>
  <c r="R242" i="40"/>
  <c r="T241" i="40"/>
  <c r="R241" i="40"/>
  <c r="T240" i="40"/>
  <c r="R240" i="40"/>
  <c r="T239" i="40"/>
  <c r="R239" i="40"/>
  <c r="T238" i="40"/>
  <c r="R238" i="40"/>
  <c r="T237" i="40"/>
  <c r="R237" i="40"/>
  <c r="T236" i="40"/>
  <c r="T245" i="40" s="1"/>
  <c r="R236" i="40"/>
  <c r="T222" i="40"/>
  <c r="T220" i="40"/>
  <c r="S218" i="40"/>
  <c r="V182" i="40"/>
  <c r="V168" i="40"/>
  <c r="V167" i="40"/>
  <c r="V150" i="40"/>
  <c r="B137" i="40"/>
  <c r="B197" i="40" s="1"/>
  <c r="B298" i="40" s="1"/>
  <c r="T124" i="40"/>
  <c r="T122" i="40"/>
  <c r="T114" i="40"/>
  <c r="A113" i="40"/>
  <c r="A114" i="40" s="1"/>
  <c r="A115" i="40" s="1"/>
  <c r="A116" i="40" s="1"/>
  <c r="A117" i="40" s="1"/>
  <c r="A118" i="40" s="1"/>
  <c r="A119" i="40" s="1"/>
  <c r="A120" i="40" s="1"/>
  <c r="V102" i="40"/>
  <c r="A102" i="40"/>
  <c r="A103" i="40" s="1"/>
  <c r="T97" i="40"/>
  <c r="T96" i="40"/>
  <c r="T95" i="40"/>
  <c r="V95" i="40"/>
  <c r="V99" i="40" s="1"/>
  <c r="N86" i="40"/>
  <c r="V81" i="40"/>
  <c r="V80" i="40"/>
  <c r="L80" i="40"/>
  <c r="T70" i="40"/>
  <c r="N70" i="40"/>
  <c r="N83" i="40" s="1"/>
  <c r="V68" i="40"/>
  <c r="R70" i="40"/>
  <c r="T212" i="40"/>
  <c r="L67" i="40"/>
  <c r="L70" i="40" s="1"/>
  <c r="L83" i="40" s="1"/>
  <c r="R57" i="40"/>
  <c r="R56" i="40"/>
  <c r="V50" i="40"/>
  <c r="P43" i="40"/>
  <c r="L43" i="40"/>
  <c r="F43" i="40"/>
  <c r="D43" i="40"/>
  <c r="J36" i="40"/>
  <c r="H36" i="40"/>
  <c r="F36" i="40"/>
  <c r="D36" i="40"/>
  <c r="R35" i="40"/>
  <c r="P35" i="40"/>
  <c r="N35" i="40"/>
  <c r="L35" i="40"/>
  <c r="J35" i="40"/>
  <c r="H35" i="40"/>
  <c r="F35" i="40"/>
  <c r="D35" i="40"/>
  <c r="V34" i="40"/>
  <c r="S180" i="40" s="1"/>
  <c r="R33" i="40"/>
  <c r="P33" i="40"/>
  <c r="N33" i="40"/>
  <c r="L33" i="40"/>
  <c r="J33" i="40"/>
  <c r="H33" i="40"/>
  <c r="F33" i="40"/>
  <c r="D33" i="40"/>
  <c r="R32" i="40"/>
  <c r="P32" i="40"/>
  <c r="N32" i="40"/>
  <c r="L32" i="40"/>
  <c r="J32" i="40"/>
  <c r="H32" i="40"/>
  <c r="F32" i="40"/>
  <c r="D32" i="40"/>
  <c r="S251" i="40" l="1"/>
  <c r="U261" i="40"/>
  <c r="S248" i="40"/>
  <c r="S252" i="40"/>
  <c r="U265" i="40"/>
  <c r="S249" i="40"/>
  <c r="S253" i="40"/>
  <c r="S250" i="40"/>
  <c r="S254" i="40"/>
  <c r="U263" i="40"/>
  <c r="S245" i="41"/>
  <c r="U245" i="41"/>
  <c r="U254" i="40"/>
  <c r="S262" i="40"/>
  <c r="S266" i="40"/>
  <c r="S217" i="40"/>
  <c r="U252" i="40"/>
  <c r="U260" i="40"/>
  <c r="U262" i="40"/>
  <c r="U264" i="40"/>
  <c r="U266" i="40"/>
  <c r="S260" i="40"/>
  <c r="S264" i="40"/>
  <c r="T217" i="40"/>
  <c r="U250" i="40"/>
  <c r="S261" i="40"/>
  <c r="S263" i="40"/>
  <c r="S265" i="40"/>
  <c r="U249" i="40"/>
  <c r="U251" i="40"/>
  <c r="U253" i="40"/>
  <c r="T99" i="40"/>
  <c r="T133" i="40"/>
  <c r="V169" i="40"/>
  <c r="V35" i="40"/>
  <c r="V43" i="40" s="1"/>
  <c r="T204" i="40" s="1"/>
  <c r="T205" i="40" s="1"/>
  <c r="T283" i="40"/>
  <c r="V51" i="40"/>
  <c r="R245" i="40"/>
  <c r="S240" i="40" s="1"/>
  <c r="R283" i="40"/>
  <c r="U243" i="40"/>
  <c r="U242" i="40"/>
  <c r="U241" i="40"/>
  <c r="U240" i="40"/>
  <c r="U239" i="40"/>
  <c r="U238" i="40"/>
  <c r="U237" i="40"/>
  <c r="U236" i="40"/>
  <c r="V190" i="40"/>
  <c r="T206" i="40"/>
  <c r="V192" i="40"/>
  <c r="V188" i="40"/>
  <c r="V120" i="40"/>
  <c r="V133" i="40" s="1"/>
  <c r="V134" i="40" s="1"/>
  <c r="V36" i="40"/>
  <c r="V52" i="40"/>
  <c r="V67" i="40"/>
  <c r="V70" i="40" s="1"/>
  <c r="P70" i="40"/>
  <c r="V141" i="40"/>
  <c r="V170" i="39"/>
  <c r="S257" i="40" l="1"/>
  <c r="S241" i="40"/>
  <c r="S242" i="40"/>
  <c r="S237" i="40"/>
  <c r="S238" i="40"/>
  <c r="S269" i="40"/>
  <c r="U269" i="40"/>
  <c r="T134" i="40"/>
  <c r="U257" i="40"/>
  <c r="S239" i="40"/>
  <c r="S243" i="40"/>
  <c r="S236" i="40"/>
  <c r="V83" i="40"/>
  <c r="V176" i="40" s="1"/>
  <c r="V175" i="40"/>
  <c r="U245" i="40"/>
  <c r="S245" i="40" l="1"/>
  <c r="V103" i="39"/>
  <c r="V90" i="39"/>
  <c r="V89" i="39"/>
  <c r="T88" i="39"/>
  <c r="S182" i="39"/>
  <c r="R67" i="39"/>
  <c r="P67" i="39"/>
  <c r="P44" i="39"/>
  <c r="L44" i="39"/>
  <c r="F44" i="39"/>
  <c r="D44" i="39"/>
  <c r="U281" i="39" l="1"/>
  <c r="T281" i="39"/>
  <c r="S281" i="39"/>
  <c r="R281" i="39"/>
  <c r="S218" i="39" s="1"/>
  <c r="T269" i="39"/>
  <c r="T217" i="39" s="1"/>
  <c r="R269" i="39"/>
  <c r="S217" i="39" s="1"/>
  <c r="U267" i="39"/>
  <c r="S267" i="39"/>
  <c r="U266" i="39"/>
  <c r="S266" i="39"/>
  <c r="U265" i="39"/>
  <c r="S265" i="39"/>
  <c r="U264" i="39"/>
  <c r="S264" i="39"/>
  <c r="U263" i="39"/>
  <c r="S263" i="39"/>
  <c r="U262" i="39"/>
  <c r="S262" i="39"/>
  <c r="U261" i="39"/>
  <c r="S261" i="39"/>
  <c r="U260" i="39"/>
  <c r="S260" i="39"/>
  <c r="T257" i="39"/>
  <c r="U255" i="39" s="1"/>
  <c r="R257" i="39"/>
  <c r="S255" i="39" s="1"/>
  <c r="T243" i="39"/>
  <c r="R243" i="39"/>
  <c r="T242" i="39"/>
  <c r="R242" i="39"/>
  <c r="T241" i="39"/>
  <c r="R241" i="39"/>
  <c r="T240" i="39"/>
  <c r="R240" i="39"/>
  <c r="T239" i="39"/>
  <c r="R239" i="39"/>
  <c r="T238" i="39"/>
  <c r="R238" i="39"/>
  <c r="T237" i="39"/>
  <c r="R237" i="39"/>
  <c r="T236" i="39"/>
  <c r="T245" i="39" s="1"/>
  <c r="R236" i="39"/>
  <c r="R245" i="39" s="1"/>
  <c r="T222" i="39"/>
  <c r="T220" i="39"/>
  <c r="T218" i="39"/>
  <c r="V182" i="39"/>
  <c r="V168" i="39"/>
  <c r="V167" i="39"/>
  <c r="V150" i="39"/>
  <c r="B137" i="39"/>
  <c r="B197" i="39" s="1"/>
  <c r="B298" i="39" s="1"/>
  <c r="T122" i="39"/>
  <c r="T114" i="39"/>
  <c r="A113" i="39"/>
  <c r="A114" i="39" s="1"/>
  <c r="A115" i="39" s="1"/>
  <c r="A116" i="39" s="1"/>
  <c r="A117" i="39" s="1"/>
  <c r="A118" i="39" s="1"/>
  <c r="A119" i="39" s="1"/>
  <c r="A120" i="39" s="1"/>
  <c r="V102" i="39"/>
  <c r="A102" i="39"/>
  <c r="A103" i="39" s="1"/>
  <c r="T97" i="39"/>
  <c r="T96" i="39"/>
  <c r="V95" i="39"/>
  <c r="V99" i="39" s="1"/>
  <c r="T95" i="39"/>
  <c r="N86" i="39"/>
  <c r="V81" i="39"/>
  <c r="V80" i="39"/>
  <c r="L80" i="39"/>
  <c r="T70" i="39"/>
  <c r="N70" i="39"/>
  <c r="N83" i="39" s="1"/>
  <c r="V68" i="39"/>
  <c r="R70" i="39"/>
  <c r="T212" i="39"/>
  <c r="L67" i="39"/>
  <c r="L70" i="39" s="1"/>
  <c r="L83" i="39" s="1"/>
  <c r="R57" i="39"/>
  <c r="R56" i="39"/>
  <c r="V50" i="39"/>
  <c r="P43" i="39"/>
  <c r="L43" i="39"/>
  <c r="F43" i="39"/>
  <c r="D43" i="39"/>
  <c r="J36" i="39"/>
  <c r="H36" i="39"/>
  <c r="F36" i="39"/>
  <c r="D36" i="39"/>
  <c r="R35" i="39"/>
  <c r="P35" i="39"/>
  <c r="N35" i="39"/>
  <c r="L35" i="39"/>
  <c r="J35" i="39"/>
  <c r="H35" i="39"/>
  <c r="F35" i="39"/>
  <c r="D35" i="39"/>
  <c r="V34" i="39"/>
  <c r="V141" i="39" s="1"/>
  <c r="R33" i="39"/>
  <c r="P33" i="39"/>
  <c r="N33" i="39"/>
  <c r="L33" i="39"/>
  <c r="J33" i="39"/>
  <c r="H33" i="39"/>
  <c r="F33" i="39"/>
  <c r="D33" i="39"/>
  <c r="R32" i="39"/>
  <c r="P32" i="39"/>
  <c r="N32" i="39"/>
  <c r="L32" i="39"/>
  <c r="J32" i="39"/>
  <c r="H32" i="39"/>
  <c r="F32" i="39"/>
  <c r="D32" i="39"/>
  <c r="U269" i="39" l="1"/>
  <c r="U248" i="39"/>
  <c r="S250" i="39"/>
  <c r="S252" i="39"/>
  <c r="S269" i="39"/>
  <c r="T99" i="39"/>
  <c r="S254" i="39"/>
  <c r="V36" i="39"/>
  <c r="S180" i="39"/>
  <c r="S248" i="39"/>
  <c r="S249" i="39"/>
  <c r="S251" i="39"/>
  <c r="S253" i="39"/>
  <c r="V169" i="39"/>
  <c r="V51" i="39"/>
  <c r="V35" i="39"/>
  <c r="V43" i="39" s="1"/>
  <c r="T204" i="39" s="1"/>
  <c r="T205" i="39" s="1"/>
  <c r="T283" i="39"/>
  <c r="U249" i="39"/>
  <c r="U250" i="39"/>
  <c r="U251" i="39"/>
  <c r="U252" i="39"/>
  <c r="U253" i="39"/>
  <c r="U254" i="39"/>
  <c r="R283" i="39"/>
  <c r="U243" i="39"/>
  <c r="U242" i="39"/>
  <c r="U241" i="39"/>
  <c r="U240" i="39"/>
  <c r="U239" i="39"/>
  <c r="U238" i="39"/>
  <c r="U237" i="39"/>
  <c r="U236" i="39"/>
  <c r="V190" i="39"/>
  <c r="V120" i="39"/>
  <c r="T206" i="39"/>
  <c r="V192" i="39"/>
  <c r="V188" i="39"/>
  <c r="S243" i="39"/>
  <c r="S242" i="39"/>
  <c r="S241" i="39"/>
  <c r="S240" i="39"/>
  <c r="S239" i="39"/>
  <c r="S238" i="39"/>
  <c r="S237" i="39"/>
  <c r="S236" i="39"/>
  <c r="V52" i="39"/>
  <c r="V67" i="39"/>
  <c r="V70" i="39" s="1"/>
  <c r="P70" i="39"/>
  <c r="T124" i="39"/>
  <c r="T133" i="39" s="1"/>
  <c r="V103" i="38"/>
  <c r="V90" i="38"/>
  <c r="V89" i="38"/>
  <c r="S182" i="38"/>
  <c r="T88" i="38"/>
  <c r="R67" i="38"/>
  <c r="P67" i="38"/>
  <c r="P44" i="38"/>
  <c r="L44" i="38"/>
  <c r="F44" i="38"/>
  <c r="D44" i="38"/>
  <c r="T134" i="39" l="1"/>
  <c r="S257" i="39"/>
  <c r="V133" i="39"/>
  <c r="V134" i="39" s="1"/>
  <c r="U257" i="39"/>
  <c r="S245" i="39"/>
  <c r="V175" i="39"/>
  <c r="V83" i="39"/>
  <c r="V176" i="39" s="1"/>
  <c r="U245" i="39"/>
  <c r="U281" i="38"/>
  <c r="T281" i="38"/>
  <c r="S281" i="38"/>
  <c r="R281" i="38"/>
  <c r="S218" i="38" s="1"/>
  <c r="T269" i="38"/>
  <c r="U267" i="38" s="1"/>
  <c r="R269" i="38"/>
  <c r="S217" i="38" s="1"/>
  <c r="S265" i="38"/>
  <c r="S264" i="38"/>
  <c r="S262" i="38"/>
  <c r="S261" i="38"/>
  <c r="S260" i="38"/>
  <c r="T257" i="38"/>
  <c r="U255" i="38" s="1"/>
  <c r="R257" i="38"/>
  <c r="S255" i="38" s="1"/>
  <c r="S254" i="38"/>
  <c r="S253" i="38"/>
  <c r="S252" i="38"/>
  <c r="S251" i="38"/>
  <c r="S250" i="38"/>
  <c r="S249" i="38"/>
  <c r="S248" i="38"/>
  <c r="T243" i="38"/>
  <c r="R243" i="38"/>
  <c r="T242" i="38"/>
  <c r="R242" i="38"/>
  <c r="T241" i="38"/>
  <c r="R241" i="38"/>
  <c r="T240" i="38"/>
  <c r="R240" i="38"/>
  <c r="T239" i="38"/>
  <c r="R239" i="38"/>
  <c r="T238" i="38"/>
  <c r="R238" i="38"/>
  <c r="T237" i="38"/>
  <c r="R237" i="38"/>
  <c r="T236" i="38"/>
  <c r="R236" i="38"/>
  <c r="T222" i="38"/>
  <c r="T220" i="38"/>
  <c r="T218" i="38"/>
  <c r="T212" i="38"/>
  <c r="V182" i="38"/>
  <c r="V168" i="38"/>
  <c r="V167" i="38"/>
  <c r="V150" i="38"/>
  <c r="B137" i="38"/>
  <c r="B197" i="38" s="1"/>
  <c r="B298" i="38" s="1"/>
  <c r="T124" i="38"/>
  <c r="T122" i="38"/>
  <c r="T114" i="38"/>
  <c r="A113" i="38"/>
  <c r="A114" i="38" s="1"/>
  <c r="A115" i="38" s="1"/>
  <c r="A116" i="38" s="1"/>
  <c r="A117" i="38" s="1"/>
  <c r="A118" i="38" s="1"/>
  <c r="A119" i="38" s="1"/>
  <c r="A120" i="38" s="1"/>
  <c r="V102" i="38"/>
  <c r="A102" i="38"/>
  <c r="A103" i="38" s="1"/>
  <c r="T97" i="38"/>
  <c r="T96" i="38"/>
  <c r="V95" i="38"/>
  <c r="V99" i="38" s="1"/>
  <c r="T95" i="38"/>
  <c r="N86" i="38"/>
  <c r="V81" i="38"/>
  <c r="V80" i="38"/>
  <c r="L80" i="38"/>
  <c r="T70" i="38"/>
  <c r="N70" i="38"/>
  <c r="N83" i="38" s="1"/>
  <c r="V68" i="38"/>
  <c r="R70" i="38"/>
  <c r="P70" i="38"/>
  <c r="L67" i="38"/>
  <c r="L70" i="38" s="1"/>
  <c r="R57" i="38"/>
  <c r="R56" i="38"/>
  <c r="V50" i="38"/>
  <c r="P43" i="38"/>
  <c r="L43" i="38"/>
  <c r="F43" i="38"/>
  <c r="D43" i="38"/>
  <c r="J36" i="38"/>
  <c r="H36" i="38"/>
  <c r="F36" i="38"/>
  <c r="D36" i="38"/>
  <c r="R35" i="38"/>
  <c r="P35" i="38"/>
  <c r="N35" i="38"/>
  <c r="L35" i="38"/>
  <c r="J35" i="38"/>
  <c r="H35" i="38"/>
  <c r="F35" i="38"/>
  <c r="D35" i="38"/>
  <c r="V34" i="38"/>
  <c r="S180" i="38" s="1"/>
  <c r="R33" i="38"/>
  <c r="P33" i="38"/>
  <c r="N33" i="38"/>
  <c r="L33" i="38"/>
  <c r="J33" i="38"/>
  <c r="H33" i="38"/>
  <c r="F33" i="38"/>
  <c r="D33" i="38"/>
  <c r="R32" i="38"/>
  <c r="P32" i="38"/>
  <c r="N32" i="38"/>
  <c r="L32" i="38"/>
  <c r="J32" i="38"/>
  <c r="H32" i="38"/>
  <c r="F32" i="38"/>
  <c r="D32" i="38"/>
  <c r="S263" i="38" l="1"/>
  <c r="V169" i="38"/>
  <c r="L83" i="38"/>
  <c r="T99" i="38"/>
  <c r="T217" i="38"/>
  <c r="S266" i="38"/>
  <c r="V35" i="38"/>
  <c r="V43" i="38" s="1"/>
  <c r="T204" i="38" s="1"/>
  <c r="T205" i="38" s="1"/>
  <c r="T133" i="38"/>
  <c r="T134" i="38" s="1"/>
  <c r="V51" i="38"/>
  <c r="S267" i="38"/>
  <c r="T283" i="38"/>
  <c r="S257" i="38"/>
  <c r="T206" i="38"/>
  <c r="V192" i="38"/>
  <c r="V188" i="38"/>
  <c r="V120" i="38"/>
  <c r="V133" i="38" s="1"/>
  <c r="V134" i="38" s="1"/>
  <c r="V190" i="38"/>
  <c r="V36" i="38"/>
  <c r="R245" i="38"/>
  <c r="S237" i="38" s="1"/>
  <c r="T245" i="38"/>
  <c r="U237" i="38" s="1"/>
  <c r="R283" i="38"/>
  <c r="V52" i="38"/>
  <c r="V67" i="38"/>
  <c r="V70" i="38" s="1"/>
  <c r="V141" i="38"/>
  <c r="U248" i="38"/>
  <c r="U249" i="38"/>
  <c r="U250" i="38"/>
  <c r="U251" i="38"/>
  <c r="U252" i="38"/>
  <c r="U253" i="38"/>
  <c r="U254" i="38"/>
  <c r="U260" i="38"/>
  <c r="U261" i="38"/>
  <c r="U262" i="38"/>
  <c r="U263" i="38"/>
  <c r="U264" i="38"/>
  <c r="U265" i="38"/>
  <c r="U266" i="38"/>
  <c r="D32" i="37"/>
  <c r="D35" i="37"/>
  <c r="S269" i="38" l="1"/>
  <c r="S242" i="38"/>
  <c r="S238" i="38"/>
  <c r="S240" i="38"/>
  <c r="S236" i="38"/>
  <c r="U269" i="38"/>
  <c r="U242" i="38"/>
  <c r="U240" i="38"/>
  <c r="U238" i="38"/>
  <c r="U236" i="38"/>
  <c r="U257" i="38"/>
  <c r="V175" i="38"/>
  <c r="V83" i="38"/>
  <c r="V176" i="38" s="1"/>
  <c r="U243" i="38"/>
  <c r="U241" i="38"/>
  <c r="U239" i="38"/>
  <c r="S243" i="38"/>
  <c r="S241" i="38"/>
  <c r="S239" i="38"/>
  <c r="T88" i="37"/>
  <c r="P67" i="37"/>
  <c r="S245" i="38" l="1"/>
  <c r="U245" i="38"/>
  <c r="V103" i="37" l="1"/>
  <c r="V90" i="37"/>
  <c r="V89" i="37"/>
  <c r="S182" i="37"/>
  <c r="R67" i="37"/>
  <c r="P44" i="37"/>
  <c r="L44" i="37"/>
  <c r="F44" i="37"/>
  <c r="D44" i="37"/>
  <c r="V170" i="37" l="1"/>
  <c r="U281" i="37" l="1"/>
  <c r="T281" i="37"/>
  <c r="S281" i="37"/>
  <c r="R281" i="37"/>
  <c r="S218" i="37" s="1"/>
  <c r="T269" i="37"/>
  <c r="T217" i="37" s="1"/>
  <c r="R269" i="37"/>
  <c r="S266" i="37" s="1"/>
  <c r="S267" i="37"/>
  <c r="U266" i="37"/>
  <c r="U265" i="37"/>
  <c r="S265" i="37"/>
  <c r="U264" i="37"/>
  <c r="S264" i="37"/>
  <c r="U263" i="37"/>
  <c r="S263" i="37"/>
  <c r="U262" i="37"/>
  <c r="S262" i="37"/>
  <c r="U261" i="37"/>
  <c r="S261" i="37"/>
  <c r="U260" i="37"/>
  <c r="S260" i="37"/>
  <c r="T257" i="37"/>
  <c r="U254" i="37" s="1"/>
  <c r="R257" i="37"/>
  <c r="S254" i="37" s="1"/>
  <c r="U253" i="37"/>
  <c r="T243" i="37"/>
  <c r="R243" i="37"/>
  <c r="T242" i="37"/>
  <c r="R242" i="37"/>
  <c r="T241" i="37"/>
  <c r="R241" i="37"/>
  <c r="T240" i="37"/>
  <c r="R240" i="37"/>
  <c r="T239" i="37"/>
  <c r="R239" i="37"/>
  <c r="T238" i="37"/>
  <c r="R238" i="37"/>
  <c r="T237" i="37"/>
  <c r="R237" i="37"/>
  <c r="T236" i="37"/>
  <c r="R236" i="37"/>
  <c r="T222" i="37"/>
  <c r="T220" i="37"/>
  <c r="T218" i="37"/>
  <c r="S217" i="37"/>
  <c r="V182" i="37"/>
  <c r="V168" i="37"/>
  <c r="V167" i="37"/>
  <c r="V169" i="37" s="1"/>
  <c r="V150" i="37"/>
  <c r="B137" i="37"/>
  <c r="B197" i="37" s="1"/>
  <c r="B298" i="37" s="1"/>
  <c r="T124" i="37"/>
  <c r="T122" i="37"/>
  <c r="T133" i="37" s="1"/>
  <c r="T114" i="37"/>
  <c r="A113" i="37"/>
  <c r="A114" i="37" s="1"/>
  <c r="A115" i="37" s="1"/>
  <c r="A116" i="37" s="1"/>
  <c r="A117" i="37" s="1"/>
  <c r="A118" i="37" s="1"/>
  <c r="A119" i="37" s="1"/>
  <c r="A120" i="37" s="1"/>
  <c r="V102" i="37"/>
  <c r="A102" i="37"/>
  <c r="A103" i="37" s="1"/>
  <c r="T97" i="37"/>
  <c r="T96" i="37"/>
  <c r="V95" i="37"/>
  <c r="V99" i="37" s="1"/>
  <c r="T95" i="37"/>
  <c r="N86" i="37"/>
  <c r="V81" i="37"/>
  <c r="V80" i="37"/>
  <c r="L80" i="37"/>
  <c r="T70" i="37"/>
  <c r="N70" i="37"/>
  <c r="N83" i="37" s="1"/>
  <c r="V68" i="37"/>
  <c r="R70" i="37"/>
  <c r="T212" i="37"/>
  <c r="L67" i="37"/>
  <c r="L70" i="37" s="1"/>
  <c r="L83" i="37" s="1"/>
  <c r="R57" i="37"/>
  <c r="R56" i="37"/>
  <c r="V50" i="37"/>
  <c r="P43" i="37"/>
  <c r="L43" i="37"/>
  <c r="F43" i="37"/>
  <c r="D43" i="37"/>
  <c r="J36" i="37"/>
  <c r="H36" i="37"/>
  <c r="F36" i="37"/>
  <c r="D36" i="37"/>
  <c r="R35" i="37"/>
  <c r="P35" i="37"/>
  <c r="N35" i="37"/>
  <c r="L35" i="37"/>
  <c r="J35" i="37"/>
  <c r="H35" i="37"/>
  <c r="F35" i="37"/>
  <c r="V34" i="37"/>
  <c r="V141" i="37" s="1"/>
  <c r="R33" i="37"/>
  <c r="P33" i="37"/>
  <c r="N33" i="37"/>
  <c r="L33" i="37"/>
  <c r="J33" i="37"/>
  <c r="H33" i="37"/>
  <c r="F33" i="37"/>
  <c r="D33" i="37"/>
  <c r="R32" i="37"/>
  <c r="P32" i="37"/>
  <c r="N32" i="37"/>
  <c r="L32" i="37"/>
  <c r="J32" i="37"/>
  <c r="H32" i="37"/>
  <c r="F32" i="37"/>
  <c r="U267" i="37" l="1"/>
  <c r="T245" i="37"/>
  <c r="U243" i="37" s="1"/>
  <c r="S255" i="37"/>
  <c r="S269" i="37"/>
  <c r="U255" i="37"/>
  <c r="V51" i="37"/>
  <c r="V36" i="37"/>
  <c r="V35" i="37"/>
  <c r="V43" i="37" s="1"/>
  <c r="T204" i="37" s="1"/>
  <c r="T205" i="37" s="1"/>
  <c r="T99" i="37"/>
  <c r="T134" i="37" s="1"/>
  <c r="U269" i="37"/>
  <c r="U249" i="37"/>
  <c r="U251" i="37"/>
  <c r="U248" i="37"/>
  <c r="U250" i="37"/>
  <c r="U252" i="37"/>
  <c r="T283" i="37"/>
  <c r="R283" i="37"/>
  <c r="S248" i="37"/>
  <c r="S249" i="37"/>
  <c r="S250" i="37"/>
  <c r="S251" i="37"/>
  <c r="S252" i="37"/>
  <c r="S253" i="37"/>
  <c r="U240" i="37"/>
  <c r="U237" i="37"/>
  <c r="U241" i="37"/>
  <c r="U242" i="37"/>
  <c r="U239" i="37"/>
  <c r="U236" i="37"/>
  <c r="V120" i="37"/>
  <c r="V133" i="37" s="1"/>
  <c r="V134" i="37" s="1"/>
  <c r="V192" i="37"/>
  <c r="V188" i="37"/>
  <c r="V190" i="37"/>
  <c r="T206" i="37"/>
  <c r="V67" i="37"/>
  <c r="V70" i="37" s="1"/>
  <c r="P70" i="37"/>
  <c r="R245" i="37"/>
  <c r="S236" i="37" s="1"/>
  <c r="S180" i="37"/>
  <c r="V52" i="37"/>
  <c r="F33" i="36"/>
  <c r="U238" i="37" l="1"/>
  <c r="U245" i="37" s="1"/>
  <c r="U257" i="37"/>
  <c r="S237" i="37"/>
  <c r="S242" i="37"/>
  <c r="S257" i="37"/>
  <c r="S243" i="37"/>
  <c r="S240" i="37"/>
  <c r="S241" i="37"/>
  <c r="S238" i="37"/>
  <c r="V83" i="37"/>
  <c r="V176" i="37" s="1"/>
  <c r="V175" i="37"/>
  <c r="S239" i="37"/>
  <c r="S245" i="37" l="1"/>
  <c r="V103" i="36"/>
  <c r="V90" i="36"/>
  <c r="V89" i="36"/>
  <c r="S182" i="36"/>
  <c r="T88" i="36"/>
  <c r="R67" i="36"/>
  <c r="P67" i="36"/>
  <c r="P44" i="36"/>
  <c r="L44" i="36"/>
  <c r="F44" i="36"/>
  <c r="U281" i="36" l="1"/>
  <c r="T281" i="36"/>
  <c r="S281" i="36"/>
  <c r="R281" i="36"/>
  <c r="S218" i="36" s="1"/>
  <c r="T269" i="36"/>
  <c r="U267" i="36" s="1"/>
  <c r="R269" i="36"/>
  <c r="S267" i="36" s="1"/>
  <c r="T257" i="36"/>
  <c r="U254" i="36" s="1"/>
  <c r="R257" i="36"/>
  <c r="S255" i="36" s="1"/>
  <c r="T243" i="36"/>
  <c r="R243" i="36"/>
  <c r="T242" i="36"/>
  <c r="R242" i="36"/>
  <c r="T241" i="36"/>
  <c r="R241" i="36"/>
  <c r="T240" i="36"/>
  <c r="R240" i="36"/>
  <c r="T239" i="36"/>
  <c r="R239" i="36"/>
  <c r="T238" i="36"/>
  <c r="R238" i="36"/>
  <c r="T237" i="36"/>
  <c r="R237" i="36"/>
  <c r="T236" i="36"/>
  <c r="R236" i="36"/>
  <c r="T222" i="36"/>
  <c r="T220" i="36"/>
  <c r="T218" i="36"/>
  <c r="T212" i="36"/>
  <c r="V182" i="36"/>
  <c r="V168" i="36"/>
  <c r="V167" i="36"/>
  <c r="V150" i="36"/>
  <c r="B137" i="36"/>
  <c r="B197" i="36" s="1"/>
  <c r="B298" i="36" s="1"/>
  <c r="T124" i="36"/>
  <c r="T122" i="36"/>
  <c r="T114" i="36"/>
  <c r="A113" i="36"/>
  <c r="A114" i="36" s="1"/>
  <c r="A115" i="36" s="1"/>
  <c r="A116" i="36" s="1"/>
  <c r="A117" i="36" s="1"/>
  <c r="A118" i="36" s="1"/>
  <c r="A119" i="36" s="1"/>
  <c r="A120" i="36" s="1"/>
  <c r="V102" i="36"/>
  <c r="A102" i="36"/>
  <c r="A103" i="36" s="1"/>
  <c r="T97" i="36"/>
  <c r="T96" i="36"/>
  <c r="V95" i="36"/>
  <c r="V99" i="36" s="1"/>
  <c r="T95" i="36"/>
  <c r="N86" i="36"/>
  <c r="V81" i="36"/>
  <c r="V80" i="36"/>
  <c r="L80" i="36"/>
  <c r="T70" i="36"/>
  <c r="P70" i="36"/>
  <c r="N70" i="36"/>
  <c r="N83" i="36" s="1"/>
  <c r="V68" i="36"/>
  <c r="R70" i="36"/>
  <c r="L67" i="36"/>
  <c r="L70" i="36" s="1"/>
  <c r="R57" i="36"/>
  <c r="R56" i="36"/>
  <c r="V50" i="36"/>
  <c r="P43" i="36"/>
  <c r="L43" i="36"/>
  <c r="F43" i="36"/>
  <c r="J36" i="36"/>
  <c r="H36" i="36"/>
  <c r="F36" i="36"/>
  <c r="R35" i="36"/>
  <c r="P35" i="36"/>
  <c r="N35" i="36"/>
  <c r="L35" i="36"/>
  <c r="J35" i="36"/>
  <c r="H35" i="36"/>
  <c r="F35" i="36"/>
  <c r="V34" i="36"/>
  <c r="V141" i="36" s="1"/>
  <c r="R33" i="36"/>
  <c r="P33" i="36"/>
  <c r="N33" i="36"/>
  <c r="L33" i="36"/>
  <c r="J33" i="36"/>
  <c r="H33" i="36"/>
  <c r="R32" i="36"/>
  <c r="P32" i="36"/>
  <c r="N32" i="36"/>
  <c r="L32" i="36"/>
  <c r="J32" i="36"/>
  <c r="H32" i="36"/>
  <c r="F32" i="36"/>
  <c r="V36" i="36" l="1"/>
  <c r="V51" i="36"/>
  <c r="L83" i="36"/>
  <c r="V35" i="36"/>
  <c r="V43" i="36" s="1"/>
  <c r="T204" i="36" s="1"/>
  <c r="T205" i="36" s="1"/>
  <c r="T99" i="36"/>
  <c r="T133" i="36"/>
  <c r="V169" i="36"/>
  <c r="U251" i="36"/>
  <c r="S180" i="36"/>
  <c r="U253" i="36"/>
  <c r="U260" i="36"/>
  <c r="U261" i="36"/>
  <c r="U264" i="36"/>
  <c r="U265" i="36"/>
  <c r="U262" i="36"/>
  <c r="U266" i="36"/>
  <c r="T217" i="36"/>
  <c r="U263" i="36"/>
  <c r="S266" i="36"/>
  <c r="S264" i="36"/>
  <c r="S260" i="36"/>
  <c r="S262" i="36"/>
  <c r="U255" i="36"/>
  <c r="U249" i="36"/>
  <c r="T245" i="36"/>
  <c r="U241" i="36" s="1"/>
  <c r="U248" i="36"/>
  <c r="U252" i="36"/>
  <c r="T283" i="36"/>
  <c r="U250" i="36"/>
  <c r="S250" i="36"/>
  <c r="R283" i="36"/>
  <c r="S248" i="36"/>
  <c r="S254" i="36"/>
  <c r="S252" i="36"/>
  <c r="V120" i="36"/>
  <c r="V133" i="36" s="1"/>
  <c r="V134" i="36" s="1"/>
  <c r="V192" i="36"/>
  <c r="V190" i="36"/>
  <c r="T206" i="36"/>
  <c r="V188" i="36"/>
  <c r="V67" i="36"/>
  <c r="V70" i="36" s="1"/>
  <c r="R245" i="36"/>
  <c r="S237" i="36" s="1"/>
  <c r="S217" i="36"/>
  <c r="V52" i="36"/>
  <c r="S249" i="36"/>
  <c r="S251" i="36"/>
  <c r="S253" i="36"/>
  <c r="S261" i="36"/>
  <c r="S263" i="36"/>
  <c r="S265" i="36"/>
  <c r="T134" i="36" l="1"/>
  <c r="U257" i="36"/>
  <c r="U269" i="36"/>
  <c r="U239" i="36"/>
  <c r="U238" i="36"/>
  <c r="U240" i="36"/>
  <c r="U243" i="36"/>
  <c r="U236" i="36"/>
  <c r="U242" i="36"/>
  <c r="S269" i="36"/>
  <c r="U237" i="36"/>
  <c r="S257" i="36"/>
  <c r="S240" i="36"/>
  <c r="S238" i="36"/>
  <c r="S243" i="36"/>
  <c r="S242" i="36"/>
  <c r="S236" i="36"/>
  <c r="S241" i="36"/>
  <c r="S239" i="36"/>
  <c r="V83" i="36"/>
  <c r="V176" i="36" s="1"/>
  <c r="V175" i="36"/>
  <c r="T89" i="35"/>
  <c r="P68" i="35"/>
  <c r="U245" i="36" l="1"/>
  <c r="S245" i="36"/>
  <c r="V106" i="35"/>
  <c r="V104" i="35"/>
  <c r="V91" i="35"/>
  <c r="V90" i="35"/>
  <c r="S183" i="35"/>
  <c r="R68" i="35"/>
  <c r="P44" i="35"/>
  <c r="L44" i="35"/>
  <c r="F44" i="35"/>
  <c r="T282" i="35" l="1"/>
  <c r="R282" i="35"/>
  <c r="T270" i="35"/>
  <c r="U268" i="35" s="1"/>
  <c r="R270" i="35"/>
  <c r="S268" i="35" s="1"/>
  <c r="T258" i="35"/>
  <c r="U256" i="35" s="1"/>
  <c r="R258" i="35"/>
  <c r="S256" i="35" s="1"/>
  <c r="T244" i="35"/>
  <c r="R244" i="35"/>
  <c r="T243" i="35"/>
  <c r="R243" i="35"/>
  <c r="T242" i="35"/>
  <c r="R242" i="35"/>
  <c r="T241" i="35"/>
  <c r="R241" i="35"/>
  <c r="T240" i="35"/>
  <c r="R240" i="35"/>
  <c r="T239" i="35"/>
  <c r="R239" i="35"/>
  <c r="T238" i="35"/>
  <c r="R238" i="35"/>
  <c r="T237" i="35"/>
  <c r="R237" i="35"/>
  <c r="T223" i="35"/>
  <c r="T221" i="35"/>
  <c r="T125" i="35"/>
  <c r="V169" i="35"/>
  <c r="V168" i="35"/>
  <c r="V151" i="35"/>
  <c r="B138" i="35"/>
  <c r="B198" i="35" s="1"/>
  <c r="B293" i="35" s="1"/>
  <c r="T123" i="35"/>
  <c r="T115" i="35"/>
  <c r="A114" i="35"/>
  <c r="A115" i="35" s="1"/>
  <c r="A116" i="35" s="1"/>
  <c r="A117" i="35" s="1"/>
  <c r="A118" i="35" s="1"/>
  <c r="A119" i="35" s="1"/>
  <c r="A120" i="35" s="1"/>
  <c r="A121" i="35" s="1"/>
  <c r="V103" i="35"/>
  <c r="A103" i="35"/>
  <c r="A104" i="35" s="1"/>
  <c r="T98" i="35"/>
  <c r="T97" i="35"/>
  <c r="T96" i="35"/>
  <c r="V96" i="35"/>
  <c r="V100" i="35" s="1"/>
  <c r="N87" i="35"/>
  <c r="V82" i="35"/>
  <c r="V81" i="35"/>
  <c r="L81" i="35"/>
  <c r="T71" i="35"/>
  <c r="R71" i="35"/>
  <c r="N71" i="35"/>
  <c r="N84" i="35" s="1"/>
  <c r="V69" i="35"/>
  <c r="T213" i="35"/>
  <c r="L68" i="35"/>
  <c r="L71" i="35" s="1"/>
  <c r="R58" i="35"/>
  <c r="R57" i="35"/>
  <c r="V50" i="35"/>
  <c r="P43" i="35"/>
  <c r="L43" i="35"/>
  <c r="F43" i="35"/>
  <c r="J36" i="35"/>
  <c r="H36" i="35"/>
  <c r="F36" i="35"/>
  <c r="D36" i="35"/>
  <c r="R35" i="35"/>
  <c r="P35" i="35"/>
  <c r="N35" i="35"/>
  <c r="L35" i="35"/>
  <c r="J35" i="35"/>
  <c r="H35" i="35"/>
  <c r="F35" i="35"/>
  <c r="D35" i="35"/>
  <c r="V34" i="35"/>
  <c r="V142" i="35" s="1"/>
  <c r="R33" i="35"/>
  <c r="P33" i="35"/>
  <c r="N33" i="35"/>
  <c r="L33" i="35"/>
  <c r="J33" i="35"/>
  <c r="H33" i="35"/>
  <c r="F33" i="35"/>
  <c r="D33" i="35"/>
  <c r="R32" i="35"/>
  <c r="P32" i="35"/>
  <c r="N32" i="35"/>
  <c r="L32" i="35"/>
  <c r="J32" i="35"/>
  <c r="H32" i="35"/>
  <c r="F32" i="35"/>
  <c r="D32" i="35"/>
  <c r="T134" i="35" l="1"/>
  <c r="S252" i="35"/>
  <c r="L84" i="35"/>
  <c r="T100" i="35"/>
  <c r="T135" i="35" s="1"/>
  <c r="V36" i="35"/>
  <c r="U265" i="35"/>
  <c r="U263" i="35"/>
  <c r="T218" i="35"/>
  <c r="U267" i="35"/>
  <c r="U261" i="35"/>
  <c r="S218" i="35"/>
  <c r="S261" i="35"/>
  <c r="S266" i="35"/>
  <c r="R246" i="35"/>
  <c r="S237" i="35" s="1"/>
  <c r="U253" i="35"/>
  <c r="U249" i="35"/>
  <c r="U255" i="35"/>
  <c r="U251" i="35"/>
  <c r="T284" i="35"/>
  <c r="S250" i="35"/>
  <c r="S251" i="35"/>
  <c r="S254" i="35"/>
  <c r="S249" i="35"/>
  <c r="S255" i="35"/>
  <c r="S253" i="35"/>
  <c r="S181" i="35"/>
  <c r="S264" i="35"/>
  <c r="S267" i="35"/>
  <c r="T219" i="35"/>
  <c r="S262" i="35"/>
  <c r="S265" i="35"/>
  <c r="S263" i="35"/>
  <c r="V170" i="35"/>
  <c r="V51" i="35"/>
  <c r="V35" i="35"/>
  <c r="V191" i="35"/>
  <c r="T207" i="35"/>
  <c r="V189" i="35"/>
  <c r="V121" i="35"/>
  <c r="V193" i="35"/>
  <c r="V52" i="35"/>
  <c r="T246" i="35"/>
  <c r="U241" i="35" s="1"/>
  <c r="R284" i="35"/>
  <c r="S219" i="35"/>
  <c r="U250" i="35"/>
  <c r="U252" i="35"/>
  <c r="U254" i="35"/>
  <c r="U262" i="35"/>
  <c r="U264" i="35"/>
  <c r="U266" i="35"/>
  <c r="V183" i="35"/>
  <c r="V68" i="35"/>
  <c r="V71" i="35" s="1"/>
  <c r="P71" i="35"/>
  <c r="S282" i="35"/>
  <c r="T123" i="34"/>
  <c r="R68" i="34"/>
  <c r="P68" i="34"/>
  <c r="V43" i="35" l="1"/>
  <c r="T205" i="35" s="1"/>
  <c r="T206" i="35" s="1"/>
  <c r="V134" i="35"/>
  <c r="V135" i="35" s="1"/>
  <c r="U282" i="35"/>
  <c r="S238" i="35"/>
  <c r="S244" i="35"/>
  <c r="S239" i="35"/>
  <c r="S240" i="35"/>
  <c r="S241" i="35"/>
  <c r="S242" i="35"/>
  <c r="S243" i="35"/>
  <c r="S270" i="35"/>
  <c r="U238" i="35"/>
  <c r="S258" i="35"/>
  <c r="U270" i="35"/>
  <c r="U237" i="35"/>
  <c r="U258" i="35"/>
  <c r="U244" i="35"/>
  <c r="U242" i="35"/>
  <c r="U243" i="35"/>
  <c r="V176" i="35"/>
  <c r="V84" i="35"/>
  <c r="V177" i="35" s="1"/>
  <c r="U240" i="35"/>
  <c r="U239" i="35"/>
  <c r="V106" i="34"/>
  <c r="V104" i="34"/>
  <c r="V91" i="34"/>
  <c r="V90" i="34"/>
  <c r="S183" i="34"/>
  <c r="T89" i="34"/>
  <c r="P44" i="34"/>
  <c r="L44" i="34"/>
  <c r="F44" i="34"/>
  <c r="S246" i="35" l="1"/>
  <c r="U246" i="35"/>
  <c r="R258" i="34"/>
  <c r="T282" i="34" l="1"/>
  <c r="U273" i="34" s="1"/>
  <c r="R282" i="34"/>
  <c r="S273" i="34" s="1"/>
  <c r="U280" i="34"/>
  <c r="U279" i="34"/>
  <c r="T270" i="34"/>
  <c r="U268" i="34" s="1"/>
  <c r="R270" i="34"/>
  <c r="S265" i="34" s="1"/>
  <c r="U265" i="34"/>
  <c r="S264" i="34"/>
  <c r="U262" i="34"/>
  <c r="S262" i="34"/>
  <c r="U261" i="34"/>
  <c r="T258" i="34"/>
  <c r="U256" i="34" s="1"/>
  <c r="S256" i="34"/>
  <c r="S253" i="34"/>
  <c r="S252" i="34"/>
  <c r="S251" i="34"/>
  <c r="S250" i="34"/>
  <c r="S249" i="34"/>
  <c r="T244" i="34"/>
  <c r="R244" i="34"/>
  <c r="T243" i="34"/>
  <c r="R243" i="34"/>
  <c r="T242" i="34"/>
  <c r="R242" i="34"/>
  <c r="T241" i="34"/>
  <c r="R241" i="34"/>
  <c r="T240" i="34"/>
  <c r="R240" i="34"/>
  <c r="T239" i="34"/>
  <c r="R239" i="34"/>
  <c r="T238" i="34"/>
  <c r="R238" i="34"/>
  <c r="T237" i="34"/>
  <c r="R237" i="34"/>
  <c r="T223" i="34"/>
  <c r="T221" i="34"/>
  <c r="T219" i="34"/>
  <c r="T218" i="34"/>
  <c r="S218" i="34"/>
  <c r="V183" i="34"/>
  <c r="V169" i="34"/>
  <c r="V168" i="34"/>
  <c r="V151" i="34"/>
  <c r="B138" i="34"/>
  <c r="B198" i="34" s="1"/>
  <c r="B293" i="34" s="1"/>
  <c r="T125" i="34"/>
  <c r="T134" i="34" s="1"/>
  <c r="T115" i="34"/>
  <c r="A114" i="34"/>
  <c r="A115" i="34" s="1"/>
  <c r="A116" i="34" s="1"/>
  <c r="A117" i="34" s="1"/>
  <c r="A118" i="34" s="1"/>
  <c r="A119" i="34" s="1"/>
  <c r="A120" i="34" s="1"/>
  <c r="A121" i="34" s="1"/>
  <c r="V103" i="34"/>
  <c r="A103" i="34"/>
  <c r="A104" i="34" s="1"/>
  <c r="T98" i="34"/>
  <c r="T97" i="34"/>
  <c r="V96" i="34"/>
  <c r="V100" i="34" s="1"/>
  <c r="T96" i="34"/>
  <c r="N87" i="34"/>
  <c r="V82" i="34"/>
  <c r="V81" i="34"/>
  <c r="L81" i="34"/>
  <c r="T71" i="34"/>
  <c r="N71" i="34"/>
  <c r="N84" i="34" s="1"/>
  <c r="V69" i="34"/>
  <c r="R71" i="34"/>
  <c r="T213" i="34"/>
  <c r="L68" i="34"/>
  <c r="L71" i="34" s="1"/>
  <c r="L84" i="34" s="1"/>
  <c r="R58" i="34"/>
  <c r="R57" i="34"/>
  <c r="V50" i="34"/>
  <c r="P43" i="34"/>
  <c r="L43" i="34"/>
  <c r="F43" i="34"/>
  <c r="J36" i="34"/>
  <c r="H36" i="34"/>
  <c r="F36" i="34"/>
  <c r="D36" i="34"/>
  <c r="R35" i="34"/>
  <c r="P35" i="34"/>
  <c r="N35" i="34"/>
  <c r="L35" i="34"/>
  <c r="J35" i="34"/>
  <c r="H35" i="34"/>
  <c r="F35" i="34"/>
  <c r="D35" i="34"/>
  <c r="V34" i="34"/>
  <c r="S181" i="34" s="1"/>
  <c r="R33" i="34"/>
  <c r="P33" i="34"/>
  <c r="N33" i="34"/>
  <c r="L33" i="34"/>
  <c r="J33" i="34"/>
  <c r="H33" i="34"/>
  <c r="F33" i="34"/>
  <c r="D33" i="34"/>
  <c r="R32" i="34"/>
  <c r="P32" i="34"/>
  <c r="N32" i="34"/>
  <c r="L32" i="34"/>
  <c r="J32" i="34"/>
  <c r="H32" i="34"/>
  <c r="F32" i="34"/>
  <c r="D32" i="34"/>
  <c r="S261" i="34" l="1"/>
  <c r="S263" i="34"/>
  <c r="S268" i="34"/>
  <c r="S266" i="34"/>
  <c r="U254" i="34"/>
  <c r="U263" i="34"/>
  <c r="S267" i="34"/>
  <c r="S279" i="34"/>
  <c r="U267" i="34"/>
  <c r="U264" i="34"/>
  <c r="U266" i="34"/>
  <c r="V35" i="34"/>
  <c r="V43" i="34" s="1"/>
  <c r="T205" i="34" s="1"/>
  <c r="T206" i="34" s="1"/>
  <c r="T100" i="34"/>
  <c r="T135" i="34" s="1"/>
  <c r="S219" i="34"/>
  <c r="S280" i="34"/>
  <c r="V121" i="34"/>
  <c r="V134" i="34" s="1"/>
  <c r="V135" i="34" s="1"/>
  <c r="V170" i="34"/>
  <c r="V51" i="34"/>
  <c r="U282" i="34"/>
  <c r="T246" i="34"/>
  <c r="U238" i="34" s="1"/>
  <c r="T284" i="34"/>
  <c r="U249" i="34"/>
  <c r="U250" i="34"/>
  <c r="U251" i="34"/>
  <c r="U252" i="34"/>
  <c r="U253" i="34"/>
  <c r="S254" i="34"/>
  <c r="R246" i="34"/>
  <c r="S238" i="34" s="1"/>
  <c r="S255" i="34"/>
  <c r="R284" i="34"/>
  <c r="V191" i="34"/>
  <c r="T207" i="34"/>
  <c r="V193" i="34"/>
  <c r="V189" i="34"/>
  <c r="V36" i="34"/>
  <c r="V52" i="34"/>
  <c r="V68" i="34"/>
  <c r="V71" i="34" s="1"/>
  <c r="P71" i="34"/>
  <c r="V142" i="34"/>
  <c r="U255" i="34"/>
  <c r="T89" i="33"/>
  <c r="P68" i="33"/>
  <c r="U270" i="34" l="1"/>
  <c r="S270" i="34"/>
  <c r="S282" i="34"/>
  <c r="S258" i="34"/>
  <c r="U241" i="34"/>
  <c r="U237" i="34"/>
  <c r="U258" i="34"/>
  <c r="U243" i="34"/>
  <c r="U239" i="34"/>
  <c r="U244" i="34"/>
  <c r="U242" i="34"/>
  <c r="U240" i="34"/>
  <c r="S243" i="34"/>
  <c r="S241" i="34"/>
  <c r="S239" i="34"/>
  <c r="S237" i="34"/>
  <c r="S244" i="34"/>
  <c r="S242" i="34"/>
  <c r="S240" i="34"/>
  <c r="V84" i="34"/>
  <c r="V177" i="34" s="1"/>
  <c r="V176" i="34"/>
  <c r="V106" i="33"/>
  <c r="V104" i="33"/>
  <c r="V91" i="33"/>
  <c r="V90" i="33"/>
  <c r="S183" i="33"/>
  <c r="R68" i="33"/>
  <c r="P44" i="33"/>
  <c r="L44" i="33"/>
  <c r="F44" i="33"/>
  <c r="U246" i="34" l="1"/>
  <c r="S246" i="34"/>
  <c r="V171" i="33"/>
  <c r="T282" i="33" l="1"/>
  <c r="R282" i="33"/>
  <c r="T270" i="33"/>
  <c r="U266" i="33" s="1"/>
  <c r="R270" i="33"/>
  <c r="S267" i="33" s="1"/>
  <c r="T258" i="33"/>
  <c r="U253" i="33" s="1"/>
  <c r="R258" i="33"/>
  <c r="S256" i="33" s="1"/>
  <c r="U256" i="33"/>
  <c r="U255" i="33"/>
  <c r="U254" i="33"/>
  <c r="S253" i="33"/>
  <c r="U252" i="33"/>
  <c r="U251" i="33"/>
  <c r="S251" i="33"/>
  <c r="U250" i="33"/>
  <c r="U249" i="33"/>
  <c r="S249" i="33"/>
  <c r="T244" i="33"/>
  <c r="R244" i="33"/>
  <c r="T243" i="33"/>
  <c r="R243" i="33"/>
  <c r="T242" i="33"/>
  <c r="R242" i="33"/>
  <c r="T241" i="33"/>
  <c r="R241" i="33"/>
  <c r="T240" i="33"/>
  <c r="R240" i="33"/>
  <c r="T239" i="33"/>
  <c r="R239" i="33"/>
  <c r="T238" i="33"/>
  <c r="R238" i="33"/>
  <c r="T237" i="33"/>
  <c r="R237" i="33"/>
  <c r="T223" i="33"/>
  <c r="T221" i="33"/>
  <c r="T219" i="33"/>
  <c r="S219" i="33"/>
  <c r="V183" i="33"/>
  <c r="V169" i="33"/>
  <c r="V168" i="33"/>
  <c r="V151" i="33"/>
  <c r="B138" i="33"/>
  <c r="B198" i="33" s="1"/>
  <c r="B293" i="33" s="1"/>
  <c r="T125" i="33"/>
  <c r="T123" i="33"/>
  <c r="T115" i="33"/>
  <c r="A114" i="33"/>
  <c r="A115" i="33" s="1"/>
  <c r="A116" i="33" s="1"/>
  <c r="A117" i="33" s="1"/>
  <c r="A118" i="33" s="1"/>
  <c r="A119" i="33" s="1"/>
  <c r="A120" i="33" s="1"/>
  <c r="A121" i="33" s="1"/>
  <c r="V103" i="33"/>
  <c r="A103" i="33"/>
  <c r="A104" i="33" s="1"/>
  <c r="T98" i="33"/>
  <c r="T97" i="33"/>
  <c r="V96" i="33"/>
  <c r="V100" i="33" s="1"/>
  <c r="T96" i="33"/>
  <c r="N87" i="33"/>
  <c r="V82" i="33"/>
  <c r="V81" i="33"/>
  <c r="L81" i="33"/>
  <c r="T71" i="33"/>
  <c r="R71" i="33"/>
  <c r="N71" i="33"/>
  <c r="N84" i="33" s="1"/>
  <c r="V69" i="33"/>
  <c r="T213" i="33"/>
  <c r="L68" i="33"/>
  <c r="L71" i="33" s="1"/>
  <c r="R58" i="33"/>
  <c r="R57" i="33"/>
  <c r="V50" i="33"/>
  <c r="P43" i="33"/>
  <c r="L43" i="33"/>
  <c r="F43" i="33"/>
  <c r="J36" i="33"/>
  <c r="H36" i="33"/>
  <c r="F36" i="33"/>
  <c r="D36" i="33"/>
  <c r="R35" i="33"/>
  <c r="P35" i="33"/>
  <c r="N35" i="33"/>
  <c r="L35" i="33"/>
  <c r="J35" i="33"/>
  <c r="H35" i="33"/>
  <c r="F35" i="33"/>
  <c r="D35" i="33"/>
  <c r="V34" i="33"/>
  <c r="S181" i="33" s="1"/>
  <c r="R33" i="33"/>
  <c r="P33" i="33"/>
  <c r="N33" i="33"/>
  <c r="L33" i="33"/>
  <c r="J33" i="33"/>
  <c r="H33" i="33"/>
  <c r="F33" i="33"/>
  <c r="D33" i="33"/>
  <c r="R32" i="33"/>
  <c r="P32" i="33"/>
  <c r="N32" i="33"/>
  <c r="L32" i="33"/>
  <c r="J32" i="33"/>
  <c r="H32" i="33"/>
  <c r="F32" i="33"/>
  <c r="D32" i="33"/>
  <c r="T218" i="33" l="1"/>
  <c r="S255" i="33"/>
  <c r="L84" i="33"/>
  <c r="U258" i="33"/>
  <c r="S218" i="33"/>
  <c r="S250" i="33"/>
  <c r="S252" i="33"/>
  <c r="S254" i="33"/>
  <c r="U267" i="33"/>
  <c r="S261" i="33"/>
  <c r="S268" i="33"/>
  <c r="S280" i="33"/>
  <c r="S279" i="33"/>
  <c r="V51" i="33"/>
  <c r="V36" i="33"/>
  <c r="T100" i="33"/>
  <c r="V170" i="33"/>
  <c r="U268" i="33"/>
  <c r="U280" i="33"/>
  <c r="U279" i="33"/>
  <c r="U282" i="33" s="1"/>
  <c r="T134" i="33"/>
  <c r="V35" i="33"/>
  <c r="V43" i="33" s="1"/>
  <c r="T205" i="33" s="1"/>
  <c r="T206" i="33" s="1"/>
  <c r="U263" i="33"/>
  <c r="U261" i="33"/>
  <c r="U265" i="33"/>
  <c r="U262" i="33"/>
  <c r="U264" i="33"/>
  <c r="S262" i="33"/>
  <c r="S263" i="33"/>
  <c r="S264" i="33"/>
  <c r="S265" i="33"/>
  <c r="S266" i="33"/>
  <c r="T246" i="33"/>
  <c r="U238" i="33" s="1"/>
  <c r="T284" i="33"/>
  <c r="R284" i="33"/>
  <c r="R246" i="33"/>
  <c r="S238" i="33" s="1"/>
  <c r="V191" i="33"/>
  <c r="T207" i="33"/>
  <c r="V193" i="33"/>
  <c r="V189" i="33"/>
  <c r="V121" i="33"/>
  <c r="V134" i="33" s="1"/>
  <c r="V135" i="33" s="1"/>
  <c r="V68" i="33"/>
  <c r="V71" i="33" s="1"/>
  <c r="P71" i="33"/>
  <c r="V142" i="33"/>
  <c r="V52" i="33"/>
  <c r="U237" i="33" l="1"/>
  <c r="U244" i="33"/>
  <c r="U239" i="33"/>
  <c r="U243" i="33"/>
  <c r="S258" i="33"/>
  <c r="U242" i="33"/>
  <c r="U241" i="33"/>
  <c r="T135" i="33"/>
  <c r="U270" i="33"/>
  <c r="U240" i="33"/>
  <c r="S270" i="33"/>
  <c r="S237" i="33"/>
  <c r="S244" i="33"/>
  <c r="S242" i="33"/>
  <c r="S243" i="33"/>
  <c r="S241" i="33"/>
  <c r="S239" i="33"/>
  <c r="S240" i="33"/>
  <c r="V176" i="33"/>
  <c r="V84" i="33"/>
  <c r="V177" i="33" s="1"/>
  <c r="U246" i="33" l="1"/>
  <c r="S246" i="33"/>
  <c r="V106" i="32"/>
  <c r="V104" i="32"/>
  <c r="V91" i="32"/>
  <c r="V90" i="32"/>
  <c r="T89" i="32"/>
  <c r="P68" i="32"/>
  <c r="P44" i="32"/>
  <c r="L44" i="32"/>
  <c r="F44" i="32"/>
  <c r="T282" i="32" l="1"/>
  <c r="T219" i="32" s="1"/>
  <c r="R282" i="32"/>
  <c r="S219" i="32" s="1"/>
  <c r="S282" i="32"/>
  <c r="T270" i="32"/>
  <c r="U268" i="32" s="1"/>
  <c r="R270" i="32"/>
  <c r="S218" i="32" s="1"/>
  <c r="T258" i="32"/>
  <c r="U256" i="32" s="1"/>
  <c r="R258" i="32"/>
  <c r="S256" i="32" s="1"/>
  <c r="T244" i="32"/>
  <c r="R244" i="32"/>
  <c r="T243" i="32"/>
  <c r="R243" i="32"/>
  <c r="T242" i="32"/>
  <c r="R242" i="32"/>
  <c r="T241" i="32"/>
  <c r="R241" i="32"/>
  <c r="T240" i="32"/>
  <c r="R240" i="32"/>
  <c r="T239" i="32"/>
  <c r="R239" i="32"/>
  <c r="T238" i="32"/>
  <c r="R238" i="32"/>
  <c r="T237" i="32"/>
  <c r="R237" i="32"/>
  <c r="T223" i="32"/>
  <c r="T221" i="32"/>
  <c r="V183" i="32"/>
  <c r="V169" i="32"/>
  <c r="V168" i="32"/>
  <c r="V151" i="32"/>
  <c r="B138" i="32"/>
  <c r="B198" i="32" s="1"/>
  <c r="B293" i="32" s="1"/>
  <c r="T125" i="32"/>
  <c r="T123" i="32"/>
  <c r="T115" i="32"/>
  <c r="A114" i="32"/>
  <c r="A115" i="32" s="1"/>
  <c r="A116" i="32" s="1"/>
  <c r="A117" i="32" s="1"/>
  <c r="A118" i="32" s="1"/>
  <c r="A119" i="32" s="1"/>
  <c r="A120" i="32" s="1"/>
  <c r="A121" i="32" s="1"/>
  <c r="V103" i="32"/>
  <c r="A103" i="32"/>
  <c r="A104" i="32" s="1"/>
  <c r="T98" i="32"/>
  <c r="T97" i="32"/>
  <c r="T96" i="32"/>
  <c r="V96" i="32"/>
  <c r="V100" i="32" s="1"/>
  <c r="N87" i="32"/>
  <c r="V82" i="32"/>
  <c r="V81" i="32"/>
  <c r="L81" i="32"/>
  <c r="T71" i="32"/>
  <c r="N71" i="32"/>
  <c r="N84" i="32" s="1"/>
  <c r="V69" i="32"/>
  <c r="R71" i="32"/>
  <c r="T213" i="32"/>
  <c r="L68" i="32"/>
  <c r="L71" i="32" s="1"/>
  <c r="R58" i="32"/>
  <c r="R57" i="32"/>
  <c r="V50" i="32"/>
  <c r="P43" i="32"/>
  <c r="L43" i="32"/>
  <c r="F43" i="32"/>
  <c r="J36" i="32"/>
  <c r="H36" i="32"/>
  <c r="F36" i="32"/>
  <c r="D36" i="32"/>
  <c r="R35" i="32"/>
  <c r="P35" i="32"/>
  <c r="N35" i="32"/>
  <c r="L35" i="32"/>
  <c r="J35" i="32"/>
  <c r="H35" i="32"/>
  <c r="F35" i="32"/>
  <c r="D35" i="32"/>
  <c r="V34" i="32"/>
  <c r="R33" i="32"/>
  <c r="P33" i="32"/>
  <c r="N33" i="32"/>
  <c r="L33" i="32"/>
  <c r="J33" i="32"/>
  <c r="H33" i="32"/>
  <c r="F33" i="32"/>
  <c r="D33" i="32"/>
  <c r="R32" i="32"/>
  <c r="P32" i="32"/>
  <c r="N32" i="32"/>
  <c r="L32" i="32"/>
  <c r="J32" i="32"/>
  <c r="H32" i="32"/>
  <c r="F32" i="32"/>
  <c r="D32" i="32"/>
  <c r="L84" i="32" l="1"/>
  <c r="T134" i="32"/>
  <c r="V170" i="32"/>
  <c r="V35" i="32"/>
  <c r="V43" i="32" s="1"/>
  <c r="T205" i="32" s="1"/>
  <c r="T206" i="32" s="1"/>
  <c r="T218" i="32"/>
  <c r="S261" i="32"/>
  <c r="S265" i="32"/>
  <c r="S263" i="32"/>
  <c r="S267" i="32"/>
  <c r="S262" i="32"/>
  <c r="S264" i="32"/>
  <c r="S266" i="32"/>
  <c r="S268" i="32"/>
  <c r="T284" i="32"/>
  <c r="S249" i="32"/>
  <c r="S253" i="32"/>
  <c r="S251" i="32"/>
  <c r="S255" i="32"/>
  <c r="S250" i="32"/>
  <c r="S252" i="32"/>
  <c r="S254" i="32"/>
  <c r="T100" i="32"/>
  <c r="T135" i="32" s="1"/>
  <c r="V51" i="32"/>
  <c r="V36" i="32"/>
  <c r="S181" i="32"/>
  <c r="V142" i="32"/>
  <c r="V52" i="32"/>
  <c r="V68" i="32"/>
  <c r="V71" i="32" s="1"/>
  <c r="P71" i="32"/>
  <c r="T207" i="32"/>
  <c r="V193" i="32"/>
  <c r="V189" i="32"/>
  <c r="V191" i="32"/>
  <c r="V121" i="32"/>
  <c r="R246" i="32"/>
  <c r="S238" i="32" s="1"/>
  <c r="T246" i="32"/>
  <c r="U237" i="32" s="1"/>
  <c r="R284" i="32"/>
  <c r="U249" i="32"/>
  <c r="U250" i="32"/>
  <c r="U251" i="32"/>
  <c r="U252" i="32"/>
  <c r="U253" i="32"/>
  <c r="U254" i="32"/>
  <c r="U255" i="32"/>
  <c r="U261" i="32"/>
  <c r="U262" i="32"/>
  <c r="U263" i="32"/>
  <c r="U264" i="32"/>
  <c r="U265" i="32"/>
  <c r="U266" i="32"/>
  <c r="U267" i="32"/>
  <c r="U282" i="32"/>
  <c r="V106" i="31"/>
  <c r="V104" i="31"/>
  <c r="V91" i="31"/>
  <c r="V90" i="31"/>
  <c r="T89" i="31"/>
  <c r="R68" i="31"/>
  <c r="P68" i="31"/>
  <c r="P44" i="31"/>
  <c r="L44" i="31"/>
  <c r="F44" i="31"/>
  <c r="V134" i="32" l="1"/>
  <c r="V135" i="32" s="1"/>
  <c r="S270" i="32"/>
  <c r="U244" i="32"/>
  <c r="U240" i="32"/>
  <c r="U242" i="32"/>
  <c r="U238" i="32"/>
  <c r="S258" i="32"/>
  <c r="U258" i="32"/>
  <c r="S243" i="32"/>
  <c r="S241" i="32"/>
  <c r="S239" i="32"/>
  <c r="S237" i="32"/>
  <c r="V84" i="32"/>
  <c r="V177" i="32" s="1"/>
  <c r="V176" i="32"/>
  <c r="U270" i="32"/>
  <c r="S244" i="32"/>
  <c r="S242" i="32"/>
  <c r="S240" i="32"/>
  <c r="U243" i="32"/>
  <c r="U241" i="32"/>
  <c r="U239" i="32"/>
  <c r="V171" i="31"/>
  <c r="U246" i="32" l="1"/>
  <c r="S246" i="32"/>
  <c r="T282" i="31"/>
  <c r="U280" i="31" s="1"/>
  <c r="R282" i="31"/>
  <c r="S280" i="31" s="1"/>
  <c r="T270" i="31"/>
  <c r="U268" i="31" s="1"/>
  <c r="R270" i="31"/>
  <c r="S218" i="31" s="1"/>
  <c r="U265" i="31"/>
  <c r="U263" i="31"/>
  <c r="T258" i="31"/>
  <c r="U255" i="31" s="1"/>
  <c r="R258" i="31"/>
  <c r="S256" i="31" s="1"/>
  <c r="T244" i="31"/>
  <c r="R244" i="31"/>
  <c r="T243" i="31"/>
  <c r="R243" i="31"/>
  <c r="T242" i="31"/>
  <c r="R242" i="31"/>
  <c r="T241" i="31"/>
  <c r="R241" i="31"/>
  <c r="T240" i="31"/>
  <c r="R240" i="31"/>
  <c r="T239" i="31"/>
  <c r="R239" i="31"/>
  <c r="T238" i="31"/>
  <c r="R238" i="31"/>
  <c r="T237" i="31"/>
  <c r="R237" i="31"/>
  <c r="T223" i="31"/>
  <c r="T221" i="31"/>
  <c r="T218" i="31"/>
  <c r="V183" i="31"/>
  <c r="V169" i="31"/>
  <c r="V168" i="31"/>
  <c r="V151" i="31"/>
  <c r="B138" i="31"/>
  <c r="B198" i="31" s="1"/>
  <c r="B293" i="31" s="1"/>
  <c r="T125" i="31"/>
  <c r="T123" i="31"/>
  <c r="T134" i="31" s="1"/>
  <c r="T115" i="31"/>
  <c r="A114" i="31"/>
  <c r="A115" i="31" s="1"/>
  <c r="A116" i="31" s="1"/>
  <c r="A117" i="31" s="1"/>
  <c r="A118" i="31" s="1"/>
  <c r="A119" i="31" s="1"/>
  <c r="A120" i="31" s="1"/>
  <c r="A121" i="31" s="1"/>
  <c r="V103" i="31"/>
  <c r="A103" i="31"/>
  <c r="A104" i="31" s="1"/>
  <c r="T98" i="31"/>
  <c r="T97" i="31"/>
  <c r="V96" i="31"/>
  <c r="V100" i="31" s="1"/>
  <c r="T96" i="31"/>
  <c r="N87" i="31"/>
  <c r="V82" i="31"/>
  <c r="V81" i="31"/>
  <c r="L81" i="31"/>
  <c r="T71" i="31"/>
  <c r="N71" i="31"/>
  <c r="N84" i="31" s="1"/>
  <c r="V69" i="31"/>
  <c r="R71" i="31"/>
  <c r="T213" i="31"/>
  <c r="L68" i="31"/>
  <c r="L71" i="31" s="1"/>
  <c r="L84" i="31" s="1"/>
  <c r="R58" i="31"/>
  <c r="R57" i="31"/>
  <c r="V50" i="31"/>
  <c r="P43" i="31"/>
  <c r="L43" i="31"/>
  <c r="F43" i="31"/>
  <c r="J36" i="31"/>
  <c r="H36" i="31"/>
  <c r="F36" i="31"/>
  <c r="D36" i="31"/>
  <c r="R35" i="31"/>
  <c r="P35" i="31"/>
  <c r="N35" i="31"/>
  <c r="L35" i="31"/>
  <c r="J35" i="31"/>
  <c r="H35" i="31"/>
  <c r="F35" i="31"/>
  <c r="D35" i="31"/>
  <c r="V34" i="31"/>
  <c r="V142" i="31" s="1"/>
  <c r="R33" i="31"/>
  <c r="P33" i="31"/>
  <c r="N33" i="31"/>
  <c r="L33" i="31"/>
  <c r="J33" i="31"/>
  <c r="H33" i="31"/>
  <c r="F33" i="31"/>
  <c r="D33" i="31"/>
  <c r="R32" i="31"/>
  <c r="P32" i="31"/>
  <c r="N32" i="31"/>
  <c r="L32" i="31"/>
  <c r="J32" i="31"/>
  <c r="H32" i="31"/>
  <c r="F32" i="31"/>
  <c r="D32" i="31"/>
  <c r="U261" i="31" l="1"/>
  <c r="U267" i="31"/>
  <c r="U262" i="31"/>
  <c r="T219" i="31"/>
  <c r="S261" i="31"/>
  <c r="S265" i="31"/>
  <c r="V170" i="31"/>
  <c r="S263" i="31"/>
  <c r="S267" i="31"/>
  <c r="U277" i="31"/>
  <c r="U282" i="31" s="1"/>
  <c r="S277" i="31"/>
  <c r="S282" i="31" s="1"/>
  <c r="S219" i="31"/>
  <c r="U256" i="31"/>
  <c r="V35" i="31"/>
  <c r="V43" i="31" s="1"/>
  <c r="T205" i="31" s="1"/>
  <c r="T206" i="31" s="1"/>
  <c r="T100" i="31"/>
  <c r="T135" i="31" s="1"/>
  <c r="T246" i="31"/>
  <c r="S262" i="31"/>
  <c r="S264" i="31"/>
  <c r="S266" i="31"/>
  <c r="S268" i="31"/>
  <c r="U264" i="31"/>
  <c r="U266" i="31"/>
  <c r="U252" i="31"/>
  <c r="U250" i="31"/>
  <c r="U254" i="31"/>
  <c r="U249" i="31"/>
  <c r="U251" i="31"/>
  <c r="U253" i="31"/>
  <c r="T284" i="31"/>
  <c r="R246" i="31"/>
  <c r="S239" i="31" s="1"/>
  <c r="R284" i="31"/>
  <c r="S249" i="31"/>
  <c r="S250" i="31"/>
  <c r="S251" i="31"/>
  <c r="S252" i="31"/>
  <c r="S253" i="31"/>
  <c r="S254" i="31"/>
  <c r="S255" i="31"/>
  <c r="V36" i="31"/>
  <c r="V191" i="31"/>
  <c r="V121" i="31"/>
  <c r="V134" i="31" s="1"/>
  <c r="V135" i="31" s="1"/>
  <c r="T207" i="31"/>
  <c r="V193" i="31"/>
  <c r="V189" i="31"/>
  <c r="U238" i="31"/>
  <c r="U239" i="31"/>
  <c r="U240" i="31"/>
  <c r="U241" i="31"/>
  <c r="U242" i="31"/>
  <c r="U243" i="31"/>
  <c r="U244" i="31"/>
  <c r="V51" i="31"/>
  <c r="S181" i="31"/>
  <c r="U237" i="31"/>
  <c r="V52" i="31"/>
  <c r="V68" i="31"/>
  <c r="V71" i="31" s="1"/>
  <c r="P71" i="31"/>
  <c r="V106" i="30"/>
  <c r="V104" i="30"/>
  <c r="V91" i="30"/>
  <c r="V90" i="30"/>
  <c r="S183" i="30"/>
  <c r="T89" i="30"/>
  <c r="R68" i="30"/>
  <c r="P68" i="30"/>
  <c r="P44" i="30"/>
  <c r="L44" i="30"/>
  <c r="F44" i="30"/>
  <c r="U270" i="31" l="1"/>
  <c r="S238" i="31"/>
  <c r="S270" i="31"/>
  <c r="S237" i="31"/>
  <c r="S244" i="31"/>
  <c r="S242" i="31"/>
  <c r="U246" i="31"/>
  <c r="U258" i="31"/>
  <c r="S240" i="31"/>
  <c r="S243" i="31"/>
  <c r="S241" i="31"/>
  <c r="S258" i="31"/>
  <c r="V176" i="31"/>
  <c r="V84" i="31"/>
  <c r="V177" i="31" s="1"/>
  <c r="S246" i="31" l="1"/>
  <c r="T282" i="30"/>
  <c r="R282" i="30"/>
  <c r="T270" i="30"/>
  <c r="U268" i="30" s="1"/>
  <c r="R270" i="30"/>
  <c r="S268" i="30" s="1"/>
  <c r="T258" i="30"/>
  <c r="U255" i="30" s="1"/>
  <c r="R258" i="30"/>
  <c r="S256" i="30" s="1"/>
  <c r="T244" i="30"/>
  <c r="R244" i="30"/>
  <c r="T243" i="30"/>
  <c r="R243" i="30"/>
  <c r="T242" i="30"/>
  <c r="R242" i="30"/>
  <c r="T241" i="30"/>
  <c r="R241" i="30"/>
  <c r="T240" i="30"/>
  <c r="R240" i="30"/>
  <c r="T239" i="30"/>
  <c r="R239" i="30"/>
  <c r="T238" i="30"/>
  <c r="R238" i="30"/>
  <c r="T237" i="30"/>
  <c r="R237" i="30"/>
  <c r="T223" i="30"/>
  <c r="T221" i="30"/>
  <c r="T219" i="30"/>
  <c r="S218" i="30"/>
  <c r="V183" i="30"/>
  <c r="V169" i="30"/>
  <c r="V168" i="30"/>
  <c r="V151" i="30"/>
  <c r="B138" i="30"/>
  <c r="B198" i="30" s="1"/>
  <c r="B293" i="30" s="1"/>
  <c r="T125" i="30"/>
  <c r="T123" i="30"/>
  <c r="T115" i="30"/>
  <c r="A114" i="30"/>
  <c r="A115" i="30" s="1"/>
  <c r="A116" i="30" s="1"/>
  <c r="A117" i="30" s="1"/>
  <c r="A118" i="30" s="1"/>
  <c r="A119" i="30" s="1"/>
  <c r="A120" i="30" s="1"/>
  <c r="A121" i="30" s="1"/>
  <c r="V103" i="30"/>
  <c r="A103" i="30"/>
  <c r="A104" i="30" s="1"/>
  <c r="T98" i="30"/>
  <c r="T97" i="30"/>
  <c r="V96" i="30"/>
  <c r="V100" i="30" s="1"/>
  <c r="T96" i="30"/>
  <c r="N87" i="30"/>
  <c r="V82" i="30"/>
  <c r="V81" i="30"/>
  <c r="L81" i="30"/>
  <c r="T71" i="30"/>
  <c r="N71" i="30"/>
  <c r="N84" i="30" s="1"/>
  <c r="V69" i="30"/>
  <c r="R71" i="30"/>
  <c r="T213" i="30"/>
  <c r="L68" i="30"/>
  <c r="L71" i="30" s="1"/>
  <c r="R58" i="30"/>
  <c r="R57" i="30"/>
  <c r="V50" i="30"/>
  <c r="P43" i="30"/>
  <c r="L43" i="30"/>
  <c r="F43" i="30"/>
  <c r="J36" i="30"/>
  <c r="H36" i="30"/>
  <c r="F36" i="30"/>
  <c r="D36" i="30"/>
  <c r="R35" i="30"/>
  <c r="P35" i="30"/>
  <c r="N35" i="30"/>
  <c r="L35" i="30"/>
  <c r="J35" i="30"/>
  <c r="H35" i="30"/>
  <c r="F35" i="30"/>
  <c r="D35" i="30"/>
  <c r="V34" i="30"/>
  <c r="S181" i="30" s="1"/>
  <c r="R33" i="30"/>
  <c r="P33" i="30"/>
  <c r="N33" i="30"/>
  <c r="L33" i="30"/>
  <c r="J33" i="30"/>
  <c r="H33" i="30"/>
  <c r="F33" i="30"/>
  <c r="D33" i="30"/>
  <c r="R32" i="30"/>
  <c r="P32" i="30"/>
  <c r="N32" i="30"/>
  <c r="L32" i="30"/>
  <c r="J32" i="30"/>
  <c r="H32" i="30"/>
  <c r="F32" i="30"/>
  <c r="D32" i="30"/>
  <c r="S264" i="30" l="1"/>
  <c r="L84" i="30"/>
  <c r="S250" i="30"/>
  <c r="S251" i="30"/>
  <c r="S252" i="30"/>
  <c r="S249" i="30"/>
  <c r="S253" i="30"/>
  <c r="S254" i="30"/>
  <c r="U250" i="30"/>
  <c r="S280" i="30"/>
  <c r="S277" i="30"/>
  <c r="S282" i="30" s="1"/>
  <c r="S219" i="30"/>
  <c r="U277" i="30"/>
  <c r="U280" i="30"/>
  <c r="V35" i="30"/>
  <c r="V43" i="30" s="1"/>
  <c r="T205" i="30" s="1"/>
  <c r="T206" i="30" s="1"/>
  <c r="V36" i="30"/>
  <c r="V170" i="30"/>
  <c r="U249" i="30"/>
  <c r="U251" i="30"/>
  <c r="T100" i="30"/>
  <c r="T134" i="30"/>
  <c r="V51" i="30"/>
  <c r="S262" i="30"/>
  <c r="S266" i="30"/>
  <c r="S261" i="30"/>
  <c r="S263" i="30"/>
  <c r="S265" i="30"/>
  <c r="S267" i="30"/>
  <c r="T218" i="30"/>
  <c r="U256" i="30"/>
  <c r="U261" i="30"/>
  <c r="U262" i="30"/>
  <c r="U263" i="30"/>
  <c r="U264" i="30"/>
  <c r="U265" i="30"/>
  <c r="U266" i="30"/>
  <c r="U267" i="30"/>
  <c r="U252" i="30"/>
  <c r="U253" i="30"/>
  <c r="U254" i="30"/>
  <c r="T246" i="30"/>
  <c r="T284" i="30"/>
  <c r="S255" i="30"/>
  <c r="R284" i="30"/>
  <c r="R246" i="30"/>
  <c r="V191" i="30"/>
  <c r="T207" i="30"/>
  <c r="V193" i="30"/>
  <c r="V189" i="30"/>
  <c r="V121" i="30"/>
  <c r="V134" i="30" s="1"/>
  <c r="V135" i="30" s="1"/>
  <c r="V52" i="30"/>
  <c r="V68" i="30"/>
  <c r="V71" i="30" s="1"/>
  <c r="P71" i="30"/>
  <c r="V142" i="30"/>
  <c r="V106" i="29"/>
  <c r="V104" i="29"/>
  <c r="V91" i="29"/>
  <c r="V90" i="29"/>
  <c r="S183" i="29"/>
  <c r="T89" i="29"/>
  <c r="R68" i="29"/>
  <c r="P68" i="29"/>
  <c r="T213" i="29" s="1"/>
  <c r="P44" i="29"/>
  <c r="L44" i="29"/>
  <c r="F44" i="29"/>
  <c r="U282" i="29"/>
  <c r="T282" i="29"/>
  <c r="T219" i="29" s="1"/>
  <c r="S282" i="29"/>
  <c r="R282" i="29"/>
  <c r="T270" i="29"/>
  <c r="U268" i="29" s="1"/>
  <c r="R270" i="29"/>
  <c r="U263" i="29"/>
  <c r="T258" i="29"/>
  <c r="U256" i="29" s="1"/>
  <c r="R258" i="29"/>
  <c r="T244" i="29"/>
  <c r="R244" i="29"/>
  <c r="T243" i="29"/>
  <c r="R243" i="29"/>
  <c r="T242" i="29"/>
  <c r="R242" i="29"/>
  <c r="T241" i="29"/>
  <c r="R241" i="29"/>
  <c r="T240" i="29"/>
  <c r="R240" i="29"/>
  <c r="T239" i="29"/>
  <c r="R239" i="29"/>
  <c r="T238" i="29"/>
  <c r="R238" i="29"/>
  <c r="T237" i="29"/>
  <c r="R237" i="29"/>
  <c r="T223" i="29"/>
  <c r="T221" i="29"/>
  <c r="S219" i="29"/>
  <c r="T218" i="29"/>
  <c r="S218" i="29"/>
  <c r="V171" i="29"/>
  <c r="V169" i="29"/>
  <c r="V168" i="29"/>
  <c r="V151" i="29"/>
  <c r="B138" i="29"/>
  <c r="B198" i="29" s="1"/>
  <c r="B293" i="29" s="1"/>
  <c r="T123" i="29"/>
  <c r="T115" i="29"/>
  <c r="A114" i="29"/>
  <c r="A115" i="29" s="1"/>
  <c r="A116" i="29" s="1"/>
  <c r="A117" i="29" s="1"/>
  <c r="A118" i="29" s="1"/>
  <c r="A119" i="29" s="1"/>
  <c r="A120" i="29" s="1"/>
  <c r="A121" i="29" s="1"/>
  <c r="V103" i="29"/>
  <c r="A103" i="29"/>
  <c r="A104" i="29" s="1"/>
  <c r="T98" i="29"/>
  <c r="T97" i="29"/>
  <c r="T96" i="29"/>
  <c r="N87" i="29"/>
  <c r="V82" i="29"/>
  <c r="V81" i="29"/>
  <c r="L81" i="29"/>
  <c r="T71" i="29"/>
  <c r="N71" i="29"/>
  <c r="N84" i="29" s="1"/>
  <c r="V69" i="29"/>
  <c r="R71" i="29"/>
  <c r="L68" i="29"/>
  <c r="L71" i="29" s="1"/>
  <c r="R58" i="29"/>
  <c r="R57" i="29"/>
  <c r="V50" i="29"/>
  <c r="P43" i="29"/>
  <c r="L43" i="29"/>
  <c r="F43" i="29"/>
  <c r="J36" i="29"/>
  <c r="H36" i="29"/>
  <c r="F36" i="29"/>
  <c r="D36" i="29"/>
  <c r="R35" i="29"/>
  <c r="P35" i="29"/>
  <c r="N35" i="29"/>
  <c r="L35" i="29"/>
  <c r="J35" i="29"/>
  <c r="H35" i="29"/>
  <c r="F35" i="29"/>
  <c r="D35" i="29"/>
  <c r="V34" i="29"/>
  <c r="S181" i="29" s="1"/>
  <c r="R33" i="29"/>
  <c r="P33" i="29"/>
  <c r="N33" i="29"/>
  <c r="L33" i="29"/>
  <c r="J33" i="29"/>
  <c r="H33" i="29"/>
  <c r="F33" i="29"/>
  <c r="D33" i="29"/>
  <c r="R32" i="29"/>
  <c r="P32" i="29"/>
  <c r="N32" i="29"/>
  <c r="L32" i="29"/>
  <c r="J32" i="29"/>
  <c r="H32" i="29"/>
  <c r="F32" i="29"/>
  <c r="D32" i="29"/>
  <c r="U282" i="28"/>
  <c r="T282" i="28"/>
  <c r="S282" i="28"/>
  <c r="R282" i="28"/>
  <c r="T270" i="28"/>
  <c r="R270" i="28"/>
  <c r="S267" i="28" s="1"/>
  <c r="S268" i="28"/>
  <c r="S266" i="28"/>
  <c r="S265" i="28"/>
  <c r="S264" i="28"/>
  <c r="S263" i="28"/>
  <c r="S262" i="28"/>
  <c r="U261" i="28"/>
  <c r="S261" i="28"/>
  <c r="T258" i="28"/>
  <c r="R258" i="28"/>
  <c r="S255" i="28" s="1"/>
  <c r="T244" i="28"/>
  <c r="R244" i="28"/>
  <c r="T243" i="28"/>
  <c r="R243" i="28"/>
  <c r="T242" i="28"/>
  <c r="R242" i="28"/>
  <c r="T241" i="28"/>
  <c r="R241" i="28"/>
  <c r="T240" i="28"/>
  <c r="R240" i="28"/>
  <c r="T239" i="28"/>
  <c r="R239" i="28"/>
  <c r="T238" i="28"/>
  <c r="R238" i="28"/>
  <c r="T237" i="28"/>
  <c r="R237" i="28"/>
  <c r="R246" i="28" s="1"/>
  <c r="T223" i="28"/>
  <c r="T221" i="28"/>
  <c r="T219" i="28"/>
  <c r="S219" i="28"/>
  <c r="S218" i="28"/>
  <c r="V183" i="28"/>
  <c r="V171" i="28"/>
  <c r="V169" i="28"/>
  <c r="V168" i="28"/>
  <c r="V151" i="28"/>
  <c r="B138" i="28"/>
  <c r="B198" i="28" s="1"/>
  <c r="B293" i="28" s="1"/>
  <c r="T125" i="28"/>
  <c r="T123" i="28"/>
  <c r="T115" i="28"/>
  <c r="A116" i="28"/>
  <c r="A117" i="28" s="1"/>
  <c r="A118" i="28" s="1"/>
  <c r="A119" i="28" s="1"/>
  <c r="A120" i="28" s="1"/>
  <c r="A121" i="28" s="1"/>
  <c r="A114" i="28"/>
  <c r="A115" i="28" s="1"/>
  <c r="V106" i="28"/>
  <c r="V104" i="28"/>
  <c r="V103" i="28"/>
  <c r="A103" i="28"/>
  <c r="A104" i="28" s="1"/>
  <c r="T98" i="28"/>
  <c r="T97" i="28"/>
  <c r="V91" i="28"/>
  <c r="V90" i="28"/>
  <c r="T89" i="28"/>
  <c r="T96" i="28" s="1"/>
  <c r="N87" i="28"/>
  <c r="V82" i="28"/>
  <c r="V81" i="28"/>
  <c r="L81" i="28"/>
  <c r="T71" i="28"/>
  <c r="N71" i="28"/>
  <c r="N84" i="28" s="1"/>
  <c r="V69" i="28"/>
  <c r="R68" i="28"/>
  <c r="R71" i="28" s="1"/>
  <c r="P68" i="28"/>
  <c r="T213" i="28" s="1"/>
  <c r="L68" i="28"/>
  <c r="L71" i="28" s="1"/>
  <c r="L84" i="28" s="1"/>
  <c r="R58" i="28"/>
  <c r="R57" i="28"/>
  <c r="V50" i="28"/>
  <c r="P44" i="28"/>
  <c r="L44" i="28"/>
  <c r="F44" i="28"/>
  <c r="P43" i="28"/>
  <c r="L43" i="28"/>
  <c r="F43" i="28"/>
  <c r="J36" i="28"/>
  <c r="H36" i="28"/>
  <c r="F36" i="28"/>
  <c r="D36" i="28"/>
  <c r="R35" i="28"/>
  <c r="P35" i="28"/>
  <c r="N35" i="28"/>
  <c r="L35" i="28"/>
  <c r="J35" i="28"/>
  <c r="H35" i="28"/>
  <c r="F35" i="28"/>
  <c r="D35" i="28"/>
  <c r="V34" i="28"/>
  <c r="S181" i="28" s="1"/>
  <c r="R33" i="28"/>
  <c r="P33" i="28"/>
  <c r="N33" i="28"/>
  <c r="L33" i="28"/>
  <c r="J33" i="28"/>
  <c r="H33" i="28"/>
  <c r="F33" i="28"/>
  <c r="D33" i="28"/>
  <c r="R32" i="28"/>
  <c r="P32" i="28"/>
  <c r="N32" i="28"/>
  <c r="L32" i="28"/>
  <c r="J32" i="28"/>
  <c r="H32" i="28"/>
  <c r="F32" i="28"/>
  <c r="D32" i="28"/>
  <c r="V106" i="27"/>
  <c r="V104" i="27"/>
  <c r="V91" i="27"/>
  <c r="V90" i="27"/>
  <c r="T89" i="27"/>
  <c r="R68" i="27"/>
  <c r="P68" i="27"/>
  <c r="T213" i="27" s="1"/>
  <c r="P44" i="27"/>
  <c r="L44" i="27"/>
  <c r="F44" i="27"/>
  <c r="T282" i="27"/>
  <c r="U277" i="27" s="1"/>
  <c r="R282" i="27"/>
  <c r="T270" i="27"/>
  <c r="R270" i="27"/>
  <c r="S268" i="27" s="1"/>
  <c r="T258" i="27"/>
  <c r="U251" i="27" s="1"/>
  <c r="R258" i="27"/>
  <c r="S256" i="27" s="1"/>
  <c r="T244" i="27"/>
  <c r="R244" i="27"/>
  <c r="T243" i="27"/>
  <c r="R243" i="27"/>
  <c r="T242" i="27"/>
  <c r="R242" i="27"/>
  <c r="T241" i="27"/>
  <c r="R241" i="27"/>
  <c r="T240" i="27"/>
  <c r="R240" i="27"/>
  <c r="T239" i="27"/>
  <c r="R239" i="27"/>
  <c r="T238" i="27"/>
  <c r="R238" i="27"/>
  <c r="T237" i="27"/>
  <c r="T246" i="27" s="1"/>
  <c r="R237" i="27"/>
  <c r="T223" i="27"/>
  <c r="T221" i="27"/>
  <c r="S218" i="27"/>
  <c r="V183" i="27"/>
  <c r="V169" i="27"/>
  <c r="V168" i="27"/>
  <c r="V151" i="27"/>
  <c r="B138" i="27"/>
  <c r="B198" i="27" s="1"/>
  <c r="B293" i="27" s="1"/>
  <c r="T125" i="27"/>
  <c r="T123" i="27"/>
  <c r="T134" i="27" s="1"/>
  <c r="T115" i="27"/>
  <c r="A114" i="27"/>
  <c r="A115" i="27" s="1"/>
  <c r="A116" i="27" s="1"/>
  <c r="A117" i="27" s="1"/>
  <c r="A118" i="27" s="1"/>
  <c r="A119" i="27" s="1"/>
  <c r="A120" i="27" s="1"/>
  <c r="A121" i="27" s="1"/>
  <c r="V103" i="27"/>
  <c r="A103" i="27"/>
  <c r="A104" i="27" s="1"/>
  <c r="T98" i="27"/>
  <c r="T97" i="27"/>
  <c r="T96" i="27"/>
  <c r="N87" i="27"/>
  <c r="V82" i="27"/>
  <c r="V81" i="27"/>
  <c r="L81" i="27"/>
  <c r="T71" i="27"/>
  <c r="N71" i="27"/>
  <c r="N84" i="27" s="1"/>
  <c r="V69" i="27"/>
  <c r="R71" i="27"/>
  <c r="L68" i="27"/>
  <c r="L71" i="27" s="1"/>
  <c r="L84" i="27" s="1"/>
  <c r="R58" i="27"/>
  <c r="R57" i="27"/>
  <c r="V50" i="27"/>
  <c r="P43" i="27"/>
  <c r="L43" i="27"/>
  <c r="F43" i="27"/>
  <c r="J36" i="27"/>
  <c r="H36" i="27"/>
  <c r="F36" i="27"/>
  <c r="D36" i="27"/>
  <c r="R35" i="27"/>
  <c r="P35" i="27"/>
  <c r="N35" i="27"/>
  <c r="L35" i="27"/>
  <c r="J35" i="27"/>
  <c r="H35" i="27"/>
  <c r="F35" i="27"/>
  <c r="D35" i="27"/>
  <c r="V34" i="27"/>
  <c r="S181" i="27" s="1"/>
  <c r="R33" i="27"/>
  <c r="P33" i="27"/>
  <c r="N33" i="27"/>
  <c r="L33" i="27"/>
  <c r="J33" i="27"/>
  <c r="H33" i="27"/>
  <c r="F33" i="27"/>
  <c r="D33" i="27"/>
  <c r="R32" i="27"/>
  <c r="P32" i="27"/>
  <c r="N32" i="27"/>
  <c r="L32" i="27"/>
  <c r="J32" i="27"/>
  <c r="H32" i="27"/>
  <c r="F32" i="27"/>
  <c r="D32" i="27"/>
  <c r="V171" i="26"/>
  <c r="V90" i="26"/>
  <c r="V106" i="26"/>
  <c r="V104" i="26"/>
  <c r="V91" i="26"/>
  <c r="S183" i="26"/>
  <c r="T125" i="26" s="1"/>
  <c r="T89" i="26"/>
  <c r="R68" i="26"/>
  <c r="P68" i="26"/>
  <c r="T213" i="26" s="1"/>
  <c r="P44" i="26"/>
  <c r="L44" i="26"/>
  <c r="F44" i="26"/>
  <c r="A114" i="26"/>
  <c r="A115" i="26" s="1"/>
  <c r="A116" i="26" s="1"/>
  <c r="A117" i="26" s="1"/>
  <c r="A118" i="26" s="1"/>
  <c r="A119" i="26" s="1"/>
  <c r="A120" i="26" s="1"/>
  <c r="A121" i="26" s="1"/>
  <c r="T282" i="26"/>
  <c r="U275" i="26" s="1"/>
  <c r="R282" i="26"/>
  <c r="S280" i="26" s="1"/>
  <c r="T270" i="26"/>
  <c r="U264" i="26" s="1"/>
  <c r="R270" i="26"/>
  <c r="T258" i="26"/>
  <c r="R258" i="26"/>
  <c r="T244" i="26"/>
  <c r="R244" i="26"/>
  <c r="T243" i="26"/>
  <c r="R243" i="26"/>
  <c r="T242" i="26"/>
  <c r="R242" i="26"/>
  <c r="T241" i="26"/>
  <c r="R241" i="26"/>
  <c r="T240" i="26"/>
  <c r="R240" i="26"/>
  <c r="T239" i="26"/>
  <c r="R239" i="26"/>
  <c r="T238" i="26"/>
  <c r="R238" i="26"/>
  <c r="T237" i="26"/>
  <c r="R237" i="26"/>
  <c r="T223" i="26"/>
  <c r="T221" i="26"/>
  <c r="S219" i="26"/>
  <c r="V183" i="26"/>
  <c r="V169" i="26"/>
  <c r="V168" i="26"/>
  <c r="V151" i="26"/>
  <c r="B138" i="26"/>
  <c r="B198" i="26" s="1"/>
  <c r="B293" i="26" s="1"/>
  <c r="T123" i="26"/>
  <c r="T115" i="26"/>
  <c r="V103" i="26"/>
  <c r="A103" i="26"/>
  <c r="A104" i="26" s="1"/>
  <c r="T98" i="26"/>
  <c r="T97" i="26"/>
  <c r="T96" i="26"/>
  <c r="N87" i="26"/>
  <c r="V82" i="26"/>
  <c r="V81" i="26"/>
  <c r="L81" i="26"/>
  <c r="T71" i="26"/>
  <c r="N71" i="26"/>
  <c r="N84" i="26" s="1"/>
  <c r="V69" i="26"/>
  <c r="R71" i="26"/>
  <c r="L68" i="26"/>
  <c r="L71" i="26" s="1"/>
  <c r="R58" i="26"/>
  <c r="R57" i="26"/>
  <c r="V50" i="26"/>
  <c r="P43" i="26"/>
  <c r="L43" i="26"/>
  <c r="F43" i="26"/>
  <c r="J36" i="26"/>
  <c r="H36" i="26"/>
  <c r="F36" i="26"/>
  <c r="D36" i="26"/>
  <c r="R35" i="26"/>
  <c r="P35" i="26"/>
  <c r="N35" i="26"/>
  <c r="L35" i="26"/>
  <c r="J35" i="26"/>
  <c r="H35" i="26"/>
  <c r="F35" i="26"/>
  <c r="D35" i="26"/>
  <c r="V34" i="26"/>
  <c r="V142" i="26" s="1"/>
  <c r="R33" i="26"/>
  <c r="P33" i="26"/>
  <c r="N33" i="26"/>
  <c r="L33" i="26"/>
  <c r="J33" i="26"/>
  <c r="H33" i="26"/>
  <c r="F33" i="26"/>
  <c r="D33" i="26"/>
  <c r="R32" i="26"/>
  <c r="P32" i="26"/>
  <c r="N32" i="26"/>
  <c r="L32" i="26"/>
  <c r="J32" i="26"/>
  <c r="H32" i="26"/>
  <c r="F32" i="26"/>
  <c r="D32" i="26"/>
  <c r="V106" i="25"/>
  <c r="V104" i="25"/>
  <c r="V91" i="25"/>
  <c r="V96" i="25" s="1"/>
  <c r="V100" i="25" s="1"/>
  <c r="V90" i="25"/>
  <c r="S182" i="25"/>
  <c r="V182" i="25" s="1"/>
  <c r="T89" i="25"/>
  <c r="R68" i="25"/>
  <c r="P68" i="25"/>
  <c r="P44" i="25"/>
  <c r="L44" i="25"/>
  <c r="F44" i="25"/>
  <c r="T281" i="25"/>
  <c r="R281" i="25"/>
  <c r="S279" i="25" s="1"/>
  <c r="T269" i="25"/>
  <c r="R269" i="25"/>
  <c r="S267" i="25" s="1"/>
  <c r="T257" i="25"/>
  <c r="U255" i="25" s="1"/>
  <c r="R257" i="25"/>
  <c r="S255" i="25" s="1"/>
  <c r="T243" i="25"/>
  <c r="R243" i="25"/>
  <c r="T242" i="25"/>
  <c r="R242" i="25"/>
  <c r="T241" i="25"/>
  <c r="R241" i="25"/>
  <c r="T240" i="25"/>
  <c r="R240" i="25"/>
  <c r="T239" i="25"/>
  <c r="R239" i="25"/>
  <c r="T238" i="25"/>
  <c r="R238" i="25"/>
  <c r="T237" i="25"/>
  <c r="R237" i="25"/>
  <c r="T236" i="25"/>
  <c r="R236" i="25"/>
  <c r="T222" i="25"/>
  <c r="T220" i="25"/>
  <c r="S218" i="25"/>
  <c r="S217" i="25"/>
  <c r="V168" i="25"/>
  <c r="V167" i="25"/>
  <c r="V150" i="25"/>
  <c r="B137" i="25"/>
  <c r="B197" i="25" s="1"/>
  <c r="B292" i="25" s="1"/>
  <c r="T122" i="25"/>
  <c r="T114" i="25"/>
  <c r="A114" i="25"/>
  <c r="A115" i="25" s="1"/>
  <c r="A116" i="25" s="1"/>
  <c r="A117" i="25" s="1"/>
  <c r="A118" i="25" s="1"/>
  <c r="A119" i="25" s="1"/>
  <c r="A120" i="25" s="1"/>
  <c r="V103" i="25"/>
  <c r="V190" i="25" s="1"/>
  <c r="A103" i="25"/>
  <c r="A104" i="25" s="1"/>
  <c r="T98" i="25"/>
  <c r="T97" i="25"/>
  <c r="T96" i="25"/>
  <c r="T100" i="25" s="1"/>
  <c r="N87" i="25"/>
  <c r="V82" i="25"/>
  <c r="V81" i="25"/>
  <c r="L81" i="25"/>
  <c r="T71" i="25"/>
  <c r="R71" i="25"/>
  <c r="N71" i="25"/>
  <c r="N84" i="25" s="1"/>
  <c r="V69" i="25"/>
  <c r="T212" i="25"/>
  <c r="L68" i="25"/>
  <c r="L71" i="25" s="1"/>
  <c r="R58" i="25"/>
  <c r="R57" i="25"/>
  <c r="V50" i="25"/>
  <c r="P43" i="25"/>
  <c r="L43" i="25"/>
  <c r="F43" i="25"/>
  <c r="J36" i="25"/>
  <c r="H36" i="25"/>
  <c r="F36" i="25"/>
  <c r="D36" i="25"/>
  <c r="R35" i="25"/>
  <c r="P35" i="25"/>
  <c r="N35" i="25"/>
  <c r="L35" i="25"/>
  <c r="J35" i="25"/>
  <c r="H35" i="25"/>
  <c r="F35" i="25"/>
  <c r="D35" i="25"/>
  <c r="V34" i="25"/>
  <c r="S180" i="25" s="1"/>
  <c r="R33" i="25"/>
  <c r="P33" i="25"/>
  <c r="N33" i="25"/>
  <c r="L33" i="25"/>
  <c r="J33" i="25"/>
  <c r="H33" i="25"/>
  <c r="F33" i="25"/>
  <c r="D33" i="25"/>
  <c r="R32" i="25"/>
  <c r="P32" i="25"/>
  <c r="N32" i="25"/>
  <c r="L32" i="25"/>
  <c r="J32" i="25"/>
  <c r="H32" i="25"/>
  <c r="F32" i="25"/>
  <c r="D32" i="25"/>
  <c r="V106" i="24"/>
  <c r="V104" i="24"/>
  <c r="V91" i="24"/>
  <c r="V90" i="24"/>
  <c r="T89" i="24"/>
  <c r="T96" i="24" s="1"/>
  <c r="P68" i="24"/>
  <c r="T212" i="24" s="1"/>
  <c r="P44" i="24"/>
  <c r="L44" i="24"/>
  <c r="F44" i="24"/>
  <c r="T281" i="24"/>
  <c r="R281" i="24"/>
  <c r="S279" i="24" s="1"/>
  <c r="T269" i="24"/>
  <c r="T217" i="24" s="1"/>
  <c r="R269" i="24"/>
  <c r="T257" i="24"/>
  <c r="U255" i="24" s="1"/>
  <c r="R257" i="24"/>
  <c r="S248" i="24" s="1"/>
  <c r="S253" i="24"/>
  <c r="S252" i="24"/>
  <c r="S249" i="24"/>
  <c r="T243" i="24"/>
  <c r="R243" i="24"/>
  <c r="T242" i="24"/>
  <c r="R242" i="24"/>
  <c r="T241" i="24"/>
  <c r="R241" i="24"/>
  <c r="T240" i="24"/>
  <c r="R240" i="24"/>
  <c r="T239" i="24"/>
  <c r="R239" i="24"/>
  <c r="T238" i="24"/>
  <c r="R238" i="24"/>
  <c r="T237" i="24"/>
  <c r="R237" i="24"/>
  <c r="T236" i="24"/>
  <c r="R236" i="24"/>
  <c r="T222" i="24"/>
  <c r="T220" i="24"/>
  <c r="S218" i="24"/>
  <c r="S217" i="24"/>
  <c r="V182" i="24"/>
  <c r="V168" i="24"/>
  <c r="V167" i="24"/>
  <c r="V150" i="24"/>
  <c r="B137" i="24"/>
  <c r="B197" i="24" s="1"/>
  <c r="B292" i="24" s="1"/>
  <c r="T124" i="24"/>
  <c r="T122" i="24"/>
  <c r="T114" i="24"/>
  <c r="A114" i="24"/>
  <c r="A115" i="24" s="1"/>
  <c r="A116" i="24" s="1"/>
  <c r="A117" i="24" s="1"/>
  <c r="A118" i="24" s="1"/>
  <c r="A119" i="24" s="1"/>
  <c r="A120" i="24" s="1"/>
  <c r="V103" i="24"/>
  <c r="A103" i="24"/>
  <c r="A104" i="24" s="1"/>
  <c r="T98" i="24"/>
  <c r="T97" i="24"/>
  <c r="V96" i="24"/>
  <c r="V100" i="24" s="1"/>
  <c r="N87" i="24"/>
  <c r="V82" i="24"/>
  <c r="V81" i="24"/>
  <c r="L81" i="24"/>
  <c r="T71" i="24"/>
  <c r="N71" i="24"/>
  <c r="N84" i="24" s="1"/>
  <c r="V69" i="24"/>
  <c r="R71" i="24"/>
  <c r="L68" i="24"/>
  <c r="L71" i="24" s="1"/>
  <c r="L84" i="24" s="1"/>
  <c r="R58" i="24"/>
  <c r="R57" i="24"/>
  <c r="V50" i="24"/>
  <c r="P43" i="24"/>
  <c r="L43" i="24"/>
  <c r="F43" i="24"/>
  <c r="J36" i="24"/>
  <c r="H36" i="24"/>
  <c r="F36" i="24"/>
  <c r="D36" i="24"/>
  <c r="R35" i="24"/>
  <c r="P35" i="24"/>
  <c r="N35" i="24"/>
  <c r="L35" i="24"/>
  <c r="J35" i="24"/>
  <c r="H35" i="24"/>
  <c r="F35" i="24"/>
  <c r="D35" i="24"/>
  <c r="V34" i="24"/>
  <c r="R33" i="24"/>
  <c r="P33" i="24"/>
  <c r="N33" i="24"/>
  <c r="L33" i="24"/>
  <c r="J33" i="24"/>
  <c r="H33" i="24"/>
  <c r="F33" i="24"/>
  <c r="D33" i="24"/>
  <c r="R32" i="24"/>
  <c r="P32" i="24"/>
  <c r="N32" i="24"/>
  <c r="L32" i="24"/>
  <c r="J32" i="24"/>
  <c r="H32" i="24"/>
  <c r="F32" i="24"/>
  <c r="D32" i="24"/>
  <c r="V106" i="23"/>
  <c r="V104" i="23"/>
  <c r="V91" i="23"/>
  <c r="V90" i="23"/>
  <c r="S182" i="23"/>
  <c r="T124" i="23" s="1"/>
  <c r="T133" i="23" s="1"/>
  <c r="T89" i="23"/>
  <c r="T96" i="23" s="1"/>
  <c r="R68" i="23"/>
  <c r="R71" i="23" s="1"/>
  <c r="P68" i="23"/>
  <c r="P44" i="23"/>
  <c r="L44" i="23"/>
  <c r="F44" i="23"/>
  <c r="T281" i="23"/>
  <c r="U279" i="23" s="1"/>
  <c r="R281" i="23"/>
  <c r="S272" i="23" s="1"/>
  <c r="S274" i="23"/>
  <c r="T269" i="23"/>
  <c r="U266" i="23" s="1"/>
  <c r="R269" i="23"/>
  <c r="S260" i="23" s="1"/>
  <c r="T257" i="23"/>
  <c r="U253" i="23" s="1"/>
  <c r="R257" i="23"/>
  <c r="T243" i="23"/>
  <c r="R243" i="23"/>
  <c r="T242" i="23"/>
  <c r="R242" i="23"/>
  <c r="T241" i="23"/>
  <c r="R241" i="23"/>
  <c r="T240" i="23"/>
  <c r="R240" i="23"/>
  <c r="T239" i="23"/>
  <c r="R239" i="23"/>
  <c r="T238" i="23"/>
  <c r="R238" i="23"/>
  <c r="T237" i="23"/>
  <c r="R237" i="23"/>
  <c r="T236" i="23"/>
  <c r="T245" i="23" s="1"/>
  <c r="U243" i="23" s="1"/>
  <c r="R236" i="23"/>
  <c r="T222" i="23"/>
  <c r="T220" i="23"/>
  <c r="T218" i="23"/>
  <c r="T217" i="23"/>
  <c r="S217" i="23"/>
  <c r="V182" i="23"/>
  <c r="V170" i="23"/>
  <c r="V168" i="23"/>
  <c r="V167" i="23"/>
  <c r="V150" i="23"/>
  <c r="B137" i="23"/>
  <c r="B197" i="23" s="1"/>
  <c r="B292" i="23" s="1"/>
  <c r="T122" i="23"/>
  <c r="T114" i="23"/>
  <c r="A114" i="23"/>
  <c r="A115" i="23" s="1"/>
  <c r="A116" i="23" s="1"/>
  <c r="A117" i="23" s="1"/>
  <c r="A118" i="23" s="1"/>
  <c r="A119" i="23" s="1"/>
  <c r="A120" i="23" s="1"/>
  <c r="V103" i="23"/>
  <c r="A103" i="23"/>
  <c r="A104" i="23" s="1"/>
  <c r="T98" i="23"/>
  <c r="T97" i="23"/>
  <c r="V96" i="23"/>
  <c r="V100" i="23" s="1"/>
  <c r="N87" i="23"/>
  <c r="V82" i="23"/>
  <c r="V81" i="23"/>
  <c r="L81" i="23"/>
  <c r="T71" i="23"/>
  <c r="N71" i="23"/>
  <c r="N84" i="23" s="1"/>
  <c r="V69" i="23"/>
  <c r="T212" i="23"/>
  <c r="L68" i="23"/>
  <c r="L71" i="23" s="1"/>
  <c r="L84" i="23" s="1"/>
  <c r="R58" i="23"/>
  <c r="R57" i="23"/>
  <c r="V50" i="23"/>
  <c r="P43" i="23"/>
  <c r="L43" i="23"/>
  <c r="F43" i="23"/>
  <c r="J36" i="23"/>
  <c r="H36" i="23"/>
  <c r="F36" i="23"/>
  <c r="D36" i="23"/>
  <c r="R35" i="23"/>
  <c r="P35" i="23"/>
  <c r="N35" i="23"/>
  <c r="L35" i="23"/>
  <c r="J35" i="23"/>
  <c r="H35" i="23"/>
  <c r="F35" i="23"/>
  <c r="D35" i="23"/>
  <c r="V34" i="23"/>
  <c r="V52" i="23" s="1"/>
  <c r="R33" i="23"/>
  <c r="P33" i="23"/>
  <c r="N33" i="23"/>
  <c r="L33" i="23"/>
  <c r="J33" i="23"/>
  <c r="H33" i="23"/>
  <c r="F33" i="23"/>
  <c r="D33" i="23"/>
  <c r="R32" i="23"/>
  <c r="P32" i="23"/>
  <c r="N32" i="23"/>
  <c r="L32" i="23"/>
  <c r="J32" i="23"/>
  <c r="H32" i="23"/>
  <c r="F32" i="23"/>
  <c r="D32" i="23"/>
  <c r="V170" i="22"/>
  <c r="V106" i="22"/>
  <c r="V104" i="22"/>
  <c r="V91" i="22"/>
  <c r="V90" i="22"/>
  <c r="S182" i="22"/>
  <c r="V182" i="22" s="1"/>
  <c r="T89" i="22"/>
  <c r="R68" i="22"/>
  <c r="P68" i="22"/>
  <c r="T212" i="22" s="1"/>
  <c r="P44" i="22"/>
  <c r="L44" i="22"/>
  <c r="F44" i="22"/>
  <c r="T281" i="22"/>
  <c r="R281" i="22"/>
  <c r="S277" i="22" s="1"/>
  <c r="T269" i="22"/>
  <c r="U267" i="22" s="1"/>
  <c r="R269" i="22"/>
  <c r="S267" i="22" s="1"/>
  <c r="T257" i="22"/>
  <c r="R257" i="22"/>
  <c r="T243" i="22"/>
  <c r="R243" i="22"/>
  <c r="T242" i="22"/>
  <c r="R242" i="22"/>
  <c r="T241" i="22"/>
  <c r="R241" i="22"/>
  <c r="T240" i="22"/>
  <c r="R240" i="22"/>
  <c r="T239" i="22"/>
  <c r="R239" i="22"/>
  <c r="T238" i="22"/>
  <c r="R238" i="22"/>
  <c r="T237" i="22"/>
  <c r="R237" i="22"/>
  <c r="T236" i="22"/>
  <c r="R236" i="22"/>
  <c r="T222" i="22"/>
  <c r="T220" i="22"/>
  <c r="V168" i="22"/>
  <c r="V167" i="22"/>
  <c r="V150" i="22"/>
  <c r="B137" i="22"/>
  <c r="B197" i="22" s="1"/>
  <c r="B292" i="22" s="1"/>
  <c r="T122" i="22"/>
  <c r="T114" i="22"/>
  <c r="A114" i="22"/>
  <c r="A115" i="22" s="1"/>
  <c r="A116" i="22" s="1"/>
  <c r="A117" i="22" s="1"/>
  <c r="A118" i="22" s="1"/>
  <c r="A119" i="22" s="1"/>
  <c r="A120" i="22" s="1"/>
  <c r="V103" i="22"/>
  <c r="A103" i="22"/>
  <c r="A104" i="22" s="1"/>
  <c r="T98" i="22"/>
  <c r="T97" i="22"/>
  <c r="V96" i="22"/>
  <c r="V100" i="22" s="1"/>
  <c r="T96" i="22"/>
  <c r="N87" i="22"/>
  <c r="V82" i="22"/>
  <c r="V81" i="22"/>
  <c r="L81" i="22"/>
  <c r="T71" i="22"/>
  <c r="N71" i="22"/>
  <c r="N84" i="22" s="1"/>
  <c r="V69" i="22"/>
  <c r="R71" i="22"/>
  <c r="L68" i="22"/>
  <c r="L71" i="22" s="1"/>
  <c r="R58" i="22"/>
  <c r="R57" i="22"/>
  <c r="V50" i="22"/>
  <c r="P43" i="22"/>
  <c r="L43" i="22"/>
  <c r="F43" i="22"/>
  <c r="J36" i="22"/>
  <c r="H36" i="22"/>
  <c r="F36" i="22"/>
  <c r="D36" i="22"/>
  <c r="R35" i="22"/>
  <c r="P35" i="22"/>
  <c r="N35" i="22"/>
  <c r="L35" i="22"/>
  <c r="J35" i="22"/>
  <c r="H35" i="22"/>
  <c r="F35" i="22"/>
  <c r="D35" i="22"/>
  <c r="V34" i="22"/>
  <c r="V141" i="22" s="1"/>
  <c r="R33" i="22"/>
  <c r="P33" i="22"/>
  <c r="N33" i="22"/>
  <c r="L33" i="22"/>
  <c r="J33" i="22"/>
  <c r="H33" i="22"/>
  <c r="F33" i="22"/>
  <c r="D33" i="22"/>
  <c r="R32" i="22"/>
  <c r="P32" i="22"/>
  <c r="N32" i="22"/>
  <c r="L32" i="22"/>
  <c r="J32" i="22"/>
  <c r="H32" i="22"/>
  <c r="F32" i="22"/>
  <c r="D32" i="22"/>
  <c r="V106" i="21"/>
  <c r="V104" i="21"/>
  <c r="V91" i="21"/>
  <c r="V90" i="21"/>
  <c r="S182" i="21"/>
  <c r="T89" i="21"/>
  <c r="R68" i="21"/>
  <c r="R71" i="21" s="1"/>
  <c r="P68" i="21"/>
  <c r="T212" i="21" s="1"/>
  <c r="P44" i="21"/>
  <c r="L44" i="21"/>
  <c r="F44" i="21"/>
  <c r="T281" i="21"/>
  <c r="U276" i="21" s="1"/>
  <c r="R281" i="21"/>
  <c r="S279" i="21" s="1"/>
  <c r="T269" i="21"/>
  <c r="T217" i="21" s="1"/>
  <c r="R269" i="21"/>
  <c r="U262" i="21"/>
  <c r="T257" i="21"/>
  <c r="R257" i="21"/>
  <c r="S255" i="21" s="1"/>
  <c r="U249" i="21"/>
  <c r="T243" i="21"/>
  <c r="R243" i="21"/>
  <c r="T242" i="21"/>
  <c r="R242" i="21"/>
  <c r="T241" i="21"/>
  <c r="R241" i="21"/>
  <c r="T240" i="21"/>
  <c r="R240" i="21"/>
  <c r="T239" i="21"/>
  <c r="R239" i="21"/>
  <c r="T238" i="21"/>
  <c r="R238" i="21"/>
  <c r="T237" i="21"/>
  <c r="R237" i="21"/>
  <c r="T236" i="21"/>
  <c r="R236" i="21"/>
  <c r="T222" i="21"/>
  <c r="T220" i="21"/>
  <c r="V168" i="21"/>
  <c r="V167" i="21"/>
  <c r="V150" i="21"/>
  <c r="B137" i="21"/>
  <c r="B197" i="21" s="1"/>
  <c r="B292" i="21" s="1"/>
  <c r="T122" i="21"/>
  <c r="T114" i="21"/>
  <c r="A114" i="21"/>
  <c r="A115" i="21" s="1"/>
  <c r="A116" i="21" s="1"/>
  <c r="A117" i="21" s="1"/>
  <c r="A118" i="21" s="1"/>
  <c r="A119" i="21" s="1"/>
  <c r="A120" i="21" s="1"/>
  <c r="V103" i="21"/>
  <c r="A103" i="21"/>
  <c r="A104" i="21" s="1"/>
  <c r="T98" i="21"/>
  <c r="T97" i="21"/>
  <c r="T96" i="21"/>
  <c r="N87" i="21"/>
  <c r="V82" i="21"/>
  <c r="V81" i="21"/>
  <c r="L81" i="21"/>
  <c r="T71" i="21"/>
  <c r="N71" i="21"/>
  <c r="N84" i="21" s="1"/>
  <c r="V69" i="21"/>
  <c r="L68" i="21"/>
  <c r="L71" i="21" s="1"/>
  <c r="R58" i="21"/>
  <c r="R57" i="21"/>
  <c r="V50" i="21"/>
  <c r="P43" i="21"/>
  <c r="L43" i="21"/>
  <c r="F43" i="21"/>
  <c r="J36" i="21"/>
  <c r="H36" i="21"/>
  <c r="F36" i="21"/>
  <c r="D36" i="21"/>
  <c r="R35" i="21"/>
  <c r="P35" i="21"/>
  <c r="N35" i="21"/>
  <c r="L35" i="21"/>
  <c r="J35" i="21"/>
  <c r="H35" i="21"/>
  <c r="F35" i="21"/>
  <c r="D35" i="21"/>
  <c r="V34" i="21"/>
  <c r="S180" i="21" s="1"/>
  <c r="R33" i="21"/>
  <c r="P33" i="21"/>
  <c r="N33" i="21"/>
  <c r="L33" i="21"/>
  <c r="J33" i="21"/>
  <c r="H33" i="21"/>
  <c r="F33" i="21"/>
  <c r="D33" i="21"/>
  <c r="R32" i="21"/>
  <c r="P32" i="21"/>
  <c r="N32" i="21"/>
  <c r="L32" i="21"/>
  <c r="J32" i="21"/>
  <c r="H32" i="21"/>
  <c r="F32" i="21"/>
  <c r="D32" i="21"/>
  <c r="V106" i="20"/>
  <c r="V104" i="20"/>
  <c r="V91" i="20"/>
  <c r="V96" i="20" s="1"/>
  <c r="V100" i="20" s="1"/>
  <c r="V90" i="20"/>
  <c r="T89" i="20"/>
  <c r="T96" i="20" s="1"/>
  <c r="P68" i="20"/>
  <c r="R68" i="20"/>
  <c r="R71" i="20" s="1"/>
  <c r="P44" i="20"/>
  <c r="L44" i="20"/>
  <c r="F44" i="20"/>
  <c r="D32" i="20"/>
  <c r="F32" i="20"/>
  <c r="H32" i="20"/>
  <c r="J32" i="20"/>
  <c r="L32" i="20"/>
  <c r="N32" i="20"/>
  <c r="P32" i="20"/>
  <c r="R32" i="20"/>
  <c r="D33" i="20"/>
  <c r="F33" i="20"/>
  <c r="H33" i="20"/>
  <c r="J33" i="20"/>
  <c r="L33" i="20"/>
  <c r="N33" i="20"/>
  <c r="P33" i="20"/>
  <c r="R33" i="20"/>
  <c r="V34" i="20"/>
  <c r="V52" i="20" s="1"/>
  <c r="D35" i="20"/>
  <c r="F35" i="20"/>
  <c r="H35" i="20"/>
  <c r="J35" i="20"/>
  <c r="L35" i="20"/>
  <c r="N35" i="20"/>
  <c r="P35" i="20"/>
  <c r="R35" i="20"/>
  <c r="D36" i="20"/>
  <c r="F36" i="20"/>
  <c r="H36" i="20"/>
  <c r="J36" i="20"/>
  <c r="F43" i="20"/>
  <c r="L43" i="20"/>
  <c r="P43" i="20"/>
  <c r="V50" i="20"/>
  <c r="R57" i="20"/>
  <c r="R58" i="20"/>
  <c r="L68" i="20"/>
  <c r="L71" i="20" s="1"/>
  <c r="V69" i="20"/>
  <c r="N71" i="20"/>
  <c r="N84" i="20" s="1"/>
  <c r="T71" i="20"/>
  <c r="L81" i="20"/>
  <c r="V81" i="20"/>
  <c r="V82" i="20"/>
  <c r="N87" i="20"/>
  <c r="T97" i="20"/>
  <c r="T98" i="20"/>
  <c r="A103" i="20"/>
  <c r="A104" i="20" s="1"/>
  <c r="V103" i="20"/>
  <c r="A114" i="20"/>
  <c r="A115" i="20" s="1"/>
  <c r="A116" i="20" s="1"/>
  <c r="A117" i="20" s="1"/>
  <c r="A118" i="20" s="1"/>
  <c r="A119" i="20" s="1"/>
  <c r="A120" i="20" s="1"/>
  <c r="T114" i="20"/>
  <c r="T122" i="20"/>
  <c r="T124" i="20"/>
  <c r="B137" i="20"/>
  <c r="B197" i="20" s="1"/>
  <c r="B292" i="20" s="1"/>
  <c r="V150" i="20"/>
  <c r="V167" i="20"/>
  <c r="V168" i="20"/>
  <c r="V169" i="20" s="1"/>
  <c r="V182" i="20"/>
  <c r="R269" i="20"/>
  <c r="T269" i="20"/>
  <c r="T217" i="20" s="1"/>
  <c r="T220" i="20"/>
  <c r="T222" i="20"/>
  <c r="R236" i="20"/>
  <c r="R237" i="20"/>
  <c r="R238" i="20"/>
  <c r="R240" i="20"/>
  <c r="R239" i="20"/>
  <c r="R241" i="20"/>
  <c r="R242" i="20"/>
  <c r="R243" i="20"/>
  <c r="T236" i="20"/>
  <c r="T237" i="20"/>
  <c r="T238" i="20"/>
  <c r="T240" i="20"/>
  <c r="T239" i="20"/>
  <c r="T241" i="20"/>
  <c r="T242" i="20"/>
  <c r="T243" i="20"/>
  <c r="R257" i="20"/>
  <c r="T257" i="20"/>
  <c r="U250" i="20" s="1"/>
  <c r="U262" i="20"/>
  <c r="U263" i="20"/>
  <c r="U266" i="20"/>
  <c r="U267" i="20"/>
  <c r="R281" i="20"/>
  <c r="S281" i="20"/>
  <c r="T281" i="20"/>
  <c r="U281" i="20"/>
  <c r="T90" i="9"/>
  <c r="T97" i="9" s="1"/>
  <c r="V91" i="9"/>
  <c r="T90" i="6"/>
  <c r="V91" i="6"/>
  <c r="V91" i="5"/>
  <c r="T97" i="5"/>
  <c r="S181" i="1"/>
  <c r="S180" i="2" s="1"/>
  <c r="S182" i="2" s="1"/>
  <c r="S180" i="3" s="1"/>
  <c r="S182" i="6"/>
  <c r="S182" i="8"/>
  <c r="S182" i="9"/>
  <c r="S182" i="10"/>
  <c r="S182" i="11"/>
  <c r="S182" i="12"/>
  <c r="S183" i="13"/>
  <c r="V183" i="13" s="1"/>
  <c r="S183" i="14"/>
  <c r="S182" i="15"/>
  <c r="S182" i="16"/>
  <c r="S182" i="17"/>
  <c r="S182" i="19"/>
  <c r="T124" i="19" s="1"/>
  <c r="V170" i="19"/>
  <c r="V91" i="19"/>
  <c r="V90" i="19"/>
  <c r="V106" i="19"/>
  <c r="V104" i="19"/>
  <c r="T89" i="19"/>
  <c r="R68" i="19"/>
  <c r="R71" i="19" s="1"/>
  <c r="P68" i="19"/>
  <c r="T212" i="19" s="1"/>
  <c r="P44" i="19"/>
  <c r="L44" i="19"/>
  <c r="F44" i="19"/>
  <c r="D32" i="19"/>
  <c r="F32" i="19"/>
  <c r="H32" i="19"/>
  <c r="J32" i="19"/>
  <c r="L32" i="19"/>
  <c r="N32" i="19"/>
  <c r="P32" i="19"/>
  <c r="R32" i="19"/>
  <c r="D33" i="19"/>
  <c r="F33" i="19"/>
  <c r="H33" i="19"/>
  <c r="J33" i="19"/>
  <c r="L33" i="19"/>
  <c r="N33" i="19"/>
  <c r="P33" i="19"/>
  <c r="R33" i="19"/>
  <c r="V34" i="19"/>
  <c r="V52" i="19" s="1"/>
  <c r="D35" i="19"/>
  <c r="F35" i="19"/>
  <c r="H35" i="19"/>
  <c r="J35" i="19"/>
  <c r="L35" i="19"/>
  <c r="N35" i="19"/>
  <c r="P35" i="19"/>
  <c r="R35" i="19"/>
  <c r="D36" i="19"/>
  <c r="F36" i="19"/>
  <c r="H36" i="19"/>
  <c r="V36" i="19" s="1"/>
  <c r="J36" i="19"/>
  <c r="F43" i="19"/>
  <c r="L43" i="19"/>
  <c r="P43" i="19"/>
  <c r="V50" i="19"/>
  <c r="R57" i="19"/>
  <c r="R58" i="19"/>
  <c r="L68" i="19"/>
  <c r="L71" i="19" s="1"/>
  <c r="L81" i="19"/>
  <c r="V69" i="19"/>
  <c r="N71" i="19"/>
  <c r="N84" i="19" s="1"/>
  <c r="P71" i="19"/>
  <c r="T71" i="19"/>
  <c r="V81" i="19"/>
  <c r="V82" i="19"/>
  <c r="N87" i="19"/>
  <c r="T96" i="19"/>
  <c r="T97" i="19"/>
  <c r="T98" i="19"/>
  <c r="A103" i="19"/>
  <c r="A104" i="19" s="1"/>
  <c r="V103" i="19"/>
  <c r="A114" i="19"/>
  <c r="A115" i="19" s="1"/>
  <c r="A116" i="19" s="1"/>
  <c r="A117" i="19" s="1"/>
  <c r="A118" i="19" s="1"/>
  <c r="A119" i="19" s="1"/>
  <c r="A120" i="19" s="1"/>
  <c r="T114" i="19"/>
  <c r="T122" i="19"/>
  <c r="B137" i="19"/>
  <c r="B197" i="19" s="1"/>
  <c r="B292" i="19" s="1"/>
  <c r="V141" i="19"/>
  <c r="V150" i="19"/>
  <c r="V167" i="19"/>
  <c r="V168" i="19"/>
  <c r="S180" i="19"/>
  <c r="V182" i="19"/>
  <c r="R269" i="19"/>
  <c r="S217" i="19" s="1"/>
  <c r="T269" i="19"/>
  <c r="U262" i="19" s="1"/>
  <c r="T220" i="19"/>
  <c r="T222" i="19"/>
  <c r="R236" i="19"/>
  <c r="R237" i="19"/>
  <c r="R238" i="19"/>
  <c r="R239" i="19"/>
  <c r="R240" i="19"/>
  <c r="R241" i="19"/>
  <c r="R242" i="19"/>
  <c r="R243" i="19"/>
  <c r="T236" i="19"/>
  <c r="T237" i="19"/>
  <c r="T238" i="19"/>
  <c r="T239" i="19"/>
  <c r="T240" i="19"/>
  <c r="T241" i="19"/>
  <c r="T242" i="19"/>
  <c r="T243" i="19"/>
  <c r="R257" i="19"/>
  <c r="S249" i="19" s="1"/>
  <c r="T257" i="19"/>
  <c r="R281" i="19"/>
  <c r="S281" i="19"/>
  <c r="T281" i="19"/>
  <c r="U281" i="19"/>
  <c r="V106" i="18"/>
  <c r="V104" i="18"/>
  <c r="V91" i="18"/>
  <c r="V90" i="18"/>
  <c r="V96" i="18" s="1"/>
  <c r="V100" i="18" s="1"/>
  <c r="T89" i="18"/>
  <c r="T96" i="18" s="1"/>
  <c r="R68" i="18"/>
  <c r="P68" i="18"/>
  <c r="T212" i="18" s="1"/>
  <c r="P44" i="18"/>
  <c r="L44" i="18"/>
  <c r="F44" i="18"/>
  <c r="D32" i="18"/>
  <c r="F32" i="18"/>
  <c r="H32" i="18"/>
  <c r="J32" i="18"/>
  <c r="L32" i="18"/>
  <c r="N32" i="18"/>
  <c r="P32" i="18"/>
  <c r="R32" i="18"/>
  <c r="D33" i="18"/>
  <c r="F33" i="18"/>
  <c r="H33" i="18"/>
  <c r="J33" i="18"/>
  <c r="L33" i="18"/>
  <c r="N33" i="18"/>
  <c r="P33" i="18"/>
  <c r="R33" i="18"/>
  <c r="V34" i="18"/>
  <c r="D35" i="18"/>
  <c r="F35" i="18"/>
  <c r="H35" i="18"/>
  <c r="J35" i="18"/>
  <c r="L35" i="18"/>
  <c r="N35" i="18"/>
  <c r="P35" i="18"/>
  <c r="R35" i="18"/>
  <c r="D36" i="18"/>
  <c r="F36" i="18"/>
  <c r="H36" i="18"/>
  <c r="J36" i="18"/>
  <c r="F43" i="18"/>
  <c r="L43" i="18"/>
  <c r="P43" i="18"/>
  <c r="V50" i="18"/>
  <c r="R57" i="18"/>
  <c r="R58" i="18"/>
  <c r="L68" i="18"/>
  <c r="L71" i="18" s="1"/>
  <c r="L84" i="18" s="1"/>
  <c r="L81" i="18"/>
  <c r="V69" i="18"/>
  <c r="N71" i="18"/>
  <c r="N84" i="18" s="1"/>
  <c r="P71" i="18"/>
  <c r="T71" i="18"/>
  <c r="V81" i="18"/>
  <c r="V82" i="18"/>
  <c r="N87" i="18"/>
  <c r="T97" i="18"/>
  <c r="T98" i="18"/>
  <c r="A103" i="18"/>
  <c r="A104" i="18" s="1"/>
  <c r="V103" i="18"/>
  <c r="A114" i="18"/>
  <c r="A115" i="18" s="1"/>
  <c r="A116" i="18" s="1"/>
  <c r="A117" i="18" s="1"/>
  <c r="A118" i="18" s="1"/>
  <c r="A119" i="18" s="1"/>
  <c r="A120" i="18" s="1"/>
  <c r="T114" i="18"/>
  <c r="T122" i="18"/>
  <c r="T133" i="18" s="1"/>
  <c r="T124" i="18"/>
  <c r="B137" i="18"/>
  <c r="B197" i="18" s="1"/>
  <c r="B292" i="18" s="1"/>
  <c r="V150" i="18"/>
  <c r="V167" i="18"/>
  <c r="V169" i="18" s="1"/>
  <c r="V168" i="18"/>
  <c r="V182" i="18"/>
  <c r="R269" i="18"/>
  <c r="S261" i="18" s="1"/>
  <c r="T269" i="18"/>
  <c r="T220" i="18"/>
  <c r="T222" i="18"/>
  <c r="R236" i="18"/>
  <c r="S236" i="18" s="1"/>
  <c r="R237" i="18"/>
  <c r="R238" i="18"/>
  <c r="R239" i="18"/>
  <c r="R240" i="18"/>
  <c r="S240" i="18" s="1"/>
  <c r="R241" i="18"/>
  <c r="R242" i="18"/>
  <c r="R243" i="18"/>
  <c r="T236" i="18"/>
  <c r="T245" i="18" s="1"/>
  <c r="T237" i="18"/>
  <c r="T238" i="18"/>
  <c r="T239" i="18"/>
  <c r="T240" i="18"/>
  <c r="T241" i="18"/>
  <c r="T242" i="18"/>
  <c r="T243" i="18"/>
  <c r="R257" i="18"/>
  <c r="S251" i="18" s="1"/>
  <c r="T257" i="18"/>
  <c r="U248" i="18" s="1"/>
  <c r="R281" i="18"/>
  <c r="S281" i="18"/>
  <c r="T281" i="18"/>
  <c r="U281" i="18"/>
  <c r="V106" i="17"/>
  <c r="V104" i="17"/>
  <c r="V91" i="17"/>
  <c r="V90" i="17"/>
  <c r="T89" i="17"/>
  <c r="T96" i="17" s="1"/>
  <c r="R68" i="17"/>
  <c r="V68" i="17" s="1"/>
  <c r="V71" i="17" s="1"/>
  <c r="P68" i="17"/>
  <c r="T212" i="17" s="1"/>
  <c r="P44" i="17"/>
  <c r="L44" i="17"/>
  <c r="F44" i="17"/>
  <c r="D32" i="17"/>
  <c r="F32" i="17"/>
  <c r="H32" i="17"/>
  <c r="J32" i="17"/>
  <c r="L32" i="17"/>
  <c r="N32" i="17"/>
  <c r="P32" i="17"/>
  <c r="R32" i="17"/>
  <c r="D33" i="17"/>
  <c r="F33" i="17"/>
  <c r="H33" i="17"/>
  <c r="J33" i="17"/>
  <c r="L33" i="17"/>
  <c r="N33" i="17"/>
  <c r="P33" i="17"/>
  <c r="R33" i="17"/>
  <c r="V34" i="17"/>
  <c r="D35" i="17"/>
  <c r="F35" i="17"/>
  <c r="H35" i="17"/>
  <c r="J35" i="17"/>
  <c r="L35" i="17"/>
  <c r="N35" i="17"/>
  <c r="P35" i="17"/>
  <c r="R35" i="17"/>
  <c r="D36" i="17"/>
  <c r="F36" i="17"/>
  <c r="H36" i="17"/>
  <c r="J36" i="17"/>
  <c r="F43" i="17"/>
  <c r="L43" i="17"/>
  <c r="P43" i="17"/>
  <c r="V50" i="17"/>
  <c r="R57" i="17"/>
  <c r="R58" i="17"/>
  <c r="L68" i="17"/>
  <c r="L71" i="17" s="1"/>
  <c r="V69" i="17"/>
  <c r="N71" i="17"/>
  <c r="N84" i="17" s="1"/>
  <c r="P71" i="17"/>
  <c r="T71" i="17"/>
  <c r="L81" i="17"/>
  <c r="V81" i="17"/>
  <c r="V82" i="17"/>
  <c r="N87" i="17"/>
  <c r="T98" i="17"/>
  <c r="T97" i="17"/>
  <c r="A103" i="17"/>
  <c r="A104" i="17" s="1"/>
  <c r="V103" i="17"/>
  <c r="A114" i="17"/>
  <c r="A115" i="17" s="1"/>
  <c r="A116" i="17" s="1"/>
  <c r="A117" i="17" s="1"/>
  <c r="A118" i="17" s="1"/>
  <c r="A119" i="17" s="1"/>
  <c r="A120" i="17" s="1"/>
  <c r="T114" i="17"/>
  <c r="T122" i="17"/>
  <c r="B137" i="17"/>
  <c r="V150" i="17"/>
  <c r="V167" i="17"/>
  <c r="V168" i="17"/>
  <c r="B197" i="17"/>
  <c r="B292" i="17" s="1"/>
  <c r="R269" i="17"/>
  <c r="S260" i="17" s="1"/>
  <c r="T269" i="17"/>
  <c r="T217" i="17" s="1"/>
  <c r="T220" i="17"/>
  <c r="T222" i="17"/>
  <c r="R236" i="17"/>
  <c r="R237" i="17"/>
  <c r="R239" i="17"/>
  <c r="R238" i="17"/>
  <c r="R240" i="17"/>
  <c r="R241" i="17"/>
  <c r="R242" i="17"/>
  <c r="R243" i="17"/>
  <c r="T236" i="17"/>
  <c r="T237" i="17"/>
  <c r="T238" i="17"/>
  <c r="T239" i="17"/>
  <c r="T240" i="17"/>
  <c r="T241" i="17"/>
  <c r="T242" i="17"/>
  <c r="T243" i="17"/>
  <c r="R257" i="17"/>
  <c r="S250" i="17" s="1"/>
  <c r="T257" i="17"/>
  <c r="R281" i="17"/>
  <c r="S281" i="17"/>
  <c r="T281" i="17"/>
  <c r="U281" i="17"/>
  <c r="V106" i="16"/>
  <c r="V104" i="16"/>
  <c r="V91" i="16"/>
  <c r="V90" i="16"/>
  <c r="T89" i="16"/>
  <c r="R68" i="16"/>
  <c r="R71" i="16" s="1"/>
  <c r="P68" i="16"/>
  <c r="P44" i="16"/>
  <c r="L44" i="16"/>
  <c r="F44" i="16"/>
  <c r="T237" i="15"/>
  <c r="T238" i="15"/>
  <c r="T239" i="15"/>
  <c r="T240" i="15"/>
  <c r="T241" i="15"/>
  <c r="T242" i="15"/>
  <c r="T243" i="15"/>
  <c r="T236" i="15"/>
  <c r="R237" i="15"/>
  <c r="R238" i="15"/>
  <c r="R239" i="15"/>
  <c r="R240" i="15"/>
  <c r="R241" i="15"/>
  <c r="R242" i="15"/>
  <c r="R243" i="15"/>
  <c r="R236" i="15"/>
  <c r="T236" i="16"/>
  <c r="T237" i="16"/>
  <c r="T238" i="16"/>
  <c r="T239" i="16"/>
  <c r="T240" i="16"/>
  <c r="T241" i="16"/>
  <c r="T242" i="16"/>
  <c r="T243" i="16"/>
  <c r="R236" i="16"/>
  <c r="R237" i="16"/>
  <c r="R239" i="16"/>
  <c r="R240" i="16"/>
  <c r="R241" i="16"/>
  <c r="R243" i="16"/>
  <c r="R238" i="16"/>
  <c r="R242" i="16"/>
  <c r="T222" i="16"/>
  <c r="D32" i="16"/>
  <c r="F32" i="16"/>
  <c r="H32" i="16"/>
  <c r="J32" i="16"/>
  <c r="L32" i="16"/>
  <c r="N32" i="16"/>
  <c r="P32" i="16"/>
  <c r="R32" i="16"/>
  <c r="D33" i="16"/>
  <c r="F33" i="16"/>
  <c r="H33" i="16"/>
  <c r="J33" i="16"/>
  <c r="L33" i="16"/>
  <c r="N33" i="16"/>
  <c r="P33" i="16"/>
  <c r="R33" i="16"/>
  <c r="V34" i="16"/>
  <c r="D35" i="16"/>
  <c r="F35" i="16"/>
  <c r="H35" i="16"/>
  <c r="J35" i="16"/>
  <c r="L35" i="16"/>
  <c r="N35" i="16"/>
  <c r="P35" i="16"/>
  <c r="R35" i="16"/>
  <c r="F43" i="16"/>
  <c r="L43" i="16"/>
  <c r="P43" i="16"/>
  <c r="D36" i="16"/>
  <c r="F36" i="16"/>
  <c r="H36" i="16"/>
  <c r="J36" i="16"/>
  <c r="V50" i="16"/>
  <c r="R57" i="16"/>
  <c r="R58" i="16"/>
  <c r="L68" i="16"/>
  <c r="L71" i="16"/>
  <c r="L81" i="16"/>
  <c r="V69" i="16"/>
  <c r="N71" i="16"/>
  <c r="N84" i="16" s="1"/>
  <c r="T71" i="16"/>
  <c r="V81" i="16"/>
  <c r="V82" i="16"/>
  <c r="N87" i="16"/>
  <c r="T96" i="16"/>
  <c r="T97" i="16"/>
  <c r="T98" i="16"/>
  <c r="A103" i="16"/>
  <c r="A104" i="16" s="1"/>
  <c r="V103" i="16"/>
  <c r="A114" i="16"/>
  <c r="A115" i="16" s="1"/>
  <c r="A116" i="16" s="1"/>
  <c r="A117" i="16" s="1"/>
  <c r="A118" i="16" s="1"/>
  <c r="A119" i="16" s="1"/>
  <c r="A120" i="16" s="1"/>
  <c r="T114" i="16"/>
  <c r="T122" i="16"/>
  <c r="T124" i="16"/>
  <c r="B137" i="16"/>
  <c r="B197" i="16" s="1"/>
  <c r="B292" i="16" s="1"/>
  <c r="V150" i="16"/>
  <c r="V167" i="16"/>
  <c r="V168" i="16"/>
  <c r="V182" i="16"/>
  <c r="R269" i="16"/>
  <c r="T269" i="16"/>
  <c r="U260" i="16" s="1"/>
  <c r="T220" i="16"/>
  <c r="R257" i="16"/>
  <c r="S250" i="16" s="1"/>
  <c r="T257" i="16"/>
  <c r="R281" i="16"/>
  <c r="S281" i="16"/>
  <c r="T281" i="16"/>
  <c r="U281" i="16"/>
  <c r="V106" i="15"/>
  <c r="V104" i="15"/>
  <c r="V91" i="15"/>
  <c r="V90" i="15"/>
  <c r="T89" i="15"/>
  <c r="T96" i="15" s="1"/>
  <c r="T98" i="15"/>
  <c r="T97" i="15"/>
  <c r="R68" i="15"/>
  <c r="P68" i="15"/>
  <c r="T212" i="15" s="1"/>
  <c r="P44" i="15"/>
  <c r="L44" i="15"/>
  <c r="F44" i="15"/>
  <c r="T222" i="15"/>
  <c r="D32" i="15"/>
  <c r="F32" i="15"/>
  <c r="H32" i="15"/>
  <c r="J32" i="15"/>
  <c r="L32" i="15"/>
  <c r="N32" i="15"/>
  <c r="P32" i="15"/>
  <c r="R32" i="15"/>
  <c r="D33" i="15"/>
  <c r="F33" i="15"/>
  <c r="H33" i="15"/>
  <c r="J33" i="15"/>
  <c r="L33" i="15"/>
  <c r="N33" i="15"/>
  <c r="P33" i="15"/>
  <c r="R33" i="15"/>
  <c r="V34" i="15"/>
  <c r="V141" i="15" s="1"/>
  <c r="D35" i="15"/>
  <c r="F35" i="15"/>
  <c r="H35" i="15"/>
  <c r="J35" i="15"/>
  <c r="L35" i="15"/>
  <c r="N35" i="15"/>
  <c r="P35" i="15"/>
  <c r="R35" i="15"/>
  <c r="F43" i="15"/>
  <c r="L43" i="15"/>
  <c r="P43" i="15"/>
  <c r="D36" i="15"/>
  <c r="F36" i="15"/>
  <c r="H36" i="15"/>
  <c r="J36" i="15"/>
  <c r="V50" i="15"/>
  <c r="R57" i="15"/>
  <c r="R58" i="15"/>
  <c r="L68" i="15"/>
  <c r="L71" i="15" s="1"/>
  <c r="L81" i="15"/>
  <c r="V69" i="15"/>
  <c r="N71" i="15"/>
  <c r="N84" i="15" s="1"/>
  <c r="P71" i="15"/>
  <c r="R71" i="15"/>
  <c r="T71" i="15"/>
  <c r="V81" i="15"/>
  <c r="V82" i="15"/>
  <c r="N87" i="15"/>
  <c r="V96" i="15"/>
  <c r="V100" i="15" s="1"/>
  <c r="T206" i="15" s="1"/>
  <c r="V103" i="15"/>
  <c r="A103" i="15"/>
  <c r="A104" i="15" s="1"/>
  <c r="A114" i="15"/>
  <c r="A115" i="15" s="1"/>
  <c r="A116" i="15" s="1"/>
  <c r="A117" i="15" s="1"/>
  <c r="A118" i="15" s="1"/>
  <c r="A119" i="15" s="1"/>
  <c r="A120" i="15" s="1"/>
  <c r="T114" i="15"/>
  <c r="T122" i="15"/>
  <c r="T124" i="15"/>
  <c r="B137" i="15"/>
  <c r="B197" i="15" s="1"/>
  <c r="B292" i="15" s="1"/>
  <c r="V150" i="15"/>
  <c r="V167" i="15"/>
  <c r="V168" i="15"/>
  <c r="V182" i="15"/>
  <c r="R269" i="15"/>
  <c r="S265" i="15" s="1"/>
  <c r="T269" i="15"/>
  <c r="U261" i="15" s="1"/>
  <c r="T220" i="15"/>
  <c r="R257" i="15"/>
  <c r="T257" i="15"/>
  <c r="U248" i="15" s="1"/>
  <c r="U266" i="15"/>
  <c r="R281" i="15"/>
  <c r="S281" i="15"/>
  <c r="T281" i="15"/>
  <c r="U281" i="15"/>
  <c r="V107" i="14"/>
  <c r="V105" i="14"/>
  <c r="V92" i="14"/>
  <c r="V91" i="14"/>
  <c r="T90" i="14"/>
  <c r="R69" i="14"/>
  <c r="R72" i="14" s="1"/>
  <c r="P69" i="14"/>
  <c r="T213" i="14" s="1"/>
  <c r="P44" i="14"/>
  <c r="L44" i="14"/>
  <c r="F44" i="14"/>
  <c r="T223" i="14"/>
  <c r="D32" i="14"/>
  <c r="F32" i="14"/>
  <c r="H32" i="14"/>
  <c r="J32" i="14"/>
  <c r="L32" i="14"/>
  <c r="N32" i="14"/>
  <c r="P32" i="14"/>
  <c r="R32" i="14"/>
  <c r="D33" i="14"/>
  <c r="F33" i="14"/>
  <c r="H33" i="14"/>
  <c r="J33" i="14"/>
  <c r="L33" i="14"/>
  <c r="N33" i="14"/>
  <c r="P33" i="14"/>
  <c r="R33" i="14"/>
  <c r="V34" i="14"/>
  <c r="V52" i="14" s="1"/>
  <c r="D35" i="14"/>
  <c r="F35" i="14"/>
  <c r="H35" i="14"/>
  <c r="J35" i="14"/>
  <c r="L35" i="14"/>
  <c r="N35" i="14"/>
  <c r="P35" i="14"/>
  <c r="R35" i="14"/>
  <c r="D36" i="14"/>
  <c r="F36" i="14"/>
  <c r="H36" i="14"/>
  <c r="J36" i="14"/>
  <c r="F43" i="14"/>
  <c r="L43" i="14"/>
  <c r="P43" i="14"/>
  <c r="V50" i="14"/>
  <c r="R57" i="14"/>
  <c r="R58" i="14"/>
  <c r="L69" i="14"/>
  <c r="L72" i="14" s="1"/>
  <c r="L82" i="14"/>
  <c r="V70" i="14"/>
  <c r="N72" i="14"/>
  <c r="N85" i="14" s="1"/>
  <c r="P72" i="14"/>
  <c r="T72" i="14"/>
  <c r="V82" i="14"/>
  <c r="V83" i="14"/>
  <c r="N88" i="14"/>
  <c r="T97" i="14"/>
  <c r="T98" i="14"/>
  <c r="T99" i="14"/>
  <c r="V104" i="14"/>
  <c r="A104" i="14"/>
  <c r="A105" i="14" s="1"/>
  <c r="A115" i="14"/>
  <c r="A116" i="14" s="1"/>
  <c r="A117" i="14" s="1"/>
  <c r="A118" i="14" s="1"/>
  <c r="A119" i="14" s="1"/>
  <c r="A120" i="14" s="1"/>
  <c r="A121" i="14" s="1"/>
  <c r="T115" i="14"/>
  <c r="T123" i="14"/>
  <c r="T125" i="14"/>
  <c r="B138" i="14"/>
  <c r="B198" i="14" s="1"/>
  <c r="B281" i="14" s="1"/>
  <c r="V142" i="14"/>
  <c r="V151" i="14"/>
  <c r="V168" i="14"/>
  <c r="V169" i="14"/>
  <c r="V171" i="14"/>
  <c r="S181" i="14"/>
  <c r="V183" i="14"/>
  <c r="R258" i="14"/>
  <c r="S249" i="14" s="1"/>
  <c r="T258" i="14"/>
  <c r="T218" i="14" s="1"/>
  <c r="T221" i="14"/>
  <c r="R246" i="14"/>
  <c r="S242" i="14" s="1"/>
  <c r="T246" i="14"/>
  <c r="U237" i="14" s="1"/>
  <c r="R270" i="14"/>
  <c r="S270" i="14"/>
  <c r="T270" i="14"/>
  <c r="U270" i="14"/>
  <c r="V107" i="13"/>
  <c r="V105" i="13"/>
  <c r="V92" i="13"/>
  <c r="V91" i="13"/>
  <c r="T90" i="13"/>
  <c r="T97" i="13" s="1"/>
  <c r="R69" i="13"/>
  <c r="R72" i="13" s="1"/>
  <c r="P69" i="13"/>
  <c r="P44" i="13"/>
  <c r="L44" i="13"/>
  <c r="F44" i="13"/>
  <c r="V171" i="13"/>
  <c r="T223" i="13"/>
  <c r="D32" i="13"/>
  <c r="F32" i="13"/>
  <c r="H32" i="13"/>
  <c r="J32" i="13"/>
  <c r="L32" i="13"/>
  <c r="N32" i="13"/>
  <c r="P32" i="13"/>
  <c r="R32" i="13"/>
  <c r="D33" i="13"/>
  <c r="F33" i="13"/>
  <c r="H33" i="13"/>
  <c r="J33" i="13"/>
  <c r="L33" i="13"/>
  <c r="N33" i="13"/>
  <c r="P33" i="13"/>
  <c r="R33" i="13"/>
  <c r="V34" i="13"/>
  <c r="V142" i="13" s="1"/>
  <c r="D35" i="13"/>
  <c r="F35" i="13"/>
  <c r="H35" i="13"/>
  <c r="J35" i="13"/>
  <c r="L35" i="13"/>
  <c r="N35" i="13"/>
  <c r="P35" i="13"/>
  <c r="R35" i="13"/>
  <c r="F43" i="13"/>
  <c r="L43" i="13"/>
  <c r="P43" i="13"/>
  <c r="D36" i="13"/>
  <c r="F36" i="13"/>
  <c r="V36" i="13" s="1"/>
  <c r="H36" i="13"/>
  <c r="J36" i="13"/>
  <c r="V50" i="13"/>
  <c r="R57" i="13"/>
  <c r="R58" i="13"/>
  <c r="L69" i="13"/>
  <c r="L72" i="13" s="1"/>
  <c r="L82" i="13"/>
  <c r="V70" i="13"/>
  <c r="N72" i="13"/>
  <c r="N85" i="13" s="1"/>
  <c r="T72" i="13"/>
  <c r="V82" i="13"/>
  <c r="V83" i="13"/>
  <c r="N88" i="13"/>
  <c r="T98" i="13"/>
  <c r="T99" i="13"/>
  <c r="A104" i="13"/>
  <c r="A105" i="13" s="1"/>
  <c r="V104" i="13"/>
  <c r="A115" i="13"/>
  <c r="A116" i="13" s="1"/>
  <c r="A117" i="13" s="1"/>
  <c r="A118" i="13" s="1"/>
  <c r="A119" i="13" s="1"/>
  <c r="A120" i="13" s="1"/>
  <c r="A121" i="13" s="1"/>
  <c r="T115" i="13"/>
  <c r="T123" i="13"/>
  <c r="B138" i="13"/>
  <c r="B198" i="13" s="1"/>
  <c r="B281" i="13" s="1"/>
  <c r="V151" i="13"/>
  <c r="V168" i="13"/>
  <c r="V169" i="13"/>
  <c r="R258" i="13"/>
  <c r="S218" i="13" s="1"/>
  <c r="T258" i="13"/>
  <c r="T218" i="13" s="1"/>
  <c r="T221" i="13"/>
  <c r="R246" i="13"/>
  <c r="T246" i="13"/>
  <c r="U250" i="13"/>
  <c r="S255" i="13"/>
  <c r="U255" i="13"/>
  <c r="R270" i="13"/>
  <c r="S270" i="13"/>
  <c r="T270" i="13"/>
  <c r="U270" i="13"/>
  <c r="V91" i="12"/>
  <c r="V107" i="12"/>
  <c r="V105" i="12"/>
  <c r="V92" i="12"/>
  <c r="T90" i="12"/>
  <c r="T97" i="12" s="1"/>
  <c r="R69" i="12"/>
  <c r="P69" i="12"/>
  <c r="T212" i="12" s="1"/>
  <c r="P44" i="12"/>
  <c r="L44" i="12"/>
  <c r="F44" i="12"/>
  <c r="T222" i="12"/>
  <c r="D32" i="12"/>
  <c r="F32" i="12"/>
  <c r="H32" i="12"/>
  <c r="J32" i="12"/>
  <c r="L32" i="12"/>
  <c r="N32" i="12"/>
  <c r="P32" i="12"/>
  <c r="R32" i="12"/>
  <c r="D33" i="12"/>
  <c r="F33" i="12"/>
  <c r="H33" i="12"/>
  <c r="J33" i="12"/>
  <c r="L33" i="12"/>
  <c r="N33" i="12"/>
  <c r="P33" i="12"/>
  <c r="R33" i="12"/>
  <c r="V34" i="12"/>
  <c r="S180" i="12" s="1"/>
  <c r="D35" i="12"/>
  <c r="F35" i="12"/>
  <c r="H35" i="12"/>
  <c r="J35" i="12"/>
  <c r="L35" i="12"/>
  <c r="N35" i="12"/>
  <c r="P35" i="12"/>
  <c r="R35" i="12"/>
  <c r="F43" i="12"/>
  <c r="L43" i="12"/>
  <c r="P43" i="12"/>
  <c r="D36" i="12"/>
  <c r="F36" i="12"/>
  <c r="H36" i="12"/>
  <c r="J36" i="12"/>
  <c r="V50" i="12"/>
  <c r="R57" i="12"/>
  <c r="R58" i="12"/>
  <c r="L69" i="12"/>
  <c r="L72" i="12" s="1"/>
  <c r="L82" i="12"/>
  <c r="V70" i="12"/>
  <c r="N72" i="12"/>
  <c r="N85" i="12" s="1"/>
  <c r="P72" i="12"/>
  <c r="R72" i="12"/>
  <c r="T72" i="12"/>
  <c r="V82" i="12"/>
  <c r="V83" i="12"/>
  <c r="N88" i="12"/>
  <c r="T98" i="12"/>
  <c r="T99" i="12"/>
  <c r="A104" i="12"/>
  <c r="A105" i="12" s="1"/>
  <c r="V104" i="12"/>
  <c r="A115" i="12"/>
  <c r="A116" i="12" s="1"/>
  <c r="A117" i="12" s="1"/>
  <c r="A118" i="12" s="1"/>
  <c r="A119" i="12" s="1"/>
  <c r="A120" i="12" s="1"/>
  <c r="A121" i="12" s="1"/>
  <c r="T115" i="12"/>
  <c r="T123" i="12"/>
  <c r="T134" i="12" s="1"/>
  <c r="T125" i="12"/>
  <c r="B138" i="12"/>
  <c r="B197" i="12" s="1"/>
  <c r="B280" i="12" s="1"/>
  <c r="V151" i="12"/>
  <c r="V168" i="12"/>
  <c r="V169" i="12"/>
  <c r="V182" i="12"/>
  <c r="R257" i="12"/>
  <c r="S217" i="12" s="1"/>
  <c r="T257" i="12"/>
  <c r="T220" i="12"/>
  <c r="R245" i="12"/>
  <c r="S236" i="12" s="1"/>
  <c r="T245" i="12"/>
  <c r="U236" i="12" s="1"/>
  <c r="R269" i="12"/>
  <c r="S269" i="12"/>
  <c r="T269" i="12"/>
  <c r="U269" i="12"/>
  <c r="P69" i="11"/>
  <c r="V107" i="11"/>
  <c r="V105" i="11"/>
  <c r="V92" i="11"/>
  <c r="V91" i="11"/>
  <c r="T90" i="11"/>
  <c r="R69" i="11"/>
  <c r="R72" i="11" s="1"/>
  <c r="F43" i="11"/>
  <c r="P44" i="11"/>
  <c r="L44" i="11"/>
  <c r="F44" i="11"/>
  <c r="T222" i="11"/>
  <c r="T220" i="1"/>
  <c r="T221" i="1" s="1"/>
  <c r="T221" i="2"/>
  <c r="T221" i="3"/>
  <c r="T221" i="4"/>
  <c r="T222" i="7"/>
  <c r="T222" i="8"/>
  <c r="T222" i="10"/>
  <c r="T181" i="1"/>
  <c r="D32" i="11"/>
  <c r="F32" i="11"/>
  <c r="H32" i="11"/>
  <c r="J32" i="11"/>
  <c r="L32" i="11"/>
  <c r="N32" i="11"/>
  <c r="P32" i="11"/>
  <c r="R32" i="11"/>
  <c r="D33" i="11"/>
  <c r="F33" i="11"/>
  <c r="H33" i="11"/>
  <c r="J33" i="11"/>
  <c r="L33" i="11"/>
  <c r="N33" i="11"/>
  <c r="P33" i="11"/>
  <c r="R33" i="11"/>
  <c r="V34" i="11"/>
  <c r="D35" i="11"/>
  <c r="F35" i="11"/>
  <c r="H35" i="11"/>
  <c r="J35" i="11"/>
  <c r="L35" i="11"/>
  <c r="N35" i="11"/>
  <c r="P35" i="11"/>
  <c r="R35" i="11"/>
  <c r="D36" i="11"/>
  <c r="F36" i="11"/>
  <c r="H36" i="11"/>
  <c r="J36" i="11"/>
  <c r="L43" i="11"/>
  <c r="P43" i="11"/>
  <c r="V50" i="11"/>
  <c r="R57" i="11"/>
  <c r="R58" i="11"/>
  <c r="L69" i="11"/>
  <c r="L72" i="11" s="1"/>
  <c r="L82" i="11"/>
  <c r="V70" i="11"/>
  <c r="N72" i="11"/>
  <c r="N85" i="11" s="1"/>
  <c r="T72" i="11"/>
  <c r="V82" i="11"/>
  <c r="V83" i="11"/>
  <c r="N88" i="11"/>
  <c r="T97" i="11"/>
  <c r="T98" i="11"/>
  <c r="T99" i="11"/>
  <c r="A104" i="11"/>
  <c r="A105" i="11" s="1"/>
  <c r="V104" i="11"/>
  <c r="A115" i="11"/>
  <c r="A116" i="11" s="1"/>
  <c r="A117" i="11" s="1"/>
  <c r="A118" i="11" s="1"/>
  <c r="A119" i="11" s="1"/>
  <c r="A120" i="11" s="1"/>
  <c r="A121" i="11" s="1"/>
  <c r="T115" i="11"/>
  <c r="T123" i="11"/>
  <c r="T125" i="11"/>
  <c r="B138" i="11"/>
  <c r="B197" i="11" s="1"/>
  <c r="B280" i="11" s="1"/>
  <c r="V151" i="11"/>
  <c r="V168" i="11"/>
  <c r="V169" i="11"/>
  <c r="V182" i="11"/>
  <c r="F43" i="1"/>
  <c r="L43" i="1"/>
  <c r="P43" i="1"/>
  <c r="V34" i="1"/>
  <c r="R257" i="11"/>
  <c r="S255" i="11" s="1"/>
  <c r="T257" i="11"/>
  <c r="R269" i="11"/>
  <c r="T269" i="11"/>
  <c r="T245" i="11"/>
  <c r="U238" i="11" s="1"/>
  <c r="T220" i="11"/>
  <c r="R245" i="11"/>
  <c r="S238" i="11" s="1"/>
  <c r="S269" i="11"/>
  <c r="U269" i="11"/>
  <c r="P69" i="10"/>
  <c r="V107" i="10"/>
  <c r="V105" i="10"/>
  <c r="V92" i="10"/>
  <c r="V91" i="10"/>
  <c r="T90" i="10"/>
  <c r="T97" i="10" s="1"/>
  <c r="R69" i="10"/>
  <c r="F43" i="10"/>
  <c r="P44" i="10"/>
  <c r="L44" i="10"/>
  <c r="F44" i="10"/>
  <c r="D32" i="10"/>
  <c r="F32" i="10"/>
  <c r="H32" i="10"/>
  <c r="J32" i="10"/>
  <c r="L32" i="10"/>
  <c r="N32" i="10"/>
  <c r="P32" i="10"/>
  <c r="R32" i="10"/>
  <c r="D33" i="10"/>
  <c r="F33" i="10"/>
  <c r="H33" i="10"/>
  <c r="J33" i="10"/>
  <c r="L33" i="10"/>
  <c r="N33" i="10"/>
  <c r="P33" i="10"/>
  <c r="R33" i="10"/>
  <c r="V34" i="10"/>
  <c r="D35" i="10"/>
  <c r="F35" i="10"/>
  <c r="V35" i="10" s="1"/>
  <c r="V43" i="10" s="1"/>
  <c r="T204" i="10" s="1"/>
  <c r="T205" i="10" s="1"/>
  <c r="H35" i="10"/>
  <c r="J35" i="10"/>
  <c r="L35" i="10"/>
  <c r="N35" i="10"/>
  <c r="P35" i="10"/>
  <c r="R35" i="10"/>
  <c r="L43" i="10"/>
  <c r="P43" i="10"/>
  <c r="D36" i="10"/>
  <c r="F36" i="10"/>
  <c r="H36" i="10"/>
  <c r="J36" i="10"/>
  <c r="V36" i="10" s="1"/>
  <c r="V50" i="10"/>
  <c r="R57" i="10"/>
  <c r="R58" i="10"/>
  <c r="L69" i="10"/>
  <c r="L72" i="10" s="1"/>
  <c r="L82" i="10"/>
  <c r="V70" i="10"/>
  <c r="N72" i="10"/>
  <c r="N85" i="10" s="1"/>
  <c r="R72" i="10"/>
  <c r="T72" i="10"/>
  <c r="V82" i="10"/>
  <c r="V83" i="10"/>
  <c r="N88" i="10"/>
  <c r="T98" i="10"/>
  <c r="T99" i="10"/>
  <c r="T123" i="10"/>
  <c r="T125" i="10"/>
  <c r="T115" i="10"/>
  <c r="A104" i="10"/>
  <c r="A105" i="10" s="1"/>
  <c r="V104" i="10"/>
  <c r="A115" i="10"/>
  <c r="A116" i="10" s="1"/>
  <c r="A117" i="10" s="1"/>
  <c r="A118" i="10" s="1"/>
  <c r="A119" i="10" s="1"/>
  <c r="A120" i="10" s="1"/>
  <c r="A121" i="10" s="1"/>
  <c r="B138" i="10"/>
  <c r="B197" i="10" s="1"/>
  <c r="B280" i="10" s="1"/>
  <c r="V151" i="10"/>
  <c r="V168" i="10"/>
  <c r="V169" i="10"/>
  <c r="V182" i="10"/>
  <c r="R257" i="10"/>
  <c r="S217" i="10" s="1"/>
  <c r="T257" i="10"/>
  <c r="U251" i="10" s="1"/>
  <c r="R269" i="10"/>
  <c r="S218" i="10" s="1"/>
  <c r="T269" i="10"/>
  <c r="U262" i="10" s="1"/>
  <c r="T220" i="10"/>
  <c r="R245" i="10"/>
  <c r="T245" i="10"/>
  <c r="U239" i="10" s="1"/>
  <c r="U263" i="10"/>
  <c r="U267" i="10"/>
  <c r="T269" i="9"/>
  <c r="U267" i="9" s="1"/>
  <c r="R269" i="9"/>
  <c r="S261" i="9" s="1"/>
  <c r="V92" i="9"/>
  <c r="V113" i="9"/>
  <c r="V111" i="9"/>
  <c r="V107" i="9"/>
  <c r="V105" i="9"/>
  <c r="P69" i="9"/>
  <c r="P72" i="9" s="1"/>
  <c r="R69" i="9"/>
  <c r="R72" i="9" s="1"/>
  <c r="D32" i="9"/>
  <c r="F32" i="9"/>
  <c r="H32" i="9"/>
  <c r="J32" i="9"/>
  <c r="L32" i="9"/>
  <c r="N32" i="9"/>
  <c r="P32" i="9"/>
  <c r="R32" i="9"/>
  <c r="D33" i="9"/>
  <c r="F33" i="9"/>
  <c r="H33" i="9"/>
  <c r="J33" i="9"/>
  <c r="L33" i="9"/>
  <c r="N33" i="9"/>
  <c r="P33" i="9"/>
  <c r="R33" i="9"/>
  <c r="V34" i="9"/>
  <c r="V52" i="9" s="1"/>
  <c r="D35" i="9"/>
  <c r="F35" i="9"/>
  <c r="V35" i="9" s="1"/>
  <c r="V43" i="9" s="1"/>
  <c r="T204" i="9" s="1"/>
  <c r="T205" i="9" s="1"/>
  <c r="H35" i="9"/>
  <c r="J35" i="9"/>
  <c r="L35" i="9"/>
  <c r="N35" i="9"/>
  <c r="P35" i="9"/>
  <c r="R35" i="9"/>
  <c r="F43" i="9"/>
  <c r="L43" i="9"/>
  <c r="P43" i="9"/>
  <c r="D36" i="9"/>
  <c r="F36" i="9"/>
  <c r="H36" i="9"/>
  <c r="V51" i="9" s="1"/>
  <c r="J36" i="9"/>
  <c r="F44" i="9"/>
  <c r="L44" i="9"/>
  <c r="P44" i="9"/>
  <c r="V50" i="9"/>
  <c r="R57" i="9"/>
  <c r="R58" i="9"/>
  <c r="L69" i="9"/>
  <c r="L72" i="9" s="1"/>
  <c r="V70" i="9"/>
  <c r="N72" i="9"/>
  <c r="N85" i="9" s="1"/>
  <c r="T72" i="9"/>
  <c r="L82" i="9"/>
  <c r="V82" i="9"/>
  <c r="V83" i="9"/>
  <c r="N88" i="9"/>
  <c r="T98" i="9"/>
  <c r="T99" i="9"/>
  <c r="A104" i="9"/>
  <c r="A105" i="9" s="1"/>
  <c r="V104" i="9"/>
  <c r="A115" i="9"/>
  <c r="A116" i="9" s="1"/>
  <c r="A117" i="9" s="1"/>
  <c r="A118" i="9" s="1"/>
  <c r="A119" i="9" s="1"/>
  <c r="A120" i="9" s="1"/>
  <c r="A121" i="9" s="1"/>
  <c r="T115" i="9"/>
  <c r="V167" i="9" s="1"/>
  <c r="T123" i="9"/>
  <c r="B138" i="9"/>
  <c r="B197" i="9" s="1"/>
  <c r="B280" i="9" s="1"/>
  <c r="V151" i="9"/>
  <c r="V169" i="9"/>
  <c r="S180" i="9"/>
  <c r="R257" i="9"/>
  <c r="S252" i="9" s="1"/>
  <c r="T257" i="9"/>
  <c r="T217" i="9" s="1"/>
  <c r="T220" i="9"/>
  <c r="R245" i="9"/>
  <c r="T245" i="9"/>
  <c r="U240" i="9" s="1"/>
  <c r="U249" i="9"/>
  <c r="V113" i="8"/>
  <c r="V111" i="8"/>
  <c r="V107" i="8"/>
  <c r="V105" i="8"/>
  <c r="V94" i="8"/>
  <c r="V92" i="8"/>
  <c r="V91" i="8"/>
  <c r="R69" i="8"/>
  <c r="R72" i="8" s="1"/>
  <c r="P69" i="8"/>
  <c r="V69" i="8"/>
  <c r="V70" i="8"/>
  <c r="P44" i="8"/>
  <c r="L44" i="8"/>
  <c r="F44" i="8"/>
  <c r="D35" i="8"/>
  <c r="F35" i="8"/>
  <c r="H35" i="8"/>
  <c r="J35" i="8"/>
  <c r="L35" i="8"/>
  <c r="N35" i="8"/>
  <c r="P35" i="8"/>
  <c r="R35" i="8"/>
  <c r="F43" i="8"/>
  <c r="L43" i="8"/>
  <c r="P43" i="8"/>
  <c r="D32" i="8"/>
  <c r="F32" i="8"/>
  <c r="H32" i="8"/>
  <c r="J32" i="8"/>
  <c r="L32" i="8"/>
  <c r="N32" i="8"/>
  <c r="P32" i="8"/>
  <c r="R32" i="8"/>
  <c r="D33" i="8"/>
  <c r="F33" i="8"/>
  <c r="H33" i="8"/>
  <c r="J33" i="8"/>
  <c r="L33" i="8"/>
  <c r="N33" i="8"/>
  <c r="P33" i="8"/>
  <c r="R33" i="8"/>
  <c r="V34" i="8"/>
  <c r="D36" i="8"/>
  <c r="F36" i="8"/>
  <c r="H36" i="8"/>
  <c r="J36" i="8"/>
  <c r="V50" i="8"/>
  <c r="R57" i="8"/>
  <c r="R58" i="8"/>
  <c r="L69" i="8"/>
  <c r="L72" i="8" s="1"/>
  <c r="L82" i="8"/>
  <c r="N72" i="8"/>
  <c r="N85" i="8" s="1"/>
  <c r="P72" i="8"/>
  <c r="T72" i="8"/>
  <c r="V82" i="8"/>
  <c r="V83" i="8"/>
  <c r="N88" i="8"/>
  <c r="T97" i="8"/>
  <c r="T98" i="8"/>
  <c r="T99" i="8"/>
  <c r="T123" i="8"/>
  <c r="T125" i="8"/>
  <c r="T115" i="8"/>
  <c r="A104" i="8"/>
  <c r="V104" i="8"/>
  <c r="A105" i="8"/>
  <c r="A115" i="8"/>
  <c r="A116" i="8" s="1"/>
  <c r="A117" i="8" s="1"/>
  <c r="A118" i="8" s="1"/>
  <c r="A119" i="8" s="1"/>
  <c r="A120" i="8" s="1"/>
  <c r="A121" i="8" s="1"/>
  <c r="B138" i="8"/>
  <c r="B197" i="8" s="1"/>
  <c r="B280" i="8" s="1"/>
  <c r="V151" i="8"/>
  <c r="V168" i="8"/>
  <c r="V169" i="8"/>
  <c r="V182" i="8"/>
  <c r="T212" i="8"/>
  <c r="R257" i="8"/>
  <c r="S217" i="8" s="1"/>
  <c r="T257" i="8"/>
  <c r="T217" i="8" s="1"/>
  <c r="T220" i="8"/>
  <c r="R245" i="8"/>
  <c r="S238" i="8" s="1"/>
  <c r="T245" i="8"/>
  <c r="U236" i="8" s="1"/>
  <c r="R269" i="8"/>
  <c r="R271" i="8" s="1"/>
  <c r="S269" i="8"/>
  <c r="T269" i="8"/>
  <c r="U269" i="8"/>
  <c r="V108" i="7"/>
  <c r="V105" i="7"/>
  <c r="V94" i="7"/>
  <c r="V92" i="7"/>
  <c r="V91" i="7"/>
  <c r="P69" i="7"/>
  <c r="R69" i="7"/>
  <c r="P44" i="7"/>
  <c r="L44" i="7"/>
  <c r="F44" i="7"/>
  <c r="D32" i="7"/>
  <c r="F32" i="7"/>
  <c r="H32" i="7"/>
  <c r="J32" i="7"/>
  <c r="L32" i="7"/>
  <c r="N32" i="7"/>
  <c r="P32" i="7"/>
  <c r="R32" i="7"/>
  <c r="D33" i="7"/>
  <c r="F33" i="7"/>
  <c r="H33" i="7"/>
  <c r="J33" i="7"/>
  <c r="L33" i="7"/>
  <c r="N33" i="7"/>
  <c r="P33" i="7"/>
  <c r="R33" i="7"/>
  <c r="V34" i="7"/>
  <c r="D35" i="7"/>
  <c r="F35" i="7"/>
  <c r="H35" i="7"/>
  <c r="J35" i="7"/>
  <c r="L35" i="7"/>
  <c r="N35" i="7"/>
  <c r="P35" i="7"/>
  <c r="R35" i="7"/>
  <c r="F43" i="7"/>
  <c r="L43" i="7"/>
  <c r="P43" i="7"/>
  <c r="D36" i="7"/>
  <c r="F36" i="7"/>
  <c r="H36" i="7"/>
  <c r="J36" i="7"/>
  <c r="V50" i="7"/>
  <c r="R57" i="7"/>
  <c r="R58" i="7"/>
  <c r="L69" i="7"/>
  <c r="L72" i="7" s="1"/>
  <c r="L82" i="7"/>
  <c r="V70" i="7"/>
  <c r="N72" i="7"/>
  <c r="N85" i="7" s="1"/>
  <c r="P72" i="7"/>
  <c r="T72" i="7"/>
  <c r="V82" i="7"/>
  <c r="V83" i="7"/>
  <c r="N88" i="7"/>
  <c r="T97" i="7"/>
  <c r="T98" i="7"/>
  <c r="T99" i="7"/>
  <c r="A104" i="7"/>
  <c r="A105" i="7" s="1"/>
  <c r="V104" i="7"/>
  <c r="A115" i="7"/>
  <c r="A116" i="7" s="1"/>
  <c r="A117" i="7" s="1"/>
  <c r="A118" i="7" s="1"/>
  <c r="A119" i="7" s="1"/>
  <c r="A120" i="7" s="1"/>
  <c r="A121" i="7" s="1"/>
  <c r="T115" i="7"/>
  <c r="T123" i="7"/>
  <c r="T125" i="7"/>
  <c r="B138" i="7"/>
  <c r="B197" i="7" s="1"/>
  <c r="B280" i="7" s="1"/>
  <c r="V151" i="7"/>
  <c r="V168" i="7"/>
  <c r="V169" i="7"/>
  <c r="V182" i="7"/>
  <c r="T212" i="7"/>
  <c r="R257" i="7"/>
  <c r="S217" i="7" s="1"/>
  <c r="T257" i="7"/>
  <c r="T217" i="7" s="1"/>
  <c r="T220" i="7"/>
  <c r="R245" i="7"/>
  <c r="S236" i="7" s="1"/>
  <c r="T245" i="7"/>
  <c r="U253" i="7"/>
  <c r="R269" i="7"/>
  <c r="S269" i="7"/>
  <c r="T269" i="7"/>
  <c r="U269" i="7"/>
  <c r="V92" i="6"/>
  <c r="V94" i="6"/>
  <c r="V108" i="6"/>
  <c r="V105" i="6"/>
  <c r="R69" i="6"/>
  <c r="P69" i="6"/>
  <c r="V70" i="6"/>
  <c r="P44" i="6"/>
  <c r="L44" i="6"/>
  <c r="F44" i="6"/>
  <c r="D32" i="6"/>
  <c r="F32" i="6"/>
  <c r="H32" i="6"/>
  <c r="J32" i="6"/>
  <c r="L32" i="6"/>
  <c r="N32" i="6"/>
  <c r="P32" i="6"/>
  <c r="R32" i="6"/>
  <c r="D33" i="6"/>
  <c r="F33" i="6"/>
  <c r="H33" i="6"/>
  <c r="J33" i="6"/>
  <c r="L33" i="6"/>
  <c r="N33" i="6"/>
  <c r="P33" i="6"/>
  <c r="R33" i="6"/>
  <c r="V34" i="6"/>
  <c r="V52" i="6" s="1"/>
  <c r="D35" i="6"/>
  <c r="F35" i="6"/>
  <c r="H35" i="6"/>
  <c r="J35" i="6"/>
  <c r="L35" i="6"/>
  <c r="N35" i="6"/>
  <c r="P35" i="6"/>
  <c r="R35" i="6"/>
  <c r="F43" i="6"/>
  <c r="L43" i="6"/>
  <c r="P43" i="6"/>
  <c r="D36" i="6"/>
  <c r="F36" i="6"/>
  <c r="H36" i="6"/>
  <c r="J36" i="6"/>
  <c r="V50" i="6"/>
  <c r="R57" i="6"/>
  <c r="R58" i="6"/>
  <c r="L69" i="6"/>
  <c r="L72" i="6" s="1"/>
  <c r="L82" i="6"/>
  <c r="N72" i="6"/>
  <c r="N85" i="6" s="1"/>
  <c r="R72" i="6"/>
  <c r="T72" i="6"/>
  <c r="V82" i="6"/>
  <c r="V83" i="6"/>
  <c r="N88" i="6"/>
  <c r="T97" i="6"/>
  <c r="T99" i="6"/>
  <c r="T98" i="6"/>
  <c r="A104" i="6"/>
  <c r="A105" i="6" s="1"/>
  <c r="V104" i="6"/>
  <c r="A115" i="6"/>
  <c r="A116" i="6" s="1"/>
  <c r="A117" i="6" s="1"/>
  <c r="A118" i="6" s="1"/>
  <c r="A119" i="6" s="1"/>
  <c r="A120" i="6" s="1"/>
  <c r="A121" i="6" s="1"/>
  <c r="T115" i="6"/>
  <c r="V167" i="6" s="1"/>
  <c r="T123" i="6"/>
  <c r="T125" i="6"/>
  <c r="B138" i="6"/>
  <c r="B197" i="6" s="1"/>
  <c r="B280" i="6" s="1"/>
  <c r="V151" i="6"/>
  <c r="V169" i="6"/>
  <c r="V182" i="6"/>
  <c r="R257" i="6"/>
  <c r="S217" i="6" s="1"/>
  <c r="T257" i="6"/>
  <c r="T217" i="6" s="1"/>
  <c r="T220" i="6"/>
  <c r="R245" i="6"/>
  <c r="S238" i="6" s="1"/>
  <c r="T245" i="6"/>
  <c r="U236" i="6" s="1"/>
  <c r="U249" i="6"/>
  <c r="U253" i="6"/>
  <c r="R269" i="6"/>
  <c r="S269" i="6"/>
  <c r="T269" i="6"/>
  <c r="U269" i="6"/>
  <c r="V107" i="5"/>
  <c r="V105" i="5"/>
  <c r="V94" i="5"/>
  <c r="V92" i="5"/>
  <c r="R69" i="5"/>
  <c r="P69" i="5"/>
  <c r="P44" i="5"/>
  <c r="L44" i="5"/>
  <c r="F44" i="5"/>
  <c r="D32" i="5"/>
  <c r="F32" i="5"/>
  <c r="H32" i="5"/>
  <c r="J32" i="5"/>
  <c r="L32" i="5"/>
  <c r="N32" i="5"/>
  <c r="P32" i="5"/>
  <c r="R32" i="5"/>
  <c r="D33" i="5"/>
  <c r="F33" i="5"/>
  <c r="H33" i="5"/>
  <c r="J33" i="5"/>
  <c r="L33" i="5"/>
  <c r="N33" i="5"/>
  <c r="P33" i="5"/>
  <c r="R33" i="5"/>
  <c r="V34" i="5"/>
  <c r="V52" i="5" s="1"/>
  <c r="D35" i="5"/>
  <c r="F35" i="5"/>
  <c r="H35" i="5"/>
  <c r="J35" i="5"/>
  <c r="L35" i="5"/>
  <c r="N35" i="5"/>
  <c r="P35" i="5"/>
  <c r="R35" i="5"/>
  <c r="D36" i="5"/>
  <c r="F36" i="5"/>
  <c r="H36" i="5"/>
  <c r="J36" i="5"/>
  <c r="F43" i="5"/>
  <c r="L43" i="5"/>
  <c r="P43" i="5"/>
  <c r="V50" i="5"/>
  <c r="R57" i="5"/>
  <c r="R58" i="5"/>
  <c r="L69" i="5"/>
  <c r="L72" i="5" s="1"/>
  <c r="L82" i="5"/>
  <c r="V70" i="5"/>
  <c r="N72" i="5"/>
  <c r="N85" i="5" s="1"/>
  <c r="T72" i="5"/>
  <c r="V82" i="5"/>
  <c r="V83" i="5"/>
  <c r="N88" i="5"/>
  <c r="T98" i="5"/>
  <c r="T99" i="5"/>
  <c r="A104" i="5"/>
  <c r="A105" i="5" s="1"/>
  <c r="V104" i="5"/>
  <c r="A115" i="5"/>
  <c r="A116" i="5" s="1"/>
  <c r="A117" i="5" s="1"/>
  <c r="A118" i="5" s="1"/>
  <c r="A119" i="5" s="1"/>
  <c r="A120" i="5" s="1"/>
  <c r="A121" i="5" s="1"/>
  <c r="T115" i="5"/>
  <c r="V167" i="5" s="1"/>
  <c r="T123" i="5"/>
  <c r="T125" i="5"/>
  <c r="B138" i="5"/>
  <c r="B197" i="5" s="1"/>
  <c r="B280" i="5" s="1"/>
  <c r="V142" i="5"/>
  <c r="V151" i="5"/>
  <c r="V169" i="5"/>
  <c r="S180" i="5"/>
  <c r="V182" i="5"/>
  <c r="T212" i="5"/>
  <c r="R257" i="5"/>
  <c r="S217" i="5" s="1"/>
  <c r="T257" i="5"/>
  <c r="U251" i="5" s="1"/>
  <c r="T220" i="5"/>
  <c r="R245" i="5"/>
  <c r="T245" i="5"/>
  <c r="U236" i="5" s="1"/>
  <c r="S248" i="5"/>
  <c r="S253" i="5"/>
  <c r="S254" i="5"/>
  <c r="R269" i="5"/>
  <c r="S269" i="5"/>
  <c r="T269" i="5"/>
  <c r="T271" i="5" s="1"/>
  <c r="U269" i="5"/>
  <c r="V106" i="4"/>
  <c r="V104" i="4"/>
  <c r="V92" i="4"/>
  <c r="V97" i="4" s="1"/>
  <c r="V100" i="4" s="1"/>
  <c r="V191" i="4" s="1"/>
  <c r="V91" i="4"/>
  <c r="T90" i="4"/>
  <c r="P69" i="4"/>
  <c r="P72" i="4" s="1"/>
  <c r="R69" i="4"/>
  <c r="V70" i="4"/>
  <c r="P44" i="4"/>
  <c r="L44" i="4"/>
  <c r="F44" i="4"/>
  <c r="D32" i="4"/>
  <c r="F32" i="4"/>
  <c r="H32" i="4"/>
  <c r="J32" i="4"/>
  <c r="L32" i="4"/>
  <c r="N32" i="4"/>
  <c r="P32" i="4"/>
  <c r="R32" i="4"/>
  <c r="D33" i="4"/>
  <c r="F33" i="4"/>
  <c r="H33" i="4"/>
  <c r="J33" i="4"/>
  <c r="L33" i="4"/>
  <c r="N33" i="4"/>
  <c r="P33" i="4"/>
  <c r="R33" i="4"/>
  <c r="V34" i="4"/>
  <c r="D35" i="4"/>
  <c r="F35" i="4"/>
  <c r="H35" i="4"/>
  <c r="J35" i="4"/>
  <c r="L35" i="4"/>
  <c r="N35" i="4"/>
  <c r="P35" i="4"/>
  <c r="R35" i="4"/>
  <c r="F43" i="4"/>
  <c r="L43" i="4"/>
  <c r="P43" i="4"/>
  <c r="D36" i="4"/>
  <c r="F36" i="4"/>
  <c r="H36" i="4"/>
  <c r="J36" i="4"/>
  <c r="V50" i="4"/>
  <c r="V52" i="4"/>
  <c r="R57" i="4"/>
  <c r="R58" i="4"/>
  <c r="L69" i="4"/>
  <c r="L72" i="4" s="1"/>
  <c r="L82" i="4"/>
  <c r="N72" i="4"/>
  <c r="T72" i="4"/>
  <c r="V82" i="4"/>
  <c r="V83" i="4"/>
  <c r="N88" i="4"/>
  <c r="T97" i="4"/>
  <c r="T98" i="4"/>
  <c r="T99" i="4"/>
  <c r="T122" i="4"/>
  <c r="T124" i="4"/>
  <c r="T114" i="4"/>
  <c r="A103" i="4"/>
  <c r="A104" i="4" s="1"/>
  <c r="V103" i="4"/>
  <c r="A114" i="4"/>
  <c r="A115" i="4" s="1"/>
  <c r="A116" i="4" s="1"/>
  <c r="A117" i="4" s="1"/>
  <c r="A118" i="4" s="1"/>
  <c r="A119" i="4" s="1"/>
  <c r="A120" i="4" s="1"/>
  <c r="B137" i="4"/>
  <c r="B196" i="4" s="1"/>
  <c r="B279" i="4" s="1"/>
  <c r="V141" i="4"/>
  <c r="V150" i="4"/>
  <c r="V167" i="4"/>
  <c r="V168" i="4"/>
  <c r="S179" i="4"/>
  <c r="V181" i="4"/>
  <c r="R256" i="4"/>
  <c r="S216" i="4" s="1"/>
  <c r="T256" i="4"/>
  <c r="T216" i="4" s="1"/>
  <c r="T219" i="4"/>
  <c r="R244" i="4"/>
  <c r="S237" i="4" s="1"/>
  <c r="T244" i="4"/>
  <c r="U236" i="4" s="1"/>
  <c r="U248" i="4"/>
  <c r="R268" i="4"/>
  <c r="S268" i="4"/>
  <c r="T268" i="4"/>
  <c r="T270" i="4" s="1"/>
  <c r="U268" i="4"/>
  <c r="V168" i="3"/>
  <c r="D35" i="3"/>
  <c r="F35" i="3"/>
  <c r="H35" i="3"/>
  <c r="J35" i="3"/>
  <c r="L35" i="3"/>
  <c r="N35" i="3"/>
  <c r="P35" i="3"/>
  <c r="R35" i="3"/>
  <c r="F43" i="3"/>
  <c r="L43" i="3"/>
  <c r="P43" i="3"/>
  <c r="T90" i="3"/>
  <c r="T97" i="3" s="1"/>
  <c r="P69" i="3"/>
  <c r="T211" i="3" s="1"/>
  <c r="D36" i="3"/>
  <c r="F36" i="3"/>
  <c r="H36" i="3"/>
  <c r="J36" i="3"/>
  <c r="V104" i="3"/>
  <c r="V92" i="3"/>
  <c r="V91" i="3"/>
  <c r="T99" i="3"/>
  <c r="T98" i="3"/>
  <c r="T122" i="3"/>
  <c r="T124" i="3"/>
  <c r="T114" i="3"/>
  <c r="T97" i="2"/>
  <c r="T99" i="2"/>
  <c r="T98" i="2"/>
  <c r="T122" i="2"/>
  <c r="T124" i="2"/>
  <c r="V181" i="3"/>
  <c r="R69" i="3"/>
  <c r="R72" i="3" s="1"/>
  <c r="V70" i="3"/>
  <c r="P44" i="3"/>
  <c r="L44" i="3"/>
  <c r="F44" i="3"/>
  <c r="D32" i="3"/>
  <c r="F32" i="3"/>
  <c r="H32" i="3"/>
  <c r="J32" i="3"/>
  <c r="L32" i="3"/>
  <c r="N32" i="3"/>
  <c r="P32" i="3"/>
  <c r="R32" i="3"/>
  <c r="D33" i="3"/>
  <c r="F33" i="3"/>
  <c r="H33" i="3"/>
  <c r="J33" i="3"/>
  <c r="L33" i="3"/>
  <c r="N33" i="3"/>
  <c r="P33" i="3"/>
  <c r="R33" i="3"/>
  <c r="V34" i="3"/>
  <c r="V52" i="3" s="1"/>
  <c r="V50" i="3"/>
  <c r="R57" i="3"/>
  <c r="R58" i="3"/>
  <c r="L69" i="3"/>
  <c r="L72" i="3" s="1"/>
  <c r="L85" i="3" s="1"/>
  <c r="L82" i="3"/>
  <c r="N72" i="3"/>
  <c r="N85" i="3" s="1"/>
  <c r="T72" i="3"/>
  <c r="V82" i="3"/>
  <c r="V83" i="3"/>
  <c r="N88" i="3"/>
  <c r="A103" i="3"/>
  <c r="A104" i="3" s="1"/>
  <c r="V103" i="3"/>
  <c r="A114" i="3"/>
  <c r="A115" i="3" s="1"/>
  <c r="A116" i="3" s="1"/>
  <c r="A117" i="3" s="1"/>
  <c r="A118" i="3" s="1"/>
  <c r="A119" i="3" s="1"/>
  <c r="A120" i="3" s="1"/>
  <c r="B137" i="3"/>
  <c r="B196" i="3" s="1"/>
  <c r="B279" i="3" s="1"/>
  <c r="V141" i="3"/>
  <c r="V150" i="3"/>
  <c r="V167" i="3"/>
  <c r="R256" i="3"/>
  <c r="S252" i="3" s="1"/>
  <c r="T256" i="3"/>
  <c r="T216" i="3"/>
  <c r="T219" i="3"/>
  <c r="R244" i="3"/>
  <c r="S235" i="3" s="1"/>
  <c r="T244" i="3"/>
  <c r="U235" i="3" s="1"/>
  <c r="U247" i="3"/>
  <c r="U250" i="3"/>
  <c r="U252" i="3"/>
  <c r="U254" i="3"/>
  <c r="R268" i="3"/>
  <c r="S268" i="3"/>
  <c r="T268" i="3"/>
  <c r="T270" i="3" s="1"/>
  <c r="U268" i="3"/>
  <c r="V150" i="2"/>
  <c r="T219" i="2"/>
  <c r="F43" i="2"/>
  <c r="L43" i="2"/>
  <c r="D35" i="2"/>
  <c r="F35" i="2"/>
  <c r="H35" i="2"/>
  <c r="J35" i="2"/>
  <c r="L35" i="2"/>
  <c r="N35" i="2"/>
  <c r="P35" i="2"/>
  <c r="R35" i="2"/>
  <c r="P69" i="2"/>
  <c r="T211" i="2" s="1"/>
  <c r="V106" i="2"/>
  <c r="V104" i="2"/>
  <c r="V92" i="2"/>
  <c r="V91" i="2"/>
  <c r="V97" i="2" s="1"/>
  <c r="V100" i="2" s="1"/>
  <c r="R69" i="2"/>
  <c r="V70" i="2"/>
  <c r="R57" i="2"/>
  <c r="P44" i="2"/>
  <c r="L44" i="2"/>
  <c r="F44" i="2"/>
  <c r="R32" i="2"/>
  <c r="P32" i="2"/>
  <c r="N32" i="2"/>
  <c r="L32" i="2"/>
  <c r="J32" i="2"/>
  <c r="H32" i="2"/>
  <c r="F32" i="2"/>
  <c r="D32" i="2"/>
  <c r="N72" i="2"/>
  <c r="N85" i="2" s="1"/>
  <c r="D33" i="2"/>
  <c r="F33" i="2"/>
  <c r="H33" i="2"/>
  <c r="J33" i="2"/>
  <c r="L33" i="2"/>
  <c r="N33" i="2"/>
  <c r="P33" i="2"/>
  <c r="R33" i="2"/>
  <c r="V34" i="2"/>
  <c r="V52" i="2" s="1"/>
  <c r="D36" i="2"/>
  <c r="F36" i="2"/>
  <c r="H36" i="2"/>
  <c r="J36" i="2"/>
  <c r="V50" i="2"/>
  <c r="R58" i="2"/>
  <c r="L69" i="2"/>
  <c r="L72" i="2" s="1"/>
  <c r="L82" i="2"/>
  <c r="P72" i="2"/>
  <c r="R72" i="2"/>
  <c r="T72" i="2"/>
  <c r="V82" i="2"/>
  <c r="V83" i="2"/>
  <c r="N88" i="2"/>
  <c r="A103" i="2"/>
  <c r="A104" i="2" s="1"/>
  <c r="V103" i="2"/>
  <c r="A114" i="2"/>
  <c r="A115" i="2" s="1"/>
  <c r="A116" i="2" s="1"/>
  <c r="A117" i="2" s="1"/>
  <c r="A118" i="2" s="1"/>
  <c r="A119" i="2" s="1"/>
  <c r="A120" i="2" s="1"/>
  <c r="B137" i="2"/>
  <c r="B196" i="2" s="1"/>
  <c r="B280" i="2" s="1"/>
  <c r="V141" i="2"/>
  <c r="V167" i="2"/>
  <c r="V168" i="2"/>
  <c r="S179" i="2"/>
  <c r="V181" i="2"/>
  <c r="R257" i="2"/>
  <c r="S254" i="2" s="1"/>
  <c r="T257" i="2"/>
  <c r="U251" i="2" s="1"/>
  <c r="R245" i="2"/>
  <c r="S242" i="2" s="1"/>
  <c r="T245" i="2"/>
  <c r="U241" i="2" s="1"/>
  <c r="S253" i="2"/>
  <c r="R269" i="2"/>
  <c r="S269" i="2"/>
  <c r="T269" i="2"/>
  <c r="U269" i="2"/>
  <c r="V140" i="1"/>
  <c r="V149" i="1" s="1"/>
  <c r="T218" i="1"/>
  <c r="P82" i="1"/>
  <c r="V82" i="1" s="1"/>
  <c r="R69" i="1"/>
  <c r="L82" i="1"/>
  <c r="L69" i="1"/>
  <c r="L72" i="1" s="1"/>
  <c r="D36" i="1"/>
  <c r="F36" i="1"/>
  <c r="H36" i="1"/>
  <c r="J36" i="1"/>
  <c r="P69" i="1"/>
  <c r="V91" i="1"/>
  <c r="V96" i="1" s="1"/>
  <c r="V99" i="1" s="1"/>
  <c r="V92" i="1"/>
  <c r="V101" i="1"/>
  <c r="V102" i="1"/>
  <c r="V103" i="1"/>
  <c r="V105" i="1"/>
  <c r="V50" i="1"/>
  <c r="A113" i="1"/>
  <c r="A114" i="1" s="1"/>
  <c r="A115" i="1" s="1"/>
  <c r="A116" i="1" s="1"/>
  <c r="A117" i="1" s="1"/>
  <c r="A118" i="1" s="1"/>
  <c r="A119" i="1" s="1"/>
  <c r="V52" i="1"/>
  <c r="S178" i="1"/>
  <c r="P33" i="1"/>
  <c r="R33" i="1"/>
  <c r="J33" i="1"/>
  <c r="F33" i="1"/>
  <c r="T268" i="1"/>
  <c r="T256" i="1"/>
  <c r="U250" i="1" s="1"/>
  <c r="T244" i="1"/>
  <c r="U239" i="1" s="1"/>
  <c r="R268" i="1"/>
  <c r="R256" i="1"/>
  <c r="S247" i="1" s="1"/>
  <c r="R244" i="1"/>
  <c r="V35" i="1"/>
  <c r="T97" i="1"/>
  <c r="T98" i="1"/>
  <c r="V83" i="1"/>
  <c r="D33" i="1"/>
  <c r="N33" i="1"/>
  <c r="L33" i="1"/>
  <c r="H33" i="1"/>
  <c r="N88" i="1"/>
  <c r="T121" i="1"/>
  <c r="T123" i="1"/>
  <c r="T132" i="1" s="1"/>
  <c r="S215" i="1"/>
  <c r="U268" i="1"/>
  <c r="S268" i="1"/>
  <c r="N72" i="1"/>
  <c r="N85" i="1" s="1"/>
  <c r="S248" i="1"/>
  <c r="S249" i="1"/>
  <c r="S250" i="1"/>
  <c r="S251" i="1"/>
  <c r="S252" i="1"/>
  <c r="S253" i="1"/>
  <c r="S254" i="1"/>
  <c r="T96" i="1"/>
  <c r="V70" i="1"/>
  <c r="A102" i="1"/>
  <c r="A103" i="1" s="1"/>
  <c r="R58" i="1"/>
  <c r="V179" i="1"/>
  <c r="R72" i="1"/>
  <c r="T72" i="1"/>
  <c r="B136" i="1"/>
  <c r="B195" i="1" s="1"/>
  <c r="B279" i="1" s="1"/>
  <c r="V166" i="1"/>
  <c r="V167" i="1"/>
  <c r="V180" i="1"/>
  <c r="S254" i="4"/>
  <c r="S253" i="4"/>
  <c r="S252" i="4"/>
  <c r="S251" i="4"/>
  <c r="S250" i="4"/>
  <c r="S249" i="4"/>
  <c r="S248" i="4"/>
  <c r="S247" i="4"/>
  <c r="U243" i="7"/>
  <c r="U242" i="7"/>
  <c r="U241" i="7"/>
  <c r="U240" i="7"/>
  <c r="U239" i="7"/>
  <c r="U238" i="7"/>
  <c r="U237" i="7"/>
  <c r="S261" i="15"/>
  <c r="U253" i="16"/>
  <c r="U249" i="16"/>
  <c r="U243" i="6"/>
  <c r="U242" i="6"/>
  <c r="U241" i="6"/>
  <c r="U240" i="6"/>
  <c r="U239" i="6"/>
  <c r="U238" i="6"/>
  <c r="U237" i="6"/>
  <c r="U243" i="8"/>
  <c r="U242" i="8"/>
  <c r="U241" i="8"/>
  <c r="U240" i="8"/>
  <c r="U239" i="8"/>
  <c r="U238" i="8"/>
  <c r="U237" i="8"/>
  <c r="U244" i="14"/>
  <c r="U243" i="14"/>
  <c r="U242" i="14"/>
  <c r="U241" i="14"/>
  <c r="U240" i="14"/>
  <c r="U239" i="14"/>
  <c r="U238" i="14"/>
  <c r="P72" i="5"/>
  <c r="U241" i="3"/>
  <c r="U240" i="3"/>
  <c r="U239" i="3"/>
  <c r="U238" i="3"/>
  <c r="U237" i="3"/>
  <c r="U236" i="3"/>
  <c r="S255" i="6"/>
  <c r="S254" i="6"/>
  <c r="S253" i="6"/>
  <c r="S252" i="6"/>
  <c r="S251" i="6"/>
  <c r="S250" i="6"/>
  <c r="S249" i="6"/>
  <c r="S248" i="6"/>
  <c r="S255" i="7"/>
  <c r="S254" i="7"/>
  <c r="S253" i="7"/>
  <c r="S252" i="7"/>
  <c r="S251" i="7"/>
  <c r="S250" i="7"/>
  <c r="S249" i="7"/>
  <c r="S248" i="7"/>
  <c r="U264" i="15"/>
  <c r="U263" i="15"/>
  <c r="U262" i="15"/>
  <c r="U260" i="15"/>
  <c r="U255" i="15"/>
  <c r="U251" i="15"/>
  <c r="S265" i="16"/>
  <c r="S261" i="16"/>
  <c r="U255" i="18"/>
  <c r="U254" i="18"/>
  <c r="U253" i="18"/>
  <c r="U252" i="18"/>
  <c r="U251" i="18"/>
  <c r="U250" i="18"/>
  <c r="U249" i="18"/>
  <c r="S243" i="10"/>
  <c r="S239" i="10"/>
  <c r="V68" i="18"/>
  <c r="V71" i="18" s="1"/>
  <c r="S239" i="6"/>
  <c r="S248" i="8"/>
  <c r="U253" i="3"/>
  <c r="U251" i="3"/>
  <c r="U249" i="3"/>
  <c r="U248" i="3"/>
  <c r="U242" i="3"/>
  <c r="U254" i="4"/>
  <c r="U252" i="4"/>
  <c r="U250" i="4"/>
  <c r="U247" i="4"/>
  <c r="T211" i="4"/>
  <c r="S239" i="5"/>
  <c r="U254" i="7"/>
  <c r="U252" i="7"/>
  <c r="U250" i="7"/>
  <c r="U248" i="7"/>
  <c r="S243" i="12"/>
  <c r="S242" i="12"/>
  <c r="S241" i="12"/>
  <c r="S240" i="12"/>
  <c r="S239" i="12"/>
  <c r="S238" i="12"/>
  <c r="S237" i="12"/>
  <c r="U256" i="14"/>
  <c r="U255" i="14"/>
  <c r="U254" i="14"/>
  <c r="U253" i="14"/>
  <c r="U252" i="14"/>
  <c r="U251" i="14"/>
  <c r="U250" i="14"/>
  <c r="U249" i="14"/>
  <c r="V68" i="15"/>
  <c r="S255" i="16"/>
  <c r="T245" i="15"/>
  <c r="U267" i="17"/>
  <c r="U266" i="17"/>
  <c r="U265" i="17"/>
  <c r="U264" i="17"/>
  <c r="U263" i="17"/>
  <c r="U262" i="17"/>
  <c r="U261" i="17"/>
  <c r="U260" i="17"/>
  <c r="U267" i="18"/>
  <c r="U266" i="18"/>
  <c r="U265" i="18"/>
  <c r="U264" i="18"/>
  <c r="U263" i="18"/>
  <c r="U262" i="18"/>
  <c r="U261" i="18"/>
  <c r="U260" i="18"/>
  <c r="S252" i="18"/>
  <c r="S250" i="18"/>
  <c r="R71" i="18"/>
  <c r="V187" i="2"/>
  <c r="S252" i="2"/>
  <c r="S251" i="2"/>
  <c r="S250" i="2"/>
  <c r="S249" i="2"/>
  <c r="S248" i="2"/>
  <c r="U253" i="4"/>
  <c r="U249" i="4"/>
  <c r="U255" i="7"/>
  <c r="U251" i="7"/>
  <c r="S255" i="8"/>
  <c r="S254" i="8"/>
  <c r="S253" i="8"/>
  <c r="S252" i="8"/>
  <c r="S251" i="8"/>
  <c r="S250" i="8"/>
  <c r="S249" i="8"/>
  <c r="U254" i="9"/>
  <c r="U252" i="9"/>
  <c r="U250" i="9"/>
  <c r="U248" i="9"/>
  <c r="R271" i="10"/>
  <c r="S264" i="10"/>
  <c r="S260" i="10"/>
  <c r="S255" i="10"/>
  <c r="S254" i="10"/>
  <c r="S253" i="10"/>
  <c r="S252" i="10"/>
  <c r="S251" i="10"/>
  <c r="S250" i="10"/>
  <c r="S249" i="10"/>
  <c r="S248" i="10"/>
  <c r="S249" i="13"/>
  <c r="S256" i="14"/>
  <c r="S254" i="14"/>
  <c r="S252" i="14"/>
  <c r="S250" i="14"/>
  <c r="U265" i="16"/>
  <c r="U263" i="16"/>
  <c r="U261" i="16"/>
  <c r="U255" i="19"/>
  <c r="U254" i="19"/>
  <c r="U253" i="19"/>
  <c r="U252" i="19"/>
  <c r="U251" i="19"/>
  <c r="U250" i="19"/>
  <c r="U249" i="19"/>
  <c r="U235" i="4"/>
  <c r="U252" i="6"/>
  <c r="U248" i="6"/>
  <c r="S180" i="6"/>
  <c r="S240" i="8"/>
  <c r="S236" i="8"/>
  <c r="U255" i="9"/>
  <c r="S242" i="9"/>
  <c r="S238" i="9"/>
  <c r="V142" i="9"/>
  <c r="S236" i="4"/>
  <c r="U248" i="5"/>
  <c r="U255" i="6"/>
  <c r="U251" i="6"/>
  <c r="V142" i="6"/>
  <c r="U253" i="9"/>
  <c r="S241" i="9"/>
  <c r="S237" i="9"/>
  <c r="U242" i="10"/>
  <c r="U248" i="11"/>
  <c r="U250" i="11"/>
  <c r="U252" i="11"/>
  <c r="U254" i="11"/>
  <c r="T217" i="11"/>
  <c r="U249" i="11"/>
  <c r="U251" i="11"/>
  <c r="U253" i="11"/>
  <c r="U255" i="11"/>
  <c r="S180" i="11"/>
  <c r="V52" i="11"/>
  <c r="V142" i="11"/>
  <c r="U241" i="4"/>
  <c r="U254" i="6"/>
  <c r="U250" i="6"/>
  <c r="S242" i="8"/>
  <c r="S240" i="9"/>
  <c r="S252" i="12"/>
  <c r="U241" i="13"/>
  <c r="U237" i="13"/>
  <c r="S243" i="13"/>
  <c r="S239" i="13"/>
  <c r="V52" i="13"/>
  <c r="S249" i="12"/>
  <c r="U243" i="13"/>
  <c r="U239" i="13"/>
  <c r="S241" i="13"/>
  <c r="S181" i="13"/>
  <c r="S241" i="14"/>
  <c r="U254" i="12"/>
  <c r="U242" i="13"/>
  <c r="V35" i="14"/>
  <c r="V43" i="14" s="1"/>
  <c r="T205" i="14" s="1"/>
  <c r="T206" i="14" s="1"/>
  <c r="S263" i="15"/>
  <c r="T217" i="16"/>
  <c r="P71" i="16"/>
  <c r="S264" i="17"/>
  <c r="R245" i="17"/>
  <c r="S243" i="17" s="1"/>
  <c r="V52" i="17"/>
  <c r="R245" i="18"/>
  <c r="S243" i="18" s="1"/>
  <c r="S266" i="19"/>
  <c r="S264" i="19"/>
  <c r="S262" i="19"/>
  <c r="S260" i="19"/>
  <c r="R245" i="19"/>
  <c r="S242" i="19" s="1"/>
  <c r="U255" i="20"/>
  <c r="U253" i="20"/>
  <c r="U251" i="20"/>
  <c r="S248" i="20"/>
  <c r="S267" i="17"/>
  <c r="S263" i="17"/>
  <c r="S267" i="18"/>
  <c r="S263" i="18"/>
  <c r="U248" i="19"/>
  <c r="S254" i="19"/>
  <c r="U266" i="16"/>
  <c r="S265" i="17"/>
  <c r="S265" i="18"/>
  <c r="S254" i="20"/>
  <c r="S252" i="20"/>
  <c r="S239" i="19"/>
  <c r="V141" i="21"/>
  <c r="V52" i="21"/>
  <c r="V68" i="21"/>
  <c r="V71" i="21" s="1"/>
  <c r="V175" i="21" s="1"/>
  <c r="P71" i="21"/>
  <c r="S238" i="18"/>
  <c r="S239" i="18"/>
  <c r="T222" i="5"/>
  <c r="V168" i="5"/>
  <c r="V170" i="5" s="1"/>
  <c r="S255" i="2"/>
  <c r="U254" i="2"/>
  <c r="U248" i="2"/>
  <c r="S239" i="2"/>
  <c r="U243" i="2"/>
  <c r="S242" i="5"/>
  <c r="U243" i="5"/>
  <c r="U241" i="5"/>
  <c r="U239" i="5"/>
  <c r="U238" i="5"/>
  <c r="U249" i="7"/>
  <c r="S243" i="9"/>
  <c r="U240" i="4"/>
  <c r="U238" i="4"/>
  <c r="U250" i="8"/>
  <c r="S267" i="9"/>
  <c r="S265" i="9"/>
  <c r="S263" i="9"/>
  <c r="U260" i="9"/>
  <c r="U244" i="13"/>
  <c r="S244" i="13"/>
  <c r="S240" i="13"/>
  <c r="S243" i="14"/>
  <c r="S267" i="15"/>
  <c r="U265" i="15"/>
  <c r="U267" i="16"/>
  <c r="U264" i="16"/>
  <c r="S255" i="20"/>
  <c r="S253" i="20"/>
  <c r="S251" i="20"/>
  <c r="S249" i="20"/>
  <c r="S217" i="21"/>
  <c r="R245" i="21"/>
  <c r="S238" i="21" s="1"/>
  <c r="R283" i="21"/>
  <c r="T283" i="21"/>
  <c r="S248" i="21"/>
  <c r="V84" i="21"/>
  <c r="V176" i="21" s="1"/>
  <c r="V51" i="21"/>
  <c r="V52" i="22"/>
  <c r="V68" i="22"/>
  <c r="V71" i="22" s="1"/>
  <c r="V84" i="22" s="1"/>
  <c r="V176" i="22" s="1"/>
  <c r="P71" i="22"/>
  <c r="S180" i="22"/>
  <c r="U249" i="22"/>
  <c r="U250" i="22"/>
  <c r="U251" i="22"/>
  <c r="U252" i="22"/>
  <c r="U253" i="22"/>
  <c r="U254" i="22"/>
  <c r="U262" i="22"/>
  <c r="U263" i="22"/>
  <c r="U264" i="22"/>
  <c r="U265" i="22"/>
  <c r="U266" i="22"/>
  <c r="U274" i="22"/>
  <c r="U275" i="22"/>
  <c r="U276" i="22"/>
  <c r="U277" i="22"/>
  <c r="U278" i="22"/>
  <c r="U279" i="22"/>
  <c r="T283" i="22"/>
  <c r="U261" i="22"/>
  <c r="S264" i="22"/>
  <c r="R283" i="22"/>
  <c r="S260" i="22"/>
  <c r="S261" i="22"/>
  <c r="S262" i="22"/>
  <c r="S266" i="22"/>
  <c r="S263" i="22"/>
  <c r="S265" i="22"/>
  <c r="U248" i="22"/>
  <c r="U255" i="22"/>
  <c r="S252" i="22"/>
  <c r="S250" i="22"/>
  <c r="S254" i="22"/>
  <c r="S248" i="22"/>
  <c r="S249" i="22"/>
  <c r="S251" i="22"/>
  <c r="S253" i="22"/>
  <c r="S255" i="22"/>
  <c r="V120" i="22"/>
  <c r="V133" i="22" s="1"/>
  <c r="V188" i="22"/>
  <c r="T217" i="22"/>
  <c r="U260" i="22"/>
  <c r="V51" i="23"/>
  <c r="V141" i="23"/>
  <c r="S180" i="23"/>
  <c r="V68" i="23"/>
  <c r="V71" i="23" s="1"/>
  <c r="P71" i="23"/>
  <c r="R283" i="23"/>
  <c r="U249" i="23"/>
  <c r="U252" i="23"/>
  <c r="S248" i="23"/>
  <c r="S249" i="23"/>
  <c r="S250" i="23"/>
  <c r="S251" i="23"/>
  <c r="S252" i="23"/>
  <c r="S253" i="23"/>
  <c r="S254" i="23"/>
  <c r="S255" i="23"/>
  <c r="T206" i="23"/>
  <c r="U261" i="23"/>
  <c r="U265" i="23"/>
  <c r="U260" i="23"/>
  <c r="U262" i="23"/>
  <c r="U264" i="23"/>
  <c r="R245" i="23"/>
  <c r="S243" i="23" s="1"/>
  <c r="S261" i="23"/>
  <c r="S262" i="23"/>
  <c r="S263" i="23"/>
  <c r="S264" i="23"/>
  <c r="S265" i="23"/>
  <c r="S266" i="23"/>
  <c r="S267" i="23"/>
  <c r="V68" i="24"/>
  <c r="V71" i="24" s="1"/>
  <c r="P71" i="24"/>
  <c r="T206" i="24"/>
  <c r="V190" i="24"/>
  <c r="V120" i="24"/>
  <c r="V133" i="24" s="1"/>
  <c r="V134" i="24" s="1"/>
  <c r="V188" i="24"/>
  <c r="V192" i="24"/>
  <c r="T100" i="24"/>
  <c r="T283" i="24"/>
  <c r="R283" i="24"/>
  <c r="V36" i="25"/>
  <c r="V52" i="25"/>
  <c r="V141" i="25"/>
  <c r="U249" i="25"/>
  <c r="U250" i="25"/>
  <c r="U251" i="25"/>
  <c r="U252" i="25"/>
  <c r="U253" i="25"/>
  <c r="U254" i="25"/>
  <c r="U262" i="25"/>
  <c r="U263" i="25"/>
  <c r="U264" i="25"/>
  <c r="U265" i="25"/>
  <c r="U266" i="25"/>
  <c r="U275" i="25"/>
  <c r="U276" i="25"/>
  <c r="U277" i="25"/>
  <c r="U278" i="25"/>
  <c r="U279" i="25"/>
  <c r="T245" i="25"/>
  <c r="U240" i="25" s="1"/>
  <c r="U261" i="25"/>
  <c r="S264" i="25"/>
  <c r="S260" i="25"/>
  <c r="S261" i="25"/>
  <c r="S262" i="25"/>
  <c r="S266" i="25"/>
  <c r="S263" i="25"/>
  <c r="S265" i="25"/>
  <c r="U248" i="25"/>
  <c r="T283" i="25"/>
  <c r="S252" i="25"/>
  <c r="S250" i="25"/>
  <c r="S254" i="25"/>
  <c r="R283" i="25"/>
  <c r="S248" i="25"/>
  <c r="S249" i="25"/>
  <c r="S251" i="25"/>
  <c r="S253" i="25"/>
  <c r="S276" i="25"/>
  <c r="S278" i="25"/>
  <c r="V169" i="25"/>
  <c r="V120" i="25"/>
  <c r="V133" i="25" s="1"/>
  <c r="V134" i="25" s="1"/>
  <c r="T124" i="25"/>
  <c r="T133" i="25" s="1"/>
  <c r="V192" i="25"/>
  <c r="V68" i="25"/>
  <c r="V71" i="25" s="1"/>
  <c r="V175" i="25" s="1"/>
  <c r="P71" i="25"/>
  <c r="T206" i="25"/>
  <c r="V52" i="26"/>
  <c r="V68" i="26"/>
  <c r="V71" i="26" s="1"/>
  <c r="P71" i="26"/>
  <c r="S181" i="26"/>
  <c r="T284" i="26"/>
  <c r="V51" i="26"/>
  <c r="V36" i="26"/>
  <c r="V52" i="27"/>
  <c r="V68" i="27"/>
  <c r="V71" i="27" s="1"/>
  <c r="P71" i="27"/>
  <c r="V142" i="27"/>
  <c r="V170" i="27"/>
  <c r="T100" i="27"/>
  <c r="T135" i="27" s="1"/>
  <c r="V51" i="27"/>
  <c r="S249" i="27"/>
  <c r="U239" i="27"/>
  <c r="U240" i="27"/>
  <c r="U244" i="27"/>
  <c r="U241" i="27"/>
  <c r="U237" i="27"/>
  <c r="U238" i="27"/>
  <c r="U242" i="27"/>
  <c r="U243" i="27"/>
  <c r="S182" i="3"/>
  <c r="S180" i="4" s="1"/>
  <c r="S182" i="4" s="1"/>
  <c r="S181" i="5" s="1"/>
  <c r="S238" i="28"/>
  <c r="S239" i="28"/>
  <c r="S240" i="28"/>
  <c r="S241" i="28"/>
  <c r="S242" i="28"/>
  <c r="S243" i="28"/>
  <c r="S244" i="28"/>
  <c r="S237" i="28"/>
  <c r="V52" i="28"/>
  <c r="V68" i="28"/>
  <c r="V71" i="28" s="1"/>
  <c r="P71" i="28"/>
  <c r="V142" i="28"/>
  <c r="V52" i="29"/>
  <c r="V68" i="29"/>
  <c r="V71" i="29" s="1"/>
  <c r="P71" i="29"/>
  <c r="V142" i="29"/>
  <c r="T246" i="29"/>
  <c r="U240" i="29" s="1"/>
  <c r="T284" i="29"/>
  <c r="R284" i="29"/>
  <c r="V96" i="29"/>
  <c r="V100" i="29" s="1"/>
  <c r="V51" i="29"/>
  <c r="V188" i="20" l="1"/>
  <c r="T206" i="20"/>
  <c r="U249" i="8"/>
  <c r="U251" i="8"/>
  <c r="S266" i="15"/>
  <c r="S251" i="12"/>
  <c r="S254" i="12"/>
  <c r="U238" i="10"/>
  <c r="U250" i="5"/>
  <c r="V69" i="3"/>
  <c r="V72" i="3" s="1"/>
  <c r="S261" i="10"/>
  <c r="S265" i="10"/>
  <c r="S249" i="16"/>
  <c r="V71" i="15"/>
  <c r="V175" i="15" s="1"/>
  <c r="S241" i="6"/>
  <c r="U252" i="15"/>
  <c r="S262" i="15"/>
  <c r="S248" i="3"/>
  <c r="S179" i="3"/>
  <c r="P72" i="3"/>
  <c r="U255" i="8"/>
  <c r="V36" i="8"/>
  <c r="V72" i="8"/>
  <c r="T134" i="10"/>
  <c r="V170" i="11"/>
  <c r="T134" i="11"/>
  <c r="S265" i="19"/>
  <c r="S180" i="20"/>
  <c r="V141" i="20"/>
  <c r="T124" i="22"/>
  <c r="S275" i="23"/>
  <c r="V96" i="28"/>
  <c r="V100" i="28" s="1"/>
  <c r="S243" i="21"/>
  <c r="S264" i="15"/>
  <c r="S240" i="19"/>
  <c r="S241" i="18"/>
  <c r="S217" i="18"/>
  <c r="S217" i="17"/>
  <c r="S248" i="16"/>
  <c r="S260" i="18"/>
  <c r="S249" i="17"/>
  <c r="S253" i="12"/>
  <c r="S248" i="12"/>
  <c r="S241" i="11"/>
  <c r="S242" i="7"/>
  <c r="U240" i="10"/>
  <c r="U252" i="5"/>
  <c r="S262" i="10"/>
  <c r="S266" i="10"/>
  <c r="U237" i="12"/>
  <c r="S254" i="18"/>
  <c r="S251" i="16"/>
  <c r="R283" i="15"/>
  <c r="S248" i="9"/>
  <c r="U249" i="15"/>
  <c r="U253" i="15"/>
  <c r="S251" i="5"/>
  <c r="T271" i="8"/>
  <c r="U254" i="8"/>
  <c r="U261" i="10"/>
  <c r="U252" i="13"/>
  <c r="T125" i="13"/>
  <c r="L85" i="13"/>
  <c r="L84" i="16"/>
  <c r="R71" i="17"/>
  <c r="S266" i="18"/>
  <c r="S263" i="19"/>
  <c r="T245" i="21"/>
  <c r="S273" i="22"/>
  <c r="S277" i="23"/>
  <c r="S274" i="24"/>
  <c r="S253" i="18"/>
  <c r="U248" i="8"/>
  <c r="S255" i="18"/>
  <c r="S250" i="19"/>
  <c r="S248" i="17"/>
  <c r="S252" i="16"/>
  <c r="S264" i="18"/>
  <c r="S254" i="16"/>
  <c r="S255" i="12"/>
  <c r="S250" i="12"/>
  <c r="U257" i="6"/>
  <c r="U236" i="10"/>
  <c r="U254" i="5"/>
  <c r="S263" i="10"/>
  <c r="S267" i="10"/>
  <c r="S251" i="17"/>
  <c r="S253" i="16"/>
  <c r="S237" i="6"/>
  <c r="U250" i="15"/>
  <c r="U254" i="15"/>
  <c r="S260" i="15"/>
  <c r="S255" i="5"/>
  <c r="S250" i="5"/>
  <c r="U252" i="8"/>
  <c r="V97" i="11"/>
  <c r="V101" i="11" s="1"/>
  <c r="R271" i="12"/>
  <c r="V69" i="12"/>
  <c r="S252" i="13"/>
  <c r="S218" i="22"/>
  <c r="S274" i="22"/>
  <c r="S218" i="23"/>
  <c r="S273" i="23"/>
  <c r="S279" i="23"/>
  <c r="R245" i="24"/>
  <c r="S275" i="24"/>
  <c r="S250" i="27"/>
  <c r="U237" i="21"/>
  <c r="U236" i="21"/>
  <c r="U238" i="21"/>
  <c r="U239" i="21"/>
  <c r="U240" i="21"/>
  <c r="U241" i="21"/>
  <c r="U242" i="21"/>
  <c r="U243" i="21"/>
  <c r="S240" i="24"/>
  <c r="S241" i="24"/>
  <c r="S238" i="24"/>
  <c r="S239" i="24"/>
  <c r="S236" i="24"/>
  <c r="S237" i="24"/>
  <c r="S242" i="24"/>
  <c r="S243" i="24"/>
  <c r="S243" i="6"/>
  <c r="T133" i="16"/>
  <c r="U264" i="20"/>
  <c r="U260" i="20"/>
  <c r="S251" i="21"/>
  <c r="U260" i="21"/>
  <c r="U264" i="21"/>
  <c r="V51" i="24"/>
  <c r="V96" i="26"/>
  <c r="V100" i="26" s="1"/>
  <c r="V121" i="28"/>
  <c r="T134" i="28"/>
  <c r="V170" i="28"/>
  <c r="V97" i="3"/>
  <c r="V100" i="3" s="1"/>
  <c r="T100" i="4"/>
  <c r="S240" i="6"/>
  <c r="R272" i="13"/>
  <c r="S254" i="13"/>
  <c r="S251" i="13"/>
  <c r="V96" i="16"/>
  <c r="V100" i="16" s="1"/>
  <c r="S249" i="21"/>
  <c r="S252" i="21"/>
  <c r="U261" i="21"/>
  <c r="V51" i="25"/>
  <c r="S274" i="26"/>
  <c r="S256" i="13"/>
  <c r="S253" i="13"/>
  <c r="V97" i="13"/>
  <c r="V101" i="13" s="1"/>
  <c r="T272" i="14"/>
  <c r="T283" i="20"/>
  <c r="S276" i="23"/>
  <c r="T245" i="24"/>
  <c r="S250" i="24"/>
  <c r="S254" i="24"/>
  <c r="U260" i="24"/>
  <c r="S272" i="24"/>
  <c r="S276" i="24"/>
  <c r="L84" i="25"/>
  <c r="U253" i="8"/>
  <c r="T272" i="13"/>
  <c r="S250" i="13"/>
  <c r="L84" i="19"/>
  <c r="U265" i="20"/>
  <c r="U261" i="20"/>
  <c r="S250" i="21"/>
  <c r="U263" i="21"/>
  <c r="S251" i="24"/>
  <c r="S255" i="24"/>
  <c r="U264" i="24"/>
  <c r="S273" i="24"/>
  <c r="S277" i="24"/>
  <c r="U273" i="27"/>
  <c r="U257" i="11"/>
  <c r="V188" i="1"/>
  <c r="T133" i="2"/>
  <c r="T134" i="5"/>
  <c r="V72" i="12"/>
  <c r="V51" i="14"/>
  <c r="V51" i="19"/>
  <c r="V96" i="19"/>
  <c r="V100" i="19" s="1"/>
  <c r="U254" i="20"/>
  <c r="V35" i="20"/>
  <c r="V43" i="20" s="1"/>
  <c r="T204" i="20" s="1"/>
  <c r="T205" i="20" s="1"/>
  <c r="V192" i="20"/>
  <c r="V120" i="23"/>
  <c r="V133" i="23" s="1"/>
  <c r="V134" i="23" s="1"/>
  <c r="V51" i="28"/>
  <c r="S257" i="22"/>
  <c r="S257" i="6"/>
  <c r="V51" i="2"/>
  <c r="S241" i="3"/>
  <c r="T205" i="3"/>
  <c r="L85" i="6"/>
  <c r="V51" i="7"/>
  <c r="S239" i="8"/>
  <c r="V43" i="1"/>
  <c r="T199" i="1" s="1"/>
  <c r="T222" i="2"/>
  <c r="V36" i="12"/>
  <c r="V36" i="15"/>
  <c r="T100" i="16"/>
  <c r="V169" i="17"/>
  <c r="V36" i="17"/>
  <c r="V36" i="18"/>
  <c r="T100" i="19"/>
  <c r="V169" i="22"/>
  <c r="V169" i="24"/>
  <c r="S278" i="26"/>
  <c r="T207" i="13"/>
  <c r="V189" i="13"/>
  <c r="V193" i="13"/>
  <c r="V121" i="13"/>
  <c r="V134" i="13" s="1"/>
  <c r="V135" i="13" s="1"/>
  <c r="V191" i="13"/>
  <c r="V134" i="28"/>
  <c r="V135" i="28" s="1"/>
  <c r="U240" i="23"/>
  <c r="T200" i="2"/>
  <c r="T201" i="2" s="1"/>
  <c r="T215" i="1"/>
  <c r="U247" i="1"/>
  <c r="U251" i="1"/>
  <c r="U248" i="1"/>
  <c r="U252" i="1"/>
  <c r="U249" i="1"/>
  <c r="U253" i="1"/>
  <c r="V120" i="15"/>
  <c r="V133" i="15" s="1"/>
  <c r="V134" i="15" s="1"/>
  <c r="V190" i="15"/>
  <c r="V192" i="15"/>
  <c r="V68" i="20"/>
  <c r="P71" i="20"/>
  <c r="T212" i="20"/>
  <c r="S268" i="26"/>
  <c r="S264" i="26"/>
  <c r="S218" i="26"/>
  <c r="S239" i="30"/>
  <c r="S238" i="30"/>
  <c r="U239" i="30"/>
  <c r="U237" i="30"/>
  <c r="V188" i="25"/>
  <c r="S242" i="23"/>
  <c r="U250" i="23"/>
  <c r="S243" i="19"/>
  <c r="T202" i="1"/>
  <c r="T203" i="1" s="1"/>
  <c r="S237" i="19"/>
  <c r="V120" i="20"/>
  <c r="V133" i="20" s="1"/>
  <c r="V134" i="20" s="1"/>
  <c r="U243" i="15"/>
  <c r="U237" i="15"/>
  <c r="U236" i="15"/>
  <c r="U239" i="15"/>
  <c r="U241" i="15"/>
  <c r="U240" i="15"/>
  <c r="T271" i="9"/>
  <c r="N85" i="4"/>
  <c r="T205" i="4"/>
  <c r="V187" i="4"/>
  <c r="V120" i="4"/>
  <c r="V133" i="4" s="1"/>
  <c r="V134" i="4" s="1"/>
  <c r="V189" i="4"/>
  <c r="V69" i="6"/>
  <c r="T212" i="6"/>
  <c r="S238" i="7"/>
  <c r="S240" i="7"/>
  <c r="V52" i="8"/>
  <c r="V142" i="8"/>
  <c r="S180" i="8"/>
  <c r="U236" i="9"/>
  <c r="U243" i="9"/>
  <c r="U239" i="9"/>
  <c r="U242" i="9"/>
  <c r="U238" i="9"/>
  <c r="U241" i="9"/>
  <c r="U237" i="9"/>
  <c r="S217" i="9"/>
  <c r="S255" i="9"/>
  <c r="S251" i="9"/>
  <c r="S254" i="9"/>
  <c r="S250" i="9"/>
  <c r="S253" i="9"/>
  <c r="S249" i="9"/>
  <c r="R271" i="9"/>
  <c r="V69" i="9"/>
  <c r="V72" i="9" s="1"/>
  <c r="T212" i="9"/>
  <c r="S251" i="11"/>
  <c r="T212" i="11"/>
  <c r="V69" i="11"/>
  <c r="V72" i="11" s="1"/>
  <c r="V85" i="11" s="1"/>
  <c r="V176" i="11" s="1"/>
  <c r="T213" i="13"/>
  <c r="V69" i="13"/>
  <c r="V72" i="13" s="1"/>
  <c r="P72" i="13"/>
  <c r="V69" i="14"/>
  <c r="V72" i="14" s="1"/>
  <c r="S253" i="17"/>
  <c r="S254" i="17"/>
  <c r="S252" i="17"/>
  <c r="S255" i="17"/>
  <c r="S261" i="17"/>
  <c r="S262" i="17"/>
  <c r="S266" i="17"/>
  <c r="T125" i="9"/>
  <c r="V182" i="9"/>
  <c r="T218" i="22"/>
  <c r="U272" i="22"/>
  <c r="U279" i="24"/>
  <c r="U273" i="24"/>
  <c r="T218" i="24"/>
  <c r="U275" i="24"/>
  <c r="U277" i="24"/>
  <c r="U272" i="24"/>
  <c r="S249" i="26"/>
  <c r="S252" i="26"/>
  <c r="S251" i="26"/>
  <c r="R270" i="1"/>
  <c r="S235" i="1"/>
  <c r="S237" i="1"/>
  <c r="S236" i="1"/>
  <c r="S238" i="1"/>
  <c r="S240" i="1"/>
  <c r="S241" i="1"/>
  <c r="S280" i="27"/>
  <c r="S276" i="27"/>
  <c r="S273" i="27"/>
  <c r="V193" i="28"/>
  <c r="R284" i="26"/>
  <c r="U248" i="23"/>
  <c r="S238" i="19"/>
  <c r="S236" i="19"/>
  <c r="S257" i="17"/>
  <c r="V190" i="20"/>
  <c r="V188" i="15"/>
  <c r="U242" i="15"/>
  <c r="S242" i="1"/>
  <c r="V169" i="3"/>
  <c r="R72" i="5"/>
  <c r="V69" i="5"/>
  <c r="V72" i="5" s="1"/>
  <c r="T134" i="9"/>
  <c r="S236" i="10"/>
  <c r="S242" i="10"/>
  <c r="S238" i="10"/>
  <c r="S241" i="10"/>
  <c r="S237" i="10"/>
  <c r="S240" i="10"/>
  <c r="T217" i="10"/>
  <c r="U252" i="10"/>
  <c r="U248" i="10"/>
  <c r="U253" i="10"/>
  <c r="U249" i="10"/>
  <c r="U255" i="10"/>
  <c r="T271" i="10"/>
  <c r="T180" i="2"/>
  <c r="V181" i="1"/>
  <c r="V190" i="11"/>
  <c r="T206" i="11"/>
  <c r="V121" i="11"/>
  <c r="V134" i="11" s="1"/>
  <c r="V135" i="11" s="1"/>
  <c r="U248" i="16"/>
  <c r="U252" i="16"/>
  <c r="U255" i="16"/>
  <c r="U251" i="16"/>
  <c r="U254" i="16"/>
  <c r="U250" i="16"/>
  <c r="S266" i="16"/>
  <c r="S264" i="16"/>
  <c r="S260" i="16"/>
  <c r="S267" i="16"/>
  <c r="S263" i="16"/>
  <c r="S262" i="16"/>
  <c r="V35" i="17"/>
  <c r="V43" i="17" s="1"/>
  <c r="T204" i="17" s="1"/>
  <c r="T205" i="17" s="1"/>
  <c r="S217" i="20"/>
  <c r="S261" i="20"/>
  <c r="S262" i="20"/>
  <c r="S266" i="20"/>
  <c r="S263" i="20"/>
  <c r="S267" i="20"/>
  <c r="S260" i="20"/>
  <c r="S264" i="20"/>
  <c r="S219" i="27"/>
  <c r="U264" i="27"/>
  <c r="U262" i="27"/>
  <c r="U253" i="28"/>
  <c r="U251" i="28"/>
  <c r="U261" i="9"/>
  <c r="U265" i="9"/>
  <c r="T218" i="9"/>
  <c r="U263" i="9"/>
  <c r="U236" i="11"/>
  <c r="U241" i="11"/>
  <c r="U237" i="11"/>
  <c r="U240" i="11"/>
  <c r="U243" i="11"/>
  <c r="U239" i="11"/>
  <c r="V142" i="12"/>
  <c r="V52" i="12"/>
  <c r="S248" i="15"/>
  <c r="S255" i="15"/>
  <c r="S253" i="15"/>
  <c r="S251" i="15"/>
  <c r="U249" i="27"/>
  <c r="U253" i="27"/>
  <c r="T207" i="28"/>
  <c r="T284" i="27"/>
  <c r="S257" i="25"/>
  <c r="U257" i="25"/>
  <c r="S237" i="23"/>
  <c r="U255" i="23"/>
  <c r="T283" i="23"/>
  <c r="R284" i="27"/>
  <c r="S240" i="23"/>
  <c r="U254" i="23"/>
  <c r="U251" i="23"/>
  <c r="V175" i="22"/>
  <c r="U264" i="9"/>
  <c r="U257" i="7"/>
  <c r="S237" i="18"/>
  <c r="S242" i="18"/>
  <c r="S249" i="15"/>
  <c r="S239" i="1"/>
  <c r="U242" i="11"/>
  <c r="P72" i="6"/>
  <c r="U254" i="1"/>
  <c r="S236" i="2"/>
  <c r="S240" i="2"/>
  <c r="S237" i="2"/>
  <c r="S238" i="2"/>
  <c r="S241" i="2"/>
  <c r="S243" i="2"/>
  <c r="S238" i="5"/>
  <c r="S237" i="5"/>
  <c r="S243" i="5"/>
  <c r="S240" i="5"/>
  <c r="S241" i="5"/>
  <c r="V52" i="7"/>
  <c r="V142" i="7"/>
  <c r="S180" i="7"/>
  <c r="V69" i="7"/>
  <c r="V72" i="7" s="1"/>
  <c r="R72" i="7"/>
  <c r="P72" i="11"/>
  <c r="V52" i="16"/>
  <c r="V141" i="16"/>
  <c r="S180" i="16"/>
  <c r="U238" i="15"/>
  <c r="R283" i="17"/>
  <c r="S265" i="20"/>
  <c r="U255" i="21"/>
  <c r="U254" i="21"/>
  <c r="U250" i="21"/>
  <c r="U248" i="21"/>
  <c r="U252" i="21"/>
  <c r="U267" i="25"/>
  <c r="T217" i="25"/>
  <c r="S256" i="29"/>
  <c r="S255" i="29"/>
  <c r="S253" i="29"/>
  <c r="S251" i="29"/>
  <c r="V84" i="15"/>
  <c r="V176" i="15" s="1"/>
  <c r="U257" i="18"/>
  <c r="S240" i="3"/>
  <c r="S252" i="5"/>
  <c r="S249" i="5"/>
  <c r="V97" i="9"/>
  <c r="V101" i="9" s="1"/>
  <c r="T271" i="11"/>
  <c r="L85" i="11"/>
  <c r="L85" i="12"/>
  <c r="V36" i="14"/>
  <c r="V71" i="20"/>
  <c r="L84" i="21"/>
  <c r="S272" i="22"/>
  <c r="S275" i="22"/>
  <c r="S279" i="26"/>
  <c r="S253" i="27"/>
  <c r="S249" i="28"/>
  <c r="S258" i="13"/>
  <c r="S182" i="1"/>
  <c r="V97" i="7"/>
  <c r="V101" i="7" s="1"/>
  <c r="V192" i="7" s="1"/>
  <c r="T101" i="13"/>
  <c r="U265" i="21"/>
  <c r="S276" i="22"/>
  <c r="S278" i="24"/>
  <c r="L84" i="26"/>
  <c r="S258" i="30"/>
  <c r="V36" i="1"/>
  <c r="T101" i="5"/>
  <c r="T245" i="16"/>
  <c r="L84" i="17"/>
  <c r="T100" i="21"/>
  <c r="U266" i="21"/>
  <c r="T133" i="22"/>
  <c r="V170" i="26"/>
  <c r="S275" i="26"/>
  <c r="U267" i="29"/>
  <c r="V84" i="17"/>
  <c r="V176" i="17" s="1"/>
  <c r="V175" i="17"/>
  <c r="U269" i="18"/>
  <c r="U258" i="14"/>
  <c r="V168" i="1"/>
  <c r="R271" i="7"/>
  <c r="U264" i="10"/>
  <c r="V51" i="12"/>
  <c r="T134" i="14"/>
  <c r="V97" i="14"/>
  <c r="V101" i="14" s="1"/>
  <c r="S252" i="15"/>
  <c r="V51" i="15"/>
  <c r="U252" i="20"/>
  <c r="S254" i="26"/>
  <c r="S262" i="26"/>
  <c r="S265" i="26"/>
  <c r="S273" i="26"/>
  <c r="S276" i="26"/>
  <c r="U279" i="26"/>
  <c r="U243" i="29"/>
  <c r="U257" i="8"/>
  <c r="T201" i="9"/>
  <c r="T202" i="9" s="1"/>
  <c r="T201" i="7"/>
  <c r="T202" i="7" s="1"/>
  <c r="T201" i="20"/>
  <c r="T202" i="20" s="1"/>
  <c r="U245" i="8"/>
  <c r="S237" i="3"/>
  <c r="U251" i="4"/>
  <c r="V36" i="7"/>
  <c r="V51" i="10"/>
  <c r="S253" i="14"/>
  <c r="V169" i="15"/>
  <c r="T283" i="16"/>
  <c r="U262" i="16"/>
  <c r="V68" i="19"/>
  <c r="V71" i="19" s="1"/>
  <c r="U248" i="20"/>
  <c r="S278" i="22"/>
  <c r="U261" i="24"/>
  <c r="U265" i="24"/>
  <c r="S272" i="25"/>
  <c r="S250" i="26"/>
  <c r="S256" i="26"/>
  <c r="S263" i="26"/>
  <c r="S266" i="26"/>
  <c r="U273" i="26"/>
  <c r="S277" i="26"/>
  <c r="S265" i="27"/>
  <c r="S253" i="28"/>
  <c r="V35" i="29"/>
  <c r="V43" i="29" s="1"/>
  <c r="T205" i="29" s="1"/>
  <c r="T206" i="29" s="1"/>
  <c r="S249" i="29"/>
  <c r="T201" i="11"/>
  <c r="T202" i="11" s="1"/>
  <c r="T201" i="5"/>
  <c r="T202" i="5" s="1"/>
  <c r="V51" i="1"/>
  <c r="L85" i="2"/>
  <c r="V51" i="17"/>
  <c r="S262" i="18"/>
  <c r="U267" i="19"/>
  <c r="V36" i="21"/>
  <c r="S253" i="21"/>
  <c r="V96" i="21"/>
  <c r="V100" i="21" s="1"/>
  <c r="S279" i="22"/>
  <c r="U267" i="23"/>
  <c r="S278" i="23"/>
  <c r="S281" i="23" s="1"/>
  <c r="U262" i="24"/>
  <c r="U267" i="24"/>
  <c r="U274" i="24"/>
  <c r="U276" i="24"/>
  <c r="U278" i="24"/>
  <c r="S274" i="25"/>
  <c r="S250" i="28"/>
  <c r="S254" i="28"/>
  <c r="S270" i="28"/>
  <c r="U242" i="23"/>
  <c r="T201" i="48"/>
  <c r="T202" i="48" s="1"/>
  <c r="T201" i="47"/>
  <c r="T202" i="47" s="1"/>
  <c r="T201" i="46"/>
  <c r="T202" i="46" s="1"/>
  <c r="T201" i="45"/>
  <c r="T202" i="45" s="1"/>
  <c r="T201" i="44"/>
  <c r="T202" i="44" s="1"/>
  <c r="T201" i="43"/>
  <c r="T202" i="43" s="1"/>
  <c r="T201" i="42"/>
  <c r="T202" i="42" s="1"/>
  <c r="T201" i="41"/>
  <c r="T202" i="41" s="1"/>
  <c r="R271" i="5"/>
  <c r="L85" i="7"/>
  <c r="U265" i="10"/>
  <c r="U260" i="10"/>
  <c r="V170" i="10"/>
  <c r="U242" i="12"/>
  <c r="V97" i="12"/>
  <c r="V101" i="12" s="1"/>
  <c r="U256" i="13"/>
  <c r="U254" i="13"/>
  <c r="S267" i="19"/>
  <c r="S261" i="19"/>
  <c r="S254" i="21"/>
  <c r="U263" i="24"/>
  <c r="U269" i="24" s="1"/>
  <c r="S275" i="25"/>
  <c r="U255" i="27"/>
  <c r="S264" i="27"/>
  <c r="S251" i="28"/>
  <c r="S256" i="28"/>
  <c r="L84" i="29"/>
  <c r="V192" i="23"/>
  <c r="V190" i="23"/>
  <c r="T134" i="25"/>
  <c r="S257" i="23"/>
  <c r="U239" i="18"/>
  <c r="U236" i="18"/>
  <c r="U243" i="18"/>
  <c r="U238" i="18"/>
  <c r="V188" i="23"/>
  <c r="U237" i="18"/>
  <c r="T222" i="6"/>
  <c r="V168" i="6"/>
  <c r="V170" i="6" s="1"/>
  <c r="S257" i="12"/>
  <c r="S269" i="10"/>
  <c r="S245" i="12"/>
  <c r="V35" i="3"/>
  <c r="V43" i="3" s="1"/>
  <c r="T203" i="3" s="1"/>
  <c r="T204" i="3" s="1"/>
  <c r="T133" i="4"/>
  <c r="V51" i="4"/>
  <c r="S236" i="5"/>
  <c r="V36" i="5"/>
  <c r="T134" i="6"/>
  <c r="V97" i="6"/>
  <c r="V101" i="6" s="1"/>
  <c r="S243" i="7"/>
  <c r="U251" i="9"/>
  <c r="U257" i="9" s="1"/>
  <c r="U243" i="10"/>
  <c r="T101" i="12"/>
  <c r="T135" i="12" s="1"/>
  <c r="T134" i="13"/>
  <c r="T135" i="13" s="1"/>
  <c r="L85" i="14"/>
  <c r="U267" i="15"/>
  <c r="U269" i="15" s="1"/>
  <c r="S254" i="15"/>
  <c r="S257" i="15" s="1"/>
  <c r="S250" i="15"/>
  <c r="V35" i="15"/>
  <c r="V43" i="15" s="1"/>
  <c r="T204" i="15" s="1"/>
  <c r="T205" i="15" s="1"/>
  <c r="S252" i="19"/>
  <c r="L84" i="20"/>
  <c r="V51" i="20"/>
  <c r="U267" i="21"/>
  <c r="U269" i="21" s="1"/>
  <c r="U279" i="21"/>
  <c r="U260" i="25"/>
  <c r="V35" i="26"/>
  <c r="V43" i="26" s="1"/>
  <c r="T205" i="26" s="1"/>
  <c r="T206" i="26" s="1"/>
  <c r="T246" i="26"/>
  <c r="T246" i="28"/>
  <c r="T100" i="29"/>
  <c r="T202" i="35"/>
  <c r="T203" i="35" s="1"/>
  <c r="T201" i="40"/>
  <c r="T202" i="40" s="1"/>
  <c r="T201" i="39"/>
  <c r="T202" i="39" s="1"/>
  <c r="T201" i="38"/>
  <c r="T202" i="38" s="1"/>
  <c r="T201" i="37"/>
  <c r="T202" i="37" s="1"/>
  <c r="T201" i="36"/>
  <c r="T202" i="36" s="1"/>
  <c r="S216" i="2"/>
  <c r="S239" i="3"/>
  <c r="S236" i="3"/>
  <c r="T100" i="3"/>
  <c r="T101" i="8"/>
  <c r="V97" i="8"/>
  <c r="V101" i="8" s="1"/>
  <c r="S218" i="9"/>
  <c r="S266" i="9"/>
  <c r="U266" i="9"/>
  <c r="S239" i="11"/>
  <c r="V51" i="13"/>
  <c r="V35" i="13"/>
  <c r="V43" i="13" s="1"/>
  <c r="T205" i="13" s="1"/>
  <c r="T206" i="13" s="1"/>
  <c r="S255" i="14"/>
  <c r="S218" i="14"/>
  <c r="V170" i="14"/>
  <c r="T101" i="14"/>
  <c r="T134" i="16"/>
  <c r="V35" i="19"/>
  <c r="V43" i="19" s="1"/>
  <c r="T204" i="19" s="1"/>
  <c r="T205" i="19" s="1"/>
  <c r="T133" i="20"/>
  <c r="V36" i="22"/>
  <c r="L84" i="22"/>
  <c r="R245" i="25"/>
  <c r="V84" i="23"/>
  <c r="V176" i="23" s="1"/>
  <c r="V175" i="23"/>
  <c r="S269" i="25"/>
  <c r="S257" i="2"/>
  <c r="T182" i="2"/>
  <c r="V180" i="2"/>
  <c r="S246" i="28"/>
  <c r="U243" i="25"/>
  <c r="S238" i="23"/>
  <c r="S239" i="23"/>
  <c r="U241" i="23"/>
  <c r="U236" i="23"/>
  <c r="U257" i="23"/>
  <c r="U237" i="23"/>
  <c r="U242" i="18"/>
  <c r="U241" i="18"/>
  <c r="U269" i="16"/>
  <c r="S241" i="19"/>
  <c r="T202" i="13"/>
  <c r="T203" i="13" s="1"/>
  <c r="T200" i="3"/>
  <c r="T201" i="3" s="1"/>
  <c r="T201" i="10"/>
  <c r="T202" i="10" s="1"/>
  <c r="T201" i="19"/>
  <c r="T202" i="19" s="1"/>
  <c r="T200" i="4"/>
  <c r="T201" i="4" s="1"/>
  <c r="S257" i="16"/>
  <c r="U246" i="27"/>
  <c r="U239" i="25"/>
  <c r="S245" i="24"/>
  <c r="U257" i="22"/>
  <c r="U269" i="22"/>
  <c r="S269" i="17"/>
  <c r="S269" i="18"/>
  <c r="U257" i="19"/>
  <c r="S257" i="8"/>
  <c r="U256" i="3"/>
  <c r="V84" i="25"/>
  <c r="V176" i="25" s="1"/>
  <c r="U242" i="25"/>
  <c r="S269" i="23"/>
  <c r="S236" i="23"/>
  <c r="U239" i="23"/>
  <c r="U240" i="18"/>
  <c r="T201" i="12"/>
  <c r="T202" i="12" s="1"/>
  <c r="T202" i="14"/>
  <c r="T203" i="14" s="1"/>
  <c r="T200" i="1"/>
  <c r="T201" i="17"/>
  <c r="T202" i="17" s="1"/>
  <c r="S257" i="10"/>
  <c r="U269" i="17"/>
  <c r="S256" i="1"/>
  <c r="R271" i="2"/>
  <c r="V169" i="2"/>
  <c r="V169" i="4"/>
  <c r="L85" i="4"/>
  <c r="U237" i="5"/>
  <c r="R271" i="6"/>
  <c r="S242" i="6"/>
  <c r="S236" i="6"/>
  <c r="T101" i="6"/>
  <c r="S239" i="7"/>
  <c r="T134" i="7"/>
  <c r="V35" i="7"/>
  <c r="V43" i="7" s="1"/>
  <c r="T204" i="7" s="1"/>
  <c r="T205" i="7" s="1"/>
  <c r="S241" i="8"/>
  <c r="T134" i="8"/>
  <c r="L85" i="9"/>
  <c r="V36" i="9"/>
  <c r="T218" i="10"/>
  <c r="S242" i="11"/>
  <c r="S236" i="11"/>
  <c r="T222" i="3"/>
  <c r="T222" i="4" s="1"/>
  <c r="T223" i="5" s="1"/>
  <c r="T223" i="6" s="1"/>
  <c r="T223" i="7" s="1"/>
  <c r="T223" i="8" s="1"/>
  <c r="U243" i="12"/>
  <c r="U238" i="12"/>
  <c r="U253" i="13"/>
  <c r="U251" i="13"/>
  <c r="U258" i="13" s="1"/>
  <c r="U249" i="13"/>
  <c r="T133" i="15"/>
  <c r="S217" i="16"/>
  <c r="S253" i="19"/>
  <c r="S248" i="19"/>
  <c r="T101" i="9"/>
  <c r="U249" i="20"/>
  <c r="U257" i="20" s="1"/>
  <c r="U275" i="21"/>
  <c r="V51" i="22"/>
  <c r="V35" i="23"/>
  <c r="V169" i="23"/>
  <c r="U272" i="23"/>
  <c r="U274" i="23"/>
  <c r="U276" i="23"/>
  <c r="U278" i="23"/>
  <c r="U248" i="24"/>
  <c r="U250" i="24"/>
  <c r="U252" i="24"/>
  <c r="U254" i="24"/>
  <c r="U266" i="24"/>
  <c r="V35" i="25"/>
  <c r="V36" i="29"/>
  <c r="R246" i="29"/>
  <c r="U249" i="29"/>
  <c r="U246" i="14"/>
  <c r="L85" i="1"/>
  <c r="V35" i="2"/>
  <c r="V43" i="2" s="1"/>
  <c r="T203" i="2" s="1"/>
  <c r="T204" i="2" s="1"/>
  <c r="T133" i="3"/>
  <c r="U242" i="4"/>
  <c r="T135" i="5"/>
  <c r="V51" i="5"/>
  <c r="T271" i="6"/>
  <c r="T135" i="6"/>
  <c r="S237" i="7"/>
  <c r="S264" i="9"/>
  <c r="S240" i="11"/>
  <c r="S237" i="11"/>
  <c r="S217" i="15"/>
  <c r="V35" i="18"/>
  <c r="V43" i="18" s="1"/>
  <c r="T204" i="18" s="1"/>
  <c r="T205" i="18" s="1"/>
  <c r="V35" i="21"/>
  <c r="V43" i="21" s="1"/>
  <c r="T204" i="21" s="1"/>
  <c r="T205" i="21" s="1"/>
  <c r="V36" i="27"/>
  <c r="S263" i="27"/>
  <c r="S266" i="27"/>
  <c r="S277" i="27"/>
  <c r="V96" i="27"/>
  <c r="V100" i="27" s="1"/>
  <c r="U249" i="28"/>
  <c r="S252" i="28"/>
  <c r="V170" i="29"/>
  <c r="U250" i="29"/>
  <c r="U253" i="29"/>
  <c r="U265" i="29"/>
  <c r="T135" i="30"/>
  <c r="S256" i="4"/>
  <c r="T100" i="2"/>
  <c r="U237" i="4"/>
  <c r="U242" i="5"/>
  <c r="L85" i="5"/>
  <c r="T101" i="7"/>
  <c r="V170" i="8"/>
  <c r="V188" i="8"/>
  <c r="S262" i="9"/>
  <c r="U262" i="9"/>
  <c r="T101" i="11"/>
  <c r="T135" i="11" s="1"/>
  <c r="V51" i="11"/>
  <c r="U240" i="12"/>
  <c r="V193" i="14"/>
  <c r="L84" i="15"/>
  <c r="V51" i="18"/>
  <c r="S251" i="19"/>
  <c r="T100" i="20"/>
  <c r="V169" i="21"/>
  <c r="V35" i="22"/>
  <c r="V43" i="22" s="1"/>
  <c r="T204" i="22" s="1"/>
  <c r="T205" i="22" s="1"/>
  <c r="V36" i="23"/>
  <c r="U273" i="23"/>
  <c r="U275" i="23"/>
  <c r="U277" i="23"/>
  <c r="T133" i="24"/>
  <c r="T134" i="24" s="1"/>
  <c r="U249" i="24"/>
  <c r="U251" i="24"/>
  <c r="U253" i="24"/>
  <c r="S273" i="25"/>
  <c r="T100" i="26"/>
  <c r="S267" i="26"/>
  <c r="S274" i="27"/>
  <c r="V35" i="28"/>
  <c r="V43" i="28" s="1"/>
  <c r="T205" i="28" s="1"/>
  <c r="T206" i="28" s="1"/>
  <c r="U240" i="5"/>
  <c r="V72" i="6"/>
  <c r="S241" i="7"/>
  <c r="V170" i="7"/>
  <c r="T135" i="8"/>
  <c r="V51" i="8"/>
  <c r="S260" i="9"/>
  <c r="U266" i="10"/>
  <c r="U269" i="10" s="1"/>
  <c r="U254" i="10"/>
  <c r="U250" i="10"/>
  <c r="U237" i="10"/>
  <c r="V97" i="10"/>
  <c r="V101" i="10" s="1"/>
  <c r="S243" i="11"/>
  <c r="U239" i="12"/>
  <c r="V170" i="12"/>
  <c r="V170" i="13"/>
  <c r="T135" i="14"/>
  <c r="T217" i="15"/>
  <c r="V96" i="17"/>
  <c r="V100" i="17" s="1"/>
  <c r="R283" i="19"/>
  <c r="S255" i="19"/>
  <c r="T133" i="19"/>
  <c r="T134" i="19" s="1"/>
  <c r="T245" i="22"/>
  <c r="S257" i="24"/>
  <c r="S261" i="26"/>
  <c r="R246" i="27"/>
  <c r="S251" i="27"/>
  <c r="S255" i="27"/>
  <c r="S262" i="27"/>
  <c r="S275" i="27"/>
  <c r="S279" i="27"/>
  <c r="V36" i="28"/>
  <c r="T100" i="28"/>
  <c r="T135" i="28" s="1"/>
  <c r="R284" i="28"/>
  <c r="U251" i="29"/>
  <c r="U255" i="29"/>
  <c r="U261" i="29"/>
  <c r="V84" i="29"/>
  <c r="V177" i="29" s="1"/>
  <c r="V176" i="29"/>
  <c r="V175" i="24"/>
  <c r="V84" i="24"/>
  <c r="V176" i="24" s="1"/>
  <c r="V84" i="27"/>
  <c r="V177" i="27" s="1"/>
  <c r="V176" i="27"/>
  <c r="V176" i="26"/>
  <c r="V84" i="26"/>
  <c r="V177" i="26" s="1"/>
  <c r="V191" i="29"/>
  <c r="V193" i="29"/>
  <c r="V121" i="29"/>
  <c r="V134" i="29" s="1"/>
  <c r="V135" i="29" s="1"/>
  <c r="T207" i="29"/>
  <c r="V189" i="29"/>
  <c r="S183" i="5"/>
  <c r="V84" i="28"/>
  <c r="V177" i="28" s="1"/>
  <c r="V176" i="28"/>
  <c r="R245" i="16"/>
  <c r="S241" i="16" s="1"/>
  <c r="U241" i="16"/>
  <c r="U236" i="16"/>
  <c r="U242" i="16"/>
  <c r="U239" i="16"/>
  <c r="U240" i="16"/>
  <c r="U238" i="16"/>
  <c r="U237" i="16"/>
  <c r="T283" i="17"/>
  <c r="U255" i="17"/>
  <c r="U251" i="17"/>
  <c r="U248" i="17"/>
  <c r="U254" i="17"/>
  <c r="U250" i="17"/>
  <c r="U253" i="17"/>
  <c r="U249" i="17"/>
  <c r="T245" i="17"/>
  <c r="U238" i="17" s="1"/>
  <c r="U235" i="1"/>
  <c r="U238" i="1"/>
  <c r="U240" i="1"/>
  <c r="U237" i="1"/>
  <c r="U242" i="1"/>
  <c r="U241" i="1"/>
  <c r="U242" i="29"/>
  <c r="U241" i="29"/>
  <c r="U236" i="25"/>
  <c r="U237" i="25"/>
  <c r="U238" i="25"/>
  <c r="S237" i="21"/>
  <c r="S240" i="21"/>
  <c r="S241" i="21"/>
  <c r="S236" i="21"/>
  <c r="S239" i="21"/>
  <c r="S242" i="21"/>
  <c r="V174" i="3"/>
  <c r="V85" i="3"/>
  <c r="V175" i="3" s="1"/>
  <c r="S257" i="7"/>
  <c r="U245" i="6"/>
  <c r="U252" i="17"/>
  <c r="T99" i="1"/>
  <c r="T133" i="1" s="1"/>
  <c r="V186" i="1"/>
  <c r="T204" i="1"/>
  <c r="V119" i="1"/>
  <c r="V132" i="1" s="1"/>
  <c r="V133" i="1" s="1"/>
  <c r="V190" i="1"/>
  <c r="T210" i="1"/>
  <c r="V69" i="1"/>
  <c r="V72" i="1" s="1"/>
  <c r="P72" i="1"/>
  <c r="T216" i="2"/>
  <c r="T271" i="2"/>
  <c r="U253" i="2"/>
  <c r="U252" i="2"/>
  <c r="U249" i="2"/>
  <c r="U255" i="2"/>
  <c r="U250" i="2"/>
  <c r="V36" i="2"/>
  <c r="S216" i="3"/>
  <c r="R270" i="3"/>
  <c r="S251" i="3"/>
  <c r="S247" i="3"/>
  <c r="S254" i="3"/>
  <c r="S250" i="3"/>
  <c r="S253" i="3"/>
  <c r="S249" i="3"/>
  <c r="T134" i="2"/>
  <c r="V51" i="3"/>
  <c r="V36" i="3"/>
  <c r="V188" i="7"/>
  <c r="V190" i="7"/>
  <c r="V121" i="7"/>
  <c r="V134" i="7" s="1"/>
  <c r="V135" i="7" s="1"/>
  <c r="T206" i="7"/>
  <c r="V191" i="3"/>
  <c r="V187" i="3"/>
  <c r="V189" i="3"/>
  <c r="V120" i="3"/>
  <c r="V133" i="3" s="1"/>
  <c r="V134" i="3" s="1"/>
  <c r="T212" i="10"/>
  <c r="V69" i="10"/>
  <c r="V72" i="10" s="1"/>
  <c r="P72" i="10"/>
  <c r="U239" i="29"/>
  <c r="S269" i="22"/>
  <c r="S245" i="18"/>
  <c r="V175" i="11"/>
  <c r="U243" i="16"/>
  <c r="V188" i="18"/>
  <c r="V192" i="18"/>
  <c r="V120" i="18"/>
  <c r="V133" i="18" s="1"/>
  <c r="V134" i="18" s="1"/>
  <c r="T206" i="18"/>
  <c r="V190" i="18"/>
  <c r="U257" i="15"/>
  <c r="S269" i="15"/>
  <c r="U236" i="1"/>
  <c r="T270" i="1"/>
  <c r="U238" i="2"/>
  <c r="U240" i="2"/>
  <c r="U236" i="2"/>
  <c r="U237" i="2"/>
  <c r="U239" i="2"/>
  <c r="U242" i="2"/>
  <c r="V191" i="2"/>
  <c r="V120" i="2"/>
  <c r="V133" i="2" s="1"/>
  <c r="V134" i="2" s="1"/>
  <c r="V189" i="2"/>
  <c r="T205" i="2"/>
  <c r="U244" i="3"/>
  <c r="V175" i="7"/>
  <c r="V85" i="7"/>
  <c r="V176" i="7" s="1"/>
  <c r="V182" i="21"/>
  <c r="T124" i="21"/>
  <c r="T133" i="21" s="1"/>
  <c r="V188" i="21"/>
  <c r="T206" i="21"/>
  <c r="V190" i="21"/>
  <c r="T206" i="22"/>
  <c r="V134" i="22"/>
  <c r="V190" i="22"/>
  <c r="V192" i="22"/>
  <c r="V84" i="18"/>
  <c r="V176" i="18" s="1"/>
  <c r="V175" i="18"/>
  <c r="V35" i="5"/>
  <c r="V43" i="5" s="1"/>
  <c r="T204" i="5" s="1"/>
  <c r="T205" i="5" s="1"/>
  <c r="V36" i="6"/>
  <c r="V51" i="6"/>
  <c r="U244" i="29"/>
  <c r="U237" i="29"/>
  <c r="U238" i="29"/>
  <c r="U241" i="25"/>
  <c r="S241" i="23"/>
  <c r="S245" i="23" s="1"/>
  <c r="U238" i="23"/>
  <c r="U245" i="21"/>
  <c r="S242" i="17"/>
  <c r="S237" i="17"/>
  <c r="S241" i="17"/>
  <c r="S236" i="17"/>
  <c r="S239" i="17"/>
  <c r="S238" i="17"/>
  <c r="S240" i="17"/>
  <c r="S245" i="10"/>
  <c r="U256" i="4"/>
  <c r="S235" i="4"/>
  <c r="S239" i="4"/>
  <c r="S238" i="4"/>
  <c r="R270" i="4"/>
  <c r="S241" i="4"/>
  <c r="S240" i="4"/>
  <c r="S242" i="4"/>
  <c r="T222" i="9"/>
  <c r="V168" i="9"/>
  <c r="V170" i="9" s="1"/>
  <c r="U248" i="12"/>
  <c r="U249" i="12"/>
  <c r="U251" i="12"/>
  <c r="U253" i="12"/>
  <c r="U252" i="12"/>
  <c r="U255" i="12"/>
  <c r="U250" i="12"/>
  <c r="T217" i="12"/>
  <c r="T271" i="12"/>
  <c r="V85" i="12"/>
  <c r="V176" i="12" s="1"/>
  <c r="V175" i="12"/>
  <c r="S237" i="14"/>
  <c r="S240" i="14"/>
  <c r="S238" i="14"/>
  <c r="S239" i="14"/>
  <c r="S244" i="14"/>
  <c r="V188" i="19"/>
  <c r="V190" i="19"/>
  <c r="V120" i="19"/>
  <c r="V133" i="19" s="1"/>
  <c r="V134" i="19" s="1"/>
  <c r="V97" i="5"/>
  <c r="V101" i="5" s="1"/>
  <c r="T245" i="20"/>
  <c r="U238" i="20" s="1"/>
  <c r="V36" i="4"/>
  <c r="V35" i="4"/>
  <c r="V43" i="4" s="1"/>
  <c r="T203" i="4" s="1"/>
  <c r="T204" i="4" s="1"/>
  <c r="U236" i="7"/>
  <c r="U245" i="7" s="1"/>
  <c r="T271" i="7"/>
  <c r="L85" i="8"/>
  <c r="V142" i="10"/>
  <c r="V52" i="10"/>
  <c r="S180" i="10"/>
  <c r="V35" i="12"/>
  <c r="V43" i="12" s="1"/>
  <c r="T204" i="12" s="1"/>
  <c r="T205" i="12" s="1"/>
  <c r="V188" i="16"/>
  <c r="V190" i="16"/>
  <c r="V192" i="16"/>
  <c r="V51" i="16"/>
  <c r="V36" i="16"/>
  <c r="T217" i="18"/>
  <c r="T283" i="18"/>
  <c r="T202" i="34"/>
  <c r="T203" i="34" s="1"/>
  <c r="T202" i="33"/>
  <c r="T203" i="33" s="1"/>
  <c r="T202" i="32"/>
  <c r="T203" i="32" s="1"/>
  <c r="T202" i="31"/>
  <c r="T203" i="31" s="1"/>
  <c r="T202" i="30"/>
  <c r="T203" i="30" s="1"/>
  <c r="T202" i="29"/>
  <c r="T203" i="29" s="1"/>
  <c r="T201" i="24"/>
  <c r="T202" i="24" s="1"/>
  <c r="T202" i="27"/>
  <c r="T203" i="27" s="1"/>
  <c r="T202" i="26"/>
  <c r="T203" i="26" s="1"/>
  <c r="T201" i="25"/>
  <c r="T202" i="25" s="1"/>
  <c r="T201" i="23"/>
  <c r="T202" i="23" s="1"/>
  <c r="T202" i="28"/>
  <c r="T203" i="28" s="1"/>
  <c r="T201" i="21"/>
  <c r="T202" i="21" s="1"/>
  <c r="T201" i="22"/>
  <c r="T202" i="22" s="1"/>
  <c r="V69" i="2"/>
  <c r="V72" i="2" s="1"/>
  <c r="S242" i="3"/>
  <c r="S238" i="3"/>
  <c r="U239" i="4"/>
  <c r="U244" i="4" s="1"/>
  <c r="T134" i="4"/>
  <c r="S257" i="5"/>
  <c r="V35" i="6"/>
  <c r="V43" i="6" s="1"/>
  <c r="T204" i="6" s="1"/>
  <c r="T205" i="6" s="1"/>
  <c r="V35" i="8"/>
  <c r="V43" i="8" s="1"/>
  <c r="T204" i="8" s="1"/>
  <c r="T205" i="8" s="1"/>
  <c r="S236" i="9"/>
  <c r="S239" i="9"/>
  <c r="L85" i="10"/>
  <c r="U238" i="13"/>
  <c r="U240" i="13"/>
  <c r="R272" i="14"/>
  <c r="V191" i="14"/>
  <c r="S180" i="17"/>
  <c r="V141" i="17"/>
  <c r="V69" i="4"/>
  <c r="V72" i="4" s="1"/>
  <c r="R72" i="4"/>
  <c r="T217" i="5"/>
  <c r="U249" i="5"/>
  <c r="U255" i="5"/>
  <c r="U253" i="5"/>
  <c r="T101" i="10"/>
  <c r="T135" i="10" s="1"/>
  <c r="S217" i="11"/>
  <c r="S248" i="11"/>
  <c r="S252" i="11"/>
  <c r="S249" i="11"/>
  <c r="S253" i="11"/>
  <c r="S250" i="11"/>
  <c r="S254" i="11"/>
  <c r="R271" i="11"/>
  <c r="V36" i="11"/>
  <c r="V35" i="11"/>
  <c r="V43" i="11" s="1"/>
  <c r="T204" i="11" s="1"/>
  <c r="T205" i="11" s="1"/>
  <c r="S237" i="13"/>
  <c r="S238" i="13"/>
  <c r="S242" i="13"/>
  <c r="T283" i="15"/>
  <c r="V52" i="15"/>
  <c r="S180" i="15"/>
  <c r="V52" i="18"/>
  <c r="V141" i="18"/>
  <c r="S180" i="18"/>
  <c r="S267" i="21"/>
  <c r="S265" i="21"/>
  <c r="S263" i="21"/>
  <c r="S261" i="21"/>
  <c r="S260" i="21"/>
  <c r="S262" i="21"/>
  <c r="S264" i="21"/>
  <c r="S266" i="21"/>
  <c r="S237" i="8"/>
  <c r="V35" i="16"/>
  <c r="V43" i="16" s="1"/>
  <c r="T204" i="16" s="1"/>
  <c r="T205" i="16" s="1"/>
  <c r="V68" i="16"/>
  <c r="V71" i="16" s="1"/>
  <c r="T212" i="16"/>
  <c r="T100" i="17"/>
  <c r="S248" i="18"/>
  <c r="S249" i="18"/>
  <c r="T100" i="18"/>
  <c r="T134" i="18" s="1"/>
  <c r="V169" i="19"/>
  <c r="U269" i="20"/>
  <c r="S243" i="8"/>
  <c r="U241" i="10"/>
  <c r="U245" i="10" s="1"/>
  <c r="U241" i="12"/>
  <c r="S251" i="14"/>
  <c r="T100" i="15"/>
  <c r="T134" i="15" s="1"/>
  <c r="V169" i="16"/>
  <c r="T217" i="19"/>
  <c r="U260" i="19"/>
  <c r="U265" i="19"/>
  <c r="U263" i="19"/>
  <c r="U266" i="19"/>
  <c r="T283" i="19"/>
  <c r="U261" i="19"/>
  <c r="U264" i="19"/>
  <c r="V182" i="17"/>
  <c r="T124" i="17"/>
  <c r="T133" i="17" s="1"/>
  <c r="S250" i="20"/>
  <c r="S257" i="20" s="1"/>
  <c r="R283" i="20"/>
  <c r="R245" i="20"/>
  <c r="V36" i="20"/>
  <c r="S260" i="24"/>
  <c r="S266" i="24"/>
  <c r="S264" i="24"/>
  <c r="S262" i="24"/>
  <c r="S267" i="24"/>
  <c r="S265" i="24"/>
  <c r="S263" i="24"/>
  <c r="S261" i="24"/>
  <c r="T218" i="26"/>
  <c r="U267" i="26"/>
  <c r="U265" i="26"/>
  <c r="U263" i="26"/>
  <c r="U261" i="26"/>
  <c r="U266" i="26"/>
  <c r="U268" i="26"/>
  <c r="U262" i="26"/>
  <c r="U268" i="28"/>
  <c r="U266" i="28"/>
  <c r="U264" i="28"/>
  <c r="U262" i="28"/>
  <c r="T218" i="28"/>
  <c r="T284" i="28"/>
  <c r="U263" i="28"/>
  <c r="U265" i="28"/>
  <c r="U267" i="28"/>
  <c r="R283" i="16"/>
  <c r="R245" i="15"/>
  <c r="R283" i="18"/>
  <c r="T245" i="19"/>
  <c r="U242" i="19" s="1"/>
  <c r="S276" i="21"/>
  <c r="S273" i="21"/>
  <c r="S218" i="21"/>
  <c r="S277" i="21"/>
  <c r="S272" i="21"/>
  <c r="S274" i="21"/>
  <c r="S278" i="21"/>
  <c r="S275" i="21"/>
  <c r="T100" i="22"/>
  <c r="T134" i="22" s="1"/>
  <c r="R245" i="22"/>
  <c r="V43" i="23"/>
  <c r="T204" i="23" s="1"/>
  <c r="T205" i="23" s="1"/>
  <c r="T100" i="23"/>
  <c r="T134" i="23" s="1"/>
  <c r="U251" i="21"/>
  <c r="U253" i="21"/>
  <c r="U278" i="21"/>
  <c r="U274" i="21"/>
  <c r="V141" i="24"/>
  <c r="V52" i="24"/>
  <c r="T134" i="26"/>
  <c r="T135" i="26" s="1"/>
  <c r="R246" i="26"/>
  <c r="U277" i="26"/>
  <c r="T218" i="27"/>
  <c r="U267" i="27"/>
  <c r="U265" i="27"/>
  <c r="U263" i="27"/>
  <c r="U261" i="27"/>
  <c r="U280" i="27"/>
  <c r="U278" i="27"/>
  <c r="U276" i="27"/>
  <c r="U274" i="27"/>
  <c r="T219" i="27"/>
  <c r="U256" i="28"/>
  <c r="U254" i="28"/>
  <c r="U252" i="28"/>
  <c r="U250" i="28"/>
  <c r="T218" i="21"/>
  <c r="U272" i="21"/>
  <c r="U277" i="21"/>
  <c r="S217" i="22"/>
  <c r="U273" i="22"/>
  <c r="U281" i="22" s="1"/>
  <c r="V35" i="24"/>
  <c r="V43" i="24" s="1"/>
  <c r="T204" i="24" s="1"/>
  <c r="T205" i="24" s="1"/>
  <c r="V36" i="24"/>
  <c r="S180" i="24"/>
  <c r="S281" i="24"/>
  <c r="V35" i="27"/>
  <c r="V43" i="27" s="1"/>
  <c r="T205" i="27" s="1"/>
  <c r="T206" i="27" s="1"/>
  <c r="U256" i="27"/>
  <c r="U254" i="27"/>
  <c r="U252" i="27"/>
  <c r="U250" i="27"/>
  <c r="U266" i="27"/>
  <c r="U275" i="27"/>
  <c r="U255" i="28"/>
  <c r="S261" i="29"/>
  <c r="S267" i="29"/>
  <c r="S265" i="29"/>
  <c r="S263" i="29"/>
  <c r="S268" i="29"/>
  <c r="S266" i="29"/>
  <c r="S264" i="29"/>
  <c r="S262" i="29"/>
  <c r="T125" i="29"/>
  <c r="T134" i="29" s="1"/>
  <c r="T135" i="29" s="1"/>
  <c r="V183" i="29"/>
  <c r="U273" i="21"/>
  <c r="V43" i="25"/>
  <c r="T204" i="25" s="1"/>
  <c r="T205" i="25" s="1"/>
  <c r="U274" i="25"/>
  <c r="U272" i="25"/>
  <c r="T218" i="25"/>
  <c r="U273" i="25"/>
  <c r="U255" i="26"/>
  <c r="U253" i="26"/>
  <c r="U251" i="26"/>
  <c r="U249" i="26"/>
  <c r="U256" i="26"/>
  <c r="U254" i="26"/>
  <c r="U252" i="26"/>
  <c r="U250" i="26"/>
  <c r="U280" i="26"/>
  <c r="U278" i="26"/>
  <c r="U276" i="26"/>
  <c r="U274" i="26"/>
  <c r="T219" i="26"/>
  <c r="U268" i="27"/>
  <c r="U279" i="27"/>
  <c r="S277" i="25"/>
  <c r="S252" i="27"/>
  <c r="S254" i="27"/>
  <c r="S267" i="27"/>
  <c r="S261" i="27"/>
  <c r="S278" i="27"/>
  <c r="U263" i="23"/>
  <c r="U269" i="23" s="1"/>
  <c r="S253" i="26"/>
  <c r="S255" i="26"/>
  <c r="S250" i="29"/>
  <c r="S252" i="29"/>
  <c r="S254" i="29"/>
  <c r="U262" i="29"/>
  <c r="U264" i="29"/>
  <c r="U266" i="29"/>
  <c r="U252" i="29"/>
  <c r="U254" i="29"/>
  <c r="U282" i="30"/>
  <c r="S270" i="30"/>
  <c r="S237" i="30"/>
  <c r="S242" i="30"/>
  <c r="U270" i="30"/>
  <c r="U258" i="30"/>
  <c r="U244" i="30"/>
  <c r="U240" i="30"/>
  <c r="U242" i="30"/>
  <c r="U238" i="30"/>
  <c r="U243" i="30"/>
  <c r="U241" i="30"/>
  <c r="S244" i="30"/>
  <c r="S240" i="30"/>
  <c r="S243" i="30"/>
  <c r="S241" i="30"/>
  <c r="V84" i="30"/>
  <c r="V177" i="30" s="1"/>
  <c r="V176" i="30"/>
  <c r="T201" i="8" l="1"/>
  <c r="T202" i="8" s="1"/>
  <c r="T204" i="55"/>
  <c r="T205" i="55" s="1"/>
  <c r="T204" i="54"/>
  <c r="T205" i="54" s="1"/>
  <c r="T204" i="53"/>
  <c r="T205" i="53" s="1"/>
  <c r="T204" i="52"/>
  <c r="T205" i="52" s="1"/>
  <c r="V192" i="11"/>
  <c r="V188" i="11"/>
  <c r="V191" i="28"/>
  <c r="V189" i="28"/>
  <c r="U245" i="23"/>
  <c r="S258" i="28"/>
  <c r="T201" i="16"/>
  <c r="T202" i="16" s="1"/>
  <c r="V175" i="8"/>
  <c r="V85" i="8"/>
  <c r="V176" i="8" s="1"/>
  <c r="U257" i="16"/>
  <c r="T201" i="15"/>
  <c r="T202" i="15" s="1"/>
  <c r="T201" i="6"/>
  <c r="T202" i="6" s="1"/>
  <c r="U238" i="24"/>
  <c r="U239" i="24"/>
  <c r="U236" i="24"/>
  <c r="U237" i="24"/>
  <c r="U242" i="24"/>
  <c r="U243" i="24"/>
  <c r="U240" i="24"/>
  <c r="U241" i="24"/>
  <c r="V120" i="16"/>
  <c r="V133" i="16" s="1"/>
  <c r="V134" i="16" s="1"/>
  <c r="T206" i="16"/>
  <c r="T201" i="49"/>
  <c r="T202" i="49" s="1"/>
  <c r="T201" i="51"/>
  <c r="T202" i="51" s="1"/>
  <c r="T201" i="50"/>
  <c r="T202" i="50" s="1"/>
  <c r="V121" i="26"/>
  <c r="V134" i="26" s="1"/>
  <c r="V135" i="26" s="1"/>
  <c r="T207" i="26"/>
  <c r="V193" i="26"/>
  <c r="V189" i="26"/>
  <c r="V191" i="26"/>
  <c r="U257" i="2"/>
  <c r="T134" i="21"/>
  <c r="S281" i="22"/>
  <c r="U269" i="25"/>
  <c r="S245" i="5"/>
  <c r="S245" i="2"/>
  <c r="U245" i="11"/>
  <c r="S269" i="20"/>
  <c r="S269" i="16"/>
  <c r="U257" i="10"/>
  <c r="S244" i="1"/>
  <c r="S257" i="9"/>
  <c r="U245" i="9"/>
  <c r="S245" i="7"/>
  <c r="U245" i="15"/>
  <c r="S245" i="19"/>
  <c r="U256" i="1"/>
  <c r="T206" i="19"/>
  <c r="V192" i="19"/>
  <c r="T134" i="3"/>
  <c r="U281" i="24"/>
  <c r="S257" i="21"/>
  <c r="T201" i="18"/>
  <c r="T202" i="18" s="1"/>
  <c r="V121" i="9"/>
  <c r="V134" i="9" s="1"/>
  <c r="V135" i="9" s="1"/>
  <c r="V192" i="9"/>
  <c r="V190" i="9"/>
  <c r="T206" i="9"/>
  <c r="V188" i="9"/>
  <c r="V175" i="5"/>
  <c r="V85" i="5"/>
  <c r="V176" i="5" s="1"/>
  <c r="S282" i="27"/>
  <c r="S258" i="14"/>
  <c r="T135" i="9"/>
  <c r="V85" i="13"/>
  <c r="V177" i="13" s="1"/>
  <c r="V176" i="13"/>
  <c r="V175" i="20"/>
  <c r="V84" i="20"/>
  <c r="V176" i="20" s="1"/>
  <c r="S281" i="25"/>
  <c r="U245" i="12"/>
  <c r="T134" i="20"/>
  <c r="U269" i="9"/>
  <c r="T135" i="7"/>
  <c r="S269" i="19"/>
  <c r="V120" i="21"/>
  <c r="V133" i="21" s="1"/>
  <c r="V134" i="21" s="1"/>
  <c r="V192" i="21"/>
  <c r="S270" i="26"/>
  <c r="T207" i="14"/>
  <c r="V121" i="14"/>
  <c r="V134" i="14" s="1"/>
  <c r="V135" i="14" s="1"/>
  <c r="V189" i="14"/>
  <c r="S245" i="6"/>
  <c r="U245" i="18"/>
  <c r="V121" i="12"/>
  <c r="V134" i="12" s="1"/>
  <c r="V135" i="12" s="1"/>
  <c r="T206" i="12"/>
  <c r="V188" i="12"/>
  <c r="V190" i="12"/>
  <c r="V192" i="12"/>
  <c r="S282" i="26"/>
  <c r="S246" i="13"/>
  <c r="S237" i="25"/>
  <c r="S241" i="25"/>
  <c r="S238" i="25"/>
  <c r="S242" i="25"/>
  <c r="S239" i="25"/>
  <c r="S240" i="25"/>
  <c r="S236" i="25"/>
  <c r="S243" i="25"/>
  <c r="U238" i="28"/>
  <c r="U240" i="28"/>
  <c r="U242" i="28"/>
  <c r="U244" i="28"/>
  <c r="U237" i="28"/>
  <c r="U239" i="28"/>
  <c r="U241" i="28"/>
  <c r="U243" i="28"/>
  <c r="V175" i="19"/>
  <c r="V84" i="19"/>
  <c r="V176" i="19" s="1"/>
  <c r="U270" i="29"/>
  <c r="S270" i="27"/>
  <c r="U282" i="26"/>
  <c r="U258" i="27"/>
  <c r="S257" i="19"/>
  <c r="S245" i="11"/>
  <c r="U245" i="5"/>
  <c r="T206" i="8"/>
  <c r="V121" i="8"/>
  <c r="V134" i="8" s="1"/>
  <c r="V135" i="8" s="1"/>
  <c r="V192" i="8"/>
  <c r="V190" i="8"/>
  <c r="U240" i="26"/>
  <c r="U244" i="26"/>
  <c r="U239" i="26"/>
  <c r="U243" i="26"/>
  <c r="U238" i="26"/>
  <c r="U242" i="26"/>
  <c r="U237" i="26"/>
  <c r="U241" i="26"/>
  <c r="V176" i="14"/>
  <c r="V85" i="14"/>
  <c r="V177" i="14" s="1"/>
  <c r="V190" i="6"/>
  <c r="T206" i="6"/>
  <c r="V188" i="6"/>
  <c r="V121" i="6"/>
  <c r="V134" i="6" s="1"/>
  <c r="V135" i="6" s="1"/>
  <c r="V192" i="6"/>
  <c r="U281" i="25"/>
  <c r="S244" i="3"/>
  <c r="U246" i="29"/>
  <c r="S243" i="27"/>
  <c r="S244" i="27"/>
  <c r="S238" i="27"/>
  <c r="S237" i="27"/>
  <c r="S239" i="27"/>
  <c r="S240" i="27"/>
  <c r="S241" i="27"/>
  <c r="S242" i="27"/>
  <c r="V85" i="9"/>
  <c r="V176" i="9" s="1"/>
  <c r="V175" i="9"/>
  <c r="V189" i="27"/>
  <c r="T207" i="27"/>
  <c r="V191" i="27"/>
  <c r="V121" i="27"/>
  <c r="V134" i="27" s="1"/>
  <c r="V135" i="27" s="1"/>
  <c r="V193" i="27"/>
  <c r="S183" i="2"/>
  <c r="V182" i="2"/>
  <c r="T180" i="3"/>
  <c r="S258" i="27"/>
  <c r="U258" i="28"/>
  <c r="U282" i="27"/>
  <c r="S257" i="18"/>
  <c r="U257" i="5"/>
  <c r="T223" i="9"/>
  <c r="T223" i="10" s="1"/>
  <c r="T223" i="11" s="1"/>
  <c r="T223" i="12" s="1"/>
  <c r="T224" i="13" s="1"/>
  <c r="T224" i="14" s="1"/>
  <c r="T223" i="15" s="1"/>
  <c r="T223" i="16" s="1"/>
  <c r="T223" i="17" s="1"/>
  <c r="T223" i="18" s="1"/>
  <c r="T223" i="19" s="1"/>
  <c r="T223" i="20" s="1"/>
  <c r="T223" i="21" s="1"/>
  <c r="T223" i="22" s="1"/>
  <c r="T223" i="23" s="1"/>
  <c r="T223" i="24" s="1"/>
  <c r="T223" i="25" s="1"/>
  <c r="T224" i="26" s="1"/>
  <c r="T224" i="27" s="1"/>
  <c r="T224" i="28" s="1"/>
  <c r="T224" i="29" s="1"/>
  <c r="T224" i="30" s="1"/>
  <c r="T224" i="31" s="1"/>
  <c r="T224" i="32" s="1"/>
  <c r="T224" i="33" s="1"/>
  <c r="T224" i="34" s="1"/>
  <c r="T224" i="35" s="1"/>
  <c r="T223" i="36" s="1"/>
  <c r="T223" i="37" s="1"/>
  <c r="T223" i="38" s="1"/>
  <c r="T223" i="39" s="1"/>
  <c r="T223" i="40" s="1"/>
  <c r="T223" i="41" s="1"/>
  <c r="T223" i="42" s="1"/>
  <c r="T223" i="43" s="1"/>
  <c r="T223" i="44" s="1"/>
  <c r="T223" i="45" s="1"/>
  <c r="T223" i="46" s="1"/>
  <c r="T223" i="47" s="1"/>
  <c r="T223" i="48" s="1"/>
  <c r="T223" i="49" s="1"/>
  <c r="T223" i="50" s="1"/>
  <c r="T223" i="51" s="1"/>
  <c r="T226" i="52" s="1"/>
  <c r="T226" i="53" s="1"/>
  <c r="T226" i="54" s="1"/>
  <c r="T226" i="55" s="1"/>
  <c r="V85" i="6"/>
  <c r="V176" i="6" s="1"/>
  <c r="V175" i="6"/>
  <c r="U257" i="24"/>
  <c r="U281" i="23"/>
  <c r="U236" i="19"/>
  <c r="U237" i="19"/>
  <c r="S245" i="8"/>
  <c r="V190" i="10"/>
  <c r="V188" i="10"/>
  <c r="T206" i="10"/>
  <c r="V192" i="10"/>
  <c r="V121" i="10"/>
  <c r="V134" i="10" s="1"/>
  <c r="V135" i="10" s="1"/>
  <c r="S238" i="29"/>
  <c r="S237" i="29"/>
  <c r="S240" i="29"/>
  <c r="S239" i="29"/>
  <c r="S243" i="29"/>
  <c r="S244" i="29"/>
  <c r="S242" i="29"/>
  <c r="S241" i="29"/>
  <c r="U270" i="28"/>
  <c r="U243" i="22"/>
  <c r="U236" i="22"/>
  <c r="U237" i="22"/>
  <c r="U238" i="22"/>
  <c r="U239" i="22"/>
  <c r="U240" i="22"/>
  <c r="U241" i="22"/>
  <c r="U242" i="22"/>
  <c r="V120" i="17"/>
  <c r="V133" i="17" s="1"/>
  <c r="V134" i="17" s="1"/>
  <c r="V188" i="17"/>
  <c r="V190" i="17"/>
  <c r="V192" i="17"/>
  <c r="T206" i="17"/>
  <c r="S269" i="9"/>
  <c r="U270" i="26"/>
  <c r="S269" i="24"/>
  <c r="S257" i="11"/>
  <c r="V85" i="4"/>
  <c r="V175" i="4" s="1"/>
  <c r="V174" i="4"/>
  <c r="V188" i="5"/>
  <c r="V190" i="5"/>
  <c r="V121" i="5"/>
  <c r="V134" i="5" s="1"/>
  <c r="V135" i="5" s="1"/>
  <c r="T206" i="5"/>
  <c r="V192" i="5"/>
  <c r="S246" i="14"/>
  <c r="V175" i="10"/>
  <c r="V85" i="10"/>
  <c r="V176" i="10" s="1"/>
  <c r="S256" i="3"/>
  <c r="S181" i="6"/>
  <c r="S240" i="26"/>
  <c r="S241" i="26"/>
  <c r="S239" i="26"/>
  <c r="S242" i="26"/>
  <c r="S243" i="26"/>
  <c r="S238" i="26"/>
  <c r="S244" i="26"/>
  <c r="S237" i="26"/>
  <c r="S237" i="15"/>
  <c r="S240" i="15"/>
  <c r="S239" i="15"/>
  <c r="S238" i="15"/>
  <c r="S241" i="15"/>
  <c r="S236" i="15"/>
  <c r="S242" i="15"/>
  <c r="S243" i="15"/>
  <c r="U258" i="26"/>
  <c r="S270" i="29"/>
  <c r="S258" i="29"/>
  <c r="U257" i="21"/>
  <c r="S240" i="22"/>
  <c r="S241" i="22"/>
  <c r="S242" i="22"/>
  <c r="S243" i="22"/>
  <c r="S237" i="22"/>
  <c r="S236" i="22"/>
  <c r="S239" i="22"/>
  <c r="S238" i="22"/>
  <c r="T134" i="17"/>
  <c r="S269" i="21"/>
  <c r="U245" i="25"/>
  <c r="U241" i="17"/>
  <c r="U237" i="17"/>
  <c r="U239" i="17"/>
  <c r="U240" i="17"/>
  <c r="U236" i="17"/>
  <c r="U243" i="17"/>
  <c r="S242" i="16"/>
  <c r="S240" i="16"/>
  <c r="S243" i="16"/>
  <c r="S238" i="16"/>
  <c r="S237" i="16"/>
  <c r="S239" i="16"/>
  <c r="U269" i="19"/>
  <c r="U246" i="13"/>
  <c r="S245" i="9"/>
  <c r="V85" i="2"/>
  <c r="V175" i="2" s="1"/>
  <c r="V174" i="2"/>
  <c r="S244" i="4"/>
  <c r="S245" i="17"/>
  <c r="V85" i="1"/>
  <c r="V174" i="1" s="1"/>
  <c r="V173" i="1"/>
  <c r="U244" i="1"/>
  <c r="U257" i="17"/>
  <c r="S236" i="16"/>
  <c r="S281" i="21"/>
  <c r="U258" i="29"/>
  <c r="S258" i="26"/>
  <c r="U281" i="21"/>
  <c r="U270" i="27"/>
  <c r="U240" i="19"/>
  <c r="U239" i="19"/>
  <c r="U243" i="19"/>
  <c r="U238" i="19"/>
  <c r="U241" i="19"/>
  <c r="S240" i="20"/>
  <c r="S236" i="20"/>
  <c r="S239" i="20"/>
  <c r="S238" i="20"/>
  <c r="S241" i="20"/>
  <c r="S242" i="20"/>
  <c r="S237" i="20"/>
  <c r="S243" i="20"/>
  <c r="V175" i="16"/>
  <c r="V84" i="16"/>
  <c r="V176" i="16" s="1"/>
  <c r="U241" i="20"/>
  <c r="U236" i="20"/>
  <c r="U239" i="20"/>
  <c r="U237" i="20"/>
  <c r="U243" i="20"/>
  <c r="U240" i="20"/>
  <c r="U242" i="20"/>
  <c r="U257" i="12"/>
  <c r="U245" i="2"/>
  <c r="S245" i="21"/>
  <c r="U245" i="16"/>
  <c r="U242" i="17"/>
  <c r="S246" i="30"/>
  <c r="U246" i="30"/>
  <c r="S282" i="33"/>
  <c r="U245" i="24" l="1"/>
  <c r="S245" i="25"/>
  <c r="U246" i="28"/>
  <c r="U246" i="26"/>
  <c r="S246" i="27"/>
  <c r="U245" i="19"/>
  <c r="U245" i="22"/>
  <c r="S246" i="29"/>
  <c r="V180" i="3"/>
  <c r="T182" i="3"/>
  <c r="S245" i="20"/>
  <c r="S245" i="16"/>
  <c r="S245" i="22"/>
  <c r="S183" i="6"/>
  <c r="S246" i="26"/>
  <c r="U245" i="20"/>
  <c r="U245" i="17"/>
  <c r="S245" i="15"/>
  <c r="T180" i="4" l="1"/>
  <c r="S183" i="3"/>
  <c r="V182" i="3"/>
  <c r="S181" i="7"/>
  <c r="V180" i="4" l="1"/>
  <c r="T182" i="4"/>
  <c r="S183" i="7"/>
  <c r="S183" i="4" l="1"/>
  <c r="V182" i="4"/>
  <c r="T181" i="5"/>
  <c r="S181" i="8"/>
  <c r="V181" i="5" l="1"/>
  <c r="T183" i="5"/>
  <c r="S183" i="8"/>
  <c r="V183" i="5" l="1"/>
  <c r="S184" i="5"/>
  <c r="T181" i="6"/>
  <c r="S181" i="9"/>
  <c r="V181" i="6" l="1"/>
  <c r="T183" i="6"/>
  <c r="S183" i="9"/>
  <c r="V183" i="6" l="1"/>
  <c r="S184" i="6"/>
  <c r="T181" i="7"/>
  <c r="S181" i="10"/>
  <c r="V181" i="7" l="1"/>
  <c r="T183" i="7"/>
  <c r="S183" i="10"/>
  <c r="S184" i="7" l="1"/>
  <c r="V183" i="7"/>
  <c r="T181" i="8"/>
  <c r="S181" i="11"/>
  <c r="V181" i="8" l="1"/>
  <c r="T183" i="8"/>
  <c r="S183" i="11"/>
  <c r="V183" i="8" l="1"/>
  <c r="S184" i="8"/>
  <c r="T181" i="9"/>
  <c r="S181" i="12"/>
  <c r="V181" i="9" l="1"/>
  <c r="T183" i="9"/>
  <c r="S183" i="12"/>
  <c r="V183" i="9" l="1"/>
  <c r="S184" i="9"/>
  <c r="T181" i="10"/>
  <c r="S182" i="13"/>
  <c r="V181" i="10" l="1"/>
  <c r="T183" i="10"/>
  <c r="S184" i="13"/>
  <c r="V183" i="10" l="1"/>
  <c r="S184" i="10"/>
  <c r="T181" i="11"/>
  <c r="S182" i="14"/>
  <c r="V181" i="11" l="1"/>
  <c r="T183" i="11"/>
  <c r="S184" i="14"/>
  <c r="T181" i="12" l="1"/>
  <c r="V183" i="11"/>
  <c r="S184" i="11"/>
  <c r="S181" i="15"/>
  <c r="V181" i="12" l="1"/>
  <c r="T183" i="12"/>
  <c r="S183" i="15"/>
  <c r="S184" i="12" l="1"/>
  <c r="V183" i="12"/>
  <c r="T182" i="13"/>
  <c r="S181" i="16"/>
  <c r="V182" i="13" l="1"/>
  <c r="T184" i="13"/>
  <c r="S183" i="16"/>
  <c r="S185" i="13" l="1"/>
  <c r="V184" i="13"/>
  <c r="T182" i="14"/>
  <c r="S181" i="17"/>
  <c r="V182" i="14" l="1"/>
  <c r="T184" i="14"/>
  <c r="S183" i="17"/>
  <c r="S185" i="14" l="1"/>
  <c r="V184" i="14"/>
  <c r="T181" i="15"/>
  <c r="S181" i="18"/>
  <c r="V181" i="15" l="1"/>
  <c r="T183" i="15"/>
  <c r="S183" i="18"/>
  <c r="S184" i="15" l="1"/>
  <c r="V183" i="15"/>
  <c r="T181" i="16"/>
  <c r="S181" i="19"/>
  <c r="V181" i="16" l="1"/>
  <c r="T183" i="16"/>
  <c r="S183" i="19"/>
  <c r="V183" i="16" l="1"/>
  <c r="S184" i="16"/>
  <c r="T181" i="17"/>
  <c r="S181" i="20"/>
  <c r="V181" i="17" l="1"/>
  <c r="T183" i="17"/>
  <c r="S183" i="20"/>
  <c r="V183" i="17" l="1"/>
  <c r="S184" i="17"/>
  <c r="T181" i="18"/>
  <c r="S181" i="21"/>
  <c r="V181" i="18" l="1"/>
  <c r="T183" i="18"/>
  <c r="S183" i="21"/>
  <c r="S184" i="18" l="1"/>
  <c r="V183" i="18"/>
  <c r="T181" i="19"/>
  <c r="S181" i="22"/>
  <c r="V181" i="19" l="1"/>
  <c r="T183" i="19"/>
  <c r="S183" i="22"/>
  <c r="V183" i="19" l="1"/>
  <c r="S184" i="19"/>
  <c r="T181" i="20"/>
  <c r="S181" i="23"/>
  <c r="V181" i="20" l="1"/>
  <c r="T183" i="20"/>
  <c r="S183" i="23"/>
  <c r="T181" i="21" l="1"/>
  <c r="S184" i="20"/>
  <c r="V183" i="20"/>
  <c r="S181" i="24"/>
  <c r="T183" i="21" l="1"/>
  <c r="V181" i="21"/>
  <c r="S183" i="24"/>
  <c r="T181" i="22" l="1"/>
  <c r="V183" i="21"/>
  <c r="S184" i="21"/>
  <c r="S181" i="25"/>
  <c r="V181" i="22" l="1"/>
  <c r="T183" i="22"/>
  <c r="S183" i="25"/>
  <c r="T181" i="23" l="1"/>
  <c r="S184" i="22"/>
  <c r="V183" i="22"/>
  <c r="S182" i="26"/>
  <c r="T183" i="23" l="1"/>
  <c r="V181" i="23"/>
  <c r="S184" i="26"/>
  <c r="T181" i="24" l="1"/>
  <c r="V183" i="23"/>
  <c r="S184" i="23"/>
  <c r="S182" i="27"/>
  <c r="T183" i="24" l="1"/>
  <c r="V181" i="24"/>
  <c r="S184" i="27"/>
  <c r="T181" i="25" l="1"/>
  <c r="V183" i="24"/>
  <c r="S184" i="24"/>
  <c r="S182" i="28"/>
  <c r="T183" i="25" l="1"/>
  <c r="V181" i="25"/>
  <c r="S184" i="28"/>
  <c r="T182" i="26" l="1"/>
  <c r="S184" i="25"/>
  <c r="V183" i="25"/>
  <c r="S182" i="29"/>
  <c r="V182" i="26" l="1"/>
  <c r="T184" i="26"/>
  <c r="S184" i="29"/>
  <c r="S185" i="26" l="1"/>
  <c r="V184" i="26"/>
  <c r="T182" i="27"/>
  <c r="S182" i="30"/>
  <c r="V182" i="27" l="1"/>
  <c r="T184" i="27"/>
  <c r="S184" i="30"/>
  <c r="S185" i="27" l="1"/>
  <c r="V184" i="27"/>
  <c r="T182" i="28"/>
  <c r="S182" i="31"/>
  <c r="V182" i="28" l="1"/>
  <c r="T184" i="28"/>
  <c r="S184" i="31"/>
  <c r="V184" i="28" l="1"/>
  <c r="S185" i="28"/>
  <c r="T182" i="29"/>
  <c r="S182" i="32"/>
  <c r="V182" i="29" l="1"/>
  <c r="T184" i="29"/>
  <c r="S184" i="32"/>
  <c r="V184" i="29" l="1"/>
  <c r="S185" i="29"/>
  <c r="T182" i="30"/>
  <c r="S182" i="33"/>
  <c r="V182" i="30" l="1"/>
  <c r="T184" i="30"/>
  <c r="S184" i="33"/>
  <c r="S185" i="30" l="1"/>
  <c r="V184" i="30"/>
  <c r="T182" i="31"/>
  <c r="S182" i="34"/>
  <c r="V182" i="31" l="1"/>
  <c r="T184" i="31"/>
  <c r="S184" i="34"/>
  <c r="S182" i="35" s="1"/>
  <c r="V184" i="31" l="1"/>
  <c r="S185" i="31"/>
  <c r="T182" i="32"/>
  <c r="S184" i="35"/>
  <c r="S181" i="36" s="1"/>
  <c r="S183" i="36" l="1"/>
  <c r="V182" i="32"/>
  <c r="T184" i="32"/>
  <c r="S181" i="37" l="1"/>
  <c r="V184" i="32"/>
  <c r="S185" i="32"/>
  <c r="T182" i="33"/>
  <c r="S183" i="37" l="1"/>
  <c r="T184" i="33"/>
  <c r="V182" i="33"/>
  <c r="S181" i="38" l="1"/>
  <c r="S185" i="33"/>
  <c r="V184" i="33"/>
  <c r="T182" i="34"/>
  <c r="S183" i="38" l="1"/>
  <c r="T184" i="34"/>
  <c r="V182" i="34"/>
  <c r="S181" i="39" l="1"/>
  <c r="S183" i="39" s="1"/>
  <c r="T182" i="35"/>
  <c r="S185" i="34"/>
  <c r="V184" i="34"/>
  <c r="S181" i="40" l="1"/>
  <c r="T184" i="35"/>
  <c r="T181" i="36" s="1"/>
  <c r="V182" i="35"/>
  <c r="T183" i="36" l="1"/>
  <c r="V181" i="36"/>
  <c r="S183" i="40"/>
  <c r="S181" i="41" s="1"/>
  <c r="V184" i="35"/>
  <c r="S185" i="35"/>
  <c r="S183" i="41" l="1"/>
  <c r="S181" i="42" s="1"/>
  <c r="T181" i="37"/>
  <c r="V183" i="36"/>
  <c r="S184" i="36"/>
  <c r="S183" i="42" l="1"/>
  <c r="T183" i="37"/>
  <c r="V181" i="37"/>
  <c r="S181" i="43" l="1"/>
  <c r="S183" i="43" s="1"/>
  <c r="S181" i="44" s="1"/>
  <c r="T181" i="38"/>
  <c r="S184" i="37"/>
  <c r="V183" i="37"/>
  <c r="S183" i="44" l="1"/>
  <c r="T183" i="38"/>
  <c r="V181" i="38"/>
  <c r="S181" i="45" l="1"/>
  <c r="T181" i="39"/>
  <c r="V183" i="38"/>
  <c r="S184" i="38"/>
  <c r="S183" i="45" l="1"/>
  <c r="V181" i="39"/>
  <c r="T183" i="39"/>
  <c r="S181" i="46" l="1"/>
  <c r="T181" i="40"/>
  <c r="V183" i="39"/>
  <c r="S184" i="39"/>
  <c r="S183" i="46" l="1"/>
  <c r="T183" i="40"/>
  <c r="T181" i="41" s="1"/>
  <c r="V181" i="40"/>
  <c r="S181" i="47" l="1"/>
  <c r="T183" i="41"/>
  <c r="T181" i="42" s="1"/>
  <c r="V181" i="41"/>
  <c r="V183" i="40"/>
  <c r="S184" i="40"/>
  <c r="S183" i="47" l="1"/>
  <c r="T183" i="42"/>
  <c r="V181" i="42"/>
  <c r="V183" i="41"/>
  <c r="S184" i="41"/>
  <c r="S181" i="48" l="1"/>
  <c r="T181" i="43"/>
  <c r="V183" i="42"/>
  <c r="S184" i="42"/>
  <c r="S183" i="48" l="1"/>
  <c r="S181" i="49" s="1"/>
  <c r="S183" i="49" s="1"/>
  <c r="S181" i="50" s="1"/>
  <c r="V181" i="43"/>
  <c r="T183" i="43"/>
  <c r="T181" i="44" s="1"/>
  <c r="S183" i="50" l="1"/>
  <c r="T183" i="44"/>
  <c r="V181" i="44"/>
  <c r="V183" i="43"/>
  <c r="S184" i="43"/>
  <c r="S181" i="51" l="1"/>
  <c r="T181" i="45"/>
  <c r="V183" i="44"/>
  <c r="S184" i="44"/>
  <c r="S183" i="51" l="1"/>
  <c r="S184" i="52" s="1"/>
  <c r="T183" i="45"/>
  <c r="V181" i="45"/>
  <c r="S186" i="52" l="1"/>
  <c r="T181" i="46"/>
  <c r="V183" i="45"/>
  <c r="S184" i="45"/>
  <c r="S184" i="53" l="1"/>
  <c r="T183" i="46"/>
  <c r="V181" i="46"/>
  <c r="S186" i="53" l="1"/>
  <c r="T181" i="47"/>
  <c r="V183" i="46"/>
  <c r="S184" i="46"/>
  <c r="S184" i="54" l="1"/>
  <c r="T183" i="47"/>
  <c r="V181" i="47"/>
  <c r="S186" i="54" l="1"/>
  <c r="T181" i="48"/>
  <c r="S184" i="47"/>
  <c r="V183" i="47"/>
  <c r="S184" i="55" l="1"/>
  <c r="T183" i="48"/>
  <c r="T181" i="49" s="1"/>
  <c r="V181" i="48"/>
  <c r="S186" i="55" l="1"/>
  <c r="V181" i="49"/>
  <c r="T183" i="49"/>
  <c r="T181" i="50" s="1"/>
  <c r="V183" i="48"/>
  <c r="S184" i="48"/>
  <c r="T183" i="50" l="1"/>
  <c r="V181" i="50"/>
  <c r="V183" i="49"/>
  <c r="S184" i="49"/>
  <c r="T181" i="51" l="1"/>
  <c r="S184" i="50"/>
  <c r="V183" i="50"/>
  <c r="T183" i="51" l="1"/>
  <c r="T184" i="52" s="1"/>
  <c r="V181" i="51"/>
  <c r="T186" i="52" l="1"/>
  <c r="V184" i="52"/>
  <c r="V183" i="51"/>
  <c r="S184" i="51"/>
  <c r="T184" i="53" l="1"/>
  <c r="V186" i="52"/>
  <c r="S187" i="52"/>
  <c r="T186" i="53" l="1"/>
  <c r="V184" i="53"/>
  <c r="T184" i="54" l="1"/>
  <c r="V186" i="53"/>
  <c r="S187" i="53"/>
  <c r="T186" i="54" l="1"/>
  <c r="V184" i="54"/>
  <c r="T184" i="55" l="1"/>
  <c r="V186" i="54"/>
  <c r="S187" i="54"/>
  <c r="T186" i="55" l="1"/>
  <c r="V184" i="55"/>
  <c r="S187" i="55" l="1"/>
  <c r="V186" i="55"/>
</calcChain>
</file>

<file path=xl/sharedStrings.xml><?xml version="1.0" encoding="utf-8"?>
<sst xmlns="http://schemas.openxmlformats.org/spreadsheetml/2006/main" count="23994" uniqueCount="431">
  <si>
    <t>Summary Transaction  Features</t>
  </si>
  <si>
    <t>Name of Issuer</t>
  </si>
  <si>
    <t>Originator % at Closing</t>
  </si>
  <si>
    <t xml:space="preserve">Originator % at the Quarter End </t>
  </si>
  <si>
    <t>Date of Issue</t>
  </si>
  <si>
    <t>Date of Production</t>
  </si>
  <si>
    <t>Security Level Data</t>
  </si>
  <si>
    <t>Moody's Rating at Closing</t>
  </si>
  <si>
    <t>Standard &amp; Poor's Rating at Closing</t>
  </si>
  <si>
    <t>Current Moody's Rating</t>
  </si>
  <si>
    <t>ISIN</t>
  </si>
  <si>
    <t xml:space="preserve">Note Interest Margins: </t>
  </si>
  <si>
    <t>Current Note Interest Rates:</t>
  </si>
  <si>
    <t>Previous Note Interest Rates:</t>
  </si>
  <si>
    <t>Optional Redemption (Call) Dates</t>
  </si>
  <si>
    <t>Step-up Dates</t>
  </si>
  <si>
    <t>Record Date</t>
  </si>
  <si>
    <t>Asset Movements</t>
  </si>
  <si>
    <t>Mortgages</t>
  </si>
  <si>
    <t>Current Principal Balance (£'000)</t>
  </si>
  <si>
    <t>Accrued Arrears and Interest Sold to Issuer (£'000)</t>
  </si>
  <si>
    <t>Total (£'000)</t>
  </si>
  <si>
    <t>Consumer Loans</t>
  </si>
  <si>
    <t>Credit Enhancement</t>
  </si>
  <si>
    <t>Spread Trap</t>
  </si>
  <si>
    <t>Unreplenished Losses on Mortgages</t>
  </si>
  <si>
    <t>Outstanding Note Principal</t>
  </si>
  <si>
    <t>Principal/Revenue Analysis</t>
  </si>
  <si>
    <t>Opening cash balance</t>
  </si>
  <si>
    <t xml:space="preserve">Total principal cash received this period from assets </t>
  </si>
  <si>
    <t>Initial income for distribution this period</t>
  </si>
  <si>
    <t>Revenue adjustment for payment of Accrued Arrears and Interest Sold at closing</t>
  </si>
  <si>
    <t>Final income for distribution this period</t>
  </si>
  <si>
    <t>Revenue payments made or accrued from Revenue Income:</t>
  </si>
  <si>
    <t>Accrued Arrears and Interest not Sold to Issuer</t>
  </si>
  <si>
    <t>Third Party payments for Corporation Tax and VAT</t>
  </si>
  <si>
    <t>Cap/Swap Retention fund</t>
  </si>
  <si>
    <t>Principal payments made from Principal Income:</t>
  </si>
  <si>
    <t>Discretionary Further Advances</t>
  </si>
  <si>
    <t>Total payments to be made this quarter</t>
  </si>
  <si>
    <t>Total closing cash balance</t>
  </si>
  <si>
    <t>Available Credit Enhancement</t>
  </si>
  <si>
    <t>First Loss Fund Analysis</t>
  </si>
  <si>
    <t>First Loss Fund at Closing</t>
  </si>
  <si>
    <t>Last Quarter closing First Loss Fund balance</t>
  </si>
  <si>
    <t>PDL Replenishment</t>
  </si>
  <si>
    <t>Closing First Loss Fund Balance</t>
  </si>
  <si>
    <t>Requirement</t>
  </si>
  <si>
    <t>Build up - prior periods</t>
  </si>
  <si>
    <t>Build up - this period</t>
  </si>
  <si>
    <t>Requirement Outstanding</t>
  </si>
  <si>
    <t>Principal Deficiency Ledger (PDL)</t>
  </si>
  <si>
    <t>Opening PDL Balance</t>
  </si>
  <si>
    <t>Losses this quarter</t>
  </si>
  <si>
    <t>Total PDL balance</t>
  </si>
  <si>
    <t>Closing PDL Balance</t>
  </si>
  <si>
    <t>Over Collateralisation</t>
  </si>
  <si>
    <t>Current Principal Balance Outstanding and Accrued Arrears (£'000)</t>
  </si>
  <si>
    <t>Outstanding Note Principal (£'000)</t>
  </si>
  <si>
    <t>Mandatory and Discretionary Further Advances (FA's)</t>
  </si>
  <si>
    <t>Total FA's permitted</t>
  </si>
  <si>
    <t>FA's made to last quarter</t>
  </si>
  <si>
    <t>FA's made this quarter</t>
  </si>
  <si>
    <t>Total FA's made to date</t>
  </si>
  <si>
    <t>Remaining permitted FA's</t>
  </si>
  <si>
    <t xml:space="preserve">Cash Flow Interest Coverage </t>
  </si>
  <si>
    <t>Cover Ratio for Class A Notes (at last Interest Payment Date)</t>
  </si>
  <si>
    <t xml:space="preserve">Cover Ratio for Class A Notes (cumulative) </t>
  </si>
  <si>
    <t>Cover Ratio for Class B Notes (at last Interest Payment Date)</t>
  </si>
  <si>
    <t xml:space="preserve">Cover Ratio for Class B Notes (cumulative) </t>
  </si>
  <si>
    <t>Collateral Level Data</t>
  </si>
  <si>
    <t>Original Weighted Average Yield</t>
  </si>
  <si>
    <t>Original Spread</t>
  </si>
  <si>
    <t>Current Weighted Average Yield</t>
  </si>
  <si>
    <t>Current Spread</t>
  </si>
  <si>
    <t>Original Weighted Average Maturity</t>
  </si>
  <si>
    <t>Current Weighted Average Maturity</t>
  </si>
  <si>
    <t>Quarterly Prepayment Rate</t>
  </si>
  <si>
    <t>Life Time Prepayment Rate</t>
  </si>
  <si>
    <t>Delinquency Status</t>
  </si>
  <si>
    <t>Enforcements in Progress</t>
  </si>
  <si>
    <t>Enforcements Completed</t>
  </si>
  <si>
    <t>Aggregate Principal Balance of Repurchased Loans</t>
  </si>
  <si>
    <t>Principal Losses</t>
  </si>
  <si>
    <t>Agg Loan Principal Losses (during related Collection Period)</t>
  </si>
  <si>
    <t>Cumulative Principal Losses (since closing date)</t>
  </si>
  <si>
    <t>Cumulative Recoveries</t>
  </si>
  <si>
    <t>Average Number of months in Arrears @ Redemption date</t>
  </si>
  <si>
    <t>Average months between Possession &amp; Redemption</t>
  </si>
  <si>
    <t>Performing</t>
  </si>
  <si>
    <t>&gt;1&lt;=2 Months</t>
  </si>
  <si>
    <t>&gt;2&lt;=3 Months</t>
  </si>
  <si>
    <t>Contact Name/Address</t>
  </si>
  <si>
    <t>John Harvey, St. Catherines Court, Herbert Road, Solihull, West Midlands, B91 3QE</t>
  </si>
  <si>
    <t>Jimmy Giles, St. Catherines Court, Herbert Road, Solihull, West Midlands, B91 3QE</t>
  </si>
  <si>
    <t>As at Closing</t>
  </si>
  <si>
    <t>PDD =</t>
  </si>
  <si>
    <t>Last Quarter Balance</t>
  </si>
  <si>
    <t>Tel.</t>
  </si>
  <si>
    <t>This Quarter Redemptions and Repayments</t>
  </si>
  <si>
    <t>E-mail</t>
  </si>
  <si>
    <t>Additions this quarter</t>
  </si>
  <si>
    <t>DFA's</t>
  </si>
  <si>
    <t>No.</t>
  </si>
  <si>
    <t>%</t>
  </si>
  <si>
    <t>PML</t>
  </si>
  <si>
    <t>Senior/Subordinate</t>
  </si>
  <si>
    <t>Class A Notes</t>
  </si>
  <si>
    <t>Repurchases this quarter</t>
  </si>
  <si>
    <t>Principal (£'000)</t>
  </si>
  <si>
    <t>£'000 Value</t>
  </si>
  <si>
    <t>£'000 Principal</t>
  </si>
  <si>
    <t>=</t>
  </si>
  <si>
    <t>years</t>
  </si>
  <si>
    <t>Quarterly</t>
  </si>
  <si>
    <t>Current Principal Outstanding</t>
  </si>
  <si>
    <t>Revenue (£'000)</t>
  </si>
  <si>
    <t>Total</t>
  </si>
  <si>
    <t>x</t>
  </si>
  <si>
    <t>Payments to Swap Counterparty</t>
  </si>
  <si>
    <t>Pre Funding Reserve</t>
  </si>
  <si>
    <t>N/A</t>
  </si>
  <si>
    <t>Note Step-Up Margins</t>
  </si>
  <si>
    <t>ACTUAL/360</t>
  </si>
  <si>
    <t>Previous Quarterly Interest Period (No. of Days)</t>
  </si>
  <si>
    <t>Current Quarterly Interest Period (No. of Days)</t>
  </si>
  <si>
    <t>A Note Interest / Currency Swap Interest</t>
  </si>
  <si>
    <t>B Note Interest / Currency Swap Interest</t>
  </si>
  <si>
    <t>First Loss Fund Replenishment</t>
  </si>
  <si>
    <t>Surplus income to the Issuer</t>
  </si>
  <si>
    <t>4 (a)</t>
  </si>
  <si>
    <t>4 (b)</t>
  </si>
  <si>
    <t>Replenishments from excess Revenue cash</t>
  </si>
  <si>
    <t>Current Pool Factor</t>
  </si>
  <si>
    <t>Previous Pool Factor</t>
  </si>
  <si>
    <t xml:space="preserve">Previous Outstanding Note Principal </t>
  </si>
  <si>
    <t>Original Issue Amount ('000)</t>
  </si>
  <si>
    <t xml:space="preserve">Current Outstanding Note Principal </t>
  </si>
  <si>
    <t>First Loss Fund Drawings</t>
  </si>
  <si>
    <t>Drawings this quarter to fund</t>
  </si>
  <si>
    <t>N.B. This data fact sheet and its notes can only be a summary of certain features of the bonds and their structure. No representation can be made that the information herein is accurate or complete and no liability is accepted therefor. Reference should be made to the issued</t>
  </si>
  <si>
    <t xml:space="preserve">information herein when making any decision whether to buy, hold or sell bonds (or other securities) or for any other purpose. </t>
  </si>
  <si>
    <t>documentation for a full description of the bonds and their structure. This data fact sheet and its notes are for information purposes only and are not intended as an offer or invitation with respect to the purchase or sale of any security. Reliance should not be placed on the</t>
  </si>
  <si>
    <t>MTL</t>
  </si>
  <si>
    <t>Aaa</t>
  </si>
  <si>
    <t>A2</t>
  </si>
  <si>
    <t>AAA</t>
  </si>
  <si>
    <t>A</t>
  </si>
  <si>
    <t>Appointment of a Receiver of Rent</t>
  </si>
  <si>
    <t>Available Redemption Funds</t>
  </si>
  <si>
    <t>+44 (0) 121 712 2315</t>
  </si>
  <si>
    <t>+44 (0) 121 712 3894</t>
  </si>
  <si>
    <t xml:space="preserve">Junior Administration Fee to PFPLC and MTS </t>
  </si>
  <si>
    <t>4 (c)</t>
  </si>
  <si>
    <t>Original Weighted Average Note Coupon and Currency Swap Rate</t>
  </si>
  <si>
    <t>john.harvey@paragon-group.co.uk</t>
  </si>
  <si>
    <t>jimmy.giles@paragon-group.co.uk</t>
  </si>
  <si>
    <t>ACTUAL/365</t>
  </si>
  <si>
    <t>Facility at Closing</t>
  </si>
  <si>
    <t>&gt;3&lt;=4 Months</t>
  </si>
  <si>
    <t>&gt;4&lt;=5 Months</t>
  </si>
  <si>
    <t>&gt;5&lt;=6 Months</t>
  </si>
  <si>
    <t>&gt;6&lt;=12 Months</t>
  </si>
  <si>
    <t>&gt;12 Months</t>
  </si>
  <si>
    <t>Funding of MTL payment holidays</t>
  </si>
  <si>
    <t>Delinquency Summary (Excluding Receiver of Rent and Possession Cases)</t>
  </si>
  <si>
    <t>Delinquency Summary (For Possession Cases)</t>
  </si>
  <si>
    <t>Total Assets</t>
  </si>
  <si>
    <t>AA</t>
  </si>
  <si>
    <t xml:space="preserve">FOR FURTHER ASSISTANCE ON THE INVESTOR REPORTS, PLEASE REFER TO THE "INVESTOR TERMS" POSTED ON THE PARAGON WEBSITE   </t>
  </si>
  <si>
    <t>http://www.paragon-group.co.uk</t>
  </si>
  <si>
    <t xml:space="preserve">FOR ADDITIONAL INFORMATION ON THE UNDERLYING ASSETS, PLEASE REFER TO THE "POOL TABLES" AND "SUMMARY" SECTIONS POSTED ON THE PARAGON WEBSITE  </t>
  </si>
  <si>
    <t>Class B and C Notes as a percentage Class A Notes at issue</t>
  </si>
  <si>
    <t>Outstanding Class B and C Notes as a percentage of Outstanding Class A Notes</t>
  </si>
  <si>
    <t>Determination Event for Paying Class B and C Notes</t>
  </si>
  <si>
    <t>Drawings used to fund Mandatory Further Advances during the period</t>
  </si>
  <si>
    <t>PML Mandatory Further Advances</t>
  </si>
  <si>
    <t>MTL Mandatory Further Advances</t>
  </si>
  <si>
    <t>C Note Interest / Currency Swap Interest</t>
  </si>
  <si>
    <t>MFA's (PML)</t>
  </si>
  <si>
    <t>Class A1 Notes</t>
  </si>
  <si>
    <t>Class A2a Notes</t>
  </si>
  <si>
    <t>Class A2b Notes</t>
  </si>
  <si>
    <t>Class B1a Notes</t>
  </si>
  <si>
    <t>Class B1b Notes</t>
  </si>
  <si>
    <t>Class C1b Notes</t>
  </si>
  <si>
    <t>Aa2</t>
  </si>
  <si>
    <t>A2a Note Interest</t>
  </si>
  <si>
    <t>B1b Swap Currency Interest</t>
  </si>
  <si>
    <t>B1a Note Interest</t>
  </si>
  <si>
    <t>C1b Swap Currency repayment</t>
  </si>
  <si>
    <t>B1b Swap Currency repayment</t>
  </si>
  <si>
    <t>B1a Note repayment</t>
  </si>
  <si>
    <t>Fitch Rating at Closing</t>
  </si>
  <si>
    <t>Current Standard &amp; Poor's Rating</t>
  </si>
  <si>
    <t>Current Fitch Rating</t>
  </si>
  <si>
    <t xml:space="preserve"> </t>
  </si>
  <si>
    <t>A2b Swap Currency repayment</t>
  </si>
  <si>
    <t>A2a Note repayment</t>
  </si>
  <si>
    <t>C1b Swap Currency Interest</t>
  </si>
  <si>
    <t>A1 Swap Currency repayment</t>
  </si>
  <si>
    <t>Cover Ratio for Class C Notes (at last Interest Payment Date)</t>
  </si>
  <si>
    <t xml:space="preserve">Cover Ratio for Class C Notes (cumulative) </t>
  </si>
  <si>
    <t>TBA</t>
  </si>
  <si>
    <t>Quarterly Interest Payment Date</t>
  </si>
  <si>
    <t>Class A1 Interest Payment Cycle</t>
  </si>
  <si>
    <t>Monthly</t>
  </si>
  <si>
    <t>Senior Administration Fee to PFPLC and MTS/ Out of pocket expenses/ Substitute Administrators Commitment Fee</t>
  </si>
  <si>
    <t>5 (a)</t>
  </si>
  <si>
    <t>5 (b)</t>
  </si>
  <si>
    <t>6 (a)</t>
  </si>
  <si>
    <t>Stated Maturity - Class A Notes</t>
  </si>
  <si>
    <t>Stated Maturity - Class B Notes</t>
  </si>
  <si>
    <t>Stated Maturity - Class C Notes</t>
  </si>
  <si>
    <t>Redemption Income</t>
  </si>
  <si>
    <t>Investment Income</t>
  </si>
  <si>
    <t>P-1/Aaa</t>
  </si>
  <si>
    <t>A-1+/AAA</t>
  </si>
  <si>
    <t>F1+/AAA</t>
  </si>
  <si>
    <t>Quarterly Interest Income</t>
  </si>
  <si>
    <t>Receiver of Rent Properties Sold</t>
  </si>
  <si>
    <t>Average Number of months in Arrears @ Sale date</t>
  </si>
  <si>
    <t>Current Weighted Average Note Coupon and Currency Swap Rate</t>
  </si>
  <si>
    <t>Class A2c Notes</t>
  </si>
  <si>
    <t>Class C1a Notes</t>
  </si>
  <si>
    <t>12 bp</t>
  </si>
  <si>
    <t>24 bp</t>
  </si>
  <si>
    <t>26 bp</t>
  </si>
  <si>
    <t>A1, A2b and A2c Swap Currency Interest</t>
  </si>
  <si>
    <t>C1a Note Interest</t>
  </si>
  <si>
    <t>6 (b)</t>
  </si>
  <si>
    <t>Trustee Fee/Tender Agent Fees/ Costs and Expenses claimed by the Remarketing Agent and the A1 Conditional Purchaser</t>
  </si>
  <si>
    <t>A2c Swap Currency repayment</t>
  </si>
  <si>
    <t>C1a Note repayment</t>
  </si>
  <si>
    <t>Class A2a, B1a and C1a Interest Calculated on</t>
  </si>
  <si>
    <t>Class A1, A2b, A2c, B1b and C1b Interest Calculated on</t>
  </si>
  <si>
    <t>Class A2a, A2b, A2c B1a, B1b, C1a and C1b Interest Payment Cycle</t>
  </si>
  <si>
    <t>25 bp</t>
  </si>
  <si>
    <t>Paragon Mortgages (No.13) PLC</t>
  </si>
  <si>
    <t>This performance report is issued by Paragon Finance PLC for and on behalf of Paragon Mortgages (No.13) PLC</t>
  </si>
  <si>
    <t>PM13 PLC</t>
  </si>
  <si>
    <t>US69913DAA00</t>
  </si>
  <si>
    <t>XS0272534313</t>
  </si>
  <si>
    <t>XS0272534586</t>
  </si>
  <si>
    <t>US69913DAD49</t>
  </si>
  <si>
    <t>XS0272535393</t>
  </si>
  <si>
    <t>XS0272535633</t>
  </si>
  <si>
    <t>XS0272536011</t>
  </si>
  <si>
    <t>XS0272536284</t>
  </si>
  <si>
    <t>XS0272536524</t>
  </si>
  <si>
    <t>Minus 1 bp</t>
  </si>
  <si>
    <t>9 bp</t>
  </si>
  <si>
    <t>20 bp</t>
  </si>
  <si>
    <t>19 bp</t>
  </si>
  <si>
    <t>40 bp</t>
  </si>
  <si>
    <t>39 bp</t>
  </si>
  <si>
    <t>18 bp</t>
  </si>
  <si>
    <t>38 bp</t>
  </si>
  <si>
    <t>80 bp</t>
  </si>
  <si>
    <t>78 bp</t>
  </si>
  <si>
    <t>42 bp</t>
  </si>
  <si>
    <t>84 bp</t>
  </si>
  <si>
    <t>12bp</t>
  </si>
  <si>
    <t>13bp</t>
  </si>
  <si>
    <t>21 bp</t>
  </si>
  <si>
    <t>Drawing on the PFPLC/MTS/PM13 Subordinated Loan for Interest Shortfalls</t>
  </si>
  <si>
    <t>4 (d)</t>
  </si>
  <si>
    <t>Replenishments from drawings on the PM13/PFPLC/MTS Subordinated Loan</t>
  </si>
  <si>
    <t>Flexile Drawing Facilty</t>
  </si>
  <si>
    <t>Payments to Flexible Drawing Facility Provider's commitment Fee and interest</t>
  </si>
  <si>
    <t>Subordinated Payments to the Flexible Drawing Facility Provider</t>
  </si>
  <si>
    <t>Termination Fees to the Swap Providers</t>
  </si>
  <si>
    <t>Closing Flexible Drawing Facility balance</t>
  </si>
  <si>
    <t>PM13 INVESTOR REPORT QUARTER ENDING DECEMBER 2006</t>
  </si>
  <si>
    <t>Total Income as a % of the Total Assets</t>
  </si>
  <si>
    <t>Aggregate Balance of Substituted Loans (Pre Funding Reserve)</t>
  </si>
  <si>
    <t>PM13 INVESTOR REPORT QUARTER ENDING MARCH 2007</t>
  </si>
  <si>
    <t>Swap Receipts</t>
  </si>
  <si>
    <t>PM13 INVESTOR REPORT QUARTER ENDING JUNE 2007</t>
  </si>
  <si>
    <t>Delinquency Summary (For Receiver of Rent Cases)</t>
  </si>
  <si>
    <t>1 bp</t>
  </si>
  <si>
    <t>Andrew Kitching, St. Catherines Court, Herbert Road, Solihull, West Midlands, B91 3QE</t>
  </si>
  <si>
    <t>+44 (0) 121 712 3896</t>
  </si>
  <si>
    <t>andrew.kitching@paragon-group.co.uk</t>
  </si>
  <si>
    <t>PM13 INVESTOR REPORT QUARTER ENDING SEPTEMBER 2007</t>
  </si>
  <si>
    <t xml:space="preserve"> 4 bp</t>
  </si>
  <si>
    <t xml:space="preserve"> 2 bp</t>
  </si>
  <si>
    <t>PM13 INVESTOR REPORT QUARTER ENDING DECEMBER 2007</t>
  </si>
  <si>
    <t>Accrual from Revenue for potential Losses</t>
  </si>
  <si>
    <t>PM13 INVESTOR REPORT QUARTER ENDING MARCH 2008</t>
  </si>
  <si>
    <t>PM13 INVESTOR REPORT QUARTER ENDING JUNE 2008</t>
  </si>
  <si>
    <t>PM13 INVESTOR REPORT QUARTER ENDING SEPTEMBER 2008</t>
  </si>
  <si>
    <t xml:space="preserve"> 15 bp</t>
  </si>
  <si>
    <t>PM13 INVESTOR REPORT QUARTER ENDING DECEMBER 2008</t>
  </si>
  <si>
    <t>PM13 INVESTOR REPORT QUARTER ENDING MARCH 2009</t>
  </si>
  <si>
    <t>Properties Sold by Mortgagee - Outstanding Principal Balance</t>
  </si>
  <si>
    <t>PM13 INVESTOR REPORT QUARTER ENDING JUNE 2009</t>
  </si>
  <si>
    <t>Possession Properties Sold</t>
  </si>
  <si>
    <t>Original GBP Equivalent Note Principal</t>
  </si>
  <si>
    <t>Previous GBP Equivalent Note Principal</t>
  </si>
  <si>
    <t>GBP Note Margin</t>
  </si>
  <si>
    <t>Current GBP Interest Rates</t>
  </si>
  <si>
    <t>Previous GBP Interest Rates</t>
  </si>
  <si>
    <t>GBP Step -Up Margins</t>
  </si>
  <si>
    <t>Current GBP Equivalent Note Principal</t>
  </si>
  <si>
    <t>PM13 INVESTOR REPORT QUARTER ENDING SEPTEMBER 2009</t>
  </si>
  <si>
    <t>PM13 INVESTOR REPORT QUARTER ENDING DECEMBER 2009</t>
  </si>
  <si>
    <t>PM13 INVESTOR REPORT QUARTER ENDING MARCH 2010</t>
  </si>
  <si>
    <t>PM13 INVESTOR REPORT QUARTER ENDING JUNE 2010</t>
  </si>
  <si>
    <t>PM13 INVESTOR REPORT QUARTER ENDING SEPTEMBER 2010</t>
  </si>
  <si>
    <t xml:space="preserve">Delinquency Summary </t>
  </si>
  <si>
    <t>PM13 INVESTOR REPORT QUARTER ENDING DECEMBER 2010</t>
  </si>
  <si>
    <t>PM13 INVESTOR REPORT QUARTER ENDING MARCH 2011</t>
  </si>
  <si>
    <t>PM13 INVESTOR REPORT QUARTER ENDING JUNE 2011</t>
  </si>
  <si>
    <t>A-1+/AA+</t>
  </si>
  <si>
    <t>AA+</t>
  </si>
  <si>
    <t>PM13 INVESTOR REPORT QUARTER ENDING SEPTEMBER 2011</t>
  </si>
  <si>
    <t>PM13 INVESTOR REPORT QUARTER ENDING DECEMBER 2011</t>
  </si>
  <si>
    <t>PDL replenishment (-) from Revenue income / Recovery (+) to Revenue income</t>
  </si>
  <si>
    <t>F1/AAA</t>
  </si>
  <si>
    <t>PM13 INVESTOR REPORT QUARTER ENDING MARCH 2012</t>
  </si>
  <si>
    <t>A-1/AA</t>
  </si>
  <si>
    <t>PM13 INVESTOR REPORT QUARTER ENDING JUNE 2012</t>
  </si>
  <si>
    <t>P-2/Aaa</t>
  </si>
  <si>
    <t>A-</t>
  </si>
  <si>
    <t>BBB</t>
  </si>
  <si>
    <t>PM13 INVESTOR REPORT QUARTER ENDING SEPTEMBER 2012</t>
  </si>
  <si>
    <t xml:space="preserve"> 28 bp</t>
  </si>
  <si>
    <t>28 bp</t>
  </si>
  <si>
    <t>PM13 INVESTOR REPORT QUARTER ENDING DECEMBER 2012</t>
  </si>
  <si>
    <t>PM13 INVESTOR REPORT QUARTER ENDING MARCH 2013</t>
  </si>
  <si>
    <t>Trustee Fee/Tender Agent Fees/ Costs and Expenses claimed by the Substitute Adminitrator, the Remarketing Agent and the A1 Conditional Purchaser</t>
  </si>
  <si>
    <t>Senior Administration Fee to PFPLC and MTS/ Out of pocket expenses/ Substitute Administrator Commitment Fee/ Substitute Administrator Facilitator Fee/ Surveillance Fees to Rating Agencies</t>
  </si>
  <si>
    <t>Unsecured claimants in an amount not exceeding the "Prescribed Part" in The Insolvency Act (Prescribed Part) Order 2003 (as amended from time to time)</t>
  </si>
  <si>
    <t>PM13 INVESTOR REPORT QUARTER ENDING JUNE 2013</t>
  </si>
  <si>
    <t>John Harvey, 51 Homer Road, Solihull, West Midlands, B91 3QJ</t>
  </si>
  <si>
    <t>Andrew Kitching, 51 Homer Road, Solihull, West Midlands, B91 3QJ</t>
  </si>
  <si>
    <t>Jimmy Giles, 51 Homer Road, Solihull, West Midlands, B91 3QJ</t>
  </si>
  <si>
    <t>PM13 INVESTOR REPORT QUARTER ENDING SEPTEMBER 2013</t>
  </si>
  <si>
    <t>PM13 INVESTOR REPORT QUARTER ENDING DECEMBER 2013</t>
  </si>
  <si>
    <t>PM13 INVESTOR REPORT QUARTER ENDING MARCH 2014</t>
  </si>
  <si>
    <t>Closing Flexible Drawing Facility Balance (with effect from 15th April 2014)</t>
  </si>
  <si>
    <t>PM13 INVESTOR REPORT QUARTER ENDING JUNE 2014</t>
  </si>
  <si>
    <t>PM13 INVESTOR REPORT QUARTER ENDING SEPTEMBER 2014</t>
  </si>
  <si>
    <t>PM13 INVESTOR REPORT QUARTER ENDING DECEMBER 2014</t>
  </si>
  <si>
    <t>PM13 INVESTOR REPORT QUARTER ENDING MARCH 2015</t>
  </si>
  <si>
    <t>PM13 INVESTOR REPORT QUARTER ENDING JUNE 2015</t>
  </si>
  <si>
    <t>A-2/AA</t>
  </si>
  <si>
    <t>XS0272533935</t>
  </si>
  <si>
    <t>BBB+</t>
  </si>
  <si>
    <t>PM13 INVESTOR REPORT QUARTER ENDING SEPTEMBER 2015</t>
  </si>
  <si>
    <t>PM13 INVESTOR REPORT QUARTER ENDING DECEMBER 2015</t>
  </si>
  <si>
    <t>PM13 INVESTOR REPORT QUARTER ENDING MARCH 2016</t>
  </si>
  <si>
    <t>PM13 INVESTOR REPORT QUARTER ENDING JUNE 2016</t>
  </si>
  <si>
    <t>PM13 INVESTOR REPORT QUARTER ENDING SEPTEMBER 2016</t>
  </si>
  <si>
    <t>PM13 INVESTOR REPORT QUARTER ENDING DECEMBER 2016</t>
  </si>
  <si>
    <t>Class A1, A2a, B1a and C1a Interest Calculated on</t>
  </si>
  <si>
    <t>Class A2b, A2c, B1b and C1b Interest Calculated on</t>
  </si>
  <si>
    <t>Class A1, A2a, A2b, A2c B1a, B1b, C1a and C1b Interest Payment Cycle</t>
  </si>
  <si>
    <t>PM13 INVESTOR REPORT QUARTER ENDING MARCH 2017</t>
  </si>
  <si>
    <t>A+</t>
  </si>
  <si>
    <t>PM13 INVESTOR REPORT QUARTER ENDING JUNE 2017</t>
  </si>
  <si>
    <t xml:space="preserve">A1 and A2a Note Interest  *    </t>
  </si>
  <si>
    <t>A2b and A2c Swap Currency Interest  *</t>
  </si>
  <si>
    <r>
      <rPr>
        <u/>
        <sz val="12"/>
        <color indexed="18"/>
        <rFont val="Times New Roman"/>
        <family val="1"/>
      </rPr>
      <t>Prior to the Interest Payment Date on 15th October 15</t>
    </r>
    <r>
      <rPr>
        <sz val="12"/>
        <color indexed="18"/>
        <rFont val="Times New Roman"/>
        <family val="1"/>
      </rPr>
      <t xml:space="preserve">          </t>
    </r>
    <r>
      <rPr>
        <u/>
        <sz val="12"/>
        <color indexed="18"/>
        <rFont val="Times New Roman"/>
        <family val="1"/>
      </rPr>
      <t>From the Interest Payment Date on 15th October 15</t>
    </r>
  </si>
  <si>
    <t>A1, A2b and A2c Swap Currency Interest                            A1 and A2a Note Interest</t>
  </si>
  <si>
    <t>A2a Note Interest                                                              A2b and A2c Swap Currency Interest</t>
  </si>
  <si>
    <t>* Rows 105 - 106 - Revenue Priority of Payments</t>
  </si>
  <si>
    <t xml:space="preserve">FOR ADDITIONAL INFORMATION ON THE CHANGES TO THE REVENUE PRIORITY OF PAYMENTS, PLEASE REFER TO THE "GLOSSARY OF TERMS" POSTED ON THE PARAGON WEBSITE  </t>
  </si>
  <si>
    <t>PM13 INVESTOR REPORT QUARTER ENDING SEPTEMBER 2017</t>
  </si>
  <si>
    <t>http://www.paragonbankinggroup.co.uk</t>
  </si>
  <si>
    <t>andrew.kitching@paragonbank.co.uk</t>
  </si>
  <si>
    <t>jimmy.giles@paragonbank.co.uk</t>
  </si>
  <si>
    <r>
      <rPr>
        <u/>
        <sz val="12"/>
        <color rgb="FF2D2926"/>
        <rFont val="Calibri"/>
        <family val="2"/>
        <scheme val="minor"/>
      </rPr>
      <t>Prior to the Interest Payment Date on 15th October 15</t>
    </r>
    <r>
      <rPr>
        <sz val="12"/>
        <color rgb="FF2D2926"/>
        <rFont val="Calibri"/>
        <family val="2"/>
        <scheme val="minor"/>
      </rPr>
      <t xml:space="preserve">          </t>
    </r>
    <r>
      <rPr>
        <u/>
        <sz val="12"/>
        <color rgb="FF2D2926"/>
        <rFont val="Calibri"/>
        <family val="2"/>
        <scheme val="minor"/>
      </rPr>
      <t>From the Interest Payment Date on 15th October 15</t>
    </r>
  </si>
  <si>
    <t>PM13 INVESTOR REPORT QUARTER ENDING DECEMBER 2017</t>
  </si>
  <si>
    <t>PM13 INVESTOR REPORT QUARTER ENDING MARCH 2018</t>
  </si>
  <si>
    <t>PM13 INVESTOR REPORT QUARTER ENDING JUNE 2018</t>
  </si>
  <si>
    <t>PM13 INVESTOR REPORT QUARTER ENDING SEPTEMBER 2018</t>
  </si>
  <si>
    <t>PM13 INVESTOR REPORT QUARTER ENDING DECEMBER 2018</t>
  </si>
  <si>
    <t>PM13 INVESTOR REPORT QUARTER ENDING MARCH 2019</t>
  </si>
  <si>
    <t>PM13 INVESTOR REPORT QUARTER ENDING JUNE 2019</t>
  </si>
  <si>
    <t>PM13 INVESTOR REPORT QUARTER ENDING SEPTEMBER 2019</t>
  </si>
  <si>
    <t>Interest on the Subordinated Loan (First Loss Fund)</t>
  </si>
  <si>
    <t>Repayment of the Subordinated Loan (Repayment of the Minimum Mortgage Rate Drawings)</t>
  </si>
  <si>
    <t>Management Charge</t>
  </si>
  <si>
    <t>Deferred Consideration</t>
  </si>
  <si>
    <t>A1 Note repayment</t>
  </si>
  <si>
    <t>PM13 INVESTOR REPORT QUARTER ENDING DECEMBER 2019</t>
  </si>
  <si>
    <t>PM13 INVESTOR REPORT QUARTER ENDING MARCH 2020</t>
  </si>
  <si>
    <t>Delinquency Summary (For COVID19 Payment Holiday Cases)</t>
  </si>
  <si>
    <t>**</t>
  </si>
  <si>
    <t>** For transparency, a table has been included where customers have elected to take a payment holiday, caused by COVID19. Rows 288 - 298 Delinquency Summary (For COVID19 Payment Holiday Cases) are included in the Overall Deliquency Summary in rows 238 - 248.</t>
  </si>
  <si>
    <t>PM13 INVESTOR REPORT QUARTER ENDING JUNE 2020</t>
  </si>
  <si>
    <t>Payment Holidays</t>
  </si>
  <si>
    <t>On 18th March 2020, the UK Government instructed Lenders to grant a three-month mortgage payment holiday to Buy to Let landlords who may be experiencing difficulties in meeting their buy to let mortgage payments caused by the impact of the COVID19 virus.</t>
  </si>
  <si>
    <t>Following this guidance and where appropriate, Paragon have agreed a mortgage payment holiday with customers, ranging between one and three months. Paragon have emphasised to the customers (a) this is only a temporary arrangement and that the position</t>
  </si>
  <si>
    <t xml:space="preserve">will be reviewed after the payment holiday period and (b) interest will continue to be charged on the payment holiday amount that forms part of the customers' outstanding mortgage balance. Following the expiry of the relevant payment holiday arrangement, </t>
  </si>
  <si>
    <t xml:space="preserve">Paragon will contact the customer with a range of available options, including an overpayment on the customers' monthly payment to clear the payment holiday amount. In accordance with the practices of a reasonable prudent administrator, each case will be </t>
  </si>
  <si>
    <t>assessed individually and on its own merits.</t>
  </si>
  <si>
    <t>Paragon have also made the necessary system changes to accommodate payment holidays. For reporting purposes, and in line with the UK Finance's expectations, customers that have been granted a payment holiday will not be categorised nor reported as an arrears</t>
  </si>
  <si>
    <t xml:space="preserve">loan. It is expected that Paragon will be in a position to identify and report on the payment holiday customers for investor reporting and loan by loan disclosure requirements. </t>
  </si>
  <si>
    <t>LIBOR transition</t>
  </si>
  <si>
    <t>Paragon are proactively working with other banks, industry bodies, our regulators and trade associations to define the next steps to consider alternatives to LIBOR and explore all reasonable alternatives. The decision regarding the replacement will be based on a variety of factors,</t>
  </si>
  <si>
    <t>including taking into account the interests of our customers, market consultations and the expectations of our regulators (the PRA and FCA).</t>
  </si>
  <si>
    <t>Receiver of Rent Cases by Current Status, as at the PDD</t>
  </si>
  <si>
    <t>Rented</t>
  </si>
  <si>
    <t>Vacant - to be let</t>
  </si>
  <si>
    <t>Vacant - to be sold</t>
  </si>
  <si>
    <t>Property Rented/For Sale</t>
  </si>
  <si>
    <t>Sold - Contracts Exchanged</t>
  </si>
  <si>
    <t xml:space="preserve">Strategic review </t>
  </si>
  <si>
    <t>% by Number of Accounts/Balance</t>
  </si>
  <si>
    <t>Payment Holiday Extensions</t>
  </si>
  <si>
    <t xml:space="preserve">On 22nd May 2020, the UK Government announced that payment holidays would be extended for a further three months for Buy to Let landlords who may be experiencing, or continue to experience, difficulties in meeting their buy to let mortgage payments caused </t>
  </si>
  <si>
    <t xml:space="preserve">by the impact of the COVID19 virus. There is a deadline of 31st October 2020 for customers who have yet to apply for a payment holiday with their lenders. The same principles as outlined above for the "original" payment holiday customers will also apply to the </t>
  </si>
  <si>
    <t>"extended" payment holiday customers.</t>
  </si>
  <si>
    <t>Trustee Fee/Tender Agent Fees/ Costs and Expenses claimed by the Substitute Administrator, the Remarketing Agent and the A1 Conditional Purchaser</t>
  </si>
  <si>
    <t>Flexile Drawing Facility</t>
  </si>
  <si>
    <t>** For transparency, a table has been included where customers have elected to take a payment holiday, caused by COVID19. Rows 298 - 308 Delinquency Summary (For COVID19 Payment Holiday Cases) are included in the Overall Delinquency Summary in rows 238 - 248.</t>
  </si>
  <si>
    <t>WA Remaining PH Term (months)</t>
  </si>
  <si>
    <t>Original Payment Holiday Borrowers</t>
  </si>
  <si>
    <t>Extended Payment Holiday Borrowers</t>
  </si>
  <si>
    <t>PM13 INVESTOR REPORT QUARTER ENDING SEPTEMBER 2020</t>
  </si>
  <si>
    <t>PM13 INVESTOR REPORT QUARTER ENDING DECEMBER 2020</t>
  </si>
  <si>
    <t>Payment holidays were extended in June 2020 and November 2020 for Buy to Let landlords who may be experiencing, or continue to experience, difficulties in meeting their buy to let mortgage payments caused by the impact of the COVID19 virus.</t>
  </si>
  <si>
    <t xml:space="preserve">There is a deadline of 31st January 2021 for customers who have yet to apply for a payment holiday with their lenders. The same principles as outlined above for the "original" payment holiday customers will also apply to the"extended" payment holiday customers. </t>
  </si>
  <si>
    <t>PM13 INVESTOR REPORT QUARTER ENDING MARCH 2021</t>
  </si>
  <si>
    <t>Release of the First Loss Fund following repayment of the Notes</t>
  </si>
  <si>
    <t>Release of the First Loss Fund Balance</t>
  </si>
  <si>
    <t>The deadline for customers to apply for a payment holiday with their lenders was 31st March 2021 and all payment holidays must end by 31st July 2021. The same principles as outlined above for the "original" payment holiday customers also applies to the "extended" payment holiday customers.</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</si>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</sst>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809]#,##0"/>
    <numFmt numFmtId="165" formatCode="0.00000%"/>
    <numFmt numFmtId="166" formatCode="0.0%"/>
    <numFmt numFmtId="167" formatCode="d\-mmm\-yy"/>
    <numFmt numFmtId="168" formatCode="[$€-2]\ #,##0"/>
    <numFmt numFmtId="169" formatCode="[$$-409]#,##0"/>
    <numFmt numFmtId="170" formatCode="0.000000"/>
    <numFmt numFmtId="171" formatCode="0.0000000"/>
    <numFmt numFmtId="172" formatCode="&quot;£&quot;#,##0"/>
  </numFmts>
  <fonts count="74" x14ac:knownFonts="1">
    <font>
      <sz val="12"/>
      <name val="Arial"/>
    </font>
    <font>
      <sz val="12"/>
      <name val="Arial"/>
      <family val="2"/>
    </font>
    <font>
      <sz val="12"/>
      <name val="Times New Roman"/>
      <family val="1"/>
    </font>
    <font>
      <b/>
      <u/>
      <sz val="16"/>
      <color indexed="12"/>
      <name val="Times New Roman"/>
      <family val="1"/>
    </font>
    <font>
      <b/>
      <u/>
      <sz val="12"/>
      <name val="Times New Roman"/>
      <family val="1"/>
    </font>
    <font>
      <u/>
      <sz val="12"/>
      <name val="Times New Roman"/>
      <family val="1"/>
    </font>
    <font>
      <b/>
      <sz val="12"/>
      <color indexed="29"/>
      <name val="Times New Roman"/>
      <family val="1"/>
    </font>
    <font>
      <b/>
      <i/>
      <sz val="10"/>
      <name val="Times New Roman"/>
      <family val="1"/>
    </font>
    <font>
      <sz val="12"/>
      <name val="Arial"/>
      <family val="2"/>
    </font>
    <font>
      <b/>
      <sz val="12"/>
      <name val="Times New Roman"/>
      <family val="1"/>
    </font>
    <font>
      <b/>
      <sz val="12"/>
      <color indexed="12"/>
      <name val="Times New Roman"/>
      <family val="1"/>
    </font>
    <font>
      <sz val="12"/>
      <color indexed="12"/>
      <name val="Times New Roman"/>
      <family val="1"/>
    </font>
    <font>
      <b/>
      <u/>
      <sz val="12"/>
      <color indexed="12"/>
      <name val="Times New Roman"/>
      <family val="1"/>
    </font>
    <font>
      <sz val="12"/>
      <color indexed="8"/>
      <name val="Times New Roman"/>
      <family val="1"/>
    </font>
    <font>
      <b/>
      <sz val="12"/>
      <color indexed="12"/>
      <name val="Arial"/>
      <family val="2"/>
    </font>
    <font>
      <b/>
      <sz val="14"/>
      <name val="Times New Roman"/>
      <family val="1"/>
    </font>
    <font>
      <b/>
      <sz val="12"/>
      <color indexed="8"/>
      <name val="Times New Roman"/>
      <family val="1"/>
    </font>
    <font>
      <b/>
      <u/>
      <sz val="12"/>
      <color indexed="8"/>
      <name val="Times New Roman"/>
      <family val="1"/>
    </font>
    <font>
      <b/>
      <sz val="12"/>
      <name val="Arial"/>
      <family val="2"/>
    </font>
    <font>
      <b/>
      <sz val="12"/>
      <color indexed="53"/>
      <name val="Times New Roman"/>
      <family val="1"/>
    </font>
    <font>
      <sz val="12"/>
      <color indexed="53"/>
      <name val="Times New Roman"/>
      <family val="1"/>
    </font>
    <font>
      <b/>
      <u/>
      <sz val="12"/>
      <color indexed="53"/>
      <name val="Times New Roman"/>
      <family val="1"/>
    </font>
    <font>
      <b/>
      <sz val="12"/>
      <color indexed="12"/>
      <name val="Times New Roman"/>
      <family val="1"/>
    </font>
    <font>
      <u/>
      <sz val="8.4"/>
      <color indexed="12"/>
      <name val="Arial"/>
      <family val="2"/>
    </font>
    <font>
      <sz val="12"/>
      <name val="Times New Roman"/>
      <family val="1"/>
    </font>
    <font>
      <b/>
      <sz val="12"/>
      <color indexed="39"/>
      <name val="Times New Roman"/>
      <family val="1"/>
    </font>
    <font>
      <b/>
      <sz val="12"/>
      <color indexed="39"/>
      <name val="Times New Roman"/>
      <family val="1"/>
    </font>
    <font>
      <b/>
      <sz val="14"/>
      <color indexed="53"/>
      <name val="Times New Roman"/>
      <family val="1"/>
    </font>
    <font>
      <b/>
      <u/>
      <sz val="14"/>
      <color indexed="53"/>
      <name val="Times New Roman"/>
      <family val="1"/>
    </font>
    <font>
      <sz val="12"/>
      <color indexed="10"/>
      <name val="Times New Roman"/>
      <family val="1"/>
    </font>
    <font>
      <b/>
      <u/>
      <sz val="16"/>
      <color indexed="18"/>
      <name val="Times New Roman"/>
      <family val="1"/>
    </font>
    <font>
      <b/>
      <i/>
      <sz val="10"/>
      <color indexed="18"/>
      <name val="Times New Roman"/>
      <family val="1"/>
    </font>
    <font>
      <b/>
      <sz val="12"/>
      <color indexed="18"/>
      <name val="Times New Roman"/>
      <family val="1"/>
    </font>
    <font>
      <sz val="12"/>
      <color indexed="18"/>
      <name val="Times New Roman"/>
      <family val="1"/>
    </font>
    <font>
      <b/>
      <u/>
      <sz val="12"/>
      <color indexed="18"/>
      <name val="Times New Roman"/>
      <family val="1"/>
    </font>
    <font>
      <sz val="12"/>
      <color indexed="18"/>
      <name val="Arial"/>
      <family val="2"/>
    </font>
    <font>
      <sz val="12"/>
      <color indexed="18"/>
      <name val="Times New Roman"/>
      <family val="1"/>
    </font>
    <font>
      <b/>
      <sz val="12"/>
      <color indexed="18"/>
      <name val="Times New Roman"/>
      <family val="1"/>
    </font>
    <font>
      <b/>
      <sz val="12"/>
      <color indexed="18"/>
      <name val="Arial"/>
      <family val="2"/>
    </font>
    <font>
      <b/>
      <sz val="14"/>
      <color indexed="18"/>
      <name val="Times New Roman"/>
      <family val="1"/>
    </font>
    <font>
      <sz val="12"/>
      <color indexed="9"/>
      <name val="Times New Roman"/>
      <family val="1"/>
    </font>
    <font>
      <b/>
      <sz val="12"/>
      <color indexed="9"/>
      <name val="Times New Roman"/>
      <family val="1"/>
    </font>
    <font>
      <sz val="12"/>
      <color theme="0"/>
      <name val="Times New Roman"/>
      <family val="1"/>
    </font>
    <font>
      <b/>
      <sz val="12"/>
      <color theme="0"/>
      <name val="Times New Roman"/>
      <family val="1"/>
    </font>
    <font>
      <sz val="12"/>
      <color theme="0"/>
      <name val="Arial"/>
      <family val="2"/>
    </font>
    <font>
      <u/>
      <sz val="12"/>
      <color indexed="18"/>
      <name val="Times New Roman"/>
      <family val="1"/>
    </font>
    <font>
      <sz val="12"/>
      <name val="Calibri"/>
      <family val="2"/>
      <scheme val="minor"/>
    </font>
    <font>
      <b/>
      <u/>
      <sz val="16"/>
      <color rgb="FF2D2926"/>
      <name val="Calibri"/>
      <family val="2"/>
      <scheme val="minor"/>
    </font>
    <font>
      <u/>
      <sz val="12"/>
      <name val="Calibri"/>
      <family val="2"/>
      <scheme val="minor"/>
    </font>
    <font>
      <b/>
      <sz val="12"/>
      <color rgb="FF89CB31"/>
      <name val="Calibri"/>
      <family val="2"/>
      <scheme val="minor"/>
    </font>
    <font>
      <b/>
      <i/>
      <sz val="10"/>
      <color rgb="FF2D2926"/>
      <name val="Calibri"/>
      <family val="2"/>
      <scheme val="minor"/>
    </font>
    <font>
      <b/>
      <i/>
      <sz val="10"/>
      <name val="Calibri"/>
      <family val="2"/>
      <scheme val="minor"/>
    </font>
    <font>
      <b/>
      <u/>
      <sz val="12"/>
      <color rgb="FF89CB31"/>
      <name val="Calibri"/>
      <family val="2"/>
      <scheme val="minor"/>
    </font>
    <font>
      <b/>
      <u/>
      <sz val="12"/>
      <color indexed="53"/>
      <name val="Calibri"/>
      <family val="2"/>
      <scheme val="minor"/>
    </font>
    <font>
      <b/>
      <u/>
      <sz val="14"/>
      <color indexed="53"/>
      <name val="Calibri"/>
      <family val="2"/>
      <scheme val="minor"/>
    </font>
    <font>
      <b/>
      <sz val="12"/>
      <name val="Calibri"/>
      <family val="2"/>
      <scheme val="minor"/>
    </font>
    <font>
      <b/>
      <sz val="12"/>
      <color rgb="FF2D2926"/>
      <name val="Calibri"/>
      <family val="2"/>
      <scheme val="minor"/>
    </font>
    <font>
      <sz val="12"/>
      <color rgb="FF2D2926"/>
      <name val="Calibri"/>
      <family val="2"/>
      <scheme val="minor"/>
    </font>
    <font>
      <b/>
      <u/>
      <sz val="12"/>
      <color rgb="FF2D2926"/>
      <name val="Calibri"/>
      <family val="2"/>
      <scheme val="minor"/>
    </font>
    <font>
      <sz val="12"/>
      <color theme="0"/>
      <name val="Calibri"/>
      <family val="2"/>
      <scheme val="minor"/>
    </font>
    <font>
      <b/>
      <sz val="12"/>
      <color theme="0"/>
      <name val="Calibri"/>
      <family val="2"/>
      <scheme val="minor"/>
    </font>
    <font>
      <sz val="12"/>
      <color rgb="FF89CB31"/>
      <name val="Calibri"/>
      <family val="2"/>
      <scheme val="minor"/>
    </font>
    <font>
      <b/>
      <sz val="14"/>
      <color rgb="FF2D2926"/>
      <name val="Calibri"/>
      <family val="2"/>
      <scheme val="minor"/>
    </font>
    <font>
      <sz val="12"/>
      <color indexed="9"/>
      <name val="Calibri"/>
      <family val="2"/>
      <scheme val="minor"/>
    </font>
    <font>
      <b/>
      <sz val="12"/>
      <color indexed="9"/>
      <name val="Calibri"/>
      <family val="2"/>
      <scheme val="minor"/>
    </font>
    <font>
      <sz val="12"/>
      <color indexed="8"/>
      <name val="Calibri"/>
      <family val="2"/>
      <scheme val="minor"/>
    </font>
    <font>
      <sz val="12"/>
      <color indexed="18"/>
      <name val="Calibri"/>
      <family val="2"/>
      <scheme val="minor"/>
    </font>
    <font>
      <b/>
      <u/>
      <sz val="12"/>
      <name val="Calibri"/>
      <family val="2"/>
      <scheme val="minor"/>
    </font>
    <font>
      <b/>
      <u/>
      <sz val="12"/>
      <color indexed="8"/>
      <name val="Calibri"/>
      <family val="2"/>
      <scheme val="minor"/>
    </font>
    <font>
      <b/>
      <sz val="12"/>
      <color indexed="8"/>
      <name val="Calibri"/>
      <family val="2"/>
      <scheme val="minor"/>
    </font>
    <font>
      <b/>
      <sz val="14"/>
      <color rgb="FF89CB31"/>
      <name val="Calibri"/>
      <family val="2"/>
      <scheme val="minor"/>
    </font>
    <font>
      <b/>
      <u/>
      <sz val="14"/>
      <color rgb="FF89CB31"/>
      <name val="Calibri"/>
      <family val="2"/>
      <scheme val="minor"/>
    </font>
    <font>
      <u/>
      <sz val="12"/>
      <color rgb="FF2D2926"/>
      <name val="Calibri"/>
      <family val="2"/>
      <scheme val="minor"/>
    </font>
    <font>
      <b/>
      <sz val="12"/>
      <color indexed="18"/>
      <name val="Calibri"/>
      <family val="2"/>
      <scheme val="minor"/>
    </font>
  </fonts>
  <fills count="8">
    <fill>
      <patternFill patternType="none"/>
    </fill>
    <fill>
      <patternFill patternType="gray125"/>
    </fill>
    <fill>
      <patternFill patternType="solid">
        <fgColor indexed="26"/>
        <bgColor indexed="64"/>
      </patternFill>
    </fill>
    <fill>
      <patternFill patternType="solid">
        <fgColor indexed="38"/>
        <bgColor indexed="64"/>
      </patternFill>
    </fill>
    <fill>
      <patternFill patternType="solid">
        <fgColor indexed="18"/>
        <bgColor indexed="64"/>
      </patternFill>
    </fill>
    <fill>
      <patternFill patternType="solid">
        <fgColor rgb="FF000099"/>
        <bgColor indexed="64"/>
      </patternFill>
    </fill>
    <fill>
      <patternFill patternType="solid">
        <fgColor rgb="FF89CB31"/>
        <bgColor indexed="64"/>
      </patternFill>
    </fill>
    <fill>
      <patternFill patternType="solid">
        <fgColor rgb="FFF4F4F4"/>
        <bgColor indexed="64"/>
      </patternFill>
    </fill>
  </fills>
  <borders count="39">
    <border>
      <left/>
      <right/>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thin">
        <color indexed="8"/>
      </top>
      <bottom/>
      <diagonal/>
    </border>
    <border>
      <left/>
      <right/>
      <top style="thin">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style="thin">
        <color indexed="8"/>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bottom style="thin">
        <color indexed="8"/>
      </bottom>
      <diagonal/>
    </border>
    <border>
      <left style="medium">
        <color indexed="8"/>
      </left>
      <right/>
      <top style="thin">
        <color indexed="55"/>
      </top>
      <bottom style="thin">
        <color indexed="55"/>
      </bottom>
      <diagonal/>
    </border>
    <border>
      <left/>
      <right/>
      <top style="thin">
        <color indexed="55"/>
      </top>
      <bottom style="thin">
        <color indexed="55"/>
      </bottom>
      <diagonal/>
    </border>
    <border>
      <left/>
      <right style="medium">
        <color indexed="8"/>
      </right>
      <top style="thin">
        <color indexed="55"/>
      </top>
      <bottom style="thin">
        <color indexed="55"/>
      </bottom>
      <diagonal/>
    </border>
    <border>
      <left style="medium">
        <color indexed="8"/>
      </left>
      <right/>
      <top style="thin">
        <color indexed="55"/>
      </top>
      <bottom style="thin">
        <color indexed="8"/>
      </bottom>
      <diagonal/>
    </border>
    <border>
      <left/>
      <right/>
      <top style="thin">
        <color indexed="55"/>
      </top>
      <bottom style="thin">
        <color indexed="8"/>
      </bottom>
      <diagonal/>
    </border>
    <border>
      <left/>
      <right style="medium">
        <color indexed="8"/>
      </right>
      <top style="thin">
        <color indexed="55"/>
      </top>
      <bottom style="thin">
        <color indexed="8"/>
      </bottom>
      <diagonal/>
    </border>
    <border>
      <left style="medium">
        <color indexed="8"/>
      </left>
      <right/>
      <top style="thin">
        <color indexed="23"/>
      </top>
      <bottom style="thin">
        <color indexed="23"/>
      </bottom>
      <diagonal/>
    </border>
    <border>
      <left/>
      <right/>
      <top style="thin">
        <color indexed="23"/>
      </top>
      <bottom style="thin">
        <color indexed="23"/>
      </bottom>
      <diagonal/>
    </border>
    <border>
      <left/>
      <right style="medium">
        <color indexed="8"/>
      </right>
      <top style="thin">
        <color indexed="23"/>
      </top>
      <bottom style="thin">
        <color indexed="23"/>
      </bottom>
      <diagonal/>
    </border>
    <border>
      <left style="medium">
        <color indexed="8"/>
      </left>
      <right/>
      <top/>
      <bottom style="thin">
        <color indexed="55"/>
      </bottom>
      <diagonal/>
    </border>
    <border>
      <left/>
      <right/>
      <top/>
      <bottom style="thin">
        <color indexed="55"/>
      </bottom>
      <diagonal/>
    </border>
    <border>
      <left/>
      <right style="medium">
        <color indexed="8"/>
      </right>
      <top/>
      <bottom style="thin">
        <color indexed="55"/>
      </bottom>
      <diagonal/>
    </border>
    <border>
      <left/>
      <right style="medium">
        <color indexed="8"/>
      </right>
      <top/>
      <bottom/>
      <diagonal/>
    </border>
    <border>
      <left/>
      <right style="medium">
        <color indexed="8"/>
      </right>
      <top style="medium">
        <color indexed="8"/>
      </top>
      <bottom/>
      <diagonal/>
    </border>
    <border>
      <left/>
      <right style="medium">
        <color theme="1"/>
      </right>
      <top style="thin">
        <color indexed="55"/>
      </top>
      <bottom style="thin">
        <color indexed="55"/>
      </bottom>
      <diagonal/>
    </border>
    <border>
      <left/>
      <right style="medium">
        <color theme="1"/>
      </right>
      <top/>
      <bottom/>
      <diagonal/>
    </border>
    <border>
      <left/>
      <right style="medium">
        <color theme="1"/>
      </right>
      <top/>
      <bottom style="medium">
        <color indexed="8"/>
      </bottom>
      <diagonal/>
    </border>
    <border>
      <left/>
      <right style="medium">
        <color indexed="8"/>
      </right>
      <top style="thin">
        <color indexed="8"/>
      </top>
      <bottom/>
      <diagonal/>
    </border>
    <border>
      <left/>
      <right/>
      <top style="thin">
        <color indexed="55"/>
      </top>
      <bottom/>
      <diagonal/>
    </border>
    <border>
      <left/>
      <right/>
      <top style="thin">
        <color theme="0" tint="-0.499984740745262"/>
      </top>
      <bottom style="thin">
        <color theme="0" tint="-0.499984740745262"/>
      </bottom>
      <diagonal/>
    </border>
    <border>
      <left style="thick">
        <color rgb="FFFF0000"/>
      </left>
      <right/>
      <top style="thick">
        <color rgb="FFFF0000"/>
      </top>
      <bottom style="thin">
        <color indexed="55"/>
      </bottom>
      <diagonal/>
    </border>
    <border>
      <left/>
      <right/>
      <top style="thick">
        <color rgb="FFFF0000"/>
      </top>
      <bottom style="thin">
        <color indexed="55"/>
      </bottom>
      <diagonal/>
    </border>
    <border>
      <left/>
      <right style="thick">
        <color rgb="FFFF0000"/>
      </right>
      <top style="thick">
        <color rgb="FFFF0000"/>
      </top>
      <bottom style="thin">
        <color indexed="55"/>
      </bottom>
      <diagonal/>
    </border>
    <border>
      <left style="thick">
        <color rgb="FFFF0000"/>
      </left>
      <right/>
      <top style="thin">
        <color indexed="55"/>
      </top>
      <bottom style="thick">
        <color rgb="FFFF0000"/>
      </bottom>
      <diagonal/>
    </border>
    <border>
      <left/>
      <right/>
      <top style="thin">
        <color indexed="55"/>
      </top>
      <bottom style="thick">
        <color rgb="FFFF0000"/>
      </bottom>
      <diagonal/>
    </border>
    <border>
      <left/>
      <right style="thick">
        <color rgb="FFFF0000"/>
      </right>
      <top style="thin">
        <color indexed="55"/>
      </top>
      <bottom style="thick">
        <color rgb="FFFF0000"/>
      </bottom>
      <diagonal/>
    </border>
  </borders>
  <cellStyleXfs count="2">
    <xf numFmtId="0" fontId="0" fillId="0" borderId="0"/>
    <xf numFmtId="0" fontId="23" fillId="0" borderId="0" applyNumberFormat="0" applyFill="0" applyBorder="0" applyAlignment="0" applyProtection="0">
      <alignment vertical="top"/>
      <protection locked="0"/>
    </xf>
  </cellStyleXfs>
  <cellXfs count="696">
    <xf numFmtId="0" fontId="0" fillId="0" borderId="0" xfId="0"/>
    <xf numFmtId="0" fontId="1" fillId="0" borderId="0" xfId="0" applyNumberFormat="1" applyFont="1" applyAlignment="1"/>
    <xf numFmtId="0" fontId="2" fillId="2" borderId="1" xfId="0" applyNumberFormat="1" applyFont="1" applyFill="1" applyBorder="1" applyAlignment="1"/>
    <xf numFmtId="0" fontId="3" fillId="2" borderId="2" xfId="0" applyNumberFormat="1" applyFont="1" applyFill="1" applyBorder="1" applyAlignment="1"/>
    <xf numFmtId="0" fontId="2" fillId="2" borderId="2" xfId="0" applyNumberFormat="1" applyFont="1" applyFill="1" applyBorder="1" applyAlignment="1"/>
    <xf numFmtId="0" fontId="0" fillId="0" borderId="3" xfId="0" applyNumberFormat="1" applyBorder="1"/>
    <xf numFmtId="0" fontId="2" fillId="2" borderId="3" xfId="0" applyNumberFormat="1" applyFont="1" applyFill="1" applyBorder="1" applyAlignment="1"/>
    <xf numFmtId="0" fontId="5" fillId="2" borderId="0" xfId="0" applyNumberFormat="1" applyFont="1" applyFill="1" applyAlignment="1"/>
    <xf numFmtId="0" fontId="2" fillId="2" borderId="0" xfId="0" applyNumberFormat="1" applyFont="1" applyFill="1" applyAlignment="1"/>
    <xf numFmtId="0" fontId="2" fillId="2" borderId="3"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0" applyNumberFormat="1" applyFont="1" applyFill="1" applyAlignment="1"/>
    <xf numFmtId="0" fontId="10" fillId="2" borderId="0" xfId="0" applyNumberFormat="1" applyFont="1" applyFill="1" applyAlignment="1"/>
    <xf numFmtId="0" fontId="11" fillId="2" borderId="0" xfId="0" applyNumberFormat="1" applyFont="1" applyFill="1" applyAlignment="1"/>
    <xf numFmtId="0" fontId="12" fillId="2" borderId="0" xfId="0" applyNumberFormat="1" applyFont="1" applyFill="1" applyAlignment="1">
      <alignment horizontal="center" wrapText="1"/>
    </xf>
    <xf numFmtId="0" fontId="10" fillId="2" borderId="0" xfId="0" applyNumberFormat="1" applyFont="1" applyFill="1" applyAlignment="1">
      <alignment horizontal="center"/>
    </xf>
    <xf numFmtId="9" fontId="10" fillId="2" borderId="0" xfId="0" applyNumberFormat="1" applyFont="1" applyFill="1" applyAlignment="1">
      <alignment horizontal="center"/>
    </xf>
    <xf numFmtId="15" fontId="10" fillId="2" borderId="0" xfId="0" applyNumberFormat="1" applyFont="1" applyFill="1" applyAlignment="1">
      <alignment horizontal="center"/>
    </xf>
    <xf numFmtId="0" fontId="2" fillId="2" borderId="0" xfId="0" applyNumberFormat="1" applyFont="1" applyFill="1" applyAlignment="1">
      <alignment horizontal="center"/>
    </xf>
    <xf numFmtId="0" fontId="4" fillId="2" borderId="0" xfId="0" applyNumberFormat="1" applyFont="1" applyFill="1" applyAlignment="1"/>
    <xf numFmtId="0" fontId="2" fillId="2" borderId="0" xfId="0" applyNumberFormat="1" applyFont="1" applyFill="1" applyAlignment="1">
      <alignment horizontal="right"/>
    </xf>
    <xf numFmtId="0" fontId="2" fillId="2" borderId="0" xfId="0" applyNumberFormat="1" applyFont="1" applyFill="1" applyAlignment="1">
      <alignment horizontal="center" wrapText="1"/>
    </xf>
    <xf numFmtId="0" fontId="2" fillId="2" borderId="4" xfId="0" applyNumberFormat="1" applyFont="1" applyFill="1" applyBorder="1" applyAlignment="1"/>
    <xf numFmtId="0" fontId="2" fillId="2" borderId="5" xfId="0" applyNumberFormat="1" applyFont="1" applyFill="1" applyBorder="1" applyAlignment="1"/>
    <xf numFmtId="0" fontId="2" fillId="2" borderId="5" xfId="0" applyNumberFormat="1" applyFont="1" applyFill="1" applyBorder="1" applyAlignment="1">
      <alignment horizontal="center" wrapText="1"/>
    </xf>
    <xf numFmtId="0" fontId="8" fillId="2" borderId="5" xfId="0" applyNumberFormat="1" applyFont="1" applyFill="1" applyBorder="1" applyAlignment="1"/>
    <xf numFmtId="0" fontId="10" fillId="2" borderId="4" xfId="0" applyNumberFormat="1" applyFont="1" applyFill="1" applyBorder="1" applyAlignment="1"/>
    <xf numFmtId="0" fontId="10" fillId="2" borderId="5" xfId="0" applyNumberFormat="1" applyFont="1" applyFill="1" applyBorder="1" applyAlignment="1"/>
    <xf numFmtId="0" fontId="2" fillId="2"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2" fillId="2" borderId="5" xfId="0" applyNumberFormat="1" applyFont="1" applyFill="1" applyBorder="1" applyAlignment="1"/>
    <xf numFmtId="164" fontId="8" fillId="2" borderId="5" xfId="0" applyNumberFormat="1" applyFont="1" applyFill="1" applyBorder="1" applyAlignment="1"/>
    <xf numFmtId="3" fontId="2" fillId="2" borderId="5" xfId="0" applyNumberFormat="1" applyFont="1" applyFill="1" applyBorder="1" applyAlignment="1"/>
    <xf numFmtId="164" fontId="10" fillId="2" borderId="5" xfId="0" applyNumberFormat="1" applyFont="1" applyFill="1" applyBorder="1" applyAlignment="1">
      <alignment horizontal="center"/>
    </xf>
    <xf numFmtId="164" fontId="10" fillId="2" borderId="5" xfId="0" applyNumberFormat="1" applyFont="1" applyFill="1" applyBorder="1" applyAlignment="1"/>
    <xf numFmtId="164" fontId="14" fillId="2" borderId="5" xfId="0" applyNumberFormat="1" applyFont="1" applyFill="1" applyBorder="1" applyAlignment="1"/>
    <xf numFmtId="165" fontId="2" fillId="2" borderId="5" xfId="0" applyNumberFormat="1" applyFont="1" applyFill="1" applyBorder="1" applyAlignment="1">
      <alignment horizontal="center"/>
    </xf>
    <xf numFmtId="10" fontId="2" fillId="2" borderId="5" xfId="0" applyNumberFormat="1" applyFont="1" applyFill="1" applyBorder="1" applyAlignment="1">
      <alignment horizontal="center"/>
    </xf>
    <xf numFmtId="0" fontId="2" fillId="2" borderId="5" xfId="0" applyNumberFormat="1" applyFont="1" applyFill="1" applyBorder="1" applyAlignment="1">
      <alignment horizontal="right"/>
    </xf>
    <xf numFmtId="165" fontId="2" fillId="2" borderId="5" xfId="0" applyNumberFormat="1" applyFont="1" applyFill="1" applyBorder="1" applyAlignment="1"/>
    <xf numFmtId="4" fontId="2" fillId="2" borderId="5" xfId="0" applyNumberFormat="1" applyFont="1" applyFill="1" applyBorder="1" applyAlignment="1">
      <alignment horizontal="center"/>
    </xf>
    <xf numFmtId="15" fontId="10" fillId="2" borderId="5" xfId="0" applyNumberFormat="1" applyFont="1" applyFill="1" applyBorder="1" applyAlignment="1">
      <alignment horizontal="center"/>
    </xf>
    <xf numFmtId="15" fontId="10" fillId="2" borderId="5" xfId="0" applyNumberFormat="1" applyFont="1" applyFill="1" applyBorder="1" applyAlignment="1" applyProtection="1">
      <alignment horizontal="center"/>
      <protection locked="0"/>
    </xf>
    <xf numFmtId="15" fontId="13" fillId="2" borderId="5" xfId="0" applyNumberFormat="1" applyFont="1" applyFill="1" applyBorder="1" applyAlignment="1" applyProtection="1">
      <alignment horizontal="center"/>
      <protection locked="0"/>
    </xf>
    <xf numFmtId="15" fontId="13" fillId="2" borderId="5" xfId="0" applyNumberFormat="1" applyFont="1" applyFill="1" applyBorder="1" applyAlignment="1">
      <alignment horizontal="center"/>
    </xf>
    <xf numFmtId="15" fontId="13" fillId="2" borderId="0" xfId="0" applyNumberFormat="1" applyFont="1" applyFill="1" applyAlignment="1" applyProtection="1">
      <alignment horizontal="center"/>
      <protection locked="0"/>
    </xf>
    <xf numFmtId="15" fontId="13" fillId="2" borderId="0" xfId="0" applyNumberFormat="1" applyFont="1" applyFill="1" applyAlignment="1">
      <alignment horizontal="center"/>
    </xf>
    <xf numFmtId="0" fontId="15" fillId="2" borderId="0" xfId="0" applyNumberFormat="1" applyFont="1" applyFill="1" applyAlignment="1"/>
    <xf numFmtId="4" fontId="2" fillId="2" borderId="2" xfId="0" applyNumberFormat="1" applyFont="1" applyFill="1" applyBorder="1" applyAlignment="1" applyProtection="1">
      <alignment horizontal="right"/>
      <protection locked="0"/>
    </xf>
    <xf numFmtId="0" fontId="12" fillId="2" borderId="0" xfId="0" applyNumberFormat="1" applyFont="1" applyFill="1" applyAlignment="1"/>
    <xf numFmtId="4" fontId="2" fillId="2" borderId="0" xfId="0" applyNumberFormat="1" applyFont="1" applyFill="1" applyAlignment="1" applyProtection="1">
      <alignment horizontal="right"/>
      <protection locked="0"/>
    </xf>
    <xf numFmtId="3" fontId="13" fillId="2" borderId="5" xfId="0" applyNumberFormat="1" applyFont="1" applyFill="1" applyBorder="1" applyAlignment="1" applyProtection="1">
      <alignment horizontal="right"/>
      <protection locked="0"/>
    </xf>
    <xf numFmtId="3" fontId="13" fillId="2" borderId="5" xfId="0" applyNumberFormat="1" applyFont="1" applyFill="1" applyBorder="1" applyAlignment="1"/>
    <xf numFmtId="3" fontId="2" fillId="2" borderId="0" xfId="0" applyNumberFormat="1" applyFont="1" applyFill="1" applyAlignment="1"/>
    <xf numFmtId="3" fontId="13" fillId="2" borderId="0" xfId="0" applyNumberFormat="1" applyFont="1" applyFill="1" applyAlignment="1"/>
    <xf numFmtId="14" fontId="2" fillId="2" borderId="5" xfId="0" applyNumberFormat="1" applyFont="1" applyFill="1" applyBorder="1" applyAlignment="1">
      <alignment horizontal="right"/>
    </xf>
    <xf numFmtId="15" fontId="2" fillId="2" borderId="5" xfId="0" applyNumberFormat="1" applyFont="1" applyFill="1" applyBorder="1" applyAlignment="1"/>
    <xf numFmtId="4" fontId="13" fillId="2" borderId="5" xfId="0" applyNumberFormat="1" applyFont="1" applyFill="1" applyBorder="1" applyAlignment="1" applyProtection="1">
      <alignment horizontal="right"/>
      <protection locked="0"/>
    </xf>
    <xf numFmtId="0" fontId="12" fillId="2" borderId="2" xfId="0" applyNumberFormat="1" applyFont="1" applyFill="1" applyBorder="1" applyAlignment="1"/>
    <xf numFmtId="4" fontId="2" fillId="2" borderId="5" xfId="0" applyNumberFormat="1" applyFont="1" applyFill="1" applyBorder="1" applyAlignment="1" applyProtection="1">
      <alignment horizontal="right"/>
      <protection locked="0"/>
    </xf>
    <xf numFmtId="4" fontId="13" fillId="2" borderId="5" xfId="0" applyNumberFormat="1" applyFont="1" applyFill="1" applyBorder="1" applyAlignment="1" applyProtection="1">
      <alignment horizontal="center"/>
      <protection locked="0"/>
    </xf>
    <xf numFmtId="4" fontId="13" fillId="2" borderId="0" xfId="0" applyNumberFormat="1" applyFont="1" applyFill="1" applyAlignment="1" applyProtection="1">
      <alignment horizontal="right"/>
      <protection locked="0"/>
    </xf>
    <xf numFmtId="15" fontId="16" fillId="2" borderId="5" xfId="0" applyNumberFormat="1" applyFont="1" applyFill="1" applyBorder="1" applyAlignment="1">
      <alignment horizontal="center"/>
    </xf>
    <xf numFmtId="0" fontId="2" fillId="2" borderId="0" xfId="0" applyNumberFormat="1" applyFont="1" applyFill="1" applyAlignment="1" applyProtection="1">
      <protection locked="0"/>
    </xf>
    <xf numFmtId="2" fontId="13" fillId="2" borderId="5" xfId="0" applyNumberFormat="1" applyFont="1" applyFill="1" applyBorder="1" applyAlignment="1" applyProtection="1">
      <alignment horizontal="right"/>
      <protection locked="0"/>
    </xf>
    <xf numFmtId="0" fontId="13" fillId="2" borderId="1" xfId="0" applyNumberFormat="1" applyFont="1" applyFill="1" applyBorder="1" applyAlignment="1"/>
    <xf numFmtId="15" fontId="16" fillId="2" borderId="2" xfId="0" applyNumberFormat="1" applyFont="1" applyFill="1" applyBorder="1" applyAlignment="1">
      <alignment horizontal="centerContinuous"/>
    </xf>
    <xf numFmtId="15" fontId="16" fillId="2" borderId="2" xfId="0" applyNumberFormat="1" applyFont="1" applyFill="1" applyBorder="1" applyAlignment="1">
      <alignment horizontal="center"/>
    </xf>
    <xf numFmtId="15" fontId="10" fillId="2" borderId="2" xfId="0" applyNumberFormat="1" applyFont="1" applyFill="1" applyBorder="1" applyAlignment="1">
      <alignment horizontal="center"/>
    </xf>
    <xf numFmtId="0" fontId="13" fillId="2" borderId="3" xfId="0" applyNumberFormat="1" applyFont="1" applyFill="1" applyBorder="1" applyAlignment="1"/>
    <xf numFmtId="0" fontId="17" fillId="2" borderId="0" xfId="0" applyNumberFormat="1" applyFont="1" applyFill="1" applyAlignment="1"/>
    <xf numFmtId="15" fontId="16" fillId="2" borderId="0" xfId="0" applyNumberFormat="1" applyFont="1" applyFill="1" applyAlignment="1">
      <alignment horizontal="centerContinuous"/>
    </xf>
    <xf numFmtId="15" fontId="16" fillId="2" borderId="0" xfId="0" applyNumberFormat="1" applyFont="1" applyFill="1" applyAlignment="1">
      <alignment horizontal="center"/>
    </xf>
    <xf numFmtId="0" fontId="13" fillId="2" borderId="4" xfId="0" applyNumberFormat="1" applyFont="1" applyFill="1" applyBorder="1" applyAlignment="1"/>
    <xf numFmtId="0" fontId="13" fillId="2" borderId="5" xfId="0" applyNumberFormat="1" applyFont="1" applyFill="1" applyBorder="1" applyAlignment="1"/>
    <xf numFmtId="15" fontId="16" fillId="2" borderId="5" xfId="0" applyNumberFormat="1" applyFont="1" applyFill="1" applyBorder="1" applyAlignment="1">
      <alignment horizontal="centerContinuous"/>
    </xf>
    <xf numFmtId="10" fontId="13" fillId="2" borderId="5" xfId="0" applyNumberFormat="1" applyFont="1" applyFill="1" applyBorder="1" applyAlignment="1">
      <alignment horizontal="center"/>
    </xf>
    <xf numFmtId="0" fontId="2" fillId="2" borderId="5" xfId="0" applyNumberFormat="1" applyFont="1" applyFill="1" applyBorder="1" applyAlignment="1" applyProtection="1">
      <protection locked="0"/>
    </xf>
    <xf numFmtId="0" fontId="13" fillId="2" borderId="3" xfId="0" applyNumberFormat="1" applyFont="1" applyFill="1" applyBorder="1" applyAlignment="1">
      <alignment horizontal="right"/>
    </xf>
    <xf numFmtId="0" fontId="16" fillId="2" borderId="0" xfId="0" applyNumberFormat="1" applyFont="1" applyFill="1" applyAlignment="1">
      <alignment horizontal="center"/>
    </xf>
    <xf numFmtId="3" fontId="16" fillId="2" borderId="0" xfId="0" applyNumberFormat="1" applyFont="1" applyFill="1" applyAlignment="1">
      <alignment horizontal="center"/>
    </xf>
    <xf numFmtId="3" fontId="10" fillId="2" borderId="0" xfId="0" applyNumberFormat="1" applyFont="1" applyFill="1" applyAlignment="1">
      <alignment horizontal="center"/>
    </xf>
    <xf numFmtId="0" fontId="13" fillId="2" borderId="4" xfId="0" applyNumberFormat="1" applyFont="1" applyFill="1" applyBorder="1" applyAlignment="1">
      <alignment horizontal="right"/>
    </xf>
    <xf numFmtId="3" fontId="13" fillId="2" borderId="5" xfId="0" applyNumberFormat="1" applyFont="1" applyFill="1" applyBorder="1" applyAlignment="1" applyProtection="1">
      <alignment horizontal="center"/>
      <protection locked="0"/>
    </xf>
    <xf numFmtId="3" fontId="16" fillId="2" borderId="5" xfId="0" applyNumberFormat="1" applyFont="1" applyFill="1" applyBorder="1" applyAlignment="1"/>
    <xf numFmtId="0" fontId="13" fillId="2" borderId="4" xfId="0" applyNumberFormat="1" applyFont="1" applyFill="1" applyBorder="1" applyAlignment="1">
      <alignment horizontal="center"/>
    </xf>
    <xf numFmtId="0" fontId="16" fillId="2" borderId="5" xfId="0" applyNumberFormat="1" applyFont="1" applyFill="1" applyBorder="1" applyAlignment="1"/>
    <xf numFmtId="0" fontId="13" fillId="2" borderId="5" xfId="0" applyNumberFormat="1" applyFont="1" applyFill="1" applyBorder="1" applyAlignment="1">
      <alignment horizontal="right"/>
    </xf>
    <xf numFmtId="4" fontId="13" fillId="2" borderId="5" xfId="0" applyNumberFormat="1" applyFont="1" applyFill="1" applyBorder="1" applyAlignment="1">
      <alignment horizontal="right"/>
    </xf>
    <xf numFmtId="10" fontId="13" fillId="2" borderId="5" xfId="0" applyNumberFormat="1" applyFont="1" applyFill="1" applyBorder="1" applyAlignment="1" applyProtection="1">
      <alignment horizontal="center"/>
      <protection locked="0"/>
    </xf>
    <xf numFmtId="0" fontId="16" fillId="2" borderId="0" xfId="0" applyNumberFormat="1" applyFont="1" applyFill="1" applyAlignment="1"/>
    <xf numFmtId="166" fontId="13" fillId="2" borderId="5" xfId="0" applyNumberFormat="1" applyFont="1" applyFill="1" applyBorder="1" applyAlignment="1"/>
    <xf numFmtId="10" fontId="13" fillId="2" borderId="5" xfId="0" applyNumberFormat="1" applyFont="1" applyFill="1" applyBorder="1" applyAlignment="1"/>
    <xf numFmtId="9" fontId="2" fillId="2" borderId="5" xfId="0" applyNumberFormat="1" applyFont="1" applyFill="1" applyBorder="1" applyAlignment="1"/>
    <xf numFmtId="9" fontId="2" fillId="2" borderId="0" xfId="0" applyNumberFormat="1" applyFont="1" applyFill="1" applyAlignment="1"/>
    <xf numFmtId="3" fontId="13" fillId="2" borderId="0" xfId="0" applyNumberFormat="1" applyFont="1" applyFill="1" applyAlignment="1" applyProtection="1">
      <alignment horizontal="right"/>
      <protection locked="0"/>
    </xf>
    <xf numFmtId="0" fontId="8" fillId="2" borderId="3" xfId="0" applyNumberFormat="1" applyFont="1" applyFill="1" applyBorder="1" applyAlignment="1"/>
    <xf numFmtId="0" fontId="18" fillId="2" borderId="0" xfId="0" applyNumberFormat="1" applyFont="1" applyFill="1" applyAlignment="1"/>
    <xf numFmtId="0" fontId="0" fillId="0" borderId="2" xfId="0" applyNumberFormat="1" applyBorder="1"/>
    <xf numFmtId="0" fontId="2" fillId="2" borderId="6" xfId="0" applyNumberFormat="1" applyFont="1" applyFill="1" applyBorder="1" applyAlignment="1"/>
    <xf numFmtId="0" fontId="15" fillId="2" borderId="7" xfId="0" applyNumberFormat="1" applyFont="1" applyFill="1" applyBorder="1" applyAlignment="1"/>
    <xf numFmtId="0" fontId="2" fillId="2" borderId="7" xfId="0" applyNumberFormat="1" applyFont="1" applyFill="1" applyBorder="1" applyAlignment="1"/>
    <xf numFmtId="0" fontId="2" fillId="2" borderId="7" xfId="0" applyNumberFormat="1" applyFont="1" applyFill="1" applyBorder="1" applyAlignment="1" applyProtection="1">
      <alignment horizontal="right"/>
      <protection locked="0"/>
    </xf>
    <xf numFmtId="0" fontId="2" fillId="2" borderId="8" xfId="0" applyNumberFormat="1" applyFont="1" applyFill="1" applyBorder="1" applyAlignment="1"/>
    <xf numFmtId="4" fontId="2" fillId="2" borderId="7" xfId="0" applyNumberFormat="1" applyFont="1" applyFill="1" applyBorder="1" applyAlignment="1" applyProtection="1">
      <alignment horizontal="right"/>
      <protection locked="0"/>
    </xf>
    <xf numFmtId="0" fontId="8" fillId="2" borderId="7" xfId="0" applyNumberFormat="1" applyFont="1" applyFill="1" applyBorder="1" applyAlignment="1"/>
    <xf numFmtId="0" fontId="8" fillId="2" borderId="8" xfId="0" applyNumberFormat="1" applyFont="1" applyFill="1" applyBorder="1" applyAlignment="1"/>
    <xf numFmtId="3" fontId="1" fillId="0" borderId="0" xfId="0" applyNumberFormat="1" applyFont="1" applyAlignment="1"/>
    <xf numFmtId="167" fontId="2" fillId="2" borderId="5" xfId="0" applyNumberFormat="1" applyFont="1" applyFill="1" applyBorder="1" applyAlignment="1">
      <alignment horizontal="center"/>
    </xf>
    <xf numFmtId="0" fontId="19" fillId="2" borderId="0" xfId="0" applyNumberFormat="1" applyFont="1" applyFill="1" applyAlignment="1"/>
    <xf numFmtId="0" fontId="19" fillId="2" borderId="0" xfId="0" applyNumberFormat="1" applyFont="1" applyFill="1" applyAlignment="1">
      <alignment horizontal="center" wrapText="1"/>
    </xf>
    <xf numFmtId="0" fontId="20" fillId="2" borderId="0" xfId="0" applyNumberFormat="1" applyFont="1" applyFill="1" applyAlignment="1">
      <alignment horizontal="center" wrapText="1"/>
    </xf>
    <xf numFmtId="0" fontId="19" fillId="2" borderId="0" xfId="0" applyNumberFormat="1" applyFont="1" applyFill="1" applyAlignment="1">
      <alignment horizontal="left" vertical="top" wrapText="1"/>
    </xf>
    <xf numFmtId="0" fontId="19" fillId="2" borderId="0" xfId="0" applyNumberFormat="1" applyFont="1" applyFill="1" applyAlignment="1">
      <alignment horizontal="center" vertical="top" wrapText="1"/>
    </xf>
    <xf numFmtId="4" fontId="19" fillId="2" borderId="0" xfId="0" applyNumberFormat="1" applyFont="1" applyFill="1" applyAlignment="1" applyProtection="1">
      <alignment horizontal="center" vertical="top" wrapText="1"/>
      <protection locked="0"/>
    </xf>
    <xf numFmtId="0" fontId="20" fillId="2" borderId="0" xfId="0" applyNumberFormat="1" applyFont="1" applyFill="1" applyAlignment="1"/>
    <xf numFmtId="0" fontId="21" fillId="2" borderId="5" xfId="0" applyNumberFormat="1" applyFont="1" applyFill="1" applyBorder="1" applyAlignment="1"/>
    <xf numFmtId="0" fontId="21" fillId="2" borderId="0" xfId="0" applyNumberFormat="1" applyFont="1" applyFill="1" applyAlignment="1"/>
    <xf numFmtId="0" fontId="19" fillId="2" borderId="0" xfId="0" applyNumberFormat="1" applyFont="1" applyFill="1" applyAlignment="1">
      <alignment horizontal="right"/>
    </xf>
    <xf numFmtId="4" fontId="19" fillId="2" borderId="0" xfId="0" applyNumberFormat="1" applyFont="1" applyFill="1" applyAlignment="1" applyProtection="1">
      <alignment horizontal="right"/>
      <protection locked="0"/>
    </xf>
    <xf numFmtId="0" fontId="19" fillId="2" borderId="5" xfId="0" applyNumberFormat="1" applyFont="1" applyFill="1" applyBorder="1" applyAlignment="1"/>
    <xf numFmtId="0" fontId="22" fillId="2" borderId="5" xfId="0" applyNumberFormat="1" applyFont="1" applyFill="1" applyBorder="1" applyAlignment="1">
      <alignment horizontal="center" wrapText="1"/>
    </xf>
    <xf numFmtId="168" fontId="2" fillId="2" borderId="5" xfId="0" applyNumberFormat="1" applyFont="1" applyFill="1" applyBorder="1" applyAlignment="1">
      <alignment horizontal="center"/>
    </xf>
    <xf numFmtId="168" fontId="10" fillId="2" borderId="5" xfId="0" applyNumberFormat="1" applyFont="1" applyFill="1" applyBorder="1" applyAlignment="1">
      <alignment horizontal="center"/>
    </xf>
    <xf numFmtId="164" fontId="19" fillId="2" borderId="5" xfId="0" applyNumberFormat="1" applyFont="1" applyFill="1" applyBorder="1" applyAlignment="1"/>
    <xf numFmtId="167" fontId="2" fillId="2" borderId="5" xfId="0" applyNumberFormat="1" applyFont="1" applyFill="1" applyBorder="1" applyAlignment="1">
      <alignment horizontal="right"/>
    </xf>
    <xf numFmtId="4" fontId="19" fillId="2" borderId="5" xfId="0" applyNumberFormat="1" applyFont="1" applyFill="1" applyBorder="1" applyAlignment="1">
      <alignment horizontal="center"/>
    </xf>
    <xf numFmtId="17" fontId="2" fillId="2" borderId="5" xfId="0" applyNumberFormat="1" applyFont="1" applyFill="1" applyBorder="1" applyAlignment="1">
      <alignment horizontal="center"/>
    </xf>
    <xf numFmtId="0" fontId="9" fillId="2" borderId="0" xfId="0" quotePrefix="1" applyNumberFormat="1" applyFont="1" applyFill="1" applyAlignment="1">
      <alignment horizontal="center"/>
    </xf>
    <xf numFmtId="0" fontId="24" fillId="2" borderId="5" xfId="0" applyNumberFormat="1" applyFont="1" applyFill="1" applyBorder="1" applyAlignment="1"/>
    <xf numFmtId="10" fontId="2" fillId="2" borderId="5" xfId="0" applyNumberFormat="1" applyFont="1" applyFill="1" applyBorder="1" applyAlignment="1"/>
    <xf numFmtId="4" fontId="13" fillId="2" borderId="5" xfId="0" applyNumberFormat="1" applyFont="1" applyFill="1" applyBorder="1" applyAlignment="1">
      <alignment horizontal="center"/>
    </xf>
    <xf numFmtId="0" fontId="2" fillId="0" borderId="0" xfId="0" applyNumberFormat="1" applyFont="1" applyFill="1" applyBorder="1" applyAlignment="1"/>
    <xf numFmtId="170" fontId="19" fillId="2" borderId="5" xfId="0" applyNumberFormat="1" applyFont="1" applyFill="1" applyBorder="1" applyAlignment="1">
      <alignment horizontal="center"/>
    </xf>
    <xf numFmtId="170" fontId="19" fillId="2" borderId="5" xfId="0" applyNumberFormat="1" applyFont="1" applyFill="1" applyBorder="1" applyAlignment="1"/>
    <xf numFmtId="10" fontId="10" fillId="2" borderId="0" xfId="0" applyNumberFormat="1" applyFont="1" applyFill="1" applyAlignment="1">
      <alignment horizontal="center"/>
    </xf>
    <xf numFmtId="0" fontId="21" fillId="2" borderId="9" xfId="0" applyNumberFormat="1" applyFont="1" applyFill="1" applyBorder="1" applyAlignment="1"/>
    <xf numFmtId="0" fontId="2" fillId="2" borderId="10" xfId="0" applyNumberFormat="1" applyFont="1" applyFill="1" applyBorder="1" applyAlignment="1"/>
    <xf numFmtId="0" fontId="2" fillId="2" borderId="11" xfId="0" applyNumberFormat="1" applyFont="1" applyFill="1" applyBorder="1" applyAlignment="1"/>
    <xf numFmtId="0" fontId="2" fillId="2" borderId="12" xfId="0" applyNumberFormat="1" applyFont="1" applyFill="1" applyBorder="1" applyAlignment="1"/>
    <xf numFmtId="0" fontId="25" fillId="2" borderId="5" xfId="0" applyNumberFormat="1" applyFont="1" applyFill="1" applyBorder="1" applyAlignment="1"/>
    <xf numFmtId="10" fontId="2" fillId="2" borderId="9" xfId="0" applyNumberFormat="1" applyFont="1" applyFill="1" applyBorder="1" applyAlignment="1"/>
    <xf numFmtId="3" fontId="26" fillId="2" borderId="9" xfId="0" applyNumberFormat="1" applyFont="1" applyFill="1" applyBorder="1" applyAlignment="1" applyProtection="1">
      <alignment horizontal="right"/>
      <protection locked="0"/>
    </xf>
    <xf numFmtId="9" fontId="2" fillId="2" borderId="10" xfId="0" applyNumberFormat="1" applyFont="1" applyFill="1" applyBorder="1" applyAlignment="1"/>
    <xf numFmtId="169" fontId="2" fillId="2" borderId="5" xfId="0" applyNumberFormat="1" applyFont="1" applyFill="1" applyBorder="1" applyAlignment="1">
      <alignment horizontal="center"/>
    </xf>
    <xf numFmtId="0" fontId="27" fillId="2" borderId="0" xfId="0" applyNumberFormat="1" applyFont="1" applyFill="1" applyAlignment="1"/>
    <xf numFmtId="0" fontId="28" fillId="2" borderId="0" xfId="1" applyNumberFormat="1" applyFont="1" applyFill="1" applyAlignment="1" applyProtection="1"/>
    <xf numFmtId="0" fontId="27" fillId="2" borderId="5" xfId="0" applyNumberFormat="1" applyFont="1" applyFill="1" applyBorder="1" applyAlignment="1"/>
    <xf numFmtId="10" fontId="28" fillId="2" borderId="5" xfId="1" applyNumberFormat="1" applyFont="1" applyFill="1" applyBorder="1" applyAlignment="1">
      <alignment horizontal="left"/>
      <protection locked="0"/>
    </xf>
    <xf numFmtId="169" fontId="10"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0" fontId="22" fillId="2" borderId="5" xfId="0" applyNumberFormat="1" applyFont="1" applyFill="1" applyBorder="1" applyAlignment="1"/>
    <xf numFmtId="164" fontId="24" fillId="2" borderId="5" xfId="0" applyNumberFormat="1" applyFont="1" applyFill="1" applyBorder="1" applyAlignment="1">
      <alignment horizontal="center"/>
    </xf>
    <xf numFmtId="164" fontId="22" fillId="2" borderId="5" xfId="0" applyNumberFormat="1" applyFont="1" applyFill="1" applyBorder="1" applyAlignment="1">
      <alignment horizontal="center"/>
    </xf>
    <xf numFmtId="4" fontId="10" fillId="2" borderId="5" xfId="0" applyNumberFormat="1" applyFont="1" applyFill="1" applyBorder="1" applyAlignment="1">
      <alignment horizontal="center"/>
    </xf>
    <xf numFmtId="0" fontId="10" fillId="2" borderId="5" xfId="0" applyNumberFormat="1" applyFont="1" applyFill="1" applyBorder="1" applyAlignment="1">
      <alignment horizontal="center"/>
    </xf>
    <xf numFmtId="15" fontId="10" fillId="2" borderId="0" xfId="0" applyNumberFormat="1" applyFont="1" applyFill="1" applyAlignment="1">
      <alignment horizontal="right"/>
    </xf>
    <xf numFmtId="0" fontId="10" fillId="2" borderId="0" xfId="0" applyNumberFormat="1" applyFont="1" applyFill="1" applyAlignment="1">
      <alignment horizontal="right"/>
    </xf>
    <xf numFmtId="0" fontId="24" fillId="2" borderId="5" xfId="0" applyNumberFormat="1" applyFont="1" applyFill="1" applyBorder="1" applyAlignment="1">
      <alignment horizontal="center"/>
    </xf>
    <xf numFmtId="3" fontId="22" fillId="2" borderId="9" xfId="0" applyNumberFormat="1" applyFont="1" applyFill="1" applyBorder="1" applyAlignment="1"/>
    <xf numFmtId="0" fontId="1" fillId="2" borderId="0" xfId="0" applyNumberFormat="1" applyFont="1" applyFill="1" applyAlignment="1"/>
    <xf numFmtId="0" fontId="1" fillId="2" borderId="5" xfId="0" applyNumberFormat="1" applyFont="1" applyFill="1" applyBorder="1" applyAlignment="1"/>
    <xf numFmtId="164" fontId="1" fillId="2" borderId="5" xfId="0" applyNumberFormat="1" applyFont="1" applyFill="1" applyBorder="1" applyAlignment="1"/>
    <xf numFmtId="0" fontId="1" fillId="2" borderId="7" xfId="0" applyNumberFormat="1" applyFont="1" applyFill="1" applyBorder="1" applyAlignment="1"/>
    <xf numFmtId="0" fontId="1" fillId="2" borderId="8" xfId="0" applyNumberFormat="1" applyFont="1" applyFill="1" applyBorder="1" applyAlignment="1"/>
    <xf numFmtId="0" fontId="1" fillId="2" borderId="3" xfId="0" applyNumberFormat="1" applyFont="1" applyFill="1" applyBorder="1" applyAlignment="1"/>
    <xf numFmtId="171" fontId="19" fillId="2" borderId="5" xfId="0" applyNumberFormat="1" applyFont="1" applyFill="1" applyBorder="1" applyAlignment="1">
      <alignment horizontal="center"/>
    </xf>
    <xf numFmtId="0" fontId="29" fillId="2" borderId="5" xfId="0" applyNumberFormat="1" applyFont="1" applyFill="1" applyBorder="1" applyAlignment="1"/>
    <xf numFmtId="10" fontId="29" fillId="2" borderId="5" xfId="0" applyNumberFormat="1" applyFont="1" applyFill="1" applyBorder="1" applyAlignment="1" applyProtection="1">
      <alignment horizontal="center"/>
      <protection locked="0"/>
    </xf>
    <xf numFmtId="3" fontId="2" fillId="2" borderId="5" xfId="0" applyNumberFormat="1" applyFont="1" applyFill="1" applyBorder="1" applyAlignment="1" applyProtection="1">
      <alignment horizontal="center"/>
      <protection locked="0"/>
    </xf>
    <xf numFmtId="4" fontId="2" fillId="2" borderId="5" xfId="0" applyNumberFormat="1" applyFont="1" applyFill="1" applyBorder="1" applyAlignment="1" applyProtection="1">
      <alignment horizontal="center"/>
      <protection locked="0"/>
    </xf>
    <xf numFmtId="0" fontId="2" fillId="3" borderId="1" xfId="0" applyNumberFormat="1" applyFont="1" applyFill="1" applyBorder="1" applyAlignment="1"/>
    <xf numFmtId="0" fontId="2" fillId="3" borderId="2" xfId="0" applyNumberFormat="1" applyFont="1" applyFill="1" applyBorder="1" applyAlignment="1"/>
    <xf numFmtId="0" fontId="2" fillId="3" borderId="3" xfId="0" applyNumberFormat="1" applyFont="1" applyFill="1" applyBorder="1" applyAlignment="1"/>
    <xf numFmtId="0" fontId="5" fillId="3" borderId="0" xfId="0" applyNumberFormat="1" applyFont="1" applyFill="1" applyAlignment="1"/>
    <xf numFmtId="0" fontId="2" fillId="3" borderId="0" xfId="0" applyNumberFormat="1" applyFont="1" applyFill="1" applyAlignment="1"/>
    <xf numFmtId="0" fontId="2" fillId="3" borderId="3" xfId="0" applyNumberFormat="1" applyFont="1" applyFill="1" applyBorder="1" applyAlignment="1">
      <alignment horizontal="center"/>
    </xf>
    <xf numFmtId="0" fontId="19" fillId="3" borderId="0" xfId="0" applyNumberFormat="1" applyFont="1" applyFill="1" applyAlignment="1"/>
    <xf numFmtId="0" fontId="7" fillId="3" borderId="0" xfId="0" applyNumberFormat="1" applyFont="1" applyFill="1" applyAlignment="1"/>
    <xf numFmtId="0" fontId="27" fillId="3" borderId="0" xfId="0" applyNumberFormat="1" applyFont="1" applyFill="1" applyAlignment="1"/>
    <xf numFmtId="0" fontId="28" fillId="3" borderId="0" xfId="1" applyNumberFormat="1" applyFont="1" applyFill="1" applyAlignment="1" applyProtection="1"/>
    <xf numFmtId="0" fontId="9" fillId="3" borderId="0" xfId="0" applyNumberFormat="1" applyFont="1" applyFill="1" applyAlignment="1"/>
    <xf numFmtId="0" fontId="11" fillId="3" borderId="0" xfId="0" applyNumberFormat="1" applyFont="1" applyFill="1" applyAlignment="1"/>
    <xf numFmtId="9" fontId="10" fillId="3" borderId="0" xfId="0" applyNumberFormat="1" applyFont="1" applyFill="1" applyAlignment="1">
      <alignment horizontal="center"/>
    </xf>
    <xf numFmtId="0" fontId="4" fillId="3" borderId="0" xfId="0" applyNumberFormat="1" applyFont="1" applyFill="1" applyAlignment="1"/>
    <xf numFmtId="0" fontId="1" fillId="3" borderId="0" xfId="0" applyNumberFormat="1" applyFont="1" applyFill="1" applyAlignment="1"/>
    <xf numFmtId="0" fontId="2" fillId="3" borderId="0" xfId="0" applyNumberFormat="1" applyFont="1" applyFill="1" applyAlignment="1">
      <alignment horizontal="right"/>
    </xf>
    <xf numFmtId="0" fontId="19" fillId="3" borderId="0" xfId="0" applyNumberFormat="1" applyFont="1" applyFill="1" applyAlignment="1">
      <alignment horizontal="center" wrapText="1"/>
    </xf>
    <xf numFmtId="0" fontId="20" fillId="3" borderId="0" xfId="0" applyNumberFormat="1" applyFont="1" applyFill="1" applyAlignment="1">
      <alignment horizontal="center" wrapText="1"/>
    </xf>
    <xf numFmtId="0" fontId="2" fillId="3" borderId="0" xfId="0" applyNumberFormat="1" applyFont="1" applyFill="1" applyAlignment="1">
      <alignment horizontal="center" wrapText="1"/>
    </xf>
    <xf numFmtId="0" fontId="2" fillId="3" borderId="4" xfId="0" applyNumberFormat="1" applyFont="1" applyFill="1" applyBorder="1" applyAlignment="1"/>
    <xf numFmtId="0" fontId="2" fillId="3" borderId="5" xfId="0" applyNumberFormat="1" applyFont="1" applyFill="1" applyBorder="1" applyAlignment="1"/>
    <xf numFmtId="0" fontId="2" fillId="3" borderId="6" xfId="0" applyNumberFormat="1" applyFont="1" applyFill="1" applyBorder="1" applyAlignment="1"/>
    <xf numFmtId="4" fontId="2" fillId="3" borderId="2" xfId="0" applyNumberFormat="1" applyFont="1" applyFill="1" applyBorder="1" applyAlignment="1" applyProtection="1">
      <alignment horizontal="right"/>
      <protection locked="0"/>
    </xf>
    <xf numFmtId="4" fontId="2" fillId="3" borderId="0" xfId="0" applyNumberFormat="1" applyFont="1" applyFill="1" applyAlignment="1" applyProtection="1">
      <alignment horizontal="right"/>
      <protection locked="0"/>
    </xf>
    <xf numFmtId="0" fontId="19" fillId="3" borderId="0" xfId="0" applyNumberFormat="1" applyFont="1" applyFill="1" applyAlignment="1">
      <alignment horizontal="left" vertical="top" wrapText="1"/>
    </xf>
    <xf numFmtId="0" fontId="19" fillId="3" borderId="0" xfId="0" applyNumberFormat="1" applyFont="1" applyFill="1" applyAlignment="1">
      <alignment horizontal="center" vertical="top" wrapText="1"/>
    </xf>
    <xf numFmtId="4" fontId="19" fillId="3" borderId="0" xfId="0" applyNumberFormat="1" applyFont="1" applyFill="1" applyAlignment="1" applyProtection="1">
      <alignment horizontal="center" vertical="top" wrapText="1"/>
      <protection locked="0"/>
    </xf>
    <xf numFmtId="0" fontId="20" fillId="3" borderId="0" xfId="0" applyNumberFormat="1" applyFont="1" applyFill="1" applyAlignment="1"/>
    <xf numFmtId="3" fontId="2" fillId="3" borderId="0" xfId="0" applyNumberFormat="1" applyFont="1" applyFill="1" applyAlignment="1"/>
    <xf numFmtId="3" fontId="13" fillId="3" borderId="0" xfId="0" applyNumberFormat="1" applyFont="1" applyFill="1" applyAlignment="1"/>
    <xf numFmtId="0" fontId="21" fillId="3" borderId="0" xfId="0" applyNumberFormat="1" applyFont="1" applyFill="1" applyAlignment="1"/>
    <xf numFmtId="4" fontId="13" fillId="3" borderId="0" xfId="0" applyNumberFormat="1" applyFont="1" applyFill="1" applyAlignment="1" applyProtection="1">
      <alignment horizontal="right"/>
      <protection locked="0"/>
    </xf>
    <xf numFmtId="0" fontId="19" fillId="3" borderId="0" xfId="0" applyNumberFormat="1" applyFont="1" applyFill="1" applyAlignment="1">
      <alignment horizontal="right"/>
    </xf>
    <xf numFmtId="4" fontId="19" fillId="3" borderId="0" xfId="0" applyNumberFormat="1" applyFont="1" applyFill="1" applyAlignment="1" applyProtection="1">
      <alignment horizontal="right"/>
      <protection locked="0"/>
    </xf>
    <xf numFmtId="0" fontId="6" fillId="3" borderId="0" xfId="0" applyNumberFormat="1" applyFont="1" applyFill="1" applyAlignment="1"/>
    <xf numFmtId="0" fontId="2" fillId="3" borderId="0" xfId="0" applyNumberFormat="1" applyFont="1" applyFill="1" applyAlignment="1" applyProtection="1">
      <protection locked="0"/>
    </xf>
    <xf numFmtId="0" fontId="1" fillId="3" borderId="7" xfId="0" applyNumberFormat="1" applyFont="1" applyFill="1" applyBorder="1" applyAlignment="1"/>
    <xf numFmtId="0" fontId="1" fillId="3" borderId="8" xfId="0" applyNumberFormat="1" applyFont="1" applyFill="1" applyBorder="1" applyAlignment="1"/>
    <xf numFmtId="0" fontId="13" fillId="3" borderId="3" xfId="0" applyNumberFormat="1" applyFont="1" applyFill="1" applyBorder="1" applyAlignment="1"/>
    <xf numFmtId="0" fontId="17" fillId="3" borderId="0" xfId="0" applyNumberFormat="1" applyFont="1" applyFill="1" applyAlignment="1"/>
    <xf numFmtId="15" fontId="16" fillId="3" borderId="0" xfId="0" applyNumberFormat="1" applyFont="1" applyFill="1" applyAlignment="1">
      <alignment horizontal="centerContinuous"/>
    </xf>
    <xf numFmtId="15" fontId="16" fillId="3" borderId="0" xfId="0" applyNumberFormat="1" applyFont="1" applyFill="1" applyAlignment="1">
      <alignment horizontal="center"/>
    </xf>
    <xf numFmtId="0" fontId="13" fillId="3" borderId="3" xfId="0" applyNumberFormat="1" applyFont="1" applyFill="1" applyBorder="1" applyAlignment="1">
      <alignment horizontal="right"/>
    </xf>
    <xf numFmtId="0" fontId="1" fillId="3" borderId="3" xfId="0" applyNumberFormat="1" applyFont="1" applyFill="1" applyBorder="1" applyAlignment="1"/>
    <xf numFmtId="0" fontId="30" fillId="3" borderId="2" xfId="0" applyNumberFormat="1" applyFont="1" applyFill="1" applyBorder="1" applyAlignment="1"/>
    <xf numFmtId="0" fontId="31" fillId="3" borderId="0" xfId="0" applyNumberFormat="1" applyFont="1" applyFill="1" applyAlignment="1"/>
    <xf numFmtId="0" fontId="32" fillId="3" borderId="0" xfId="0" applyNumberFormat="1" applyFont="1" applyFill="1" applyAlignment="1"/>
    <xf numFmtId="0" fontId="33" fillId="3" borderId="0" xfId="0" applyNumberFormat="1" applyFont="1" applyFill="1" applyAlignment="1"/>
    <xf numFmtId="0" fontId="34" fillId="3" borderId="0" xfId="0" applyNumberFormat="1" applyFont="1" applyFill="1" applyAlignment="1">
      <alignment horizontal="center" wrapText="1"/>
    </xf>
    <xf numFmtId="9" fontId="32" fillId="3" borderId="0" xfId="0" applyNumberFormat="1" applyFont="1" applyFill="1" applyAlignment="1">
      <alignment horizontal="center"/>
    </xf>
    <xf numFmtId="10" fontId="32" fillId="3" borderId="0" xfId="0" applyNumberFormat="1" applyFont="1" applyFill="1" applyAlignment="1">
      <alignment horizontal="center"/>
    </xf>
    <xf numFmtId="0" fontId="32" fillId="3" borderId="0" xfId="0" applyNumberFormat="1" applyFont="1" applyFill="1" applyAlignment="1">
      <alignment horizontal="center"/>
    </xf>
    <xf numFmtId="15" fontId="32" fillId="3" borderId="0" xfId="0" applyNumberFormat="1" applyFont="1" applyFill="1" applyAlignment="1">
      <alignment horizontal="center"/>
    </xf>
    <xf numFmtId="0" fontId="33" fillId="3" borderId="0" xfId="0" applyNumberFormat="1" applyFont="1" applyFill="1" applyAlignment="1">
      <alignment horizontal="center"/>
    </xf>
    <xf numFmtId="0" fontId="35" fillId="3" borderId="0" xfId="0" applyNumberFormat="1" applyFont="1" applyFill="1" applyAlignment="1"/>
    <xf numFmtId="0" fontId="34" fillId="3" borderId="0" xfId="0" applyNumberFormat="1" applyFont="1" applyFill="1" applyAlignment="1"/>
    <xf numFmtId="0" fontId="33" fillId="3" borderId="5" xfId="0" applyNumberFormat="1" applyFont="1" applyFill="1" applyBorder="1" applyAlignment="1"/>
    <xf numFmtId="0" fontId="32" fillId="3" borderId="5" xfId="0" applyNumberFormat="1" applyFont="1" applyFill="1" applyBorder="1" applyAlignment="1"/>
    <xf numFmtId="3" fontId="33" fillId="3" borderId="5" xfId="0" applyNumberFormat="1" applyFont="1" applyFill="1" applyBorder="1" applyAlignment="1"/>
    <xf numFmtId="15" fontId="33" fillId="3" borderId="0" xfId="0" applyNumberFormat="1" applyFont="1" applyFill="1" applyAlignment="1" applyProtection="1">
      <alignment horizontal="center"/>
      <protection locked="0"/>
    </xf>
    <xf numFmtId="15" fontId="33" fillId="3" borderId="0" xfId="0" applyNumberFormat="1" applyFont="1" applyFill="1" applyAlignment="1">
      <alignment horizontal="center"/>
    </xf>
    <xf numFmtId="0" fontId="39" fillId="3" borderId="7" xfId="0" applyNumberFormat="1" applyFont="1" applyFill="1" applyBorder="1" applyAlignment="1"/>
    <xf numFmtId="0" fontId="33" fillId="3" borderId="7" xfId="0" applyNumberFormat="1" applyFont="1" applyFill="1" applyBorder="1" applyAlignment="1"/>
    <xf numFmtId="0" fontId="33" fillId="3" borderId="7" xfId="0" applyNumberFormat="1" applyFont="1" applyFill="1" applyBorder="1" applyAlignment="1" applyProtection="1">
      <alignment horizontal="right"/>
      <protection locked="0"/>
    </xf>
    <xf numFmtId="0" fontId="33" fillId="3" borderId="8" xfId="0" applyNumberFormat="1" applyFont="1" applyFill="1" applyBorder="1" applyAlignment="1"/>
    <xf numFmtId="3" fontId="33" fillId="3" borderId="5" xfId="0" applyNumberFormat="1" applyFont="1" applyFill="1" applyBorder="1" applyAlignment="1" applyProtection="1">
      <alignment horizontal="right"/>
      <protection locked="0"/>
    </xf>
    <xf numFmtId="0" fontId="40" fillId="4" borderId="3" xfId="0" applyNumberFormat="1" applyFont="1" applyFill="1" applyBorder="1" applyAlignment="1"/>
    <xf numFmtId="0" fontId="40" fillId="4" borderId="0" xfId="0" applyNumberFormat="1" applyFont="1" applyFill="1" applyAlignment="1"/>
    <xf numFmtId="4" fontId="40" fillId="4" borderId="0" xfId="0" applyNumberFormat="1" applyFont="1" applyFill="1" applyAlignment="1" applyProtection="1">
      <alignment horizontal="right"/>
      <protection locked="0"/>
    </xf>
    <xf numFmtId="0" fontId="33" fillId="3" borderId="3" xfId="0" applyNumberFormat="1" applyFont="1" applyFill="1" applyBorder="1" applyAlignment="1"/>
    <xf numFmtId="4" fontId="33" fillId="3" borderId="0" xfId="0" applyNumberFormat="1" applyFont="1" applyFill="1" applyAlignment="1" applyProtection="1">
      <alignment horizontal="right"/>
      <protection locked="0"/>
    </xf>
    <xf numFmtId="0" fontId="33" fillId="3" borderId="6" xfId="0" applyNumberFormat="1" applyFont="1" applyFill="1" applyBorder="1" applyAlignment="1"/>
    <xf numFmtId="4" fontId="33" fillId="3" borderId="7" xfId="0" applyNumberFormat="1" applyFont="1" applyFill="1" applyBorder="1" applyAlignment="1" applyProtection="1">
      <alignment horizontal="right"/>
      <protection locked="0"/>
    </xf>
    <xf numFmtId="0" fontId="40" fillId="4" borderId="1" xfId="0" applyNumberFormat="1" applyFont="1" applyFill="1" applyBorder="1" applyAlignment="1"/>
    <xf numFmtId="0" fontId="40" fillId="4" borderId="2" xfId="0" applyNumberFormat="1" applyFont="1" applyFill="1" applyBorder="1" applyAlignment="1"/>
    <xf numFmtId="4" fontId="40" fillId="4" borderId="2" xfId="0" applyNumberFormat="1" applyFont="1" applyFill="1" applyBorder="1" applyAlignment="1" applyProtection="1">
      <alignment horizontal="right"/>
      <protection locked="0"/>
    </xf>
    <xf numFmtId="15" fontId="41" fillId="4" borderId="2" xfId="0" applyNumberFormat="1" applyFont="1" applyFill="1" applyBorder="1" applyAlignment="1">
      <alignment horizontal="centerContinuous"/>
    </xf>
    <xf numFmtId="15" fontId="41" fillId="4" borderId="2" xfId="0" applyNumberFormat="1" applyFont="1" applyFill="1" applyBorder="1" applyAlignment="1">
      <alignment horizontal="center"/>
    </xf>
    <xf numFmtId="3" fontId="32" fillId="3" borderId="0" xfId="0" applyNumberFormat="1" applyFont="1" applyFill="1" applyAlignment="1">
      <alignment horizontal="center"/>
    </xf>
    <xf numFmtId="0" fontId="33" fillId="3" borderId="5" xfId="0" applyNumberFormat="1" applyFont="1" applyFill="1" applyBorder="1" applyAlignment="1" applyProtection="1">
      <protection locked="0"/>
    </xf>
    <xf numFmtId="0" fontId="41" fillId="4" borderId="0" xfId="0" applyNumberFormat="1" applyFont="1" applyFill="1" applyAlignment="1"/>
    <xf numFmtId="0" fontId="41" fillId="4" borderId="0" xfId="0" applyNumberFormat="1" applyFont="1" applyFill="1" applyAlignment="1">
      <alignment horizontal="center"/>
    </xf>
    <xf numFmtId="3" fontId="41" fillId="4" borderId="0" xfId="0" applyNumberFormat="1" applyFont="1" applyFill="1" applyAlignment="1">
      <alignment horizontal="center"/>
    </xf>
    <xf numFmtId="0" fontId="40" fillId="4" borderId="12" xfId="0" applyNumberFormat="1" applyFont="1" applyFill="1" applyBorder="1" applyAlignment="1"/>
    <xf numFmtId="0" fontId="40" fillId="4" borderId="10" xfId="0" applyNumberFormat="1" applyFont="1" applyFill="1" applyBorder="1" applyAlignment="1"/>
    <xf numFmtId="0" fontId="40" fillId="4" borderId="11" xfId="0" applyNumberFormat="1" applyFont="1" applyFill="1" applyBorder="1" applyAlignment="1"/>
    <xf numFmtId="9" fontId="40" fillId="4" borderId="10" xfId="0" applyNumberFormat="1" applyFont="1" applyFill="1" applyBorder="1" applyAlignment="1"/>
    <xf numFmtId="166" fontId="33" fillId="3" borderId="5" xfId="0" applyNumberFormat="1" applyFont="1" applyFill="1" applyBorder="1" applyAlignment="1"/>
    <xf numFmtId="10" fontId="33" fillId="3" borderId="5" xfId="0" applyNumberFormat="1" applyFont="1" applyFill="1" applyBorder="1" applyAlignment="1"/>
    <xf numFmtId="9" fontId="33" fillId="3" borderId="5" xfId="0" applyNumberFormat="1" applyFont="1" applyFill="1" applyBorder="1" applyAlignment="1"/>
    <xf numFmtId="9" fontId="33" fillId="3" borderId="0" xfId="0" applyNumberFormat="1" applyFont="1" applyFill="1" applyAlignment="1"/>
    <xf numFmtId="3" fontId="33" fillId="3" borderId="0" xfId="0" applyNumberFormat="1" applyFont="1" applyFill="1" applyAlignment="1" applyProtection="1">
      <alignment horizontal="right"/>
      <protection locked="0"/>
    </xf>
    <xf numFmtId="0" fontId="32" fillId="3" borderId="0" xfId="0" quotePrefix="1" applyNumberFormat="1" applyFont="1" applyFill="1" applyAlignment="1">
      <alignment horizontal="center"/>
    </xf>
    <xf numFmtId="0" fontId="38" fillId="3" borderId="0" xfId="0" applyNumberFormat="1" applyFont="1" applyFill="1" applyAlignment="1"/>
    <xf numFmtId="0" fontId="39" fillId="3" borderId="0" xfId="0" applyNumberFormat="1" applyFont="1" applyFill="1" applyAlignment="1"/>
    <xf numFmtId="0" fontId="33" fillId="3" borderId="0" xfId="0" applyNumberFormat="1" applyFont="1" applyFill="1" applyBorder="1" applyAlignment="1"/>
    <xf numFmtId="15" fontId="33" fillId="3" borderId="0" xfId="0" applyNumberFormat="1" applyFont="1" applyFill="1" applyBorder="1" applyAlignment="1" applyProtection="1">
      <alignment horizontal="center"/>
      <protection locked="0"/>
    </xf>
    <xf numFmtId="15" fontId="33" fillId="3" borderId="0" xfId="0" applyNumberFormat="1" applyFont="1" applyFill="1" applyBorder="1" applyAlignment="1">
      <alignment horizontal="center"/>
    </xf>
    <xf numFmtId="0" fontId="2" fillId="3" borderId="13" xfId="0" applyNumberFormat="1" applyFont="1" applyFill="1" applyBorder="1" applyAlignment="1"/>
    <xf numFmtId="0" fontId="33" fillId="3" borderId="14" xfId="0" applyNumberFormat="1" applyFont="1" applyFill="1" applyBorder="1" applyAlignment="1"/>
    <xf numFmtId="0" fontId="33" fillId="3" borderId="14" xfId="0" applyNumberFormat="1" applyFont="1" applyFill="1" applyBorder="1" applyAlignment="1">
      <alignment horizontal="center" wrapText="1"/>
    </xf>
    <xf numFmtId="0" fontId="35" fillId="3" borderId="14" xfId="0" applyNumberFormat="1" applyFont="1" applyFill="1" applyBorder="1" applyAlignment="1"/>
    <xf numFmtId="0" fontId="33" fillId="3" borderId="15" xfId="0" applyNumberFormat="1" applyFont="1" applyFill="1" applyBorder="1" applyAlignment="1"/>
    <xf numFmtId="0" fontId="10" fillId="3" borderId="13" xfId="0" applyNumberFormat="1" applyFont="1" applyFill="1" applyBorder="1" applyAlignment="1"/>
    <xf numFmtId="0" fontId="36" fillId="3" borderId="14" xfId="0" applyNumberFormat="1" applyFont="1" applyFill="1" applyBorder="1" applyAlignment="1"/>
    <xf numFmtId="0" fontId="37" fillId="3" borderId="14" xfId="0" applyNumberFormat="1" applyFont="1" applyFill="1" applyBorder="1" applyAlignment="1">
      <alignment horizontal="center" wrapText="1"/>
    </xf>
    <xf numFmtId="0" fontId="32" fillId="3" borderId="14" xfId="0" applyNumberFormat="1" applyFont="1" applyFill="1" applyBorder="1" applyAlignment="1"/>
    <xf numFmtId="0" fontId="33" fillId="3" borderId="14" xfId="0" applyNumberFormat="1" applyFont="1" applyFill="1" applyBorder="1" applyAlignment="1">
      <alignment horizontal="center"/>
    </xf>
    <xf numFmtId="0" fontId="37" fillId="3" borderId="14" xfId="0" applyNumberFormat="1" applyFont="1" applyFill="1" applyBorder="1" applyAlignment="1"/>
    <xf numFmtId="164" fontId="33" fillId="3" borderId="14" xfId="0" applyNumberFormat="1" applyFont="1" applyFill="1" applyBorder="1" applyAlignment="1"/>
    <xf numFmtId="164" fontId="33" fillId="3" borderId="14" xfId="0" applyNumberFormat="1" applyFont="1" applyFill="1" applyBorder="1" applyAlignment="1">
      <alignment horizontal="center"/>
    </xf>
    <xf numFmtId="164" fontId="35" fillId="3" borderId="14" xfId="0" applyNumberFormat="1" applyFont="1" applyFill="1" applyBorder="1" applyAlignment="1"/>
    <xf numFmtId="3" fontId="33" fillId="3" borderId="15" xfId="0" applyNumberFormat="1" applyFont="1" applyFill="1" applyBorder="1" applyAlignment="1"/>
    <xf numFmtId="164" fontId="32" fillId="3" borderId="14" xfId="0" applyNumberFormat="1" applyFont="1" applyFill="1" applyBorder="1" applyAlignment="1"/>
    <xf numFmtId="169" fontId="33" fillId="3" borderId="14" xfId="0" applyNumberFormat="1" applyFont="1" applyFill="1" applyBorder="1" applyAlignment="1">
      <alignment horizontal="center"/>
    </xf>
    <xf numFmtId="168" fontId="33" fillId="3" borderId="14" xfId="0" applyNumberFormat="1" applyFont="1" applyFill="1" applyBorder="1" applyAlignment="1">
      <alignment horizontal="center"/>
    </xf>
    <xf numFmtId="164" fontId="32" fillId="3" borderId="14" xfId="0" applyNumberFormat="1" applyFont="1" applyFill="1" applyBorder="1" applyAlignment="1">
      <alignment horizontal="center"/>
    </xf>
    <xf numFmtId="164" fontId="38" fillId="3" borderId="14" xfId="0" applyNumberFormat="1" applyFont="1" applyFill="1" applyBorder="1" applyAlignment="1"/>
    <xf numFmtId="169" fontId="32" fillId="3" borderId="14" xfId="0" applyNumberFormat="1" applyFont="1" applyFill="1" applyBorder="1" applyAlignment="1">
      <alignment horizontal="center"/>
    </xf>
    <xf numFmtId="168" fontId="32" fillId="3" borderId="14" xfId="0" applyNumberFormat="1" applyFont="1" applyFill="1" applyBorder="1" applyAlignment="1">
      <alignment horizontal="center"/>
    </xf>
    <xf numFmtId="164" fontId="36" fillId="3" borderId="14" xfId="0" applyNumberFormat="1" applyFont="1" applyFill="1" applyBorder="1" applyAlignment="1">
      <alignment horizontal="center"/>
    </xf>
    <xf numFmtId="164" fontId="37" fillId="3" borderId="14" xfId="0" applyNumberFormat="1" applyFont="1" applyFill="1" applyBorder="1" applyAlignment="1"/>
    <xf numFmtId="4" fontId="37" fillId="3" borderId="14" xfId="0" applyNumberFormat="1" applyFont="1" applyFill="1" applyBorder="1" applyAlignment="1">
      <alignment horizontal="center"/>
    </xf>
    <xf numFmtId="164" fontId="37" fillId="3" borderId="14" xfId="0" applyNumberFormat="1" applyFont="1" applyFill="1" applyBorder="1" applyAlignment="1">
      <alignment horizontal="center"/>
    </xf>
    <xf numFmtId="0" fontId="19" fillId="3" borderId="14" xfId="0" applyNumberFormat="1" applyFont="1" applyFill="1" applyBorder="1" applyAlignment="1"/>
    <xf numFmtId="0" fontId="2" fillId="3" borderId="14" xfId="0" applyNumberFormat="1" applyFont="1" applyFill="1" applyBorder="1" applyAlignment="1"/>
    <xf numFmtId="171" fontId="19" fillId="3" borderId="14" xfId="0" applyNumberFormat="1" applyFont="1" applyFill="1" applyBorder="1" applyAlignment="1">
      <alignment horizontal="center"/>
    </xf>
    <xf numFmtId="170" fontId="19" fillId="3" borderId="14" xfId="0" applyNumberFormat="1" applyFont="1" applyFill="1" applyBorder="1" applyAlignment="1"/>
    <xf numFmtId="170" fontId="19" fillId="3" borderId="14" xfId="0" applyNumberFormat="1" applyFont="1" applyFill="1" applyBorder="1" applyAlignment="1">
      <alignment horizontal="center"/>
    </xf>
    <xf numFmtId="0" fontId="2" fillId="3" borderId="14" xfId="0" applyNumberFormat="1" applyFont="1" applyFill="1" applyBorder="1" applyAlignment="1">
      <alignment horizontal="center"/>
    </xf>
    <xf numFmtId="0" fontId="1" fillId="3" borderId="14" xfId="0" applyNumberFormat="1" applyFont="1" applyFill="1" applyBorder="1" applyAlignment="1"/>
    <xf numFmtId="0" fontId="2" fillId="3" borderId="15" xfId="0" applyNumberFormat="1" applyFont="1" applyFill="1" applyBorder="1" applyAlignment="1"/>
    <xf numFmtId="10" fontId="2" fillId="3" borderId="14" xfId="0" applyNumberFormat="1" applyFont="1" applyFill="1" applyBorder="1" applyAlignment="1">
      <alignment horizontal="center"/>
    </xf>
    <xf numFmtId="165" fontId="2" fillId="3" borderId="14" xfId="0" applyNumberFormat="1" applyFont="1" applyFill="1" applyBorder="1" applyAlignment="1">
      <alignment horizontal="center"/>
    </xf>
    <xf numFmtId="10" fontId="33" fillId="3" borderId="14" xfId="0" applyNumberFormat="1" applyFont="1" applyFill="1" applyBorder="1" applyAlignment="1">
      <alignment horizontal="center"/>
    </xf>
    <xf numFmtId="165" fontId="33" fillId="3" borderId="14" xfId="0" applyNumberFormat="1" applyFont="1" applyFill="1" applyBorder="1" applyAlignment="1">
      <alignment horizontal="center"/>
    </xf>
    <xf numFmtId="167" fontId="33" fillId="3" borderId="14" xfId="0" applyNumberFormat="1" applyFont="1" applyFill="1" applyBorder="1" applyAlignment="1">
      <alignment horizontal="center"/>
    </xf>
    <xf numFmtId="0" fontId="36" fillId="3" borderId="14" xfId="0" applyNumberFormat="1" applyFont="1" applyFill="1" applyBorder="1" applyAlignment="1">
      <alignment horizontal="center"/>
    </xf>
    <xf numFmtId="0" fontId="33" fillId="3" borderId="14" xfId="0" applyNumberFormat="1" applyFont="1" applyFill="1" applyBorder="1" applyAlignment="1">
      <alignment horizontal="right"/>
    </xf>
    <xf numFmtId="165" fontId="33" fillId="3" borderId="14" xfId="0" applyNumberFormat="1" applyFont="1" applyFill="1" applyBorder="1" applyAlignment="1"/>
    <xf numFmtId="4" fontId="33" fillId="3" borderId="14" xfId="0" applyNumberFormat="1" applyFont="1" applyFill="1" applyBorder="1" applyAlignment="1">
      <alignment horizontal="center"/>
    </xf>
    <xf numFmtId="4" fontId="32" fillId="3" borderId="14" xfId="0" applyNumberFormat="1" applyFont="1" applyFill="1" applyBorder="1" applyAlignment="1">
      <alignment horizontal="center"/>
    </xf>
    <xf numFmtId="0" fontId="32" fillId="3" borderId="14" xfId="0" applyNumberFormat="1" applyFont="1" applyFill="1" applyBorder="1" applyAlignment="1">
      <alignment horizontal="center"/>
    </xf>
    <xf numFmtId="15" fontId="32" fillId="3" borderId="14" xfId="0" applyNumberFormat="1" applyFont="1" applyFill="1" applyBorder="1" applyAlignment="1">
      <alignment horizontal="center"/>
    </xf>
    <xf numFmtId="15" fontId="32" fillId="3" borderId="14" xfId="0" applyNumberFormat="1" applyFont="1" applyFill="1" applyBorder="1" applyAlignment="1" applyProtection="1">
      <alignment horizontal="center"/>
      <protection locked="0"/>
    </xf>
    <xf numFmtId="15" fontId="33" fillId="3" borderId="14" xfId="0" applyNumberFormat="1" applyFont="1" applyFill="1" applyBorder="1" applyAlignment="1"/>
    <xf numFmtId="15" fontId="33" fillId="3" borderId="14" xfId="0" applyNumberFormat="1" applyFont="1" applyFill="1" applyBorder="1" applyAlignment="1" applyProtection="1">
      <alignment horizontal="center"/>
      <protection locked="0"/>
    </xf>
    <xf numFmtId="15" fontId="33" fillId="3" borderId="14" xfId="0" applyNumberFormat="1" applyFont="1" applyFill="1" applyBorder="1" applyAlignment="1">
      <alignment horizontal="center"/>
    </xf>
    <xf numFmtId="0" fontId="2" fillId="3" borderId="0" xfId="0" applyNumberFormat="1" applyFont="1" applyFill="1" applyBorder="1" applyAlignment="1"/>
    <xf numFmtId="3" fontId="2" fillId="3" borderId="0" xfId="0" applyNumberFormat="1" applyFont="1" applyFill="1" applyBorder="1" applyAlignment="1"/>
    <xf numFmtId="3" fontId="13" fillId="3" borderId="0" xfId="0" applyNumberFormat="1" applyFont="1" applyFill="1" applyBorder="1" applyAlignment="1"/>
    <xf numFmtId="3" fontId="33" fillId="3" borderId="14" xfId="0" applyNumberFormat="1" applyFont="1" applyFill="1" applyBorder="1" applyAlignment="1"/>
    <xf numFmtId="3" fontId="33" fillId="3" borderId="14" xfId="0" applyNumberFormat="1" applyFont="1" applyFill="1" applyBorder="1" applyAlignment="1" applyProtection="1">
      <alignment horizontal="right"/>
      <protection locked="0"/>
    </xf>
    <xf numFmtId="0" fontId="2" fillId="3" borderId="16" xfId="0" applyNumberFormat="1" applyFont="1" applyFill="1" applyBorder="1" applyAlignment="1"/>
    <xf numFmtId="0" fontId="33" fillId="3" borderId="17" xfId="0" applyNumberFormat="1" applyFont="1" applyFill="1" applyBorder="1" applyAlignment="1"/>
    <xf numFmtId="3" fontId="33" fillId="3" borderId="17" xfId="0" applyNumberFormat="1" applyFont="1" applyFill="1" applyBorder="1" applyAlignment="1"/>
    <xf numFmtId="0" fontId="33" fillId="3" borderId="18" xfId="0" applyNumberFormat="1" applyFont="1" applyFill="1" applyBorder="1" applyAlignment="1"/>
    <xf numFmtId="0" fontId="41" fillId="4" borderId="0" xfId="0" applyNumberFormat="1" applyFont="1" applyFill="1" applyAlignment="1">
      <alignment horizontal="right"/>
    </xf>
    <xf numFmtId="15" fontId="41" fillId="4" borderId="0" xfId="0" applyNumberFormat="1" applyFont="1" applyFill="1" applyAlignment="1">
      <alignment horizontal="right"/>
    </xf>
    <xf numFmtId="3" fontId="33" fillId="3" borderId="0" xfId="0" applyNumberFormat="1" applyFont="1" applyFill="1" applyBorder="1" applyAlignment="1"/>
    <xf numFmtId="14" fontId="33" fillId="3" borderId="14" xfId="0" applyNumberFormat="1" applyFont="1" applyFill="1" applyBorder="1" applyAlignment="1">
      <alignment horizontal="right"/>
    </xf>
    <xf numFmtId="167" fontId="33" fillId="3" borderId="14" xfId="0" applyNumberFormat="1" applyFont="1" applyFill="1" applyBorder="1" applyAlignment="1">
      <alignment horizontal="right"/>
    </xf>
    <xf numFmtId="0" fontId="21" fillId="3" borderId="14" xfId="0" applyNumberFormat="1" applyFont="1" applyFill="1" applyBorder="1" applyAlignment="1"/>
    <xf numFmtId="3" fontId="2" fillId="3" borderId="14" xfId="0" applyNumberFormat="1" applyFont="1" applyFill="1" applyBorder="1" applyAlignment="1"/>
    <xf numFmtId="3" fontId="13" fillId="3" borderId="14" xfId="0" applyNumberFormat="1" applyFont="1" applyFill="1" applyBorder="1" applyAlignment="1" applyProtection="1">
      <alignment horizontal="right"/>
      <protection locked="0"/>
    </xf>
    <xf numFmtId="0" fontId="33" fillId="3" borderId="13" xfId="0" applyNumberFormat="1" applyFont="1" applyFill="1" applyBorder="1" applyAlignment="1"/>
    <xf numFmtId="4" fontId="13" fillId="3" borderId="14" xfId="0" applyNumberFormat="1" applyFont="1" applyFill="1" applyBorder="1" applyAlignment="1" applyProtection="1">
      <alignment horizontal="right"/>
      <protection locked="0"/>
    </xf>
    <xf numFmtId="4" fontId="2" fillId="3" borderId="0" xfId="0" applyNumberFormat="1" applyFont="1" applyFill="1" applyBorder="1" applyAlignment="1" applyProtection="1">
      <alignment horizontal="right"/>
      <protection locked="0"/>
    </xf>
    <xf numFmtId="4" fontId="33" fillId="3" borderId="14" xfId="0" applyNumberFormat="1" applyFont="1" applyFill="1" applyBorder="1" applyAlignment="1" applyProtection="1">
      <alignment horizontal="right"/>
      <protection locked="0"/>
    </xf>
    <xf numFmtId="0" fontId="2" fillId="3" borderId="19" xfId="0" applyNumberFormat="1" applyFont="1" applyFill="1" applyBorder="1" applyAlignment="1"/>
    <xf numFmtId="0" fontId="33" fillId="3" borderId="20" xfId="0" applyNumberFormat="1" applyFont="1" applyFill="1" applyBorder="1" applyAlignment="1"/>
    <xf numFmtId="3" fontId="33" fillId="3" borderId="20" xfId="0" applyNumberFormat="1" applyFont="1" applyFill="1" applyBorder="1" applyAlignment="1" applyProtection="1">
      <alignment horizontal="right"/>
      <protection locked="0"/>
    </xf>
    <xf numFmtId="0" fontId="33" fillId="3" borderId="21" xfId="0" applyNumberFormat="1" applyFont="1" applyFill="1" applyBorder="1" applyAlignment="1"/>
    <xf numFmtId="2" fontId="33" fillId="3" borderId="14" xfId="0" applyNumberFormat="1" applyFont="1" applyFill="1" applyBorder="1" applyAlignment="1" applyProtection="1">
      <alignment horizontal="right"/>
      <protection locked="0"/>
    </xf>
    <xf numFmtId="0" fontId="13" fillId="3" borderId="0" xfId="0" applyNumberFormat="1" applyFont="1" applyFill="1" applyBorder="1" applyAlignment="1"/>
    <xf numFmtId="0" fontId="2" fillId="3" borderId="0" xfId="0" applyNumberFormat="1" applyFont="1" applyFill="1" applyBorder="1" applyAlignment="1" applyProtection="1">
      <protection locked="0"/>
    </xf>
    <xf numFmtId="0" fontId="13" fillId="3" borderId="13" xfId="0" applyNumberFormat="1" applyFont="1" applyFill="1" applyBorder="1" applyAlignment="1"/>
    <xf numFmtId="15" fontId="32" fillId="3" borderId="14" xfId="0" applyNumberFormat="1" applyFont="1" applyFill="1" applyBorder="1" applyAlignment="1">
      <alignment horizontal="centerContinuous"/>
    </xf>
    <xf numFmtId="17" fontId="33" fillId="3" borderId="14" xfId="0" applyNumberFormat="1" applyFont="1" applyFill="1" applyBorder="1" applyAlignment="1">
      <alignment horizontal="center"/>
    </xf>
    <xf numFmtId="0" fontId="13" fillId="3" borderId="0" xfId="0" applyNumberFormat="1" applyFont="1" applyFill="1" applyBorder="1" applyAlignment="1">
      <alignment horizontal="right"/>
    </xf>
    <xf numFmtId="4" fontId="13" fillId="3" borderId="0" xfId="0" applyNumberFormat="1" applyFont="1" applyFill="1" applyBorder="1" applyAlignment="1">
      <alignment horizontal="right"/>
    </xf>
    <xf numFmtId="10" fontId="13" fillId="3" borderId="0" xfId="0" applyNumberFormat="1" applyFont="1" applyFill="1" applyBorder="1" applyAlignment="1" applyProtection="1">
      <alignment horizontal="center"/>
      <protection locked="0"/>
    </xf>
    <xf numFmtId="0" fontId="16" fillId="3" borderId="0" xfId="0" applyNumberFormat="1" applyFont="1" applyFill="1" applyBorder="1" applyAlignment="1"/>
    <xf numFmtId="0" fontId="13" fillId="3" borderId="13" xfId="0" applyNumberFormat="1" applyFont="1" applyFill="1" applyBorder="1" applyAlignment="1">
      <alignment horizontal="right"/>
    </xf>
    <xf numFmtId="3" fontId="33" fillId="3" borderId="14" xfId="0" applyNumberFormat="1" applyFont="1" applyFill="1" applyBorder="1" applyAlignment="1" applyProtection="1">
      <alignment horizontal="center"/>
      <protection locked="0"/>
    </xf>
    <xf numFmtId="0" fontId="33" fillId="3" borderId="14" xfId="0" applyNumberFormat="1" applyFont="1" applyFill="1" applyBorder="1" applyAlignment="1" applyProtection="1">
      <protection locked="0"/>
    </xf>
    <xf numFmtId="3" fontId="32" fillId="3" borderId="15" xfId="0" applyNumberFormat="1" applyFont="1" applyFill="1" applyBorder="1" applyAlignment="1"/>
    <xf numFmtId="3" fontId="33" fillId="3" borderId="14" xfId="0" applyNumberFormat="1" applyFont="1" applyFill="1" applyBorder="1" applyAlignment="1">
      <alignment horizontal="center"/>
    </xf>
    <xf numFmtId="3" fontId="13" fillId="3" borderId="14" xfId="0" applyNumberFormat="1" applyFont="1" applyFill="1" applyBorder="1" applyAlignment="1"/>
    <xf numFmtId="0" fontId="2" fillId="3" borderId="14" xfId="0" applyNumberFormat="1" applyFont="1" applyFill="1" applyBorder="1" applyAlignment="1" applyProtection="1">
      <protection locked="0"/>
    </xf>
    <xf numFmtId="3" fontId="16" fillId="3" borderId="15" xfId="0" applyNumberFormat="1" applyFont="1" applyFill="1" applyBorder="1" applyAlignment="1"/>
    <xf numFmtId="0" fontId="13" fillId="3" borderId="13" xfId="0" applyNumberFormat="1" applyFont="1" applyFill="1" applyBorder="1" applyAlignment="1">
      <alignment horizontal="center"/>
    </xf>
    <xf numFmtId="0" fontId="13" fillId="3" borderId="14" xfId="0" applyNumberFormat="1" applyFont="1" applyFill="1" applyBorder="1" applyAlignment="1"/>
    <xf numFmtId="3" fontId="13" fillId="3" borderId="14" xfId="0" applyNumberFormat="1" applyFont="1" applyFill="1" applyBorder="1" applyAlignment="1" applyProtection="1">
      <alignment horizontal="center"/>
      <protection locked="0"/>
    </xf>
    <xf numFmtId="0" fontId="16" fillId="3" borderId="15" xfId="0" applyNumberFormat="1" applyFont="1" applyFill="1" applyBorder="1" applyAlignment="1"/>
    <xf numFmtId="3" fontId="36" fillId="3" borderId="14" xfId="0" applyNumberFormat="1" applyFont="1" applyFill="1" applyBorder="1" applyAlignment="1" applyProtection="1">
      <alignment horizontal="center"/>
      <protection locked="0"/>
    </xf>
    <xf numFmtId="3" fontId="36" fillId="3" borderId="14" xfId="0" applyNumberFormat="1" applyFont="1" applyFill="1" applyBorder="1" applyAlignment="1"/>
    <xf numFmtId="0" fontId="13" fillId="3" borderId="14" xfId="0" applyNumberFormat="1" applyFont="1" applyFill="1" applyBorder="1" applyAlignment="1">
      <alignment horizontal="right"/>
    </xf>
    <xf numFmtId="4" fontId="13" fillId="3" borderId="14" xfId="0" applyNumberFormat="1" applyFont="1" applyFill="1" applyBorder="1" applyAlignment="1">
      <alignment horizontal="right"/>
    </xf>
    <xf numFmtId="4" fontId="33" fillId="3" borderId="14" xfId="0" applyNumberFormat="1" applyFont="1" applyFill="1" applyBorder="1" applyAlignment="1" applyProtection="1">
      <alignment horizontal="center"/>
      <protection locked="0"/>
    </xf>
    <xf numFmtId="10" fontId="33" fillId="3" borderId="14" xfId="0" applyNumberFormat="1" applyFont="1" applyFill="1" applyBorder="1" applyAlignment="1" applyProtection="1">
      <alignment horizontal="center"/>
      <protection locked="0"/>
    </xf>
    <xf numFmtId="10" fontId="13" fillId="3" borderId="14" xfId="0" applyNumberFormat="1" applyFont="1" applyFill="1" applyBorder="1" applyAlignment="1" applyProtection="1">
      <alignment horizontal="center"/>
      <protection locked="0"/>
    </xf>
    <xf numFmtId="0" fontId="27" fillId="3" borderId="14" xfId="0" applyNumberFormat="1" applyFont="1" applyFill="1" applyBorder="1" applyAlignment="1"/>
    <xf numFmtId="10" fontId="28" fillId="3" borderId="14" xfId="1" applyNumberFormat="1" applyFont="1" applyFill="1" applyBorder="1" applyAlignment="1">
      <alignment horizontal="left"/>
      <protection locked="0"/>
    </xf>
    <xf numFmtId="9" fontId="2" fillId="3" borderId="0" xfId="0" applyNumberFormat="1" applyFont="1" applyFill="1" applyBorder="1" applyAlignment="1"/>
    <xf numFmtId="10" fontId="2" fillId="3" borderId="0" xfId="0" applyNumberFormat="1" applyFont="1" applyFill="1" applyBorder="1" applyAlignment="1"/>
    <xf numFmtId="3" fontId="13" fillId="3" borderId="0" xfId="0" applyNumberFormat="1" applyFont="1" applyFill="1" applyBorder="1" applyAlignment="1" applyProtection="1">
      <alignment horizontal="right"/>
      <protection locked="0"/>
    </xf>
    <xf numFmtId="166" fontId="33" fillId="3" borderId="14" xfId="0" applyNumberFormat="1" applyFont="1" applyFill="1" applyBorder="1" applyAlignment="1"/>
    <xf numFmtId="10" fontId="33" fillId="3" borderId="14" xfId="0" applyNumberFormat="1" applyFont="1" applyFill="1" applyBorder="1" applyAlignment="1"/>
    <xf numFmtId="0" fontId="32" fillId="3" borderId="15" xfId="0" applyNumberFormat="1" applyFont="1" applyFill="1" applyBorder="1" applyAlignment="1"/>
    <xf numFmtId="9" fontId="33" fillId="3" borderId="14" xfId="0" applyNumberFormat="1" applyFont="1" applyFill="1" applyBorder="1" applyAlignment="1"/>
    <xf numFmtId="9" fontId="33" fillId="3" borderId="0" xfId="0" applyNumberFormat="1" applyFont="1" applyFill="1" applyBorder="1" applyAlignment="1"/>
    <xf numFmtId="3" fontId="33" fillId="3" borderId="0" xfId="0" applyNumberFormat="1" applyFont="1" applyFill="1" applyBorder="1" applyAlignment="1" applyProtection="1">
      <alignment horizontal="right"/>
      <protection locked="0"/>
    </xf>
    <xf numFmtId="3" fontId="37" fillId="3" borderId="14" xfId="0" applyNumberFormat="1" applyFont="1" applyFill="1" applyBorder="1" applyAlignment="1"/>
    <xf numFmtId="3" fontId="32" fillId="3" borderId="14" xfId="0" applyNumberFormat="1" applyFont="1" applyFill="1" applyBorder="1" applyAlignment="1" applyProtection="1">
      <alignment horizontal="right"/>
      <protection locked="0"/>
    </xf>
    <xf numFmtId="0" fontId="41" fillId="4" borderId="2" xfId="0" applyNumberFormat="1" applyFont="1" applyFill="1" applyBorder="1" applyAlignment="1"/>
    <xf numFmtId="0" fontId="32" fillId="3" borderId="14" xfId="0" applyNumberFormat="1" applyFont="1" applyFill="1" applyBorder="1" applyAlignment="1">
      <alignment horizontal="center" wrapText="1"/>
    </xf>
    <xf numFmtId="3" fontId="32" fillId="3" borderId="14" xfId="0" applyNumberFormat="1" applyFont="1" applyFill="1" applyBorder="1" applyAlignment="1"/>
    <xf numFmtId="0" fontId="2" fillId="2" borderId="9" xfId="0" applyNumberFormat="1" applyFont="1" applyFill="1" applyBorder="1" applyAlignment="1"/>
    <xf numFmtId="0" fontId="33" fillId="3" borderId="19" xfId="0" applyNumberFormat="1" applyFont="1" applyFill="1" applyBorder="1" applyAlignment="1"/>
    <xf numFmtId="172" fontId="32" fillId="3" borderId="14" xfId="0" applyNumberFormat="1" applyFont="1" applyFill="1" applyBorder="1" applyAlignment="1">
      <alignment horizontal="center"/>
    </xf>
    <xf numFmtId="172" fontId="33" fillId="3" borderId="14" xfId="0" applyNumberFormat="1" applyFont="1" applyFill="1" applyBorder="1" applyAlignment="1">
      <alignment horizontal="center"/>
    </xf>
    <xf numFmtId="0" fontId="42" fillId="5" borderId="3" xfId="0" applyNumberFormat="1" applyFont="1" applyFill="1" applyBorder="1" applyAlignment="1"/>
    <xf numFmtId="0" fontId="42" fillId="5" borderId="0" xfId="0" applyNumberFormat="1" applyFont="1" applyFill="1" applyAlignment="1"/>
    <xf numFmtId="0" fontId="43" fillId="5" borderId="0" xfId="0" applyNumberFormat="1" applyFont="1" applyFill="1" applyAlignment="1">
      <alignment horizontal="center" wrapText="1"/>
    </xf>
    <xf numFmtId="0" fontId="42" fillId="5" borderId="0" xfId="0" applyNumberFormat="1" applyFont="1" applyFill="1" applyAlignment="1">
      <alignment horizontal="center" wrapText="1"/>
    </xf>
    <xf numFmtId="0" fontId="44" fillId="5" borderId="0" xfId="0" applyNumberFormat="1" applyFont="1" applyFill="1" applyAlignment="1"/>
    <xf numFmtId="0" fontId="27" fillId="3" borderId="0" xfId="0" applyNumberFormat="1" applyFont="1" applyFill="1" applyBorder="1" applyAlignment="1"/>
    <xf numFmtId="10" fontId="28" fillId="3" borderId="0" xfId="1" applyNumberFormat="1" applyFont="1" applyFill="1" applyBorder="1" applyAlignment="1">
      <alignment horizontal="left"/>
      <protection locked="0"/>
    </xf>
    <xf numFmtId="0" fontId="46" fillId="3" borderId="1" xfId="0" applyNumberFormat="1" applyFont="1" applyFill="1" applyBorder="1" applyAlignment="1"/>
    <xf numFmtId="0" fontId="47" fillId="3" borderId="2" xfId="0" applyNumberFormat="1" applyFont="1" applyFill="1" applyBorder="1" applyAlignment="1"/>
    <xf numFmtId="0" fontId="46" fillId="3" borderId="2" xfId="0" applyNumberFormat="1" applyFont="1" applyFill="1" applyBorder="1" applyAlignment="1"/>
    <xf numFmtId="0" fontId="46" fillId="3" borderId="26" xfId="0" applyNumberFormat="1" applyFont="1" applyFill="1" applyBorder="1" applyAlignment="1"/>
    <xf numFmtId="0" fontId="46" fillId="0" borderId="3" xfId="0" applyNumberFormat="1" applyFont="1" applyBorder="1"/>
    <xf numFmtId="0" fontId="46" fillId="0" borderId="0" xfId="0" applyNumberFormat="1" applyFont="1" applyAlignment="1"/>
    <xf numFmtId="0" fontId="46" fillId="3" borderId="3" xfId="0" applyNumberFormat="1" applyFont="1" applyFill="1" applyBorder="1" applyAlignment="1"/>
    <xf numFmtId="0" fontId="48" fillId="3" borderId="0" xfId="0" applyNumberFormat="1" applyFont="1" applyFill="1" applyAlignment="1"/>
    <xf numFmtId="0" fontId="46" fillId="3" borderId="0" xfId="0" applyNumberFormat="1" applyFont="1" applyFill="1" applyAlignment="1"/>
    <xf numFmtId="0" fontId="46" fillId="3" borderId="25" xfId="0" applyNumberFormat="1" applyFont="1" applyFill="1" applyBorder="1" applyAlignment="1"/>
    <xf numFmtId="0" fontId="46" fillId="3" borderId="3" xfId="0" applyNumberFormat="1" applyFont="1" applyFill="1" applyBorder="1" applyAlignment="1">
      <alignment horizontal="center"/>
    </xf>
    <xf numFmtId="0" fontId="49" fillId="3" borderId="0" xfId="0" applyNumberFormat="1" applyFont="1" applyFill="1" applyAlignment="1"/>
    <xf numFmtId="0" fontId="50" fillId="3" borderId="0" xfId="0" applyNumberFormat="1" applyFont="1" applyFill="1" applyAlignment="1"/>
    <xf numFmtId="0" fontId="51" fillId="3" borderId="0" xfId="0" applyNumberFormat="1" applyFont="1" applyFill="1" applyAlignment="1"/>
    <xf numFmtId="0" fontId="52" fillId="3" borderId="0" xfId="1" applyNumberFormat="1" applyFont="1" applyFill="1" applyAlignment="1" applyProtection="1"/>
    <xf numFmtId="0" fontId="53" fillId="3" borderId="0" xfId="1" applyNumberFormat="1" applyFont="1" applyFill="1" applyAlignment="1" applyProtection="1"/>
    <xf numFmtId="0" fontId="54" fillId="3" borderId="0" xfId="1" applyNumberFormat="1" applyFont="1" applyFill="1" applyAlignment="1" applyProtection="1"/>
    <xf numFmtId="0" fontId="55" fillId="3" borderId="0" xfId="0" applyNumberFormat="1" applyFont="1" applyFill="1" applyAlignment="1"/>
    <xf numFmtId="0" fontId="56" fillId="3" borderId="0" xfId="0" applyNumberFormat="1" applyFont="1" applyFill="1" applyAlignment="1"/>
    <xf numFmtId="0" fontId="57" fillId="3" borderId="3" xfId="0" applyNumberFormat="1" applyFont="1" applyFill="1" applyBorder="1" applyAlignment="1"/>
    <xf numFmtId="0" fontId="57" fillId="3" borderId="0" xfId="0" applyNumberFormat="1" applyFont="1" applyFill="1" applyAlignment="1"/>
    <xf numFmtId="0" fontId="58" fillId="3" borderId="0" xfId="0" applyNumberFormat="1" applyFont="1" applyFill="1" applyAlignment="1">
      <alignment horizontal="center" wrapText="1"/>
    </xf>
    <xf numFmtId="0" fontId="57" fillId="3" borderId="25" xfId="0" applyNumberFormat="1" applyFont="1" applyFill="1" applyBorder="1" applyAlignment="1"/>
    <xf numFmtId="0" fontId="57" fillId="0" borderId="3" xfId="0" applyNumberFormat="1" applyFont="1" applyBorder="1"/>
    <xf numFmtId="0" fontId="57" fillId="0" borderId="0" xfId="0" applyNumberFormat="1" applyFont="1" applyAlignment="1"/>
    <xf numFmtId="9" fontId="56" fillId="3" borderId="0" xfId="0" applyNumberFormat="1" applyFont="1" applyFill="1" applyAlignment="1">
      <alignment horizontal="center"/>
    </xf>
    <xf numFmtId="10" fontId="56" fillId="3" borderId="0" xfId="0" applyNumberFormat="1" applyFont="1" applyFill="1" applyAlignment="1">
      <alignment horizontal="center"/>
    </xf>
    <xf numFmtId="0" fontId="56" fillId="3" borderId="0" xfId="0" applyNumberFormat="1" applyFont="1" applyFill="1" applyAlignment="1">
      <alignment horizontal="center"/>
    </xf>
    <xf numFmtId="15" fontId="56" fillId="3" borderId="0" xfId="0" applyNumberFormat="1" applyFont="1" applyFill="1" applyAlignment="1">
      <alignment horizontal="center"/>
    </xf>
    <xf numFmtId="0" fontId="57" fillId="3" borderId="0" xfId="0" applyNumberFormat="1" applyFont="1" applyFill="1" applyAlignment="1">
      <alignment horizontal="center"/>
    </xf>
    <xf numFmtId="0" fontId="58" fillId="3" borderId="0" xfId="0" applyNumberFormat="1" applyFont="1" applyFill="1" applyAlignment="1"/>
    <xf numFmtId="0" fontId="46" fillId="3" borderId="0" xfId="0" applyNumberFormat="1" applyFont="1" applyFill="1" applyAlignment="1">
      <alignment horizontal="right"/>
    </xf>
    <xf numFmtId="0" fontId="59" fillId="6" borderId="3" xfId="0" applyNumberFormat="1" applyFont="1" applyFill="1" applyBorder="1" applyAlignment="1"/>
    <xf numFmtId="0" fontId="59" fillId="6" borderId="0" xfId="0" applyNumberFormat="1" applyFont="1" applyFill="1" applyBorder="1" applyAlignment="1"/>
    <xf numFmtId="0" fontId="60" fillId="6" borderId="0" xfId="0" applyNumberFormat="1" applyFont="1" applyFill="1" applyBorder="1" applyAlignment="1">
      <alignment horizontal="center" wrapText="1"/>
    </xf>
    <xf numFmtId="0" fontId="59" fillId="6" borderId="0" xfId="0" applyNumberFormat="1" applyFont="1" applyFill="1" applyBorder="1" applyAlignment="1">
      <alignment horizontal="center" wrapText="1"/>
    </xf>
    <xf numFmtId="0" fontId="59" fillId="6" borderId="25" xfId="0" applyNumberFormat="1" applyFont="1" applyFill="1" applyBorder="1" applyAlignment="1"/>
    <xf numFmtId="0" fontId="57" fillId="3" borderId="22" xfId="0" applyNumberFormat="1" applyFont="1" applyFill="1" applyBorder="1" applyAlignment="1"/>
    <xf numFmtId="0" fontId="57" fillId="3" borderId="23" xfId="0" applyNumberFormat="1" applyFont="1" applyFill="1" applyBorder="1" applyAlignment="1"/>
    <xf numFmtId="0" fontId="57" fillId="3" borderId="23" xfId="0" applyNumberFormat="1" applyFont="1" applyFill="1" applyBorder="1" applyAlignment="1">
      <alignment horizontal="center" wrapText="1"/>
    </xf>
    <xf numFmtId="0" fontId="57" fillId="3" borderId="24" xfId="0" applyNumberFormat="1" applyFont="1" applyFill="1" applyBorder="1" applyAlignment="1"/>
    <xf numFmtId="0" fontId="57" fillId="3" borderId="13" xfId="0" applyNumberFormat="1" applyFont="1" applyFill="1" applyBorder="1" applyAlignment="1"/>
    <xf numFmtId="0" fontId="57" fillId="3" borderId="14" xfId="0" applyNumberFormat="1" applyFont="1" applyFill="1" applyBorder="1" applyAlignment="1"/>
    <xf numFmtId="0" fontId="57" fillId="3" borderId="14" xfId="0" applyNumberFormat="1" applyFont="1" applyFill="1" applyBorder="1" applyAlignment="1">
      <alignment horizontal="center" wrapText="1"/>
    </xf>
    <xf numFmtId="0" fontId="57" fillId="3" borderId="15" xfId="0" applyNumberFormat="1" applyFont="1" applyFill="1" applyBorder="1" applyAlignment="1"/>
    <xf numFmtId="0" fontId="56" fillId="3" borderId="13" xfId="0" applyNumberFormat="1" applyFont="1" applyFill="1" applyBorder="1" applyAlignment="1"/>
    <xf numFmtId="0" fontId="56" fillId="3" borderId="14" xfId="0" applyNumberFormat="1" applyFont="1" applyFill="1" applyBorder="1" applyAlignment="1">
      <alignment horizontal="center" wrapText="1"/>
    </xf>
    <xf numFmtId="0" fontId="56" fillId="3" borderId="14" xfId="0" applyNumberFormat="1" applyFont="1" applyFill="1" applyBorder="1" applyAlignment="1"/>
    <xf numFmtId="0" fontId="57" fillId="3" borderId="14" xfId="0" applyNumberFormat="1" applyFont="1" applyFill="1" applyBorder="1" applyAlignment="1">
      <alignment horizontal="center"/>
    </xf>
    <xf numFmtId="164" fontId="57" fillId="3" borderId="14" xfId="0" applyNumberFormat="1" applyFont="1" applyFill="1" applyBorder="1" applyAlignment="1"/>
    <xf numFmtId="164" fontId="57" fillId="3" borderId="14" xfId="0" applyNumberFormat="1" applyFont="1" applyFill="1" applyBorder="1" applyAlignment="1">
      <alignment horizontal="center"/>
    </xf>
    <xf numFmtId="3" fontId="57" fillId="3" borderId="15" xfId="0" applyNumberFormat="1" applyFont="1" applyFill="1" applyBorder="1" applyAlignment="1"/>
    <xf numFmtId="164" fontId="56" fillId="3" borderId="14" xfId="0" applyNumberFormat="1" applyFont="1" applyFill="1" applyBorder="1" applyAlignment="1"/>
    <xf numFmtId="169" fontId="57" fillId="3" borderId="14" xfId="0" applyNumberFormat="1" applyFont="1" applyFill="1" applyBorder="1" applyAlignment="1">
      <alignment horizontal="center"/>
    </xf>
    <xf numFmtId="168" fontId="57" fillId="3" borderId="14" xfId="0" applyNumberFormat="1" applyFont="1" applyFill="1" applyBorder="1" applyAlignment="1">
      <alignment horizontal="center"/>
    </xf>
    <xf numFmtId="164" fontId="56" fillId="3" borderId="14" xfId="0" applyNumberFormat="1" applyFont="1" applyFill="1" applyBorder="1" applyAlignment="1">
      <alignment horizontal="center"/>
    </xf>
    <xf numFmtId="172" fontId="57" fillId="3" borderId="14" xfId="0" applyNumberFormat="1" applyFont="1" applyFill="1" applyBorder="1" applyAlignment="1">
      <alignment horizontal="center"/>
    </xf>
    <xf numFmtId="172" fontId="56" fillId="3" borderId="14" xfId="0" applyNumberFormat="1" applyFont="1" applyFill="1" applyBorder="1" applyAlignment="1">
      <alignment horizontal="center"/>
    </xf>
    <xf numFmtId="168" fontId="56" fillId="3" borderId="14" xfId="0" applyNumberFormat="1" applyFont="1" applyFill="1" applyBorder="1" applyAlignment="1">
      <alignment horizontal="center"/>
    </xf>
    <xf numFmtId="169" fontId="56" fillId="3" borderId="14" xfId="0" applyNumberFormat="1" applyFont="1" applyFill="1" applyBorder="1" applyAlignment="1">
      <alignment horizontal="center"/>
    </xf>
    <xf numFmtId="4" fontId="56" fillId="3" borderId="14" xfId="0" applyNumberFormat="1" applyFont="1" applyFill="1" applyBorder="1" applyAlignment="1">
      <alignment horizontal="center"/>
    </xf>
    <xf numFmtId="0" fontId="61" fillId="3" borderId="13" xfId="0" applyNumberFormat="1" applyFont="1" applyFill="1" applyBorder="1" applyAlignment="1"/>
    <xf numFmtId="0" fontId="55" fillId="3" borderId="14" xfId="0" applyNumberFormat="1" applyFont="1" applyFill="1" applyBorder="1" applyAlignment="1"/>
    <xf numFmtId="0" fontId="46" fillId="3" borderId="14" xfId="0" applyNumberFormat="1" applyFont="1" applyFill="1" applyBorder="1" applyAlignment="1"/>
    <xf numFmtId="171" fontId="55" fillId="3" borderId="14" xfId="0" applyNumberFormat="1" applyFont="1" applyFill="1" applyBorder="1" applyAlignment="1">
      <alignment horizontal="center"/>
    </xf>
    <xf numFmtId="170" fontId="55" fillId="3" borderId="14" xfId="0" applyNumberFormat="1" applyFont="1" applyFill="1" applyBorder="1" applyAlignment="1"/>
    <xf numFmtId="170" fontId="55" fillId="3" borderId="14" xfId="0" applyNumberFormat="1" applyFont="1" applyFill="1" applyBorder="1" applyAlignment="1">
      <alignment horizontal="center"/>
    </xf>
    <xf numFmtId="0" fontId="61" fillId="3" borderId="14" xfId="0" applyNumberFormat="1" applyFont="1" applyFill="1" applyBorder="1" applyAlignment="1">
      <alignment horizontal="center"/>
    </xf>
    <xf numFmtId="0" fontId="61" fillId="3" borderId="14" xfId="0" applyNumberFormat="1" applyFont="1" applyFill="1" applyBorder="1" applyAlignment="1"/>
    <xf numFmtId="0" fontId="61" fillId="3" borderId="15" xfId="0" applyNumberFormat="1" applyFont="1" applyFill="1" applyBorder="1" applyAlignment="1"/>
    <xf numFmtId="0" fontId="61" fillId="0" borderId="3" xfId="0" applyNumberFormat="1" applyFont="1" applyBorder="1"/>
    <xf numFmtId="0" fontId="61" fillId="0" borderId="0" xfId="0" applyNumberFormat="1" applyFont="1" applyAlignment="1"/>
    <xf numFmtId="171" fontId="46" fillId="3" borderId="14" xfId="0" applyNumberFormat="1" applyFont="1" applyFill="1" applyBorder="1" applyAlignment="1">
      <alignment horizontal="center"/>
    </xf>
    <xf numFmtId="170" fontId="46" fillId="3" borderId="14" xfId="0" applyNumberFormat="1" applyFont="1" applyFill="1" applyBorder="1" applyAlignment="1"/>
    <xf numFmtId="170" fontId="46" fillId="3" borderId="14" xfId="0" applyNumberFormat="1" applyFont="1" applyFill="1" applyBorder="1" applyAlignment="1">
      <alignment horizontal="center"/>
    </xf>
    <xf numFmtId="10" fontId="61" fillId="3" borderId="14" xfId="0" applyNumberFormat="1" applyFont="1" applyFill="1" applyBorder="1" applyAlignment="1">
      <alignment horizontal="center"/>
    </xf>
    <xf numFmtId="165" fontId="61" fillId="3" borderId="14" xfId="0" applyNumberFormat="1" applyFont="1" applyFill="1" applyBorder="1" applyAlignment="1">
      <alignment horizontal="center"/>
    </xf>
    <xf numFmtId="10" fontId="57" fillId="3" borderId="14" xfId="0" applyNumberFormat="1" applyFont="1" applyFill="1" applyBorder="1" applyAlignment="1">
      <alignment horizontal="center"/>
    </xf>
    <xf numFmtId="165" fontId="57" fillId="3" borderId="14" xfId="0" applyNumberFormat="1" applyFont="1" applyFill="1" applyBorder="1" applyAlignment="1">
      <alignment horizontal="center"/>
    </xf>
    <xf numFmtId="167" fontId="57" fillId="3" borderId="14" xfId="0" applyNumberFormat="1" applyFont="1" applyFill="1" applyBorder="1" applyAlignment="1">
      <alignment horizontal="center"/>
    </xf>
    <xf numFmtId="0" fontId="57" fillId="3" borderId="14" xfId="0" applyNumberFormat="1" applyFont="1" applyFill="1" applyBorder="1" applyAlignment="1">
      <alignment horizontal="right"/>
    </xf>
    <xf numFmtId="165" fontId="57" fillId="3" borderId="14" xfId="0" applyNumberFormat="1" applyFont="1" applyFill="1" applyBorder="1" applyAlignment="1"/>
    <xf numFmtId="4" fontId="57" fillId="3" borderId="14" xfId="0" applyNumberFormat="1" applyFont="1" applyFill="1" applyBorder="1" applyAlignment="1">
      <alignment horizontal="center"/>
    </xf>
    <xf numFmtId="0" fontId="56" fillId="3" borderId="14" xfId="0" applyNumberFormat="1" applyFont="1" applyFill="1" applyBorder="1" applyAlignment="1">
      <alignment horizontal="center"/>
    </xf>
    <xf numFmtId="0" fontId="57" fillId="3" borderId="27" xfId="0" applyNumberFormat="1" applyFont="1" applyFill="1" applyBorder="1" applyAlignment="1"/>
    <xf numFmtId="0" fontId="57" fillId="0" borderId="0" xfId="0" applyNumberFormat="1" applyFont="1" applyBorder="1"/>
    <xf numFmtId="15" fontId="56" fillId="3" borderId="14" xfId="0" applyNumberFormat="1" applyFont="1" applyFill="1" applyBorder="1" applyAlignment="1">
      <alignment horizontal="center"/>
    </xf>
    <xf numFmtId="15" fontId="56" fillId="3" borderId="14" xfId="0" applyNumberFormat="1" applyFont="1" applyFill="1" applyBorder="1" applyAlignment="1" applyProtection="1">
      <alignment horizontal="center"/>
      <protection locked="0"/>
    </xf>
    <xf numFmtId="15" fontId="57" fillId="3" borderId="14" xfId="0" applyNumberFormat="1" applyFont="1" applyFill="1" applyBorder="1" applyAlignment="1"/>
    <xf numFmtId="15" fontId="57" fillId="3" borderId="14" xfId="0" applyNumberFormat="1" applyFont="1" applyFill="1" applyBorder="1" applyAlignment="1" applyProtection="1">
      <alignment horizontal="center"/>
      <protection locked="0"/>
    </xf>
    <xf numFmtId="15" fontId="57" fillId="3" borderId="14" xfId="0" applyNumberFormat="1" applyFont="1" applyFill="1" applyBorder="1" applyAlignment="1">
      <alignment horizontal="center"/>
    </xf>
    <xf numFmtId="0" fontId="57" fillId="0" borderId="0" xfId="0" applyNumberFormat="1" applyFont="1" applyFill="1" applyBorder="1" applyAlignment="1"/>
    <xf numFmtId="0" fontId="57" fillId="3" borderId="0" xfId="0" applyNumberFormat="1" applyFont="1" applyFill="1" applyBorder="1" applyAlignment="1"/>
    <xf numFmtId="15" fontId="57" fillId="3" borderId="0" xfId="0" applyNumberFormat="1" applyFont="1" applyFill="1" applyBorder="1" applyAlignment="1" applyProtection="1">
      <alignment horizontal="center"/>
      <protection locked="0"/>
    </xf>
    <xf numFmtId="15" fontId="57" fillId="3" borderId="0" xfId="0" applyNumberFormat="1" applyFont="1" applyFill="1" applyBorder="1" applyAlignment="1">
      <alignment horizontal="center"/>
    </xf>
    <xf numFmtId="0" fontId="57" fillId="3" borderId="28" xfId="0" applyNumberFormat="1" applyFont="1" applyFill="1" applyBorder="1" applyAlignment="1"/>
    <xf numFmtId="15" fontId="57" fillId="3" borderId="0" xfId="0" applyNumberFormat="1" applyFont="1" applyFill="1" applyAlignment="1" applyProtection="1">
      <alignment horizontal="center"/>
      <protection locked="0"/>
    </xf>
    <xf numFmtId="15" fontId="57" fillId="3" borderId="0" xfId="0" applyNumberFormat="1" applyFont="1" applyFill="1" applyAlignment="1">
      <alignment horizontal="center"/>
    </xf>
    <xf numFmtId="0" fontId="57" fillId="3" borderId="6" xfId="0" applyNumberFormat="1" applyFont="1" applyFill="1" applyBorder="1" applyAlignment="1"/>
    <xf numFmtId="0" fontId="62" fillId="3" borderId="7" xfId="0" applyNumberFormat="1" applyFont="1" applyFill="1" applyBorder="1" applyAlignment="1"/>
    <xf numFmtId="0" fontId="57" fillId="3" borderId="7" xfId="0" applyNumberFormat="1" applyFont="1" applyFill="1" applyBorder="1" applyAlignment="1"/>
    <xf numFmtId="0" fontId="57" fillId="3" borderId="7" xfId="0" applyNumberFormat="1" applyFont="1" applyFill="1" applyBorder="1" applyAlignment="1" applyProtection="1">
      <alignment horizontal="right"/>
      <protection locked="0"/>
    </xf>
    <xf numFmtId="0" fontId="57" fillId="3" borderId="29" xfId="0" applyNumberFormat="1" applyFont="1" applyFill="1" applyBorder="1" applyAlignment="1"/>
    <xf numFmtId="0" fontId="63" fillId="6" borderId="1" xfId="0" applyNumberFormat="1" applyFont="1" applyFill="1" applyBorder="1" applyAlignment="1"/>
    <xf numFmtId="0" fontId="64" fillId="6" borderId="2" xfId="0" applyNumberFormat="1" applyFont="1" applyFill="1" applyBorder="1" applyAlignment="1"/>
    <xf numFmtId="0" fontId="63" fillId="6" borderId="2" xfId="0" applyNumberFormat="1" applyFont="1" applyFill="1" applyBorder="1" applyAlignment="1"/>
    <xf numFmtId="4" fontId="63" fillId="6" borderId="2" xfId="0" applyNumberFormat="1" applyFont="1" applyFill="1" applyBorder="1" applyAlignment="1" applyProtection="1">
      <alignment horizontal="right"/>
      <protection locked="0"/>
    </xf>
    <xf numFmtId="0" fontId="63" fillId="6" borderId="26" xfId="0" applyNumberFormat="1" applyFont="1" applyFill="1" applyBorder="1" applyAlignment="1"/>
    <xf numFmtId="4" fontId="46" fillId="3" borderId="0" xfId="0" applyNumberFormat="1" applyFont="1" applyFill="1" applyAlignment="1" applyProtection="1">
      <alignment horizontal="right"/>
      <protection locked="0"/>
    </xf>
    <xf numFmtId="0" fontId="61" fillId="3" borderId="3" xfId="0" applyNumberFormat="1" applyFont="1" applyFill="1" applyBorder="1" applyAlignment="1"/>
    <xf numFmtId="0" fontId="49" fillId="3" borderId="0" xfId="0" applyNumberFormat="1" applyFont="1" applyFill="1" applyAlignment="1">
      <alignment horizontal="left" vertical="top" wrapText="1"/>
    </xf>
    <xf numFmtId="0" fontId="49" fillId="3" borderId="0" xfId="0" applyNumberFormat="1" applyFont="1" applyFill="1" applyAlignment="1">
      <alignment horizontal="center" vertical="top" wrapText="1"/>
    </xf>
    <xf numFmtId="4" fontId="49" fillId="3" borderId="0" xfId="0" applyNumberFormat="1" applyFont="1" applyFill="1" applyAlignment="1" applyProtection="1">
      <alignment horizontal="center" vertical="top" wrapText="1"/>
      <protection locked="0"/>
    </xf>
    <xf numFmtId="0" fontId="61" fillId="3" borderId="25" xfId="0" applyNumberFormat="1" applyFont="1" applyFill="1" applyBorder="1" applyAlignment="1"/>
    <xf numFmtId="3" fontId="57" fillId="3" borderId="14" xfId="0" applyNumberFormat="1" applyFont="1" applyFill="1" applyBorder="1" applyAlignment="1"/>
    <xf numFmtId="3" fontId="57" fillId="3" borderId="14" xfId="0" applyNumberFormat="1" applyFont="1" applyFill="1" applyBorder="1" applyAlignment="1" applyProtection="1">
      <alignment horizontal="right"/>
      <protection locked="0"/>
    </xf>
    <xf numFmtId="0" fontId="46" fillId="3" borderId="0" xfId="0" applyNumberFormat="1" applyFont="1" applyFill="1" applyBorder="1" applyAlignment="1"/>
    <xf numFmtId="3" fontId="46" fillId="3" borderId="0" xfId="0" applyNumberFormat="1" applyFont="1" applyFill="1" applyBorder="1" applyAlignment="1"/>
    <xf numFmtId="3" fontId="65" fillId="3" borderId="0" xfId="0" applyNumberFormat="1" applyFont="1" applyFill="1" applyBorder="1" applyAlignment="1"/>
    <xf numFmtId="3" fontId="46" fillId="3" borderId="0" xfId="0" applyNumberFormat="1" applyFont="1" applyFill="1" applyAlignment="1"/>
    <xf numFmtId="3" fontId="65" fillId="3" borderId="0" xfId="0" applyNumberFormat="1" applyFont="1" applyFill="1" applyAlignment="1"/>
    <xf numFmtId="0" fontId="57" fillId="3" borderId="16" xfId="0" applyNumberFormat="1" applyFont="1" applyFill="1" applyBorder="1" applyAlignment="1"/>
    <xf numFmtId="0" fontId="57" fillId="3" borderId="17" xfId="0" applyNumberFormat="1" applyFont="1" applyFill="1" applyBorder="1" applyAlignment="1"/>
    <xf numFmtId="3" fontId="57" fillId="3" borderId="17" xfId="0" applyNumberFormat="1" applyFont="1" applyFill="1" applyBorder="1" applyAlignment="1"/>
    <xf numFmtId="0" fontId="57" fillId="3" borderId="18" xfId="0" applyNumberFormat="1" applyFont="1" applyFill="1" applyBorder="1" applyAlignment="1"/>
    <xf numFmtId="0" fontId="46" fillId="3" borderId="4" xfId="0" applyNumberFormat="1" applyFont="1" applyFill="1" applyBorder="1" applyAlignment="1"/>
    <xf numFmtId="0" fontId="66" fillId="3" borderId="5" xfId="0" applyNumberFormat="1" applyFont="1" applyFill="1" applyBorder="1" applyAlignment="1"/>
    <xf numFmtId="3" fontId="66" fillId="3" borderId="5" xfId="0" applyNumberFormat="1" applyFont="1" applyFill="1" applyBorder="1" applyAlignment="1"/>
    <xf numFmtId="0" fontId="66" fillId="3" borderId="30" xfId="0" applyNumberFormat="1" applyFont="1" applyFill="1" applyBorder="1" applyAlignment="1"/>
    <xf numFmtId="0" fontId="66" fillId="3" borderId="0" xfId="0" applyNumberFormat="1" applyFont="1" applyFill="1" applyAlignment="1"/>
    <xf numFmtId="0" fontId="66" fillId="3" borderId="25" xfId="0" applyNumberFormat="1" applyFont="1" applyFill="1" applyBorder="1" applyAlignment="1"/>
    <xf numFmtId="0" fontId="63" fillId="6" borderId="3" xfId="0" applyNumberFormat="1" applyFont="1" applyFill="1" applyBorder="1" applyAlignment="1"/>
    <xf numFmtId="0" fontId="64" fillId="6" borderId="0" xfId="0" applyNumberFormat="1" applyFont="1" applyFill="1" applyBorder="1" applyAlignment="1"/>
    <xf numFmtId="0" fontId="64" fillId="6" borderId="0" xfId="0" applyNumberFormat="1" applyFont="1" applyFill="1" applyBorder="1" applyAlignment="1">
      <alignment horizontal="center"/>
    </xf>
    <xf numFmtId="0" fontId="64" fillId="6" borderId="0" xfId="0" applyNumberFormat="1" applyFont="1" applyFill="1" applyBorder="1" applyAlignment="1">
      <alignment horizontal="right"/>
    </xf>
    <xf numFmtId="15" fontId="64" fillId="6" borderId="0" xfId="0" applyNumberFormat="1" applyFont="1" applyFill="1" applyBorder="1" applyAlignment="1">
      <alignment horizontal="right"/>
    </xf>
    <xf numFmtId="0" fontId="63" fillId="6" borderId="25" xfId="0" applyNumberFormat="1" applyFont="1" applyFill="1" applyBorder="1" applyAlignment="1"/>
    <xf numFmtId="3" fontId="57" fillId="3" borderId="23" xfId="0" applyNumberFormat="1" applyFont="1" applyFill="1" applyBorder="1" applyAlignment="1"/>
    <xf numFmtId="3" fontId="57" fillId="3" borderId="23" xfId="0" applyNumberFormat="1" applyFont="1" applyFill="1" applyBorder="1" applyAlignment="1" applyProtection="1">
      <alignment horizontal="right"/>
      <protection locked="0"/>
    </xf>
    <xf numFmtId="14" fontId="57" fillId="3" borderId="14" xfId="0" applyNumberFormat="1" applyFont="1" applyFill="1" applyBorder="1" applyAlignment="1">
      <alignment horizontal="right"/>
    </xf>
    <xf numFmtId="167" fontId="57" fillId="3" borderId="14" xfId="0" applyNumberFormat="1" applyFont="1" applyFill="1" applyBorder="1" applyAlignment="1">
      <alignment horizontal="right"/>
    </xf>
    <xf numFmtId="0" fontId="46" fillId="3" borderId="13" xfId="0" applyNumberFormat="1" applyFont="1" applyFill="1" applyBorder="1" applyAlignment="1"/>
    <xf numFmtId="0" fontId="52" fillId="3" borderId="14" xfId="0" applyNumberFormat="1" applyFont="1" applyFill="1" applyBorder="1" applyAlignment="1"/>
    <xf numFmtId="3" fontId="46" fillId="3" borderId="14" xfId="0" applyNumberFormat="1" applyFont="1" applyFill="1" applyBorder="1" applyAlignment="1"/>
    <xf numFmtId="3" fontId="65" fillId="3" borderId="14" xfId="0" applyNumberFormat="1" applyFont="1" applyFill="1" applyBorder="1" applyAlignment="1" applyProtection="1">
      <alignment horizontal="right"/>
      <protection locked="0"/>
    </xf>
    <xf numFmtId="0" fontId="46" fillId="3" borderId="15" xfId="0" applyNumberFormat="1" applyFont="1" applyFill="1" applyBorder="1" applyAlignment="1"/>
    <xf numFmtId="0" fontId="57" fillId="3" borderId="20" xfId="0" applyNumberFormat="1" applyFont="1" applyFill="1" applyBorder="1" applyAlignment="1"/>
    <xf numFmtId="3" fontId="57" fillId="0" borderId="0" xfId="0" applyNumberFormat="1" applyFont="1" applyAlignment="1"/>
    <xf numFmtId="0" fontId="57" fillId="3" borderId="19" xfId="0" applyNumberFormat="1" applyFont="1" applyFill="1" applyBorder="1" applyAlignment="1"/>
    <xf numFmtId="4" fontId="65" fillId="3" borderId="14" xfId="0" applyNumberFormat="1" applyFont="1" applyFill="1" applyBorder="1" applyAlignment="1" applyProtection="1">
      <alignment horizontal="right"/>
      <protection locked="0"/>
    </xf>
    <xf numFmtId="3" fontId="57" fillId="3" borderId="0" xfId="0" applyNumberFormat="1" applyFont="1" applyFill="1" applyBorder="1" applyAlignment="1"/>
    <xf numFmtId="4" fontId="57" fillId="3" borderId="0" xfId="0" applyNumberFormat="1" applyFont="1" applyFill="1" applyAlignment="1" applyProtection="1">
      <alignment horizontal="right"/>
      <protection locked="0"/>
    </xf>
    <xf numFmtId="4" fontId="57" fillId="3" borderId="7" xfId="0" applyNumberFormat="1" applyFont="1" applyFill="1" applyBorder="1" applyAlignment="1" applyProtection="1">
      <alignment horizontal="right"/>
      <protection locked="0"/>
    </xf>
    <xf numFmtId="0" fontId="57" fillId="3" borderId="8" xfId="0" applyNumberFormat="1" applyFont="1" applyFill="1" applyBorder="1" applyAlignment="1"/>
    <xf numFmtId="0" fontId="67" fillId="3" borderId="0" xfId="0" applyNumberFormat="1" applyFont="1" applyFill="1" applyAlignment="1"/>
    <xf numFmtId="0" fontId="52" fillId="3" borderId="0" xfId="0" applyNumberFormat="1" applyFont="1" applyFill="1" applyAlignment="1"/>
    <xf numFmtId="0" fontId="66" fillId="3" borderId="15" xfId="0" applyNumberFormat="1" applyFont="1" applyFill="1" applyBorder="1" applyAlignment="1"/>
    <xf numFmtId="3" fontId="46" fillId="0" borderId="0" xfId="0" applyNumberFormat="1" applyFont="1" applyAlignment="1"/>
    <xf numFmtId="4" fontId="46" fillId="3" borderId="0" xfId="0" applyNumberFormat="1" applyFont="1" applyFill="1" applyBorder="1" applyAlignment="1" applyProtection="1">
      <alignment horizontal="right"/>
      <protection locked="0"/>
    </xf>
    <xf numFmtId="4" fontId="57" fillId="3" borderId="14" xfId="0" applyNumberFormat="1" applyFont="1" applyFill="1" applyBorder="1" applyAlignment="1" applyProtection="1">
      <alignment horizontal="right"/>
      <protection locked="0"/>
    </xf>
    <xf numFmtId="4" fontId="65" fillId="3" borderId="0" xfId="0" applyNumberFormat="1" applyFont="1" applyFill="1" applyAlignment="1" applyProtection="1">
      <alignment horizontal="right"/>
      <protection locked="0"/>
    </xf>
    <xf numFmtId="0" fontId="46" fillId="3" borderId="19" xfId="0" applyNumberFormat="1" applyFont="1" applyFill="1" applyBorder="1" applyAlignment="1"/>
    <xf numFmtId="3" fontId="57" fillId="3" borderId="20" xfId="0" applyNumberFormat="1" applyFont="1" applyFill="1" applyBorder="1" applyAlignment="1" applyProtection="1">
      <alignment horizontal="right"/>
      <protection locked="0"/>
    </xf>
    <xf numFmtId="0" fontId="66" fillId="3" borderId="21" xfId="0" applyNumberFormat="1" applyFont="1" applyFill="1" applyBorder="1" applyAlignment="1"/>
    <xf numFmtId="4" fontId="46" fillId="3" borderId="2" xfId="0" applyNumberFormat="1" applyFont="1" applyFill="1" applyBorder="1" applyAlignment="1" applyProtection="1">
      <alignment horizontal="right"/>
      <protection locked="0"/>
    </xf>
    <xf numFmtId="0" fontId="61" fillId="3" borderId="0" xfId="0" applyNumberFormat="1" applyFont="1" applyFill="1" applyAlignment="1"/>
    <xf numFmtId="0" fontId="49" fillId="3" borderId="0" xfId="0" applyNumberFormat="1" applyFont="1" applyFill="1" applyAlignment="1">
      <alignment horizontal="right"/>
    </xf>
    <xf numFmtId="4" fontId="49" fillId="3" borderId="0" xfId="0" applyNumberFormat="1" applyFont="1" applyFill="1" applyAlignment="1" applyProtection="1">
      <alignment horizontal="right"/>
      <protection locked="0"/>
    </xf>
    <xf numFmtId="0" fontId="49" fillId="3" borderId="25" xfId="0" applyNumberFormat="1" applyFont="1" applyFill="1" applyBorder="1" applyAlignment="1"/>
    <xf numFmtId="0" fontId="46" fillId="3" borderId="0" xfId="0" applyNumberFormat="1" applyFont="1" applyFill="1" applyAlignment="1" applyProtection="1">
      <protection locked="0"/>
    </xf>
    <xf numFmtId="2" fontId="57" fillId="3" borderId="14" xfId="0" applyNumberFormat="1" applyFont="1" applyFill="1" applyBorder="1" applyAlignment="1" applyProtection="1">
      <alignment horizontal="right"/>
      <protection locked="0"/>
    </xf>
    <xf numFmtId="0" fontId="46" fillId="3" borderId="6" xfId="0" applyNumberFormat="1" applyFont="1" applyFill="1" applyBorder="1" applyAlignment="1"/>
    <xf numFmtId="0" fontId="46" fillId="3" borderId="7" xfId="0" applyNumberFormat="1" applyFont="1" applyFill="1" applyBorder="1" applyAlignment="1"/>
    <xf numFmtId="0" fontId="46" fillId="3" borderId="8" xfId="0" applyNumberFormat="1" applyFont="1" applyFill="1" applyBorder="1" applyAlignment="1"/>
    <xf numFmtId="15" fontId="64" fillId="6" borderId="2" xfId="0" applyNumberFormat="1" applyFont="1" applyFill="1" applyBorder="1" applyAlignment="1">
      <alignment horizontal="centerContinuous"/>
    </xf>
    <xf numFmtId="15" fontId="64" fillId="6" borderId="2" xfId="0" applyNumberFormat="1" applyFont="1" applyFill="1" applyBorder="1" applyAlignment="1">
      <alignment horizontal="center"/>
    </xf>
    <xf numFmtId="0" fontId="65" fillId="3" borderId="3" xfId="0" applyNumberFormat="1" applyFont="1" applyFill="1" applyBorder="1" applyAlignment="1"/>
    <xf numFmtId="0" fontId="68" fillId="3" borderId="0" xfId="0" applyNumberFormat="1" applyFont="1" applyFill="1" applyAlignment="1"/>
    <xf numFmtId="15" fontId="69" fillId="3" borderId="0" xfId="0" applyNumberFormat="1" applyFont="1" applyFill="1" applyAlignment="1">
      <alignment horizontal="centerContinuous"/>
    </xf>
    <xf numFmtId="15" fontId="69" fillId="3" borderId="0" xfId="0" applyNumberFormat="1" applyFont="1" applyFill="1" applyAlignment="1">
      <alignment horizontal="center"/>
    </xf>
    <xf numFmtId="15" fontId="56" fillId="3" borderId="14" xfId="0" applyNumberFormat="1" applyFont="1" applyFill="1" applyBorder="1" applyAlignment="1">
      <alignment horizontal="centerContinuous"/>
    </xf>
    <xf numFmtId="17" fontId="57" fillId="3" borderId="14" xfId="0" applyNumberFormat="1" applyFont="1" applyFill="1" applyBorder="1" applyAlignment="1">
      <alignment horizontal="center"/>
    </xf>
    <xf numFmtId="4" fontId="57" fillId="3" borderId="0" xfId="0" applyNumberFormat="1" applyFont="1" applyFill="1" applyBorder="1" applyAlignment="1" applyProtection="1">
      <alignment horizontal="right"/>
      <protection locked="0"/>
    </xf>
    <xf numFmtId="0" fontId="57" fillId="3" borderId="0" xfId="0" applyNumberFormat="1" applyFont="1" applyFill="1" applyBorder="1" applyAlignment="1" applyProtection="1">
      <protection locked="0"/>
    </xf>
    <xf numFmtId="0" fontId="57" fillId="3" borderId="3" xfId="0" applyNumberFormat="1" applyFont="1" applyFill="1" applyBorder="1" applyAlignment="1">
      <alignment horizontal="right"/>
    </xf>
    <xf numFmtId="3" fontId="56" fillId="3" borderId="0" xfId="0" applyNumberFormat="1" applyFont="1" applyFill="1" applyAlignment="1">
      <alignment horizontal="center"/>
    </xf>
    <xf numFmtId="0" fontId="57" fillId="3" borderId="13" xfId="0" applyNumberFormat="1" applyFont="1" applyFill="1" applyBorder="1" applyAlignment="1">
      <alignment horizontal="right"/>
    </xf>
    <xf numFmtId="3" fontId="57" fillId="3" borderId="14" xfId="0" applyNumberFormat="1" applyFont="1" applyFill="1" applyBorder="1" applyAlignment="1" applyProtection="1">
      <alignment horizontal="center"/>
      <protection locked="0"/>
    </xf>
    <xf numFmtId="0" fontId="57" fillId="3" borderId="14" xfId="0" applyNumberFormat="1" applyFont="1" applyFill="1" applyBorder="1" applyAlignment="1" applyProtection="1">
      <protection locked="0"/>
    </xf>
    <xf numFmtId="3" fontId="56" fillId="3" borderId="15" xfId="0" applyNumberFormat="1" applyFont="1" applyFill="1" applyBorder="1" applyAlignment="1"/>
    <xf numFmtId="3" fontId="57" fillId="3" borderId="14" xfId="0" applyNumberFormat="1" applyFont="1" applyFill="1" applyBorder="1" applyAlignment="1">
      <alignment horizontal="center"/>
    </xf>
    <xf numFmtId="0" fontId="65" fillId="3" borderId="13" xfId="0" applyNumberFormat="1" applyFont="1" applyFill="1" applyBorder="1" applyAlignment="1">
      <alignment horizontal="right"/>
    </xf>
    <xf numFmtId="0" fontId="49" fillId="3" borderId="14" xfId="0" applyNumberFormat="1" applyFont="1" applyFill="1" applyBorder="1" applyAlignment="1"/>
    <xf numFmtId="3" fontId="65" fillId="3" borderId="14" xfId="0" applyNumberFormat="1" applyFont="1" applyFill="1" applyBorder="1" applyAlignment="1"/>
    <xf numFmtId="0" fontId="46" fillId="3" borderId="14" xfId="0" applyNumberFormat="1" applyFont="1" applyFill="1" applyBorder="1" applyAlignment="1" applyProtection="1">
      <protection locked="0"/>
    </xf>
    <xf numFmtId="3" fontId="69" fillId="3" borderId="15" xfId="0" applyNumberFormat="1" applyFont="1" applyFill="1" applyBorder="1" applyAlignment="1"/>
    <xf numFmtId="0" fontId="65" fillId="3" borderId="13" xfId="0" applyNumberFormat="1" applyFont="1" applyFill="1" applyBorder="1" applyAlignment="1">
      <alignment horizontal="center"/>
    </xf>
    <xf numFmtId="0" fontId="65" fillId="3" borderId="14" xfId="0" applyNumberFormat="1" applyFont="1" applyFill="1" applyBorder="1" applyAlignment="1"/>
    <xf numFmtId="3" fontId="65" fillId="3" borderId="14" xfId="0" applyNumberFormat="1" applyFont="1" applyFill="1" applyBorder="1" applyAlignment="1" applyProtection="1">
      <alignment horizontal="center"/>
      <protection locked="0"/>
    </xf>
    <xf numFmtId="0" fontId="69" fillId="3" borderId="15" xfId="0" applyNumberFormat="1" applyFont="1" applyFill="1" applyBorder="1" applyAlignment="1"/>
    <xf numFmtId="0" fontId="57" fillId="3" borderId="13" xfId="0" applyNumberFormat="1" applyFont="1" applyFill="1" applyBorder="1" applyAlignment="1">
      <alignment horizontal="center"/>
    </xf>
    <xf numFmtId="0" fontId="56" fillId="3" borderId="15" xfId="0" applyNumberFormat="1" applyFont="1" applyFill="1" applyBorder="1" applyAlignment="1"/>
    <xf numFmtId="0" fontId="46" fillId="3" borderId="14" xfId="0" applyNumberFormat="1" applyFont="1" applyFill="1" applyBorder="1" applyAlignment="1">
      <alignment horizontal="center"/>
    </xf>
    <xf numFmtId="4" fontId="57" fillId="3" borderId="14" xfId="0" applyNumberFormat="1" applyFont="1" applyFill="1" applyBorder="1" applyAlignment="1">
      <alignment horizontal="right"/>
    </xf>
    <xf numFmtId="4" fontId="57" fillId="3" borderId="14" xfId="0" applyNumberFormat="1" applyFont="1" applyFill="1" applyBorder="1" applyAlignment="1" applyProtection="1">
      <alignment horizontal="center"/>
      <protection locked="0"/>
    </xf>
    <xf numFmtId="0" fontId="65" fillId="3" borderId="14" xfId="0" applyNumberFormat="1" applyFont="1" applyFill="1" applyBorder="1" applyAlignment="1">
      <alignment horizontal="right"/>
    </xf>
    <xf numFmtId="4" fontId="65" fillId="3" borderId="14" xfId="0" applyNumberFormat="1" applyFont="1" applyFill="1" applyBorder="1" applyAlignment="1">
      <alignment horizontal="right"/>
    </xf>
    <xf numFmtId="0" fontId="66" fillId="3" borderId="14" xfId="0" applyNumberFormat="1" applyFont="1" applyFill="1" applyBorder="1" applyAlignment="1"/>
    <xf numFmtId="10" fontId="66" fillId="3" borderId="14" xfId="0" applyNumberFormat="1" applyFont="1" applyFill="1" applyBorder="1" applyAlignment="1" applyProtection="1">
      <alignment horizontal="center"/>
      <protection locked="0"/>
    </xf>
    <xf numFmtId="10" fontId="65" fillId="3" borderId="14" xfId="0" applyNumberFormat="1" applyFont="1" applyFill="1" applyBorder="1" applyAlignment="1" applyProtection="1">
      <alignment horizontal="center"/>
      <protection locked="0"/>
    </xf>
    <xf numFmtId="0" fontId="70" fillId="3" borderId="14" xfId="0" applyNumberFormat="1" applyFont="1" applyFill="1" applyBorder="1" applyAlignment="1"/>
    <xf numFmtId="10" fontId="71" fillId="3" borderId="14" xfId="1" applyNumberFormat="1" applyFont="1" applyFill="1" applyBorder="1" applyAlignment="1">
      <alignment horizontal="left"/>
      <protection locked="0"/>
    </xf>
    <xf numFmtId="0" fontId="65" fillId="3" borderId="3" xfId="0" applyNumberFormat="1" applyFont="1" applyFill="1" applyBorder="1" applyAlignment="1">
      <alignment horizontal="right"/>
    </xf>
    <xf numFmtId="0" fontId="65" fillId="3" borderId="0" xfId="0" applyNumberFormat="1" applyFont="1" applyFill="1" applyBorder="1" applyAlignment="1"/>
    <xf numFmtId="0" fontId="65" fillId="3" borderId="0" xfId="0" applyNumberFormat="1" applyFont="1" applyFill="1" applyBorder="1" applyAlignment="1">
      <alignment horizontal="right"/>
    </xf>
    <xf numFmtId="4" fontId="65" fillId="3" borderId="0" xfId="0" applyNumberFormat="1" applyFont="1" applyFill="1" applyBorder="1" applyAlignment="1">
      <alignment horizontal="right"/>
    </xf>
    <xf numFmtId="10" fontId="65" fillId="3" borderId="0" xfId="0" applyNumberFormat="1" applyFont="1" applyFill="1" applyBorder="1" applyAlignment="1" applyProtection="1">
      <alignment horizontal="center"/>
      <protection locked="0"/>
    </xf>
    <xf numFmtId="0" fontId="46" fillId="3" borderId="0" xfId="0" applyNumberFormat="1" applyFont="1" applyFill="1" applyBorder="1" applyAlignment="1" applyProtection="1">
      <protection locked="0"/>
    </xf>
    <xf numFmtId="0" fontId="69" fillId="3" borderId="25" xfId="0" applyNumberFormat="1" applyFont="1" applyFill="1" applyBorder="1" applyAlignment="1"/>
    <xf numFmtId="3" fontId="64" fillId="6" borderId="0" xfId="0" applyNumberFormat="1" applyFont="1" applyFill="1" applyBorder="1" applyAlignment="1">
      <alignment horizontal="center"/>
    </xf>
    <xf numFmtId="0" fontId="63" fillId="6" borderId="0" xfId="0" applyNumberFormat="1" applyFont="1" applyFill="1" applyBorder="1" applyAlignment="1"/>
    <xf numFmtId="0" fontId="64" fillId="6" borderId="25" xfId="0" applyNumberFormat="1" applyFont="1" applyFill="1" applyBorder="1" applyAlignment="1"/>
    <xf numFmtId="166" fontId="57" fillId="3" borderId="0" xfId="0" applyNumberFormat="1" applyFont="1" applyFill="1" applyBorder="1" applyAlignment="1"/>
    <xf numFmtId="10" fontId="57" fillId="3" borderId="23" xfId="0" applyNumberFormat="1" applyFont="1" applyFill="1" applyBorder="1" applyAlignment="1"/>
    <xf numFmtId="0" fontId="56" fillId="3" borderId="25" xfId="0" applyNumberFormat="1" applyFont="1" applyFill="1" applyBorder="1" applyAlignment="1"/>
    <xf numFmtId="166" fontId="57" fillId="3" borderId="14" xfId="0" applyNumberFormat="1" applyFont="1" applyFill="1" applyBorder="1" applyAlignment="1"/>
    <xf numFmtId="10" fontId="57" fillId="3" borderId="14" xfId="0" applyNumberFormat="1" applyFont="1" applyFill="1" applyBorder="1" applyAlignment="1"/>
    <xf numFmtId="9" fontId="57" fillId="3" borderId="14" xfId="0" applyNumberFormat="1" applyFont="1" applyFill="1" applyBorder="1" applyAlignment="1"/>
    <xf numFmtId="10" fontId="57" fillId="3" borderId="0" xfId="0" applyNumberFormat="1" applyFont="1" applyFill="1" applyBorder="1" applyAlignment="1"/>
    <xf numFmtId="3" fontId="57" fillId="3" borderId="0" xfId="0" applyNumberFormat="1" applyFont="1" applyFill="1" applyBorder="1" applyAlignment="1" applyProtection="1">
      <alignment horizontal="right"/>
      <protection locked="0"/>
    </xf>
    <xf numFmtId="9" fontId="46" fillId="3" borderId="0" xfId="0" applyNumberFormat="1" applyFont="1" applyFill="1" applyBorder="1" applyAlignment="1"/>
    <xf numFmtId="10" fontId="46" fillId="3" borderId="0" xfId="0" applyNumberFormat="1" applyFont="1" applyFill="1" applyBorder="1" applyAlignment="1"/>
    <xf numFmtId="3" fontId="65" fillId="3" borderId="0" xfId="0" applyNumberFormat="1" applyFont="1" applyFill="1" applyBorder="1" applyAlignment="1" applyProtection="1">
      <alignment horizontal="right"/>
      <protection locked="0"/>
    </xf>
    <xf numFmtId="9" fontId="63" fillId="6" borderId="0" xfId="0" applyNumberFormat="1" applyFont="1" applyFill="1" applyBorder="1" applyAlignment="1"/>
    <xf numFmtId="9" fontId="57" fillId="3" borderId="0" xfId="0" applyNumberFormat="1" applyFont="1" applyFill="1" applyBorder="1" applyAlignment="1"/>
    <xf numFmtId="3" fontId="56" fillId="3" borderId="14" xfId="0" applyNumberFormat="1" applyFont="1" applyFill="1" applyBorder="1" applyAlignment="1"/>
    <xf numFmtId="3" fontId="56" fillId="3" borderId="14" xfId="0" applyNumberFormat="1" applyFont="1" applyFill="1" applyBorder="1" applyAlignment="1" applyProtection="1">
      <alignment horizontal="right"/>
      <protection locked="0"/>
    </xf>
    <xf numFmtId="9" fontId="57" fillId="3" borderId="0" xfId="0" applyNumberFormat="1" applyFont="1" applyFill="1" applyAlignment="1"/>
    <xf numFmtId="3" fontId="57" fillId="3" borderId="0" xfId="0" applyNumberFormat="1" applyFont="1" applyFill="1" applyAlignment="1" applyProtection="1">
      <alignment horizontal="right"/>
      <protection locked="0"/>
    </xf>
    <xf numFmtId="0" fontId="56" fillId="3" borderId="0" xfId="0" quotePrefix="1" applyNumberFormat="1" applyFont="1" applyFill="1" applyAlignment="1">
      <alignment horizontal="center"/>
    </xf>
    <xf numFmtId="0" fontId="73" fillId="3" borderId="0" xfId="0" applyNumberFormat="1" applyFont="1" applyFill="1" applyAlignment="1"/>
    <xf numFmtId="0" fontId="73" fillId="3" borderId="0" xfId="0" quotePrefix="1" applyNumberFormat="1" applyFont="1" applyFill="1" applyAlignment="1">
      <alignment horizontal="center"/>
    </xf>
    <xf numFmtId="0" fontId="70" fillId="3" borderId="0" xfId="0" applyNumberFormat="1" applyFont="1" applyFill="1" applyBorder="1" applyAlignment="1"/>
    <xf numFmtId="10" fontId="54" fillId="3" borderId="0" xfId="1" applyNumberFormat="1" applyFont="1" applyFill="1" applyBorder="1" applyAlignment="1">
      <alignment horizontal="left"/>
      <protection locked="0"/>
    </xf>
    <xf numFmtId="10" fontId="71" fillId="3" borderId="0" xfId="1" applyNumberFormat="1" applyFont="1" applyFill="1" applyBorder="1" applyAlignment="1">
      <alignment horizontal="left"/>
      <protection locked="0"/>
    </xf>
    <xf numFmtId="0" fontId="62" fillId="3" borderId="0" xfId="0" applyNumberFormat="1" applyFont="1" applyFill="1" applyAlignment="1"/>
    <xf numFmtId="0" fontId="66" fillId="3" borderId="8" xfId="0" applyNumberFormat="1" applyFont="1" applyFill="1" applyBorder="1" applyAlignment="1"/>
    <xf numFmtId="0" fontId="46" fillId="0" borderId="2" xfId="0" applyNumberFormat="1" applyFont="1" applyBorder="1"/>
    <xf numFmtId="0" fontId="56" fillId="3" borderId="0" xfId="0" applyNumberFormat="1" applyFont="1" applyFill="1" applyBorder="1" applyAlignment="1"/>
    <xf numFmtId="3" fontId="56" fillId="3" borderId="0" xfId="0" applyNumberFormat="1" applyFont="1" applyFill="1" applyBorder="1" applyAlignment="1"/>
    <xf numFmtId="3" fontId="56" fillId="3" borderId="0" xfId="0" applyNumberFormat="1" applyFont="1" applyFill="1" applyBorder="1" applyAlignment="1" applyProtection="1">
      <alignment horizontal="right"/>
      <protection locked="0"/>
    </xf>
    <xf numFmtId="0" fontId="63" fillId="6" borderId="3" xfId="0" applyFont="1" applyFill="1" applyBorder="1"/>
    <xf numFmtId="0" fontId="64" fillId="6" borderId="0" xfId="0" applyFont="1" applyFill="1"/>
    <xf numFmtId="0" fontId="63" fillId="6" borderId="0" xfId="0" applyFont="1" applyFill="1"/>
    <xf numFmtId="9" fontId="63" fillId="6" borderId="0" xfId="0" applyNumberFormat="1" applyFont="1" applyFill="1"/>
    <xf numFmtId="3" fontId="64" fillId="6" borderId="0" xfId="0" applyNumberFormat="1" applyFont="1" applyFill="1" applyAlignment="1">
      <alignment horizontal="center"/>
    </xf>
    <xf numFmtId="0" fontId="64" fillId="6" borderId="0" xfId="0" applyFont="1" applyFill="1" applyAlignment="1">
      <alignment horizontal="center"/>
    </xf>
    <xf numFmtId="0" fontId="57" fillId="7" borderId="3" xfId="0" applyFont="1" applyFill="1" applyBorder="1"/>
    <xf numFmtId="3" fontId="57" fillId="7" borderId="0" xfId="0" applyNumberFormat="1" applyFont="1" applyFill="1"/>
    <xf numFmtId="0" fontId="57" fillId="7" borderId="0" xfId="0" applyFont="1" applyFill="1"/>
    <xf numFmtId="9" fontId="57" fillId="7" borderId="0" xfId="0" applyNumberFormat="1" applyFont="1" applyFill="1"/>
    <xf numFmtId="10" fontId="57" fillId="7" borderId="0" xfId="0" applyNumberFormat="1" applyFont="1" applyFill="1"/>
    <xf numFmtId="3" fontId="57" fillId="7" borderId="0" xfId="0" applyNumberFormat="1" applyFont="1" applyFill="1" applyAlignment="1" applyProtection="1">
      <alignment horizontal="right"/>
      <protection locked="0"/>
    </xf>
    <xf numFmtId="0" fontId="57" fillId="7" borderId="13" xfId="0" applyFont="1" applyFill="1" applyBorder="1"/>
    <xf numFmtId="3" fontId="57" fillId="7" borderId="14" xfId="0" applyNumberFormat="1" applyFont="1" applyFill="1" applyBorder="1"/>
    <xf numFmtId="0" fontId="57" fillId="7" borderId="14" xfId="0" applyFont="1" applyFill="1" applyBorder="1"/>
    <xf numFmtId="9" fontId="57" fillId="7" borderId="14" xfId="0" applyNumberFormat="1" applyFont="1" applyFill="1" applyBorder="1"/>
    <xf numFmtId="10" fontId="57" fillId="7" borderId="14" xfId="0" applyNumberFormat="1" applyFont="1" applyFill="1" applyBorder="1"/>
    <xf numFmtId="3" fontId="57" fillId="7" borderId="14" xfId="0" applyNumberFormat="1" applyFont="1" applyFill="1" applyBorder="1" applyAlignment="1" applyProtection="1">
      <alignment horizontal="right"/>
      <protection locked="0"/>
    </xf>
    <xf numFmtId="9" fontId="57" fillId="3" borderId="31" xfId="0" applyNumberFormat="1" applyFont="1" applyFill="1" applyBorder="1" applyAlignment="1"/>
    <xf numFmtId="10" fontId="57" fillId="7" borderId="32" xfId="0" applyNumberFormat="1" applyFont="1" applyFill="1" applyBorder="1"/>
    <xf numFmtId="0" fontId="52" fillId="0" borderId="0" xfId="0" applyFont="1"/>
    <xf numFmtId="0" fontId="46" fillId="0" borderId="0" xfId="0" applyFont="1"/>
    <xf numFmtId="0" fontId="57" fillId="3" borderId="19" xfId="0" applyFont="1" applyFill="1" applyBorder="1"/>
    <xf numFmtId="0" fontId="57" fillId="3" borderId="20" xfId="0" applyFont="1" applyFill="1" applyBorder="1"/>
    <xf numFmtId="9" fontId="57" fillId="3" borderId="20" xfId="0" applyNumberFormat="1" applyFont="1" applyFill="1" applyBorder="1"/>
    <xf numFmtId="0" fontId="46" fillId="3" borderId="20" xfId="0" applyFont="1" applyFill="1" applyBorder="1"/>
    <xf numFmtId="3" fontId="57" fillId="3" borderId="20" xfId="0" applyNumberFormat="1" applyFont="1" applyFill="1" applyBorder="1"/>
    <xf numFmtId="10" fontId="57" fillId="3" borderId="20" xfId="0" applyNumberFormat="1" applyFont="1" applyFill="1" applyBorder="1"/>
    <xf numFmtId="10" fontId="56" fillId="7" borderId="14" xfId="0" applyNumberFormat="1" applyFont="1" applyFill="1" applyBorder="1"/>
    <xf numFmtId="10" fontId="56" fillId="7" borderId="14" xfId="0" applyNumberFormat="1" applyFont="1" applyFill="1" applyBorder="1" applyAlignment="1" applyProtection="1">
      <alignment horizontal="right"/>
      <protection locked="0"/>
    </xf>
    <xf numFmtId="3" fontId="57" fillId="7" borderId="31" xfId="0" applyNumberFormat="1" applyFont="1" applyFill="1" applyBorder="1"/>
    <xf numFmtId="10" fontId="56" fillId="7" borderId="31" xfId="0" applyNumberFormat="1" applyFont="1" applyFill="1" applyBorder="1"/>
    <xf numFmtId="3" fontId="56" fillId="7" borderId="31" xfId="0" applyNumberFormat="1" applyFont="1" applyFill="1" applyBorder="1" applyAlignment="1" applyProtection="1">
      <alignment horizontal="right"/>
      <protection locked="0"/>
    </xf>
    <xf numFmtId="0" fontId="57" fillId="3" borderId="31" xfId="0" applyNumberFormat="1" applyFont="1" applyFill="1" applyBorder="1" applyAlignment="1"/>
    <xf numFmtId="3" fontId="57" fillId="7" borderId="33" xfId="0" applyNumberFormat="1" applyFont="1" applyFill="1" applyBorder="1"/>
    <xf numFmtId="10" fontId="57" fillId="7" borderId="34" xfId="0" applyNumberFormat="1" applyFont="1" applyFill="1" applyBorder="1"/>
    <xf numFmtId="3" fontId="57" fillId="7" borderId="34" xfId="0" applyNumberFormat="1" applyFont="1" applyFill="1" applyBorder="1" applyAlignment="1" applyProtection="1">
      <alignment horizontal="right"/>
      <protection locked="0"/>
    </xf>
    <xf numFmtId="4" fontId="57" fillId="3" borderId="35" xfId="0" applyNumberFormat="1" applyFont="1" applyFill="1" applyBorder="1" applyAlignment="1"/>
    <xf numFmtId="3" fontId="57" fillId="7" borderId="36" xfId="0" applyNumberFormat="1" applyFont="1" applyFill="1" applyBorder="1"/>
    <xf numFmtId="10" fontId="57" fillId="7" borderId="37" xfId="0" applyNumberFormat="1" applyFont="1" applyFill="1" applyBorder="1"/>
    <xf numFmtId="3" fontId="57" fillId="7" borderId="37" xfId="0" applyNumberFormat="1" applyFont="1" applyFill="1" applyBorder="1" applyAlignment="1" applyProtection="1">
      <alignment horizontal="right"/>
      <protection locked="0"/>
    </xf>
    <xf numFmtId="4" fontId="57" fillId="3" borderId="38" xfId="0" applyNumberFormat="1" applyFont="1" applyFill="1" applyBorder="1" applyAlignment="1"/>
    <xf numFmtId="0" fontId="57" fillId="3" borderId="14" xfId="0" applyFont="1" applyFill="1" applyBorder="1"/>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D2926"/>
      <color rgb="FF89CB31"/>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file:///C:\WINDOWS\TEMP\Symbol.gif" TargetMode="External"/><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4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4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4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4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4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5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5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media/image5.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6335" name="Picture 1" descr="C:\WINDOWS\TEMP\Symbol.gif">
          <a:extLst>
            <a:ext uri="{FF2B5EF4-FFF2-40B4-BE49-F238E27FC236}">
              <a16:creationId xmlns:a16="http://schemas.microsoft.com/office/drawing/2014/main" id="{00000000-0008-0000-0000-00000FD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56336" name="Picture 2" descr="C:\WINDOWS\TEMP\Symbol.gif">
          <a:extLst>
            <a:ext uri="{FF2B5EF4-FFF2-40B4-BE49-F238E27FC236}">
              <a16:creationId xmlns:a16="http://schemas.microsoft.com/office/drawing/2014/main" id="{00000000-0008-0000-0000-000010D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56337" name="Picture 3" descr="C:\WINDOWS\TEMP\Symbol.gif">
          <a:extLst>
            <a:ext uri="{FF2B5EF4-FFF2-40B4-BE49-F238E27FC236}">
              <a16:creationId xmlns:a16="http://schemas.microsoft.com/office/drawing/2014/main" id="{00000000-0008-0000-0000-000011D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277</xdr:row>
      <xdr:rowOff>161925</xdr:rowOff>
    </xdr:from>
    <xdr:to>
      <xdr:col>1</xdr:col>
      <xdr:colOff>19050</xdr:colOff>
      <xdr:row>278</xdr:row>
      <xdr:rowOff>200025</xdr:rowOff>
    </xdr:to>
    <xdr:pic>
      <xdr:nvPicPr>
        <xdr:cNvPr id="56338" name="Picture 4" descr="C:\WINDOWS\TEMP\Symbol.gif">
          <a:extLst>
            <a:ext uri="{FF2B5EF4-FFF2-40B4-BE49-F238E27FC236}">
              <a16:creationId xmlns:a16="http://schemas.microsoft.com/office/drawing/2014/main" id="{00000000-0008-0000-0000-000012D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2832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277</xdr:row>
      <xdr:rowOff>123825</xdr:rowOff>
    </xdr:from>
    <xdr:to>
      <xdr:col>22</xdr:col>
      <xdr:colOff>1895475</xdr:colOff>
      <xdr:row>278</xdr:row>
      <xdr:rowOff>152400</xdr:rowOff>
    </xdr:to>
    <xdr:pic>
      <xdr:nvPicPr>
        <xdr:cNvPr id="56339" name="Picture 5" descr="C:\WINDOWS\TEMP\~0003946.gif">
          <a:extLst>
            <a:ext uri="{FF2B5EF4-FFF2-40B4-BE49-F238E27FC236}">
              <a16:creationId xmlns:a16="http://schemas.microsoft.com/office/drawing/2014/main" id="{00000000-0008-0000-0000-000013D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24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56340" name="Picture 6" descr="C:\WINDOWS\TEMP\~0003946.gif">
          <a:extLst>
            <a:ext uri="{FF2B5EF4-FFF2-40B4-BE49-F238E27FC236}">
              <a16:creationId xmlns:a16="http://schemas.microsoft.com/office/drawing/2014/main" id="{00000000-0008-0000-0000-000014D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56341" name="Picture 7" descr="C:\WINDOWS\TEMP\~0003946.gif">
          <a:extLst>
            <a:ext uri="{FF2B5EF4-FFF2-40B4-BE49-F238E27FC236}">
              <a16:creationId xmlns:a16="http://schemas.microsoft.com/office/drawing/2014/main" id="{00000000-0008-0000-0000-000015D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6342" name="Picture 8" descr="C:\WINDOWS\TEMP\~0003946.gif">
          <a:extLst>
            <a:ext uri="{FF2B5EF4-FFF2-40B4-BE49-F238E27FC236}">
              <a16:creationId xmlns:a16="http://schemas.microsoft.com/office/drawing/2014/main" id="{00000000-0008-0000-0000-000016D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6343" name="Picture 28" descr="C:\WINDOWS\TEMP\~0003946.gif">
          <a:extLst>
            <a:ext uri="{FF2B5EF4-FFF2-40B4-BE49-F238E27FC236}">
              <a16:creationId xmlns:a16="http://schemas.microsoft.com/office/drawing/2014/main" id="{00000000-0008-0000-0000-000017D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56344" name="Picture 29" descr="C:\WINDOWS\TEMP\~0003946.gif">
          <a:extLst>
            <a:ext uri="{FF2B5EF4-FFF2-40B4-BE49-F238E27FC236}">
              <a16:creationId xmlns:a16="http://schemas.microsoft.com/office/drawing/2014/main" id="{00000000-0008-0000-0000-000018D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56345" name="Picture 30" descr="C:\WINDOWS\TEMP\~0003946.gif">
          <a:extLst>
            <a:ext uri="{FF2B5EF4-FFF2-40B4-BE49-F238E27FC236}">
              <a16:creationId xmlns:a16="http://schemas.microsoft.com/office/drawing/2014/main" id="{00000000-0008-0000-0000-000019D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277</xdr:row>
      <xdr:rowOff>104775</xdr:rowOff>
    </xdr:from>
    <xdr:to>
      <xdr:col>22</xdr:col>
      <xdr:colOff>895350</xdr:colOff>
      <xdr:row>278</xdr:row>
      <xdr:rowOff>133350</xdr:rowOff>
    </xdr:to>
    <xdr:pic>
      <xdr:nvPicPr>
        <xdr:cNvPr id="56346" name="Picture 31" descr="C:\WINDOWS\TEMP\~0003946.gif">
          <a:extLst>
            <a:ext uri="{FF2B5EF4-FFF2-40B4-BE49-F238E27FC236}">
              <a16:creationId xmlns:a16="http://schemas.microsoft.com/office/drawing/2014/main" id="{00000000-0008-0000-0000-00001AD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226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6347" name="Picture 43" descr="logoMTL">
          <a:extLst>
            <a:ext uri="{FF2B5EF4-FFF2-40B4-BE49-F238E27FC236}">
              <a16:creationId xmlns:a16="http://schemas.microsoft.com/office/drawing/2014/main" id="{00000000-0008-0000-0000-00001BDC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56348" name="Picture 44" descr="logoMTL">
          <a:extLst>
            <a:ext uri="{FF2B5EF4-FFF2-40B4-BE49-F238E27FC236}">
              <a16:creationId xmlns:a16="http://schemas.microsoft.com/office/drawing/2014/main" id="{00000000-0008-0000-0000-00001CD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56349" name="Picture 45" descr="logoMTL">
          <a:extLst>
            <a:ext uri="{FF2B5EF4-FFF2-40B4-BE49-F238E27FC236}">
              <a16:creationId xmlns:a16="http://schemas.microsoft.com/office/drawing/2014/main" id="{00000000-0008-0000-0000-00001DD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277</xdr:row>
      <xdr:rowOff>0</xdr:rowOff>
    </xdr:from>
    <xdr:to>
      <xdr:col>21</xdr:col>
      <xdr:colOff>1228725</xdr:colOff>
      <xdr:row>278</xdr:row>
      <xdr:rowOff>123825</xdr:rowOff>
    </xdr:to>
    <xdr:pic>
      <xdr:nvPicPr>
        <xdr:cNvPr id="56350" name="Picture 46" descr="logoMTL">
          <a:extLst>
            <a:ext uri="{FF2B5EF4-FFF2-40B4-BE49-F238E27FC236}">
              <a16:creationId xmlns:a16="http://schemas.microsoft.com/office/drawing/2014/main" id="{00000000-0008-0000-0000-00001ED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1213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6849" name="Picture 1" descr="C:\WINDOWS\TEMP\Symbol.gif">
          <a:extLst>
            <a:ext uri="{FF2B5EF4-FFF2-40B4-BE49-F238E27FC236}">
              <a16:creationId xmlns:a16="http://schemas.microsoft.com/office/drawing/2014/main" id="{00000000-0008-0000-0900-0000F18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6850" name="Picture 2" descr="C:\WINDOWS\TEMP\Symbol.gif">
          <a:extLst>
            <a:ext uri="{FF2B5EF4-FFF2-40B4-BE49-F238E27FC236}">
              <a16:creationId xmlns:a16="http://schemas.microsoft.com/office/drawing/2014/main" id="{00000000-0008-0000-0900-0000F28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36851" name="Picture 3" descr="C:\WINDOWS\TEMP\Symbol.gif">
          <a:extLst>
            <a:ext uri="{FF2B5EF4-FFF2-40B4-BE49-F238E27FC236}">
              <a16:creationId xmlns:a16="http://schemas.microsoft.com/office/drawing/2014/main" id="{00000000-0008-0000-0900-0000F38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36852" name="Picture 4" descr="C:\WINDOWS\TEMP\Symbol.gif">
          <a:extLst>
            <a:ext uri="{FF2B5EF4-FFF2-40B4-BE49-F238E27FC236}">
              <a16:creationId xmlns:a16="http://schemas.microsoft.com/office/drawing/2014/main" id="{00000000-0008-0000-0900-0000F48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278</xdr:row>
      <xdr:rowOff>123825</xdr:rowOff>
    </xdr:from>
    <xdr:to>
      <xdr:col>22</xdr:col>
      <xdr:colOff>1895475</xdr:colOff>
      <xdr:row>279</xdr:row>
      <xdr:rowOff>152400</xdr:rowOff>
    </xdr:to>
    <xdr:pic>
      <xdr:nvPicPr>
        <xdr:cNvPr id="36853" name="Picture 5" descr="C:\WINDOWS\TEMP\~0003946.gif">
          <a:extLst>
            <a:ext uri="{FF2B5EF4-FFF2-40B4-BE49-F238E27FC236}">
              <a16:creationId xmlns:a16="http://schemas.microsoft.com/office/drawing/2014/main" id="{00000000-0008-0000-0900-0000F5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36854" name="Picture 6" descr="C:\WINDOWS\TEMP\~0003946.gif">
          <a:extLst>
            <a:ext uri="{FF2B5EF4-FFF2-40B4-BE49-F238E27FC236}">
              <a16:creationId xmlns:a16="http://schemas.microsoft.com/office/drawing/2014/main" id="{00000000-0008-0000-0900-0000F6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36855" name="Picture 7" descr="C:\WINDOWS\TEMP\~0003946.gif">
          <a:extLst>
            <a:ext uri="{FF2B5EF4-FFF2-40B4-BE49-F238E27FC236}">
              <a16:creationId xmlns:a16="http://schemas.microsoft.com/office/drawing/2014/main" id="{00000000-0008-0000-0900-0000F7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6856" name="Picture 8" descr="C:\WINDOWS\TEMP\~0003946.gif">
          <a:extLst>
            <a:ext uri="{FF2B5EF4-FFF2-40B4-BE49-F238E27FC236}">
              <a16:creationId xmlns:a16="http://schemas.microsoft.com/office/drawing/2014/main" id="{00000000-0008-0000-0900-0000F8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6857" name="Picture 9" descr="C:\WINDOWS\TEMP\~0003946.gif">
          <a:extLst>
            <a:ext uri="{FF2B5EF4-FFF2-40B4-BE49-F238E27FC236}">
              <a16:creationId xmlns:a16="http://schemas.microsoft.com/office/drawing/2014/main" id="{00000000-0008-0000-0900-0000F9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36858" name="Picture 10" descr="C:\WINDOWS\TEMP\~0003946.gif">
          <a:extLst>
            <a:ext uri="{FF2B5EF4-FFF2-40B4-BE49-F238E27FC236}">
              <a16:creationId xmlns:a16="http://schemas.microsoft.com/office/drawing/2014/main" id="{00000000-0008-0000-0900-0000FA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36859" name="Picture 11" descr="C:\WINDOWS\TEMP\~0003946.gif">
          <a:extLst>
            <a:ext uri="{FF2B5EF4-FFF2-40B4-BE49-F238E27FC236}">
              <a16:creationId xmlns:a16="http://schemas.microsoft.com/office/drawing/2014/main" id="{00000000-0008-0000-0900-0000FB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278</xdr:row>
      <xdr:rowOff>104775</xdr:rowOff>
    </xdr:from>
    <xdr:to>
      <xdr:col>22</xdr:col>
      <xdr:colOff>895350</xdr:colOff>
      <xdr:row>279</xdr:row>
      <xdr:rowOff>133350</xdr:rowOff>
    </xdr:to>
    <xdr:pic>
      <xdr:nvPicPr>
        <xdr:cNvPr id="36860" name="Picture 12" descr="C:\WINDOWS\TEMP\~0003946.gif">
          <a:extLst>
            <a:ext uri="{FF2B5EF4-FFF2-40B4-BE49-F238E27FC236}">
              <a16:creationId xmlns:a16="http://schemas.microsoft.com/office/drawing/2014/main" id="{00000000-0008-0000-0900-0000FC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42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6861" name="Picture 13" descr="logoMTL">
          <a:extLst>
            <a:ext uri="{FF2B5EF4-FFF2-40B4-BE49-F238E27FC236}">
              <a16:creationId xmlns:a16="http://schemas.microsoft.com/office/drawing/2014/main" id="{00000000-0008-0000-0900-0000FD8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36862" name="Picture 14" descr="logoMTL">
          <a:extLst>
            <a:ext uri="{FF2B5EF4-FFF2-40B4-BE49-F238E27FC236}">
              <a16:creationId xmlns:a16="http://schemas.microsoft.com/office/drawing/2014/main" id="{00000000-0008-0000-0900-0000FE8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36863" name="Picture 15" descr="logoMTL">
          <a:extLst>
            <a:ext uri="{FF2B5EF4-FFF2-40B4-BE49-F238E27FC236}">
              <a16:creationId xmlns:a16="http://schemas.microsoft.com/office/drawing/2014/main" id="{00000000-0008-0000-0900-0000FF8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278</xdr:row>
      <xdr:rowOff>0</xdr:rowOff>
    </xdr:from>
    <xdr:to>
      <xdr:col>21</xdr:col>
      <xdr:colOff>1228725</xdr:colOff>
      <xdr:row>279</xdr:row>
      <xdr:rowOff>123825</xdr:rowOff>
    </xdr:to>
    <xdr:pic>
      <xdr:nvPicPr>
        <xdr:cNvPr id="65536" name="Picture 16" descr="logoMTL">
          <a:extLst>
            <a:ext uri="{FF2B5EF4-FFF2-40B4-BE49-F238E27FC236}">
              <a16:creationId xmlns:a16="http://schemas.microsoft.com/office/drawing/2014/main" id="{00000000-0008-0000-0900-0000000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7873" name="Picture 1" descr="C:\WINDOWS\TEMP\Symbol.gif">
          <a:extLst>
            <a:ext uri="{FF2B5EF4-FFF2-40B4-BE49-F238E27FC236}">
              <a16:creationId xmlns:a16="http://schemas.microsoft.com/office/drawing/2014/main" id="{00000000-0008-0000-0A00-0000F19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7874" name="Picture 2" descr="C:\WINDOWS\TEMP\Symbol.gif">
          <a:extLst>
            <a:ext uri="{FF2B5EF4-FFF2-40B4-BE49-F238E27FC236}">
              <a16:creationId xmlns:a16="http://schemas.microsoft.com/office/drawing/2014/main" id="{00000000-0008-0000-0A00-0000F29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37875" name="Picture 3" descr="C:\WINDOWS\TEMP\Symbol.gif">
          <a:extLst>
            <a:ext uri="{FF2B5EF4-FFF2-40B4-BE49-F238E27FC236}">
              <a16:creationId xmlns:a16="http://schemas.microsoft.com/office/drawing/2014/main" id="{00000000-0008-0000-0A00-0000F39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37876" name="Picture 4" descr="C:\WINDOWS\TEMP\Symbol.gif">
          <a:extLst>
            <a:ext uri="{FF2B5EF4-FFF2-40B4-BE49-F238E27FC236}">
              <a16:creationId xmlns:a16="http://schemas.microsoft.com/office/drawing/2014/main" id="{00000000-0008-0000-0A00-0000F49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278</xdr:row>
      <xdr:rowOff>123825</xdr:rowOff>
    </xdr:from>
    <xdr:to>
      <xdr:col>22</xdr:col>
      <xdr:colOff>1895475</xdr:colOff>
      <xdr:row>279</xdr:row>
      <xdr:rowOff>152400</xdr:rowOff>
    </xdr:to>
    <xdr:pic>
      <xdr:nvPicPr>
        <xdr:cNvPr id="37877" name="Picture 5" descr="C:\WINDOWS\TEMP\~0003946.gif">
          <a:extLst>
            <a:ext uri="{FF2B5EF4-FFF2-40B4-BE49-F238E27FC236}">
              <a16:creationId xmlns:a16="http://schemas.microsoft.com/office/drawing/2014/main" id="{00000000-0008-0000-0A00-0000F5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37878" name="Picture 6" descr="C:\WINDOWS\TEMP\~0003946.gif">
          <a:extLst>
            <a:ext uri="{FF2B5EF4-FFF2-40B4-BE49-F238E27FC236}">
              <a16:creationId xmlns:a16="http://schemas.microsoft.com/office/drawing/2014/main" id="{00000000-0008-0000-0A00-0000F6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37879" name="Picture 7" descr="C:\WINDOWS\TEMP\~0003946.gif">
          <a:extLst>
            <a:ext uri="{FF2B5EF4-FFF2-40B4-BE49-F238E27FC236}">
              <a16:creationId xmlns:a16="http://schemas.microsoft.com/office/drawing/2014/main" id="{00000000-0008-0000-0A00-0000F7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7880" name="Picture 8" descr="C:\WINDOWS\TEMP\~0003946.gif">
          <a:extLst>
            <a:ext uri="{FF2B5EF4-FFF2-40B4-BE49-F238E27FC236}">
              <a16:creationId xmlns:a16="http://schemas.microsoft.com/office/drawing/2014/main" id="{00000000-0008-0000-0A00-0000F8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7881" name="Picture 9" descr="C:\WINDOWS\TEMP\~0003946.gif">
          <a:extLst>
            <a:ext uri="{FF2B5EF4-FFF2-40B4-BE49-F238E27FC236}">
              <a16:creationId xmlns:a16="http://schemas.microsoft.com/office/drawing/2014/main" id="{00000000-0008-0000-0A00-0000F9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37882" name="Picture 10" descr="C:\WINDOWS\TEMP\~0003946.gif">
          <a:extLst>
            <a:ext uri="{FF2B5EF4-FFF2-40B4-BE49-F238E27FC236}">
              <a16:creationId xmlns:a16="http://schemas.microsoft.com/office/drawing/2014/main" id="{00000000-0008-0000-0A00-0000FA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37883" name="Picture 11" descr="C:\WINDOWS\TEMP\~0003946.gif">
          <a:extLst>
            <a:ext uri="{FF2B5EF4-FFF2-40B4-BE49-F238E27FC236}">
              <a16:creationId xmlns:a16="http://schemas.microsoft.com/office/drawing/2014/main" id="{00000000-0008-0000-0A00-0000FB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278</xdr:row>
      <xdr:rowOff>104775</xdr:rowOff>
    </xdr:from>
    <xdr:to>
      <xdr:col>22</xdr:col>
      <xdr:colOff>895350</xdr:colOff>
      <xdr:row>279</xdr:row>
      <xdr:rowOff>133350</xdr:rowOff>
    </xdr:to>
    <xdr:pic>
      <xdr:nvPicPr>
        <xdr:cNvPr id="37884" name="Picture 12" descr="C:\WINDOWS\TEMP\~0003946.gif">
          <a:extLst>
            <a:ext uri="{FF2B5EF4-FFF2-40B4-BE49-F238E27FC236}">
              <a16:creationId xmlns:a16="http://schemas.microsoft.com/office/drawing/2014/main" id="{00000000-0008-0000-0A00-0000FC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42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7885" name="Picture 13" descr="logoMTL">
          <a:extLst>
            <a:ext uri="{FF2B5EF4-FFF2-40B4-BE49-F238E27FC236}">
              <a16:creationId xmlns:a16="http://schemas.microsoft.com/office/drawing/2014/main" id="{00000000-0008-0000-0A00-0000FD9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37886" name="Picture 14" descr="logoMTL">
          <a:extLst>
            <a:ext uri="{FF2B5EF4-FFF2-40B4-BE49-F238E27FC236}">
              <a16:creationId xmlns:a16="http://schemas.microsoft.com/office/drawing/2014/main" id="{00000000-0008-0000-0A00-0000FE9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37887" name="Picture 15" descr="logoMTL">
          <a:extLst>
            <a:ext uri="{FF2B5EF4-FFF2-40B4-BE49-F238E27FC236}">
              <a16:creationId xmlns:a16="http://schemas.microsoft.com/office/drawing/2014/main" id="{00000000-0008-0000-0A00-0000FF9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278</xdr:row>
      <xdr:rowOff>0</xdr:rowOff>
    </xdr:from>
    <xdr:to>
      <xdr:col>21</xdr:col>
      <xdr:colOff>1228725</xdr:colOff>
      <xdr:row>279</xdr:row>
      <xdr:rowOff>123825</xdr:rowOff>
    </xdr:to>
    <xdr:pic>
      <xdr:nvPicPr>
        <xdr:cNvPr id="66560" name="Picture 16" descr="logoMTL">
          <a:extLst>
            <a:ext uri="{FF2B5EF4-FFF2-40B4-BE49-F238E27FC236}">
              <a16:creationId xmlns:a16="http://schemas.microsoft.com/office/drawing/2014/main" id="{00000000-0008-0000-0A00-0000000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8897" name="Picture 1" descr="C:\WINDOWS\TEMP\Symbol.gif">
          <a:extLst>
            <a:ext uri="{FF2B5EF4-FFF2-40B4-BE49-F238E27FC236}">
              <a16:creationId xmlns:a16="http://schemas.microsoft.com/office/drawing/2014/main" id="{00000000-0008-0000-0B00-0000F19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8898" name="Picture 2" descr="C:\WINDOWS\TEMP\Symbol.gif">
          <a:extLst>
            <a:ext uri="{FF2B5EF4-FFF2-40B4-BE49-F238E27FC236}">
              <a16:creationId xmlns:a16="http://schemas.microsoft.com/office/drawing/2014/main" id="{00000000-0008-0000-0B00-0000F29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38899" name="Picture 3" descr="C:\WINDOWS\TEMP\Symbol.gif">
          <a:extLst>
            <a:ext uri="{FF2B5EF4-FFF2-40B4-BE49-F238E27FC236}">
              <a16:creationId xmlns:a16="http://schemas.microsoft.com/office/drawing/2014/main" id="{00000000-0008-0000-0B00-0000F39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38900" name="Picture 4" descr="C:\WINDOWS\TEMP\Symbol.gif">
          <a:extLst>
            <a:ext uri="{FF2B5EF4-FFF2-40B4-BE49-F238E27FC236}">
              <a16:creationId xmlns:a16="http://schemas.microsoft.com/office/drawing/2014/main" id="{00000000-0008-0000-0B00-0000F49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278</xdr:row>
      <xdr:rowOff>123825</xdr:rowOff>
    </xdr:from>
    <xdr:to>
      <xdr:col>22</xdr:col>
      <xdr:colOff>1895475</xdr:colOff>
      <xdr:row>279</xdr:row>
      <xdr:rowOff>152400</xdr:rowOff>
    </xdr:to>
    <xdr:pic>
      <xdr:nvPicPr>
        <xdr:cNvPr id="38901" name="Picture 5" descr="C:\WINDOWS\TEMP\~0003946.gif">
          <a:extLst>
            <a:ext uri="{FF2B5EF4-FFF2-40B4-BE49-F238E27FC236}">
              <a16:creationId xmlns:a16="http://schemas.microsoft.com/office/drawing/2014/main" id="{00000000-0008-0000-0B00-0000F5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38902" name="Picture 6" descr="C:\WINDOWS\TEMP\~0003946.gif">
          <a:extLst>
            <a:ext uri="{FF2B5EF4-FFF2-40B4-BE49-F238E27FC236}">
              <a16:creationId xmlns:a16="http://schemas.microsoft.com/office/drawing/2014/main" id="{00000000-0008-0000-0B00-0000F6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38903" name="Picture 7" descr="C:\WINDOWS\TEMP\~0003946.gif">
          <a:extLst>
            <a:ext uri="{FF2B5EF4-FFF2-40B4-BE49-F238E27FC236}">
              <a16:creationId xmlns:a16="http://schemas.microsoft.com/office/drawing/2014/main" id="{00000000-0008-0000-0B00-0000F7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8904" name="Picture 8" descr="C:\WINDOWS\TEMP\~0003946.gif">
          <a:extLst>
            <a:ext uri="{FF2B5EF4-FFF2-40B4-BE49-F238E27FC236}">
              <a16:creationId xmlns:a16="http://schemas.microsoft.com/office/drawing/2014/main" id="{00000000-0008-0000-0B00-0000F8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8905" name="Picture 9" descr="C:\WINDOWS\TEMP\~0003946.gif">
          <a:extLst>
            <a:ext uri="{FF2B5EF4-FFF2-40B4-BE49-F238E27FC236}">
              <a16:creationId xmlns:a16="http://schemas.microsoft.com/office/drawing/2014/main" id="{00000000-0008-0000-0B00-0000F9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38906" name="Picture 10" descr="C:\WINDOWS\TEMP\~0003946.gif">
          <a:extLst>
            <a:ext uri="{FF2B5EF4-FFF2-40B4-BE49-F238E27FC236}">
              <a16:creationId xmlns:a16="http://schemas.microsoft.com/office/drawing/2014/main" id="{00000000-0008-0000-0B00-0000FA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38907" name="Picture 11" descr="C:\WINDOWS\TEMP\~0003946.gif">
          <a:extLst>
            <a:ext uri="{FF2B5EF4-FFF2-40B4-BE49-F238E27FC236}">
              <a16:creationId xmlns:a16="http://schemas.microsoft.com/office/drawing/2014/main" id="{00000000-0008-0000-0B00-0000FB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278</xdr:row>
      <xdr:rowOff>104775</xdr:rowOff>
    </xdr:from>
    <xdr:to>
      <xdr:col>22</xdr:col>
      <xdr:colOff>895350</xdr:colOff>
      <xdr:row>279</xdr:row>
      <xdr:rowOff>133350</xdr:rowOff>
    </xdr:to>
    <xdr:pic>
      <xdr:nvPicPr>
        <xdr:cNvPr id="38908" name="Picture 12" descr="C:\WINDOWS\TEMP\~0003946.gif">
          <a:extLst>
            <a:ext uri="{FF2B5EF4-FFF2-40B4-BE49-F238E27FC236}">
              <a16:creationId xmlns:a16="http://schemas.microsoft.com/office/drawing/2014/main" id="{00000000-0008-0000-0B00-0000FC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42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8909" name="Picture 13" descr="logoMTL">
          <a:extLst>
            <a:ext uri="{FF2B5EF4-FFF2-40B4-BE49-F238E27FC236}">
              <a16:creationId xmlns:a16="http://schemas.microsoft.com/office/drawing/2014/main" id="{00000000-0008-0000-0B00-0000FD9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38910" name="Picture 14" descr="logoMTL">
          <a:extLst>
            <a:ext uri="{FF2B5EF4-FFF2-40B4-BE49-F238E27FC236}">
              <a16:creationId xmlns:a16="http://schemas.microsoft.com/office/drawing/2014/main" id="{00000000-0008-0000-0B00-0000FE9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38911" name="Picture 15" descr="logoMTL">
          <a:extLst>
            <a:ext uri="{FF2B5EF4-FFF2-40B4-BE49-F238E27FC236}">
              <a16:creationId xmlns:a16="http://schemas.microsoft.com/office/drawing/2014/main" id="{00000000-0008-0000-0B00-0000FF9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278</xdr:row>
      <xdr:rowOff>0</xdr:rowOff>
    </xdr:from>
    <xdr:to>
      <xdr:col>21</xdr:col>
      <xdr:colOff>1228725</xdr:colOff>
      <xdr:row>279</xdr:row>
      <xdr:rowOff>123825</xdr:rowOff>
    </xdr:to>
    <xdr:pic>
      <xdr:nvPicPr>
        <xdr:cNvPr id="67584" name="Picture 16" descr="logoMTL">
          <a:extLst>
            <a:ext uri="{FF2B5EF4-FFF2-40B4-BE49-F238E27FC236}">
              <a16:creationId xmlns:a16="http://schemas.microsoft.com/office/drawing/2014/main" id="{00000000-0008-0000-0B00-000000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9921" name="Picture 1" descr="C:\WINDOWS\TEMP\Symbol.gif">
          <a:extLst>
            <a:ext uri="{FF2B5EF4-FFF2-40B4-BE49-F238E27FC236}">
              <a16:creationId xmlns:a16="http://schemas.microsoft.com/office/drawing/2014/main" id="{00000000-0008-0000-0C00-0000F19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9922" name="Picture 2" descr="C:\WINDOWS\TEMP\Symbol.gif">
          <a:extLst>
            <a:ext uri="{FF2B5EF4-FFF2-40B4-BE49-F238E27FC236}">
              <a16:creationId xmlns:a16="http://schemas.microsoft.com/office/drawing/2014/main" id="{00000000-0008-0000-0C00-0000F29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196</xdr:row>
      <xdr:rowOff>171450</xdr:rowOff>
    </xdr:from>
    <xdr:to>
      <xdr:col>1</xdr:col>
      <xdr:colOff>47625</xdr:colOff>
      <xdr:row>197</xdr:row>
      <xdr:rowOff>209550</xdr:rowOff>
    </xdr:to>
    <xdr:pic>
      <xdr:nvPicPr>
        <xdr:cNvPr id="39923" name="Picture 3" descr="C:\WINDOWS\TEMP\Symbol.gif">
          <a:extLst>
            <a:ext uri="{FF2B5EF4-FFF2-40B4-BE49-F238E27FC236}">
              <a16:creationId xmlns:a16="http://schemas.microsoft.com/office/drawing/2014/main" id="{00000000-0008-0000-0C00-0000F39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279</xdr:row>
      <xdr:rowOff>161925</xdr:rowOff>
    </xdr:from>
    <xdr:to>
      <xdr:col>1</xdr:col>
      <xdr:colOff>19050</xdr:colOff>
      <xdr:row>280</xdr:row>
      <xdr:rowOff>200025</xdr:rowOff>
    </xdr:to>
    <xdr:pic>
      <xdr:nvPicPr>
        <xdr:cNvPr id="39924" name="Picture 4" descr="C:\WINDOWS\TEMP\Symbol.gif">
          <a:extLst>
            <a:ext uri="{FF2B5EF4-FFF2-40B4-BE49-F238E27FC236}">
              <a16:creationId xmlns:a16="http://schemas.microsoft.com/office/drawing/2014/main" id="{00000000-0008-0000-0C00-0000F49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68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279</xdr:row>
      <xdr:rowOff>123825</xdr:rowOff>
    </xdr:from>
    <xdr:to>
      <xdr:col>22</xdr:col>
      <xdr:colOff>1895475</xdr:colOff>
      <xdr:row>280</xdr:row>
      <xdr:rowOff>152400</xdr:rowOff>
    </xdr:to>
    <xdr:pic>
      <xdr:nvPicPr>
        <xdr:cNvPr id="39925" name="Picture 5" descr="C:\WINDOWS\TEMP\~0003946.gif">
          <a:extLst>
            <a:ext uri="{FF2B5EF4-FFF2-40B4-BE49-F238E27FC236}">
              <a16:creationId xmlns:a16="http://schemas.microsoft.com/office/drawing/2014/main" id="{00000000-0008-0000-0C00-0000F5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64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196</xdr:row>
      <xdr:rowOff>152400</xdr:rowOff>
    </xdr:from>
    <xdr:to>
      <xdr:col>22</xdr:col>
      <xdr:colOff>1924050</xdr:colOff>
      <xdr:row>197</xdr:row>
      <xdr:rowOff>180975</xdr:rowOff>
    </xdr:to>
    <xdr:pic>
      <xdr:nvPicPr>
        <xdr:cNvPr id="39926" name="Picture 6" descr="C:\WINDOWS\TEMP\~0003946.gif">
          <a:extLst>
            <a:ext uri="{FF2B5EF4-FFF2-40B4-BE49-F238E27FC236}">
              <a16:creationId xmlns:a16="http://schemas.microsoft.com/office/drawing/2014/main" id="{00000000-0008-0000-0C00-0000F6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39927" name="Picture 7" descr="C:\WINDOWS\TEMP\~0003946.gif">
          <a:extLst>
            <a:ext uri="{FF2B5EF4-FFF2-40B4-BE49-F238E27FC236}">
              <a16:creationId xmlns:a16="http://schemas.microsoft.com/office/drawing/2014/main" id="{00000000-0008-0000-0C00-0000F7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9928" name="Picture 8" descr="C:\WINDOWS\TEMP\~0003946.gif">
          <a:extLst>
            <a:ext uri="{FF2B5EF4-FFF2-40B4-BE49-F238E27FC236}">
              <a16:creationId xmlns:a16="http://schemas.microsoft.com/office/drawing/2014/main" id="{00000000-0008-0000-0C00-0000F8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9929" name="Picture 9" descr="C:\WINDOWS\TEMP\~0003946.gif">
          <a:extLst>
            <a:ext uri="{FF2B5EF4-FFF2-40B4-BE49-F238E27FC236}">
              <a16:creationId xmlns:a16="http://schemas.microsoft.com/office/drawing/2014/main" id="{00000000-0008-0000-0C00-0000F9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39930" name="Picture 10" descr="C:\WINDOWS\TEMP\~0003946.gif">
          <a:extLst>
            <a:ext uri="{FF2B5EF4-FFF2-40B4-BE49-F238E27FC236}">
              <a16:creationId xmlns:a16="http://schemas.microsoft.com/office/drawing/2014/main" id="{00000000-0008-0000-0C00-0000FA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196</xdr:row>
      <xdr:rowOff>104775</xdr:rowOff>
    </xdr:from>
    <xdr:to>
      <xdr:col>22</xdr:col>
      <xdr:colOff>809625</xdr:colOff>
      <xdr:row>197</xdr:row>
      <xdr:rowOff>133350</xdr:rowOff>
    </xdr:to>
    <xdr:pic>
      <xdr:nvPicPr>
        <xdr:cNvPr id="39931" name="Picture 11" descr="C:\WINDOWS\TEMP\~0003946.gif">
          <a:extLst>
            <a:ext uri="{FF2B5EF4-FFF2-40B4-BE49-F238E27FC236}">
              <a16:creationId xmlns:a16="http://schemas.microsoft.com/office/drawing/2014/main" id="{00000000-0008-0000-0C00-0000FB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279</xdr:row>
      <xdr:rowOff>104775</xdr:rowOff>
    </xdr:from>
    <xdr:to>
      <xdr:col>22</xdr:col>
      <xdr:colOff>895350</xdr:colOff>
      <xdr:row>280</xdr:row>
      <xdr:rowOff>133350</xdr:rowOff>
    </xdr:to>
    <xdr:pic>
      <xdr:nvPicPr>
        <xdr:cNvPr id="39932" name="Picture 12" descr="C:\WINDOWS\TEMP\~0003946.gif">
          <a:extLst>
            <a:ext uri="{FF2B5EF4-FFF2-40B4-BE49-F238E27FC236}">
              <a16:creationId xmlns:a16="http://schemas.microsoft.com/office/drawing/2014/main" id="{00000000-0008-0000-0C00-0000FC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62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9933" name="Picture 13" descr="logoMTL">
          <a:extLst>
            <a:ext uri="{FF2B5EF4-FFF2-40B4-BE49-F238E27FC236}">
              <a16:creationId xmlns:a16="http://schemas.microsoft.com/office/drawing/2014/main" id="{00000000-0008-0000-0C00-0000FD9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39934" name="Picture 14" descr="logoMTL">
          <a:extLst>
            <a:ext uri="{FF2B5EF4-FFF2-40B4-BE49-F238E27FC236}">
              <a16:creationId xmlns:a16="http://schemas.microsoft.com/office/drawing/2014/main" id="{00000000-0008-0000-0C00-0000FE9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196</xdr:row>
      <xdr:rowOff>28575</xdr:rowOff>
    </xdr:from>
    <xdr:to>
      <xdr:col>21</xdr:col>
      <xdr:colOff>1171575</xdr:colOff>
      <xdr:row>197</xdr:row>
      <xdr:rowOff>152400</xdr:rowOff>
    </xdr:to>
    <xdr:pic>
      <xdr:nvPicPr>
        <xdr:cNvPr id="39935" name="Picture 15" descr="logoMTL">
          <a:extLst>
            <a:ext uri="{FF2B5EF4-FFF2-40B4-BE49-F238E27FC236}">
              <a16:creationId xmlns:a16="http://schemas.microsoft.com/office/drawing/2014/main" id="{00000000-0008-0000-0C00-0000FF9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279</xdr:row>
      <xdr:rowOff>0</xdr:rowOff>
    </xdr:from>
    <xdr:to>
      <xdr:col>21</xdr:col>
      <xdr:colOff>1228725</xdr:colOff>
      <xdr:row>280</xdr:row>
      <xdr:rowOff>123825</xdr:rowOff>
    </xdr:to>
    <xdr:pic>
      <xdr:nvPicPr>
        <xdr:cNvPr id="68608" name="Picture 16" descr="logoMTL">
          <a:extLst>
            <a:ext uri="{FF2B5EF4-FFF2-40B4-BE49-F238E27FC236}">
              <a16:creationId xmlns:a16="http://schemas.microsoft.com/office/drawing/2014/main" id="{00000000-0008-0000-0C00-0000000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52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0945" name="Picture 1" descr="C:\WINDOWS\TEMP\Symbol.gif">
          <a:extLst>
            <a:ext uri="{FF2B5EF4-FFF2-40B4-BE49-F238E27FC236}">
              <a16:creationId xmlns:a16="http://schemas.microsoft.com/office/drawing/2014/main" id="{00000000-0008-0000-0D00-0000F19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40946" name="Picture 2" descr="C:\WINDOWS\TEMP\Symbol.gif">
          <a:extLst>
            <a:ext uri="{FF2B5EF4-FFF2-40B4-BE49-F238E27FC236}">
              <a16:creationId xmlns:a16="http://schemas.microsoft.com/office/drawing/2014/main" id="{00000000-0008-0000-0D00-0000F29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196</xdr:row>
      <xdr:rowOff>171450</xdr:rowOff>
    </xdr:from>
    <xdr:to>
      <xdr:col>1</xdr:col>
      <xdr:colOff>47625</xdr:colOff>
      <xdr:row>197</xdr:row>
      <xdr:rowOff>209550</xdr:rowOff>
    </xdr:to>
    <xdr:pic>
      <xdr:nvPicPr>
        <xdr:cNvPr id="40947" name="Picture 3" descr="C:\WINDOWS\TEMP\Symbol.gif">
          <a:extLst>
            <a:ext uri="{FF2B5EF4-FFF2-40B4-BE49-F238E27FC236}">
              <a16:creationId xmlns:a16="http://schemas.microsoft.com/office/drawing/2014/main" id="{00000000-0008-0000-0D00-0000F39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279</xdr:row>
      <xdr:rowOff>161925</xdr:rowOff>
    </xdr:from>
    <xdr:to>
      <xdr:col>1</xdr:col>
      <xdr:colOff>19050</xdr:colOff>
      <xdr:row>280</xdr:row>
      <xdr:rowOff>200025</xdr:rowOff>
    </xdr:to>
    <xdr:pic>
      <xdr:nvPicPr>
        <xdr:cNvPr id="40948" name="Picture 4" descr="C:\WINDOWS\TEMP\Symbol.gif">
          <a:extLst>
            <a:ext uri="{FF2B5EF4-FFF2-40B4-BE49-F238E27FC236}">
              <a16:creationId xmlns:a16="http://schemas.microsoft.com/office/drawing/2014/main" id="{00000000-0008-0000-0D00-0000F49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68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279</xdr:row>
      <xdr:rowOff>123825</xdr:rowOff>
    </xdr:from>
    <xdr:to>
      <xdr:col>22</xdr:col>
      <xdr:colOff>1895475</xdr:colOff>
      <xdr:row>280</xdr:row>
      <xdr:rowOff>152400</xdr:rowOff>
    </xdr:to>
    <xdr:pic>
      <xdr:nvPicPr>
        <xdr:cNvPr id="40949" name="Picture 5" descr="C:\WINDOWS\TEMP\~0003946.gif">
          <a:extLst>
            <a:ext uri="{FF2B5EF4-FFF2-40B4-BE49-F238E27FC236}">
              <a16:creationId xmlns:a16="http://schemas.microsoft.com/office/drawing/2014/main" id="{00000000-0008-0000-0D00-0000F5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64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196</xdr:row>
      <xdr:rowOff>152400</xdr:rowOff>
    </xdr:from>
    <xdr:to>
      <xdr:col>22</xdr:col>
      <xdr:colOff>1924050</xdr:colOff>
      <xdr:row>197</xdr:row>
      <xdr:rowOff>180975</xdr:rowOff>
    </xdr:to>
    <xdr:pic>
      <xdr:nvPicPr>
        <xdr:cNvPr id="40950" name="Picture 6" descr="C:\WINDOWS\TEMP\~0003946.gif">
          <a:extLst>
            <a:ext uri="{FF2B5EF4-FFF2-40B4-BE49-F238E27FC236}">
              <a16:creationId xmlns:a16="http://schemas.microsoft.com/office/drawing/2014/main" id="{00000000-0008-0000-0D00-0000F6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40951" name="Picture 7" descr="C:\WINDOWS\TEMP\~0003946.gif">
          <a:extLst>
            <a:ext uri="{FF2B5EF4-FFF2-40B4-BE49-F238E27FC236}">
              <a16:creationId xmlns:a16="http://schemas.microsoft.com/office/drawing/2014/main" id="{00000000-0008-0000-0D00-0000F7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0952" name="Picture 8" descr="C:\WINDOWS\TEMP\~0003946.gif">
          <a:extLst>
            <a:ext uri="{FF2B5EF4-FFF2-40B4-BE49-F238E27FC236}">
              <a16:creationId xmlns:a16="http://schemas.microsoft.com/office/drawing/2014/main" id="{00000000-0008-0000-0D00-0000F8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0953" name="Picture 9" descr="C:\WINDOWS\TEMP\~0003946.gif">
          <a:extLst>
            <a:ext uri="{FF2B5EF4-FFF2-40B4-BE49-F238E27FC236}">
              <a16:creationId xmlns:a16="http://schemas.microsoft.com/office/drawing/2014/main" id="{00000000-0008-0000-0D00-0000F9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40954" name="Picture 10" descr="C:\WINDOWS\TEMP\~0003946.gif">
          <a:extLst>
            <a:ext uri="{FF2B5EF4-FFF2-40B4-BE49-F238E27FC236}">
              <a16:creationId xmlns:a16="http://schemas.microsoft.com/office/drawing/2014/main" id="{00000000-0008-0000-0D00-0000FA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196</xdr:row>
      <xdr:rowOff>104775</xdr:rowOff>
    </xdr:from>
    <xdr:to>
      <xdr:col>22</xdr:col>
      <xdr:colOff>809625</xdr:colOff>
      <xdr:row>197</xdr:row>
      <xdr:rowOff>133350</xdr:rowOff>
    </xdr:to>
    <xdr:pic>
      <xdr:nvPicPr>
        <xdr:cNvPr id="40955" name="Picture 11" descr="C:\WINDOWS\TEMP\~0003946.gif">
          <a:extLst>
            <a:ext uri="{FF2B5EF4-FFF2-40B4-BE49-F238E27FC236}">
              <a16:creationId xmlns:a16="http://schemas.microsoft.com/office/drawing/2014/main" id="{00000000-0008-0000-0D00-0000FB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279</xdr:row>
      <xdr:rowOff>104775</xdr:rowOff>
    </xdr:from>
    <xdr:to>
      <xdr:col>22</xdr:col>
      <xdr:colOff>895350</xdr:colOff>
      <xdr:row>280</xdr:row>
      <xdr:rowOff>133350</xdr:rowOff>
    </xdr:to>
    <xdr:pic>
      <xdr:nvPicPr>
        <xdr:cNvPr id="40956" name="Picture 12" descr="C:\WINDOWS\TEMP\~0003946.gif">
          <a:extLst>
            <a:ext uri="{FF2B5EF4-FFF2-40B4-BE49-F238E27FC236}">
              <a16:creationId xmlns:a16="http://schemas.microsoft.com/office/drawing/2014/main" id="{00000000-0008-0000-0D00-0000FC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62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0957" name="Picture 13" descr="logoMTL">
          <a:extLst>
            <a:ext uri="{FF2B5EF4-FFF2-40B4-BE49-F238E27FC236}">
              <a16:creationId xmlns:a16="http://schemas.microsoft.com/office/drawing/2014/main" id="{00000000-0008-0000-0D00-0000FD9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40958" name="Picture 14" descr="logoMTL">
          <a:extLst>
            <a:ext uri="{FF2B5EF4-FFF2-40B4-BE49-F238E27FC236}">
              <a16:creationId xmlns:a16="http://schemas.microsoft.com/office/drawing/2014/main" id="{00000000-0008-0000-0D00-0000FE9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196</xdr:row>
      <xdr:rowOff>28575</xdr:rowOff>
    </xdr:from>
    <xdr:to>
      <xdr:col>21</xdr:col>
      <xdr:colOff>1171575</xdr:colOff>
      <xdr:row>197</xdr:row>
      <xdr:rowOff>152400</xdr:rowOff>
    </xdr:to>
    <xdr:pic>
      <xdr:nvPicPr>
        <xdr:cNvPr id="40959" name="Picture 15" descr="logoMTL">
          <a:extLst>
            <a:ext uri="{FF2B5EF4-FFF2-40B4-BE49-F238E27FC236}">
              <a16:creationId xmlns:a16="http://schemas.microsoft.com/office/drawing/2014/main" id="{00000000-0008-0000-0D00-0000FF9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279</xdr:row>
      <xdr:rowOff>0</xdr:rowOff>
    </xdr:from>
    <xdr:to>
      <xdr:col>21</xdr:col>
      <xdr:colOff>1228725</xdr:colOff>
      <xdr:row>280</xdr:row>
      <xdr:rowOff>123825</xdr:rowOff>
    </xdr:to>
    <xdr:pic>
      <xdr:nvPicPr>
        <xdr:cNvPr id="69632" name="Picture 16" descr="logoMTL">
          <a:extLst>
            <a:ext uri="{FF2B5EF4-FFF2-40B4-BE49-F238E27FC236}">
              <a16:creationId xmlns:a16="http://schemas.microsoft.com/office/drawing/2014/main" id="{00000000-0008-0000-0D00-0000001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52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22</xdr:col>
      <xdr:colOff>1095375</xdr:colOff>
      <xdr:row>290</xdr:row>
      <xdr:rowOff>123825</xdr:rowOff>
    </xdr:from>
    <xdr:to>
      <xdr:col>22</xdr:col>
      <xdr:colOff>1895475</xdr:colOff>
      <xdr:row>291</xdr:row>
      <xdr:rowOff>152400</xdr:rowOff>
    </xdr:to>
    <xdr:pic>
      <xdr:nvPicPr>
        <xdr:cNvPr id="41969" name="Picture 5" descr="C:\WINDOWS\TEMP\~0003946.gif">
          <a:extLst>
            <a:ext uri="{FF2B5EF4-FFF2-40B4-BE49-F238E27FC236}">
              <a16:creationId xmlns:a16="http://schemas.microsoft.com/office/drawing/2014/main" id="{00000000-0008-0000-0E00-0000F1A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41970" name="Picture 6" descr="C:\WINDOWS\TEMP\~0003946.gif">
          <a:extLst>
            <a:ext uri="{FF2B5EF4-FFF2-40B4-BE49-F238E27FC236}">
              <a16:creationId xmlns:a16="http://schemas.microsoft.com/office/drawing/2014/main" id="{00000000-0008-0000-0E00-0000F2A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1971" name="Picture 7" descr="C:\WINDOWS\TEMP\~0003946.gif">
          <a:extLst>
            <a:ext uri="{FF2B5EF4-FFF2-40B4-BE49-F238E27FC236}">
              <a16:creationId xmlns:a16="http://schemas.microsoft.com/office/drawing/2014/main" id="{00000000-0008-0000-0E00-0000F3A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1972" name="Picture 8" descr="C:\WINDOWS\TEMP\~0003946.gif">
          <a:extLst>
            <a:ext uri="{FF2B5EF4-FFF2-40B4-BE49-F238E27FC236}">
              <a16:creationId xmlns:a16="http://schemas.microsoft.com/office/drawing/2014/main" id="{00000000-0008-0000-0E00-0000F4A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1973" name="Picture 13" descr="logoMTL">
          <a:extLst>
            <a:ext uri="{FF2B5EF4-FFF2-40B4-BE49-F238E27FC236}">
              <a16:creationId xmlns:a16="http://schemas.microsoft.com/office/drawing/2014/main" id="{00000000-0008-0000-0E00-0000F5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161925</xdr:rowOff>
    </xdr:to>
    <xdr:pic>
      <xdr:nvPicPr>
        <xdr:cNvPr id="41974" name="Picture 14" descr="logoMTL">
          <a:extLst>
            <a:ext uri="{FF2B5EF4-FFF2-40B4-BE49-F238E27FC236}">
              <a16:creationId xmlns:a16="http://schemas.microsoft.com/office/drawing/2014/main" id="{00000000-0008-0000-0E00-0000F6A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26725" y="275939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41975" name="Picture 15" descr="logoMTL">
          <a:extLst>
            <a:ext uri="{FF2B5EF4-FFF2-40B4-BE49-F238E27FC236}">
              <a16:creationId xmlns:a16="http://schemas.microsoft.com/office/drawing/2014/main" id="{00000000-0008-0000-0E00-0000F7A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290</xdr:row>
      <xdr:rowOff>0</xdr:rowOff>
    </xdr:from>
    <xdr:to>
      <xdr:col>21</xdr:col>
      <xdr:colOff>1228725</xdr:colOff>
      <xdr:row>291</xdr:row>
      <xdr:rowOff>123825</xdr:rowOff>
    </xdr:to>
    <xdr:pic>
      <xdr:nvPicPr>
        <xdr:cNvPr id="41976" name="Picture 16" descr="logoMTL">
          <a:extLst>
            <a:ext uri="{FF2B5EF4-FFF2-40B4-BE49-F238E27FC236}">
              <a16:creationId xmlns:a16="http://schemas.microsoft.com/office/drawing/2014/main" id="{00000000-0008-0000-0E00-0000F8A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743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41977" name="Picture 1" descr="C:\WINDOWS\TEMP\Symbol.gif">
          <a:extLst>
            <a:ext uri="{FF2B5EF4-FFF2-40B4-BE49-F238E27FC236}">
              <a16:creationId xmlns:a16="http://schemas.microsoft.com/office/drawing/2014/main" id="{00000000-0008-0000-0E00-0000F9A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136</xdr:row>
      <xdr:rowOff>0</xdr:rowOff>
    </xdr:from>
    <xdr:to>
      <xdr:col>1</xdr:col>
      <xdr:colOff>0</xdr:colOff>
      <xdr:row>136</xdr:row>
      <xdr:rowOff>238125</xdr:rowOff>
    </xdr:to>
    <xdr:pic>
      <xdr:nvPicPr>
        <xdr:cNvPr id="41978" name="Picture 1" descr="C:\WINDOWS\TEMP\Symbol.gif">
          <a:extLst>
            <a:ext uri="{FF2B5EF4-FFF2-40B4-BE49-F238E27FC236}">
              <a16:creationId xmlns:a16="http://schemas.microsoft.com/office/drawing/2014/main" id="{00000000-0008-0000-0E00-0000FAA30000}"/>
            </a:ext>
          </a:extLst>
        </xdr:cNvPr>
        <xdr:cNvPicPr>
          <a:picLocks noChangeAspect="1" noChangeArrowheads="1"/>
        </xdr:cNvPicPr>
      </xdr:nvPicPr>
      <xdr:blipFill>
        <a:blip xmlns:r="http://schemas.openxmlformats.org/officeDocument/2006/relationships" r:embed="rId4" r:link="rId3" cstate="print">
          <a:extLst>
            <a:ext uri="{28A0092B-C50C-407E-A947-70E740481C1C}">
              <a14:useLocalDpi xmlns:a14="http://schemas.microsoft.com/office/drawing/2010/main" val="0"/>
            </a:ext>
          </a:extLst>
        </a:blip>
        <a:srcRect/>
        <a:stretch>
          <a:fillRect/>
        </a:stretch>
      </xdr:blipFill>
      <xdr:spPr bwMode="auto">
        <a:xfrm>
          <a:off x="0" y="27755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196</xdr:row>
      <xdr:rowOff>0</xdr:rowOff>
    </xdr:from>
    <xdr:to>
      <xdr:col>1</xdr:col>
      <xdr:colOff>0</xdr:colOff>
      <xdr:row>196</xdr:row>
      <xdr:rowOff>238125</xdr:rowOff>
    </xdr:to>
    <xdr:pic>
      <xdr:nvPicPr>
        <xdr:cNvPr id="41979" name="Picture 1" descr="C:\WINDOWS\TEMP\Symbol.gif">
          <a:extLst>
            <a:ext uri="{FF2B5EF4-FFF2-40B4-BE49-F238E27FC236}">
              <a16:creationId xmlns:a16="http://schemas.microsoft.com/office/drawing/2014/main" id="{00000000-0008-0000-0E00-0000FBA30000}"/>
            </a:ext>
          </a:extLst>
        </xdr:cNvPr>
        <xdr:cNvPicPr>
          <a:picLocks noChangeAspect="1" noChangeArrowheads="1"/>
        </xdr:cNvPicPr>
      </xdr:nvPicPr>
      <xdr:blipFill>
        <a:blip xmlns:r="http://schemas.openxmlformats.org/officeDocument/2006/relationships" r:embed="rId4" r:link="rId3" cstate="print">
          <a:extLst>
            <a:ext uri="{28A0092B-C50C-407E-A947-70E740481C1C}">
              <a14:useLocalDpi xmlns:a14="http://schemas.microsoft.com/office/drawing/2010/main" val="0"/>
            </a:ext>
          </a:extLst>
        </a:blip>
        <a:srcRect/>
        <a:stretch>
          <a:fillRect/>
        </a:stretch>
      </xdr:blipFill>
      <xdr:spPr bwMode="auto">
        <a:xfrm>
          <a:off x="0" y="398335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291</xdr:row>
      <xdr:rowOff>0</xdr:rowOff>
    </xdr:from>
    <xdr:to>
      <xdr:col>1</xdr:col>
      <xdr:colOff>0</xdr:colOff>
      <xdr:row>291</xdr:row>
      <xdr:rowOff>238125</xdr:rowOff>
    </xdr:to>
    <xdr:pic>
      <xdr:nvPicPr>
        <xdr:cNvPr id="41980" name="Picture 1" descr="C:\WINDOWS\TEMP\Symbol.gif">
          <a:extLst>
            <a:ext uri="{FF2B5EF4-FFF2-40B4-BE49-F238E27FC236}">
              <a16:creationId xmlns:a16="http://schemas.microsoft.com/office/drawing/2014/main" id="{00000000-0008-0000-0E00-0000FCA30000}"/>
            </a:ext>
          </a:extLst>
        </xdr:cNvPr>
        <xdr:cNvPicPr>
          <a:picLocks noChangeAspect="1" noChangeArrowheads="1"/>
        </xdr:cNvPicPr>
      </xdr:nvPicPr>
      <xdr:blipFill>
        <a:blip xmlns:r="http://schemas.openxmlformats.org/officeDocument/2006/relationships" r:embed="rId4" r:link="rId3" cstate="print">
          <a:extLst>
            <a:ext uri="{28A0092B-C50C-407E-A947-70E740481C1C}">
              <a14:useLocalDpi xmlns:a14="http://schemas.microsoft.com/office/drawing/2010/main" val="0"/>
            </a:ext>
          </a:extLst>
        </a:blip>
        <a:srcRect/>
        <a:stretch>
          <a:fillRect/>
        </a:stretch>
      </xdr:blipFill>
      <xdr:spPr bwMode="auto">
        <a:xfrm>
          <a:off x="0" y="58921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62</xdr:row>
      <xdr:rowOff>0</xdr:rowOff>
    </xdr:from>
    <xdr:to>
      <xdr:col>22</xdr:col>
      <xdr:colOff>800100</xdr:colOff>
      <xdr:row>63</xdr:row>
      <xdr:rowOff>28575</xdr:rowOff>
    </xdr:to>
    <xdr:pic>
      <xdr:nvPicPr>
        <xdr:cNvPr id="41981" name="Picture 9" descr="C:\WINDOWS\TEMP\~0003946.gif">
          <a:extLst>
            <a:ext uri="{FF2B5EF4-FFF2-40B4-BE49-F238E27FC236}">
              <a16:creationId xmlns:a16="http://schemas.microsoft.com/office/drawing/2014/main" id="{00000000-0008-0000-0E00-0000FDA3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135</xdr:row>
      <xdr:rowOff>0</xdr:rowOff>
    </xdr:from>
    <xdr:to>
      <xdr:col>22</xdr:col>
      <xdr:colOff>800100</xdr:colOff>
      <xdr:row>136</xdr:row>
      <xdr:rowOff>28575</xdr:rowOff>
    </xdr:to>
    <xdr:pic>
      <xdr:nvPicPr>
        <xdr:cNvPr id="41982" name="Picture 9" descr="C:\WINDOWS\TEMP\~0003946.gif">
          <a:extLst>
            <a:ext uri="{FF2B5EF4-FFF2-40B4-BE49-F238E27FC236}">
              <a16:creationId xmlns:a16="http://schemas.microsoft.com/office/drawing/2014/main" id="{00000000-0008-0000-0E00-0000FEA3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2755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195</xdr:row>
      <xdr:rowOff>0</xdr:rowOff>
    </xdr:from>
    <xdr:to>
      <xdr:col>22</xdr:col>
      <xdr:colOff>800100</xdr:colOff>
      <xdr:row>196</xdr:row>
      <xdr:rowOff>28575</xdr:rowOff>
    </xdr:to>
    <xdr:pic>
      <xdr:nvPicPr>
        <xdr:cNvPr id="41983" name="Picture 9" descr="C:\WINDOWS\TEMP\~0003946.gif">
          <a:extLst>
            <a:ext uri="{FF2B5EF4-FFF2-40B4-BE49-F238E27FC236}">
              <a16:creationId xmlns:a16="http://schemas.microsoft.com/office/drawing/2014/main" id="{00000000-0008-0000-0E00-0000FFA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4212550" y="39633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290</xdr:row>
      <xdr:rowOff>0</xdr:rowOff>
    </xdr:from>
    <xdr:to>
      <xdr:col>22</xdr:col>
      <xdr:colOff>800100</xdr:colOff>
      <xdr:row>291</xdr:row>
      <xdr:rowOff>28575</xdr:rowOff>
    </xdr:to>
    <xdr:pic>
      <xdr:nvPicPr>
        <xdr:cNvPr id="70656" name="Picture 9" descr="C:\WINDOWS\TEMP\~0003946.gif">
          <a:extLst>
            <a:ext uri="{FF2B5EF4-FFF2-40B4-BE49-F238E27FC236}">
              <a16:creationId xmlns:a16="http://schemas.microsoft.com/office/drawing/2014/main" id="{00000000-0008-0000-0E00-00000014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58721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22</xdr:col>
      <xdr:colOff>1095375</xdr:colOff>
      <xdr:row>290</xdr:row>
      <xdr:rowOff>123825</xdr:rowOff>
    </xdr:from>
    <xdr:to>
      <xdr:col>22</xdr:col>
      <xdr:colOff>1895475</xdr:colOff>
      <xdr:row>291</xdr:row>
      <xdr:rowOff>152400</xdr:rowOff>
    </xdr:to>
    <xdr:pic>
      <xdr:nvPicPr>
        <xdr:cNvPr id="42993" name="Picture 5" descr="C:\WINDOWS\TEMP\~0003946.gif">
          <a:extLst>
            <a:ext uri="{FF2B5EF4-FFF2-40B4-BE49-F238E27FC236}">
              <a16:creationId xmlns:a16="http://schemas.microsoft.com/office/drawing/2014/main" id="{00000000-0008-0000-0F00-0000F1A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42994" name="Picture 6" descr="C:\WINDOWS\TEMP\~0003946.gif">
          <a:extLst>
            <a:ext uri="{FF2B5EF4-FFF2-40B4-BE49-F238E27FC236}">
              <a16:creationId xmlns:a16="http://schemas.microsoft.com/office/drawing/2014/main" id="{00000000-0008-0000-0F00-0000F2A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2995" name="Picture 7" descr="C:\WINDOWS\TEMP\~0003946.gif">
          <a:extLst>
            <a:ext uri="{FF2B5EF4-FFF2-40B4-BE49-F238E27FC236}">
              <a16:creationId xmlns:a16="http://schemas.microsoft.com/office/drawing/2014/main" id="{00000000-0008-0000-0F00-0000F3A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2996" name="Picture 8" descr="C:\WINDOWS\TEMP\~0003946.gif">
          <a:extLst>
            <a:ext uri="{FF2B5EF4-FFF2-40B4-BE49-F238E27FC236}">
              <a16:creationId xmlns:a16="http://schemas.microsoft.com/office/drawing/2014/main" id="{00000000-0008-0000-0F00-0000F4A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2997" name="Picture 13" descr="logoMTL">
          <a:extLst>
            <a:ext uri="{FF2B5EF4-FFF2-40B4-BE49-F238E27FC236}">
              <a16:creationId xmlns:a16="http://schemas.microsoft.com/office/drawing/2014/main" id="{00000000-0008-0000-0F00-0000F5A7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161925</xdr:rowOff>
    </xdr:to>
    <xdr:pic>
      <xdr:nvPicPr>
        <xdr:cNvPr id="42998" name="Picture 14" descr="logoMTL">
          <a:extLst>
            <a:ext uri="{FF2B5EF4-FFF2-40B4-BE49-F238E27FC236}">
              <a16:creationId xmlns:a16="http://schemas.microsoft.com/office/drawing/2014/main" id="{00000000-0008-0000-0F00-0000F6A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26725" y="275939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42999" name="Picture 15" descr="logoMTL">
          <a:extLst>
            <a:ext uri="{FF2B5EF4-FFF2-40B4-BE49-F238E27FC236}">
              <a16:creationId xmlns:a16="http://schemas.microsoft.com/office/drawing/2014/main" id="{00000000-0008-0000-0F00-0000F7A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290</xdr:row>
      <xdr:rowOff>0</xdr:rowOff>
    </xdr:from>
    <xdr:to>
      <xdr:col>21</xdr:col>
      <xdr:colOff>1228725</xdr:colOff>
      <xdr:row>291</xdr:row>
      <xdr:rowOff>123825</xdr:rowOff>
    </xdr:to>
    <xdr:pic>
      <xdr:nvPicPr>
        <xdr:cNvPr id="43000" name="Picture 16" descr="logoMTL">
          <a:extLst>
            <a:ext uri="{FF2B5EF4-FFF2-40B4-BE49-F238E27FC236}">
              <a16:creationId xmlns:a16="http://schemas.microsoft.com/office/drawing/2014/main" id="{00000000-0008-0000-0F00-0000F8A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743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291</xdr:row>
      <xdr:rowOff>0</xdr:rowOff>
    </xdr:from>
    <xdr:to>
      <xdr:col>1</xdr:col>
      <xdr:colOff>0</xdr:colOff>
      <xdr:row>291</xdr:row>
      <xdr:rowOff>238125</xdr:rowOff>
    </xdr:to>
    <xdr:pic>
      <xdr:nvPicPr>
        <xdr:cNvPr id="43001" name="Picture 1" descr="C:\WINDOWS\TEMP\Symbol.gif">
          <a:extLst>
            <a:ext uri="{FF2B5EF4-FFF2-40B4-BE49-F238E27FC236}">
              <a16:creationId xmlns:a16="http://schemas.microsoft.com/office/drawing/2014/main" id="{00000000-0008-0000-0F00-0000F9A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8921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196</xdr:row>
      <xdr:rowOff>0</xdr:rowOff>
    </xdr:from>
    <xdr:to>
      <xdr:col>1</xdr:col>
      <xdr:colOff>0</xdr:colOff>
      <xdr:row>196</xdr:row>
      <xdr:rowOff>238125</xdr:rowOff>
    </xdr:to>
    <xdr:pic>
      <xdr:nvPicPr>
        <xdr:cNvPr id="43002" name="Picture 1" descr="C:\WINDOWS\TEMP\Symbol.gif">
          <a:extLst>
            <a:ext uri="{FF2B5EF4-FFF2-40B4-BE49-F238E27FC236}">
              <a16:creationId xmlns:a16="http://schemas.microsoft.com/office/drawing/2014/main" id="{00000000-0008-0000-0F00-0000FAA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98335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136</xdr:row>
      <xdr:rowOff>0</xdr:rowOff>
    </xdr:from>
    <xdr:to>
      <xdr:col>1</xdr:col>
      <xdr:colOff>0</xdr:colOff>
      <xdr:row>136</xdr:row>
      <xdr:rowOff>238125</xdr:rowOff>
    </xdr:to>
    <xdr:pic>
      <xdr:nvPicPr>
        <xdr:cNvPr id="43003" name="Picture 1" descr="C:\WINDOWS\TEMP\Symbol.gif">
          <a:extLst>
            <a:ext uri="{FF2B5EF4-FFF2-40B4-BE49-F238E27FC236}">
              <a16:creationId xmlns:a16="http://schemas.microsoft.com/office/drawing/2014/main" id="{00000000-0008-0000-0F00-0000FBA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7755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43004" name="Picture 1" descr="C:\WINDOWS\TEMP\Symbol.gif">
          <a:extLst>
            <a:ext uri="{FF2B5EF4-FFF2-40B4-BE49-F238E27FC236}">
              <a16:creationId xmlns:a16="http://schemas.microsoft.com/office/drawing/2014/main" id="{00000000-0008-0000-0F00-0000FCA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195</xdr:row>
      <xdr:rowOff>0</xdr:rowOff>
    </xdr:from>
    <xdr:to>
      <xdr:col>22</xdr:col>
      <xdr:colOff>800100</xdr:colOff>
      <xdr:row>196</xdr:row>
      <xdr:rowOff>28575</xdr:rowOff>
    </xdr:to>
    <xdr:pic>
      <xdr:nvPicPr>
        <xdr:cNvPr id="43005" name="Picture 9" descr="C:\WINDOWS\TEMP\~0003946.gif">
          <a:extLst>
            <a:ext uri="{FF2B5EF4-FFF2-40B4-BE49-F238E27FC236}">
              <a16:creationId xmlns:a16="http://schemas.microsoft.com/office/drawing/2014/main" id="{00000000-0008-0000-0F00-0000FDA7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39633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135</xdr:row>
      <xdr:rowOff>0</xdr:rowOff>
    </xdr:from>
    <xdr:to>
      <xdr:col>22</xdr:col>
      <xdr:colOff>800100</xdr:colOff>
      <xdr:row>136</xdr:row>
      <xdr:rowOff>28575</xdr:rowOff>
    </xdr:to>
    <xdr:pic>
      <xdr:nvPicPr>
        <xdr:cNvPr id="43006" name="Picture 9" descr="C:\WINDOWS\TEMP\~0003946.gif">
          <a:extLst>
            <a:ext uri="{FF2B5EF4-FFF2-40B4-BE49-F238E27FC236}">
              <a16:creationId xmlns:a16="http://schemas.microsoft.com/office/drawing/2014/main" id="{00000000-0008-0000-0F00-0000FEA7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2755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62</xdr:row>
      <xdr:rowOff>0</xdr:rowOff>
    </xdr:from>
    <xdr:to>
      <xdr:col>22</xdr:col>
      <xdr:colOff>800100</xdr:colOff>
      <xdr:row>63</xdr:row>
      <xdr:rowOff>28575</xdr:rowOff>
    </xdr:to>
    <xdr:pic>
      <xdr:nvPicPr>
        <xdr:cNvPr id="43007" name="Picture 9" descr="C:\WINDOWS\TEMP\~0003946.gif">
          <a:extLst>
            <a:ext uri="{FF2B5EF4-FFF2-40B4-BE49-F238E27FC236}">
              <a16:creationId xmlns:a16="http://schemas.microsoft.com/office/drawing/2014/main" id="{00000000-0008-0000-0F00-0000FFA7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289</xdr:row>
      <xdr:rowOff>180975</xdr:rowOff>
    </xdr:from>
    <xdr:to>
      <xdr:col>22</xdr:col>
      <xdr:colOff>800100</xdr:colOff>
      <xdr:row>291</xdr:row>
      <xdr:rowOff>0</xdr:rowOff>
    </xdr:to>
    <xdr:pic>
      <xdr:nvPicPr>
        <xdr:cNvPr id="71680" name="Picture 9" descr="C:\WINDOWS\TEMP\~0003946.gif">
          <a:extLst>
            <a:ext uri="{FF2B5EF4-FFF2-40B4-BE49-F238E27FC236}">
              <a16:creationId xmlns:a16="http://schemas.microsoft.com/office/drawing/2014/main" id="{00000000-0008-0000-0F00-000000180100}"/>
            </a:ext>
          </a:extLst>
        </xdr:cNvPr>
        <xdr:cNvPicPr>
          <a:picLocks noChangeAspect="1" noChangeArrowheads="1"/>
        </xdr:cNvPicPr>
      </xdr:nvPicPr>
      <xdr:blipFill>
        <a:blip xmlns:r="http://schemas.openxmlformats.org/officeDocument/2006/relationships" r:embed="rId6" r:link="rId1" cstate="print">
          <a:extLst>
            <a:ext uri="{28A0092B-C50C-407E-A947-70E740481C1C}">
              <a14:useLocalDpi xmlns:a14="http://schemas.microsoft.com/office/drawing/2010/main" val="0"/>
            </a:ext>
          </a:extLst>
        </a:blip>
        <a:srcRect/>
        <a:stretch>
          <a:fillRect/>
        </a:stretch>
      </xdr:blipFill>
      <xdr:spPr bwMode="auto">
        <a:xfrm>
          <a:off x="24212550" y="58702575"/>
          <a:ext cx="8001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22</xdr:col>
      <xdr:colOff>1095375</xdr:colOff>
      <xdr:row>290</xdr:row>
      <xdr:rowOff>123825</xdr:rowOff>
    </xdr:from>
    <xdr:to>
      <xdr:col>22</xdr:col>
      <xdr:colOff>1895475</xdr:colOff>
      <xdr:row>291</xdr:row>
      <xdr:rowOff>152400</xdr:rowOff>
    </xdr:to>
    <xdr:pic>
      <xdr:nvPicPr>
        <xdr:cNvPr id="44017" name="Picture 5" descr="C:\WINDOWS\TEMP\~0003946.gif">
          <a:extLst>
            <a:ext uri="{FF2B5EF4-FFF2-40B4-BE49-F238E27FC236}">
              <a16:creationId xmlns:a16="http://schemas.microsoft.com/office/drawing/2014/main" id="{00000000-0008-0000-1000-0000F1A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44018" name="Picture 6" descr="C:\WINDOWS\TEMP\~0003946.gif">
          <a:extLst>
            <a:ext uri="{FF2B5EF4-FFF2-40B4-BE49-F238E27FC236}">
              <a16:creationId xmlns:a16="http://schemas.microsoft.com/office/drawing/2014/main" id="{00000000-0008-0000-1000-0000F2A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4019" name="Picture 7" descr="C:\WINDOWS\TEMP\~0003946.gif">
          <a:extLst>
            <a:ext uri="{FF2B5EF4-FFF2-40B4-BE49-F238E27FC236}">
              <a16:creationId xmlns:a16="http://schemas.microsoft.com/office/drawing/2014/main" id="{00000000-0008-0000-1000-0000F3A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4020" name="Picture 8" descr="C:\WINDOWS\TEMP\~0003946.gif">
          <a:extLst>
            <a:ext uri="{FF2B5EF4-FFF2-40B4-BE49-F238E27FC236}">
              <a16:creationId xmlns:a16="http://schemas.microsoft.com/office/drawing/2014/main" id="{00000000-0008-0000-1000-0000F4A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4021" name="Picture 13" descr="logoMTL">
          <a:extLst>
            <a:ext uri="{FF2B5EF4-FFF2-40B4-BE49-F238E27FC236}">
              <a16:creationId xmlns:a16="http://schemas.microsoft.com/office/drawing/2014/main" id="{00000000-0008-0000-1000-0000F5A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161925</xdr:rowOff>
    </xdr:to>
    <xdr:pic>
      <xdr:nvPicPr>
        <xdr:cNvPr id="44022" name="Picture 14" descr="logoMTL">
          <a:extLst>
            <a:ext uri="{FF2B5EF4-FFF2-40B4-BE49-F238E27FC236}">
              <a16:creationId xmlns:a16="http://schemas.microsoft.com/office/drawing/2014/main" id="{00000000-0008-0000-1000-0000F6A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26725" y="275939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44023" name="Picture 15" descr="logoMTL">
          <a:extLst>
            <a:ext uri="{FF2B5EF4-FFF2-40B4-BE49-F238E27FC236}">
              <a16:creationId xmlns:a16="http://schemas.microsoft.com/office/drawing/2014/main" id="{00000000-0008-0000-1000-0000F7A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290</xdr:row>
      <xdr:rowOff>0</xdr:rowOff>
    </xdr:from>
    <xdr:to>
      <xdr:col>21</xdr:col>
      <xdr:colOff>1228725</xdr:colOff>
      <xdr:row>291</xdr:row>
      <xdr:rowOff>123825</xdr:rowOff>
    </xdr:to>
    <xdr:pic>
      <xdr:nvPicPr>
        <xdr:cNvPr id="44024" name="Picture 16" descr="logoMTL">
          <a:extLst>
            <a:ext uri="{FF2B5EF4-FFF2-40B4-BE49-F238E27FC236}">
              <a16:creationId xmlns:a16="http://schemas.microsoft.com/office/drawing/2014/main" id="{00000000-0008-0000-1000-0000F8A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743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291</xdr:row>
      <xdr:rowOff>0</xdr:rowOff>
    </xdr:from>
    <xdr:to>
      <xdr:col>1</xdr:col>
      <xdr:colOff>0</xdr:colOff>
      <xdr:row>291</xdr:row>
      <xdr:rowOff>238125</xdr:rowOff>
    </xdr:to>
    <xdr:pic>
      <xdr:nvPicPr>
        <xdr:cNvPr id="44025" name="Picture 1" descr="C:\WINDOWS\TEMP\Symbol.gif">
          <a:extLst>
            <a:ext uri="{FF2B5EF4-FFF2-40B4-BE49-F238E27FC236}">
              <a16:creationId xmlns:a16="http://schemas.microsoft.com/office/drawing/2014/main" id="{00000000-0008-0000-1000-0000F9A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8921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196</xdr:row>
      <xdr:rowOff>0</xdr:rowOff>
    </xdr:from>
    <xdr:to>
      <xdr:col>1</xdr:col>
      <xdr:colOff>0</xdr:colOff>
      <xdr:row>196</xdr:row>
      <xdr:rowOff>238125</xdr:rowOff>
    </xdr:to>
    <xdr:pic>
      <xdr:nvPicPr>
        <xdr:cNvPr id="44026" name="Picture 1" descr="C:\WINDOWS\TEMP\Symbol.gif">
          <a:extLst>
            <a:ext uri="{FF2B5EF4-FFF2-40B4-BE49-F238E27FC236}">
              <a16:creationId xmlns:a16="http://schemas.microsoft.com/office/drawing/2014/main" id="{00000000-0008-0000-1000-0000FAA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98335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136</xdr:row>
      <xdr:rowOff>0</xdr:rowOff>
    </xdr:from>
    <xdr:to>
      <xdr:col>1</xdr:col>
      <xdr:colOff>0</xdr:colOff>
      <xdr:row>136</xdr:row>
      <xdr:rowOff>238125</xdr:rowOff>
    </xdr:to>
    <xdr:pic>
      <xdr:nvPicPr>
        <xdr:cNvPr id="44027" name="Picture 1" descr="C:\WINDOWS\TEMP\Symbol.gif">
          <a:extLst>
            <a:ext uri="{FF2B5EF4-FFF2-40B4-BE49-F238E27FC236}">
              <a16:creationId xmlns:a16="http://schemas.microsoft.com/office/drawing/2014/main" id="{00000000-0008-0000-1000-0000FBA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7755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44028" name="Picture 1" descr="C:\WINDOWS\TEMP\Symbol.gif">
          <a:extLst>
            <a:ext uri="{FF2B5EF4-FFF2-40B4-BE49-F238E27FC236}">
              <a16:creationId xmlns:a16="http://schemas.microsoft.com/office/drawing/2014/main" id="{00000000-0008-0000-1000-0000FCA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290</xdr:row>
      <xdr:rowOff>0</xdr:rowOff>
    </xdr:from>
    <xdr:to>
      <xdr:col>22</xdr:col>
      <xdr:colOff>800100</xdr:colOff>
      <xdr:row>291</xdr:row>
      <xdr:rowOff>28575</xdr:rowOff>
    </xdr:to>
    <xdr:pic>
      <xdr:nvPicPr>
        <xdr:cNvPr id="44029" name="Picture 9" descr="C:\WINDOWS\TEMP\~0003946.gif">
          <a:extLst>
            <a:ext uri="{FF2B5EF4-FFF2-40B4-BE49-F238E27FC236}">
              <a16:creationId xmlns:a16="http://schemas.microsoft.com/office/drawing/2014/main" id="{00000000-0008-0000-1000-0000FDAB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58721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195</xdr:row>
      <xdr:rowOff>0</xdr:rowOff>
    </xdr:from>
    <xdr:to>
      <xdr:col>22</xdr:col>
      <xdr:colOff>800100</xdr:colOff>
      <xdr:row>196</xdr:row>
      <xdr:rowOff>28575</xdr:rowOff>
    </xdr:to>
    <xdr:pic>
      <xdr:nvPicPr>
        <xdr:cNvPr id="44030" name="Picture 9" descr="C:\WINDOWS\TEMP\~0003946.gif">
          <a:extLst>
            <a:ext uri="{FF2B5EF4-FFF2-40B4-BE49-F238E27FC236}">
              <a16:creationId xmlns:a16="http://schemas.microsoft.com/office/drawing/2014/main" id="{00000000-0008-0000-1000-0000FEAB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39633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135</xdr:row>
      <xdr:rowOff>0</xdr:rowOff>
    </xdr:from>
    <xdr:to>
      <xdr:col>22</xdr:col>
      <xdr:colOff>800100</xdr:colOff>
      <xdr:row>136</xdr:row>
      <xdr:rowOff>28575</xdr:rowOff>
    </xdr:to>
    <xdr:pic>
      <xdr:nvPicPr>
        <xdr:cNvPr id="44031" name="Picture 9" descr="C:\WINDOWS\TEMP\~0003946.gif">
          <a:extLst>
            <a:ext uri="{FF2B5EF4-FFF2-40B4-BE49-F238E27FC236}">
              <a16:creationId xmlns:a16="http://schemas.microsoft.com/office/drawing/2014/main" id="{00000000-0008-0000-1000-0000FFAB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2755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62</xdr:row>
      <xdr:rowOff>0</xdr:rowOff>
    </xdr:from>
    <xdr:to>
      <xdr:col>22</xdr:col>
      <xdr:colOff>800100</xdr:colOff>
      <xdr:row>63</xdr:row>
      <xdr:rowOff>28575</xdr:rowOff>
    </xdr:to>
    <xdr:pic>
      <xdr:nvPicPr>
        <xdr:cNvPr id="72704" name="Picture 9" descr="C:\WINDOWS\TEMP\~0003946.gif">
          <a:extLst>
            <a:ext uri="{FF2B5EF4-FFF2-40B4-BE49-F238E27FC236}">
              <a16:creationId xmlns:a16="http://schemas.microsoft.com/office/drawing/2014/main" id="{00000000-0008-0000-1000-0000001C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22</xdr:col>
      <xdr:colOff>1095375</xdr:colOff>
      <xdr:row>290</xdr:row>
      <xdr:rowOff>123825</xdr:rowOff>
    </xdr:from>
    <xdr:to>
      <xdr:col>22</xdr:col>
      <xdr:colOff>1895475</xdr:colOff>
      <xdr:row>291</xdr:row>
      <xdr:rowOff>152400</xdr:rowOff>
    </xdr:to>
    <xdr:pic>
      <xdr:nvPicPr>
        <xdr:cNvPr id="45009" name="Picture 5" descr="C:\WINDOWS\TEMP\~0003946.gif">
          <a:extLst>
            <a:ext uri="{FF2B5EF4-FFF2-40B4-BE49-F238E27FC236}">
              <a16:creationId xmlns:a16="http://schemas.microsoft.com/office/drawing/2014/main" id="{00000000-0008-0000-1100-0000D1A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45010" name="Picture 6" descr="C:\WINDOWS\TEMP\~0003946.gif">
          <a:extLst>
            <a:ext uri="{FF2B5EF4-FFF2-40B4-BE49-F238E27FC236}">
              <a16:creationId xmlns:a16="http://schemas.microsoft.com/office/drawing/2014/main" id="{00000000-0008-0000-1100-0000D2A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5011" name="Picture 7" descr="C:\WINDOWS\TEMP\~0003946.gif">
          <a:extLst>
            <a:ext uri="{FF2B5EF4-FFF2-40B4-BE49-F238E27FC236}">
              <a16:creationId xmlns:a16="http://schemas.microsoft.com/office/drawing/2014/main" id="{00000000-0008-0000-1100-0000D3A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5012" name="Picture 8" descr="C:\WINDOWS\TEMP\~0003946.gif">
          <a:extLst>
            <a:ext uri="{FF2B5EF4-FFF2-40B4-BE49-F238E27FC236}">
              <a16:creationId xmlns:a16="http://schemas.microsoft.com/office/drawing/2014/main" id="{00000000-0008-0000-1100-0000D4A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5013" name="Picture 13" descr="logoMTL">
          <a:extLst>
            <a:ext uri="{FF2B5EF4-FFF2-40B4-BE49-F238E27FC236}">
              <a16:creationId xmlns:a16="http://schemas.microsoft.com/office/drawing/2014/main" id="{00000000-0008-0000-1100-0000D5AF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161925</xdr:rowOff>
    </xdr:to>
    <xdr:pic>
      <xdr:nvPicPr>
        <xdr:cNvPr id="45014" name="Picture 14" descr="logoMTL">
          <a:extLst>
            <a:ext uri="{FF2B5EF4-FFF2-40B4-BE49-F238E27FC236}">
              <a16:creationId xmlns:a16="http://schemas.microsoft.com/office/drawing/2014/main" id="{00000000-0008-0000-1100-0000D6A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26725" y="275939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45015" name="Picture 15" descr="logoMTL">
          <a:extLst>
            <a:ext uri="{FF2B5EF4-FFF2-40B4-BE49-F238E27FC236}">
              <a16:creationId xmlns:a16="http://schemas.microsoft.com/office/drawing/2014/main" id="{00000000-0008-0000-1100-0000D7A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290</xdr:row>
      <xdr:rowOff>0</xdr:rowOff>
    </xdr:from>
    <xdr:to>
      <xdr:col>21</xdr:col>
      <xdr:colOff>1228725</xdr:colOff>
      <xdr:row>291</xdr:row>
      <xdr:rowOff>123825</xdr:rowOff>
    </xdr:to>
    <xdr:pic>
      <xdr:nvPicPr>
        <xdr:cNvPr id="45016" name="Picture 16" descr="logoMTL">
          <a:extLst>
            <a:ext uri="{FF2B5EF4-FFF2-40B4-BE49-F238E27FC236}">
              <a16:creationId xmlns:a16="http://schemas.microsoft.com/office/drawing/2014/main" id="{00000000-0008-0000-1100-0000D8A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743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291</xdr:row>
      <xdr:rowOff>0</xdr:rowOff>
    </xdr:from>
    <xdr:to>
      <xdr:col>1</xdr:col>
      <xdr:colOff>0</xdr:colOff>
      <xdr:row>291</xdr:row>
      <xdr:rowOff>238125</xdr:rowOff>
    </xdr:to>
    <xdr:pic>
      <xdr:nvPicPr>
        <xdr:cNvPr id="45017" name="Picture 1" descr="C:\WINDOWS\TEMP\Symbol.gif">
          <a:extLst>
            <a:ext uri="{FF2B5EF4-FFF2-40B4-BE49-F238E27FC236}">
              <a16:creationId xmlns:a16="http://schemas.microsoft.com/office/drawing/2014/main" id="{00000000-0008-0000-1100-0000D9A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8921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196</xdr:row>
      <xdr:rowOff>0</xdr:rowOff>
    </xdr:from>
    <xdr:to>
      <xdr:col>1</xdr:col>
      <xdr:colOff>0</xdr:colOff>
      <xdr:row>196</xdr:row>
      <xdr:rowOff>238125</xdr:rowOff>
    </xdr:to>
    <xdr:pic>
      <xdr:nvPicPr>
        <xdr:cNvPr id="45018" name="Picture 1" descr="C:\WINDOWS\TEMP\Symbol.gif">
          <a:extLst>
            <a:ext uri="{FF2B5EF4-FFF2-40B4-BE49-F238E27FC236}">
              <a16:creationId xmlns:a16="http://schemas.microsoft.com/office/drawing/2014/main" id="{00000000-0008-0000-1100-0000DAA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98335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136</xdr:row>
      <xdr:rowOff>0</xdr:rowOff>
    </xdr:from>
    <xdr:to>
      <xdr:col>1</xdr:col>
      <xdr:colOff>0</xdr:colOff>
      <xdr:row>136</xdr:row>
      <xdr:rowOff>238125</xdr:rowOff>
    </xdr:to>
    <xdr:pic>
      <xdr:nvPicPr>
        <xdr:cNvPr id="45019" name="Picture 1" descr="C:\WINDOWS\TEMP\Symbol.gif">
          <a:extLst>
            <a:ext uri="{FF2B5EF4-FFF2-40B4-BE49-F238E27FC236}">
              <a16:creationId xmlns:a16="http://schemas.microsoft.com/office/drawing/2014/main" id="{00000000-0008-0000-1100-0000DBA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7755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45020" name="Picture 1" descr="C:\WINDOWS\TEMP\Symbol.gif">
          <a:extLst>
            <a:ext uri="{FF2B5EF4-FFF2-40B4-BE49-F238E27FC236}">
              <a16:creationId xmlns:a16="http://schemas.microsoft.com/office/drawing/2014/main" id="{00000000-0008-0000-1100-0000DCA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290</xdr:row>
      <xdr:rowOff>0</xdr:rowOff>
    </xdr:from>
    <xdr:to>
      <xdr:col>22</xdr:col>
      <xdr:colOff>800100</xdr:colOff>
      <xdr:row>291</xdr:row>
      <xdr:rowOff>28575</xdr:rowOff>
    </xdr:to>
    <xdr:pic>
      <xdr:nvPicPr>
        <xdr:cNvPr id="45021" name="Picture 9" descr="C:\WINDOWS\TEMP\~0003946.gif">
          <a:extLst>
            <a:ext uri="{FF2B5EF4-FFF2-40B4-BE49-F238E27FC236}">
              <a16:creationId xmlns:a16="http://schemas.microsoft.com/office/drawing/2014/main" id="{00000000-0008-0000-1100-0000DDAF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58721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195</xdr:row>
      <xdr:rowOff>0</xdr:rowOff>
    </xdr:from>
    <xdr:to>
      <xdr:col>22</xdr:col>
      <xdr:colOff>800100</xdr:colOff>
      <xdr:row>196</xdr:row>
      <xdr:rowOff>28575</xdr:rowOff>
    </xdr:to>
    <xdr:pic>
      <xdr:nvPicPr>
        <xdr:cNvPr id="45022" name="Picture 9" descr="C:\WINDOWS\TEMP\~0003946.gif">
          <a:extLst>
            <a:ext uri="{FF2B5EF4-FFF2-40B4-BE49-F238E27FC236}">
              <a16:creationId xmlns:a16="http://schemas.microsoft.com/office/drawing/2014/main" id="{00000000-0008-0000-1100-0000DEAF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39633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135</xdr:row>
      <xdr:rowOff>0</xdr:rowOff>
    </xdr:from>
    <xdr:to>
      <xdr:col>22</xdr:col>
      <xdr:colOff>800100</xdr:colOff>
      <xdr:row>136</xdr:row>
      <xdr:rowOff>28575</xdr:rowOff>
    </xdr:to>
    <xdr:pic>
      <xdr:nvPicPr>
        <xdr:cNvPr id="45023" name="Picture 9" descr="C:\WINDOWS\TEMP\~0003946.gif">
          <a:extLst>
            <a:ext uri="{FF2B5EF4-FFF2-40B4-BE49-F238E27FC236}">
              <a16:creationId xmlns:a16="http://schemas.microsoft.com/office/drawing/2014/main" id="{00000000-0008-0000-1100-0000DFAF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2755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62</xdr:row>
      <xdr:rowOff>0</xdr:rowOff>
    </xdr:from>
    <xdr:to>
      <xdr:col>22</xdr:col>
      <xdr:colOff>800100</xdr:colOff>
      <xdr:row>63</xdr:row>
      <xdr:rowOff>28575</xdr:rowOff>
    </xdr:to>
    <xdr:pic>
      <xdr:nvPicPr>
        <xdr:cNvPr id="45024" name="Picture 9" descr="C:\WINDOWS\TEMP\~0003946.gif">
          <a:extLst>
            <a:ext uri="{FF2B5EF4-FFF2-40B4-BE49-F238E27FC236}">
              <a16:creationId xmlns:a16="http://schemas.microsoft.com/office/drawing/2014/main" id="{00000000-0008-0000-1100-0000E0AF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22</xdr:col>
      <xdr:colOff>1095375</xdr:colOff>
      <xdr:row>290</xdr:row>
      <xdr:rowOff>123825</xdr:rowOff>
    </xdr:from>
    <xdr:to>
      <xdr:col>22</xdr:col>
      <xdr:colOff>1895475</xdr:colOff>
      <xdr:row>291</xdr:row>
      <xdr:rowOff>152400</xdr:rowOff>
    </xdr:to>
    <xdr:pic>
      <xdr:nvPicPr>
        <xdr:cNvPr id="46961" name="Picture 5" descr="C:\WINDOWS\TEMP\~0003946.gif">
          <a:extLst>
            <a:ext uri="{FF2B5EF4-FFF2-40B4-BE49-F238E27FC236}">
              <a16:creationId xmlns:a16="http://schemas.microsoft.com/office/drawing/2014/main" id="{00000000-0008-0000-1200-000071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46962" name="Picture 6" descr="C:\WINDOWS\TEMP\~0003946.gif">
          <a:extLst>
            <a:ext uri="{FF2B5EF4-FFF2-40B4-BE49-F238E27FC236}">
              <a16:creationId xmlns:a16="http://schemas.microsoft.com/office/drawing/2014/main" id="{00000000-0008-0000-1200-000072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6963" name="Picture 7" descr="C:\WINDOWS\TEMP\~0003946.gif">
          <a:extLst>
            <a:ext uri="{FF2B5EF4-FFF2-40B4-BE49-F238E27FC236}">
              <a16:creationId xmlns:a16="http://schemas.microsoft.com/office/drawing/2014/main" id="{00000000-0008-0000-1200-000073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6964" name="Picture 8" descr="C:\WINDOWS\TEMP\~0003946.gif">
          <a:extLst>
            <a:ext uri="{FF2B5EF4-FFF2-40B4-BE49-F238E27FC236}">
              <a16:creationId xmlns:a16="http://schemas.microsoft.com/office/drawing/2014/main" id="{00000000-0008-0000-1200-000074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6965" name="Picture 13" descr="logoMTL">
          <a:extLst>
            <a:ext uri="{FF2B5EF4-FFF2-40B4-BE49-F238E27FC236}">
              <a16:creationId xmlns:a16="http://schemas.microsoft.com/office/drawing/2014/main" id="{00000000-0008-0000-1200-000075B7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161925</xdr:rowOff>
    </xdr:to>
    <xdr:pic>
      <xdr:nvPicPr>
        <xdr:cNvPr id="46966" name="Picture 14" descr="logoMTL">
          <a:extLst>
            <a:ext uri="{FF2B5EF4-FFF2-40B4-BE49-F238E27FC236}">
              <a16:creationId xmlns:a16="http://schemas.microsoft.com/office/drawing/2014/main" id="{00000000-0008-0000-1200-000076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26725" y="275939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46967" name="Picture 15" descr="logoMTL">
          <a:extLst>
            <a:ext uri="{FF2B5EF4-FFF2-40B4-BE49-F238E27FC236}">
              <a16:creationId xmlns:a16="http://schemas.microsoft.com/office/drawing/2014/main" id="{00000000-0008-0000-1200-000077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290</xdr:row>
      <xdr:rowOff>0</xdr:rowOff>
    </xdr:from>
    <xdr:to>
      <xdr:col>21</xdr:col>
      <xdr:colOff>1228725</xdr:colOff>
      <xdr:row>291</xdr:row>
      <xdr:rowOff>123825</xdr:rowOff>
    </xdr:to>
    <xdr:pic>
      <xdr:nvPicPr>
        <xdr:cNvPr id="46968" name="Picture 16" descr="logoMTL">
          <a:extLst>
            <a:ext uri="{FF2B5EF4-FFF2-40B4-BE49-F238E27FC236}">
              <a16:creationId xmlns:a16="http://schemas.microsoft.com/office/drawing/2014/main" id="{00000000-0008-0000-1200-000078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743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291</xdr:row>
      <xdr:rowOff>0</xdr:rowOff>
    </xdr:from>
    <xdr:to>
      <xdr:col>1</xdr:col>
      <xdr:colOff>0</xdr:colOff>
      <xdr:row>291</xdr:row>
      <xdr:rowOff>238125</xdr:rowOff>
    </xdr:to>
    <xdr:pic>
      <xdr:nvPicPr>
        <xdr:cNvPr id="46969" name="Picture 1" descr="C:\WINDOWS\TEMP\Symbol.gif">
          <a:extLst>
            <a:ext uri="{FF2B5EF4-FFF2-40B4-BE49-F238E27FC236}">
              <a16:creationId xmlns:a16="http://schemas.microsoft.com/office/drawing/2014/main" id="{00000000-0008-0000-1200-000079B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8921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196</xdr:row>
      <xdr:rowOff>0</xdr:rowOff>
    </xdr:from>
    <xdr:to>
      <xdr:col>1</xdr:col>
      <xdr:colOff>0</xdr:colOff>
      <xdr:row>196</xdr:row>
      <xdr:rowOff>238125</xdr:rowOff>
    </xdr:to>
    <xdr:pic>
      <xdr:nvPicPr>
        <xdr:cNvPr id="46970" name="Picture 1" descr="C:\WINDOWS\TEMP\Symbol.gif">
          <a:extLst>
            <a:ext uri="{FF2B5EF4-FFF2-40B4-BE49-F238E27FC236}">
              <a16:creationId xmlns:a16="http://schemas.microsoft.com/office/drawing/2014/main" id="{00000000-0008-0000-1200-00007AB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98335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136</xdr:row>
      <xdr:rowOff>0</xdr:rowOff>
    </xdr:from>
    <xdr:to>
      <xdr:col>1</xdr:col>
      <xdr:colOff>0</xdr:colOff>
      <xdr:row>136</xdr:row>
      <xdr:rowOff>238125</xdr:rowOff>
    </xdr:to>
    <xdr:pic>
      <xdr:nvPicPr>
        <xdr:cNvPr id="46971" name="Picture 1" descr="C:\WINDOWS\TEMP\Symbol.gif">
          <a:extLst>
            <a:ext uri="{FF2B5EF4-FFF2-40B4-BE49-F238E27FC236}">
              <a16:creationId xmlns:a16="http://schemas.microsoft.com/office/drawing/2014/main" id="{00000000-0008-0000-1200-00007BB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7755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46972" name="Picture 1" descr="C:\WINDOWS\TEMP\Symbol.gif">
          <a:extLst>
            <a:ext uri="{FF2B5EF4-FFF2-40B4-BE49-F238E27FC236}">
              <a16:creationId xmlns:a16="http://schemas.microsoft.com/office/drawing/2014/main" id="{00000000-0008-0000-1200-00007CB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290</xdr:row>
      <xdr:rowOff>0</xdr:rowOff>
    </xdr:from>
    <xdr:to>
      <xdr:col>22</xdr:col>
      <xdr:colOff>800100</xdr:colOff>
      <xdr:row>291</xdr:row>
      <xdr:rowOff>28575</xdr:rowOff>
    </xdr:to>
    <xdr:pic>
      <xdr:nvPicPr>
        <xdr:cNvPr id="46973" name="Picture 9" descr="C:\WINDOWS\TEMP\~0003946.gif">
          <a:extLst>
            <a:ext uri="{FF2B5EF4-FFF2-40B4-BE49-F238E27FC236}">
              <a16:creationId xmlns:a16="http://schemas.microsoft.com/office/drawing/2014/main" id="{00000000-0008-0000-1200-00007DB7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58721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195</xdr:row>
      <xdr:rowOff>0</xdr:rowOff>
    </xdr:from>
    <xdr:to>
      <xdr:col>22</xdr:col>
      <xdr:colOff>800100</xdr:colOff>
      <xdr:row>196</xdr:row>
      <xdr:rowOff>28575</xdr:rowOff>
    </xdr:to>
    <xdr:pic>
      <xdr:nvPicPr>
        <xdr:cNvPr id="46974" name="Picture 9" descr="C:\WINDOWS\TEMP\~0003946.gif">
          <a:extLst>
            <a:ext uri="{FF2B5EF4-FFF2-40B4-BE49-F238E27FC236}">
              <a16:creationId xmlns:a16="http://schemas.microsoft.com/office/drawing/2014/main" id="{00000000-0008-0000-1200-00007EB7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39633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135</xdr:row>
      <xdr:rowOff>0</xdr:rowOff>
    </xdr:from>
    <xdr:to>
      <xdr:col>22</xdr:col>
      <xdr:colOff>800100</xdr:colOff>
      <xdr:row>136</xdr:row>
      <xdr:rowOff>28575</xdr:rowOff>
    </xdr:to>
    <xdr:pic>
      <xdr:nvPicPr>
        <xdr:cNvPr id="46975" name="Picture 9" descr="C:\WINDOWS\TEMP\~0003946.gif">
          <a:extLst>
            <a:ext uri="{FF2B5EF4-FFF2-40B4-BE49-F238E27FC236}">
              <a16:creationId xmlns:a16="http://schemas.microsoft.com/office/drawing/2014/main" id="{00000000-0008-0000-1200-00007FB7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2755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62</xdr:row>
      <xdr:rowOff>0</xdr:rowOff>
    </xdr:from>
    <xdr:to>
      <xdr:col>22</xdr:col>
      <xdr:colOff>800100</xdr:colOff>
      <xdr:row>63</xdr:row>
      <xdr:rowOff>28575</xdr:rowOff>
    </xdr:to>
    <xdr:pic>
      <xdr:nvPicPr>
        <xdr:cNvPr id="46976" name="Picture 9" descr="C:\WINDOWS\TEMP\~0003946.gif">
          <a:extLst>
            <a:ext uri="{FF2B5EF4-FFF2-40B4-BE49-F238E27FC236}">
              <a16:creationId xmlns:a16="http://schemas.microsoft.com/office/drawing/2014/main" id="{00000000-0008-0000-1200-000080B7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8657" name="Picture 1" descr="C:\WINDOWS\TEMP\Symbol.gif">
          <a:extLst>
            <a:ext uri="{FF2B5EF4-FFF2-40B4-BE49-F238E27FC236}">
              <a16:creationId xmlns:a16="http://schemas.microsoft.com/office/drawing/2014/main" id="{00000000-0008-0000-0100-0000F16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135</xdr:row>
      <xdr:rowOff>161925</xdr:rowOff>
    </xdr:from>
    <xdr:to>
      <xdr:col>1</xdr:col>
      <xdr:colOff>28575</xdr:colOff>
      <xdr:row>136</xdr:row>
      <xdr:rowOff>200025</xdr:rowOff>
    </xdr:to>
    <xdr:pic>
      <xdr:nvPicPr>
        <xdr:cNvPr id="28658" name="Picture 2" descr="C:\WINDOWS\TEMP\Symbol.gif">
          <a:extLst>
            <a:ext uri="{FF2B5EF4-FFF2-40B4-BE49-F238E27FC236}">
              <a16:creationId xmlns:a16="http://schemas.microsoft.com/office/drawing/2014/main" id="{00000000-0008-0000-0100-0000F26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717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28659" name="Picture 3" descr="C:\WINDOWS\TEMP\Symbol.gif">
          <a:extLst>
            <a:ext uri="{FF2B5EF4-FFF2-40B4-BE49-F238E27FC236}">
              <a16:creationId xmlns:a16="http://schemas.microsoft.com/office/drawing/2014/main" id="{00000000-0008-0000-0100-0000F36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28660" name="Picture 4" descr="C:\WINDOWS\TEMP\Symbol.gif">
          <a:extLst>
            <a:ext uri="{FF2B5EF4-FFF2-40B4-BE49-F238E27FC236}">
              <a16:creationId xmlns:a16="http://schemas.microsoft.com/office/drawing/2014/main" id="{00000000-0008-0000-0100-0000F46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278</xdr:row>
      <xdr:rowOff>123825</xdr:rowOff>
    </xdr:from>
    <xdr:to>
      <xdr:col>22</xdr:col>
      <xdr:colOff>1895475</xdr:colOff>
      <xdr:row>279</xdr:row>
      <xdr:rowOff>152400</xdr:rowOff>
    </xdr:to>
    <xdr:pic>
      <xdr:nvPicPr>
        <xdr:cNvPr id="28661" name="Picture 5" descr="C:\WINDOWS\TEMP\~0003946.gif">
          <a:extLst>
            <a:ext uri="{FF2B5EF4-FFF2-40B4-BE49-F238E27FC236}">
              <a16:creationId xmlns:a16="http://schemas.microsoft.com/office/drawing/2014/main" id="{00000000-0008-0000-0100-0000F56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28662" name="Picture 6" descr="C:\WINDOWS\TEMP\~0003946.gif">
          <a:extLst>
            <a:ext uri="{FF2B5EF4-FFF2-40B4-BE49-F238E27FC236}">
              <a16:creationId xmlns:a16="http://schemas.microsoft.com/office/drawing/2014/main" id="{00000000-0008-0000-0100-0000F66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28663" name="Picture 7" descr="C:\WINDOWS\TEMP\~0003946.gif">
          <a:extLst>
            <a:ext uri="{FF2B5EF4-FFF2-40B4-BE49-F238E27FC236}">
              <a16:creationId xmlns:a16="http://schemas.microsoft.com/office/drawing/2014/main" id="{00000000-0008-0000-0100-0000F76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28664" name="Picture 8" descr="C:\WINDOWS\TEMP\~0003946.gif">
          <a:extLst>
            <a:ext uri="{FF2B5EF4-FFF2-40B4-BE49-F238E27FC236}">
              <a16:creationId xmlns:a16="http://schemas.microsoft.com/office/drawing/2014/main" id="{00000000-0008-0000-0100-0000F86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28665" name="Picture 9" descr="C:\WINDOWS\TEMP\~0003946.gif">
          <a:extLst>
            <a:ext uri="{FF2B5EF4-FFF2-40B4-BE49-F238E27FC236}">
              <a16:creationId xmlns:a16="http://schemas.microsoft.com/office/drawing/2014/main" id="{00000000-0008-0000-0100-0000F96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135</xdr:row>
      <xdr:rowOff>123825</xdr:rowOff>
    </xdr:from>
    <xdr:to>
      <xdr:col>22</xdr:col>
      <xdr:colOff>895350</xdr:colOff>
      <xdr:row>136</xdr:row>
      <xdr:rowOff>152400</xdr:rowOff>
    </xdr:to>
    <xdr:pic>
      <xdr:nvPicPr>
        <xdr:cNvPr id="28666" name="Picture 10" descr="C:\WINDOWS\TEMP\~0003946.gif">
          <a:extLst>
            <a:ext uri="{FF2B5EF4-FFF2-40B4-BE49-F238E27FC236}">
              <a16:creationId xmlns:a16="http://schemas.microsoft.com/office/drawing/2014/main" id="{00000000-0008-0000-0100-0000FA6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679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28667" name="Picture 11" descr="C:\WINDOWS\TEMP\~0003946.gif">
          <a:extLst>
            <a:ext uri="{FF2B5EF4-FFF2-40B4-BE49-F238E27FC236}">
              <a16:creationId xmlns:a16="http://schemas.microsoft.com/office/drawing/2014/main" id="{00000000-0008-0000-0100-0000FB6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278</xdr:row>
      <xdr:rowOff>104775</xdr:rowOff>
    </xdr:from>
    <xdr:to>
      <xdr:col>22</xdr:col>
      <xdr:colOff>895350</xdr:colOff>
      <xdr:row>279</xdr:row>
      <xdr:rowOff>133350</xdr:rowOff>
    </xdr:to>
    <xdr:pic>
      <xdr:nvPicPr>
        <xdr:cNvPr id="28668" name="Picture 12" descr="C:\WINDOWS\TEMP\~0003946.gif">
          <a:extLst>
            <a:ext uri="{FF2B5EF4-FFF2-40B4-BE49-F238E27FC236}">
              <a16:creationId xmlns:a16="http://schemas.microsoft.com/office/drawing/2014/main" id="{00000000-0008-0000-0100-0000FC6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42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28669" name="Picture 13" descr="logoMTL">
          <a:extLst>
            <a:ext uri="{FF2B5EF4-FFF2-40B4-BE49-F238E27FC236}">
              <a16:creationId xmlns:a16="http://schemas.microsoft.com/office/drawing/2014/main" id="{00000000-0008-0000-0100-0000FD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161925</xdr:rowOff>
    </xdr:to>
    <xdr:pic>
      <xdr:nvPicPr>
        <xdr:cNvPr id="28670" name="Picture 14" descr="logoMTL">
          <a:extLst>
            <a:ext uri="{FF2B5EF4-FFF2-40B4-BE49-F238E27FC236}">
              <a16:creationId xmlns:a16="http://schemas.microsoft.com/office/drawing/2014/main" id="{00000000-0008-0000-0100-0000FE6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5939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28671" name="Picture 15" descr="logoMTL">
          <a:extLst>
            <a:ext uri="{FF2B5EF4-FFF2-40B4-BE49-F238E27FC236}">
              <a16:creationId xmlns:a16="http://schemas.microsoft.com/office/drawing/2014/main" id="{00000000-0008-0000-0100-0000FF6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278</xdr:row>
      <xdr:rowOff>0</xdr:rowOff>
    </xdr:from>
    <xdr:to>
      <xdr:col>21</xdr:col>
      <xdr:colOff>1228725</xdr:colOff>
      <xdr:row>279</xdr:row>
      <xdr:rowOff>123825</xdr:rowOff>
    </xdr:to>
    <xdr:pic>
      <xdr:nvPicPr>
        <xdr:cNvPr id="57344" name="Picture 16" descr="logoMTL">
          <a:extLst>
            <a:ext uri="{FF2B5EF4-FFF2-40B4-BE49-F238E27FC236}">
              <a16:creationId xmlns:a16="http://schemas.microsoft.com/office/drawing/2014/main" id="{00000000-0008-0000-0100-000000E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22</xdr:col>
      <xdr:colOff>1095375</xdr:colOff>
      <xdr:row>290</xdr:row>
      <xdr:rowOff>123825</xdr:rowOff>
    </xdr:from>
    <xdr:to>
      <xdr:col>22</xdr:col>
      <xdr:colOff>1895475</xdr:colOff>
      <xdr:row>291</xdr:row>
      <xdr:rowOff>152400</xdr:rowOff>
    </xdr:to>
    <xdr:pic>
      <xdr:nvPicPr>
        <xdr:cNvPr id="47873" name="Picture 5" descr="C:\WINDOWS\TEMP\~0003946.gif">
          <a:extLst>
            <a:ext uri="{FF2B5EF4-FFF2-40B4-BE49-F238E27FC236}">
              <a16:creationId xmlns:a16="http://schemas.microsoft.com/office/drawing/2014/main" id="{00000000-0008-0000-1300-000001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47874" name="Picture 6" descr="C:\WINDOWS\TEMP\~0003946.gif">
          <a:extLst>
            <a:ext uri="{FF2B5EF4-FFF2-40B4-BE49-F238E27FC236}">
              <a16:creationId xmlns:a16="http://schemas.microsoft.com/office/drawing/2014/main" id="{00000000-0008-0000-1300-000002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7875" name="Picture 7" descr="C:\WINDOWS\TEMP\~0003946.gif">
          <a:extLst>
            <a:ext uri="{FF2B5EF4-FFF2-40B4-BE49-F238E27FC236}">
              <a16:creationId xmlns:a16="http://schemas.microsoft.com/office/drawing/2014/main" id="{00000000-0008-0000-1300-000003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7876" name="Picture 8" descr="C:\WINDOWS\TEMP\~0003946.gif">
          <a:extLst>
            <a:ext uri="{FF2B5EF4-FFF2-40B4-BE49-F238E27FC236}">
              <a16:creationId xmlns:a16="http://schemas.microsoft.com/office/drawing/2014/main" id="{00000000-0008-0000-1300-000004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7877" name="Picture 13" descr="logoMTL">
          <a:extLst>
            <a:ext uri="{FF2B5EF4-FFF2-40B4-BE49-F238E27FC236}">
              <a16:creationId xmlns:a16="http://schemas.microsoft.com/office/drawing/2014/main" id="{00000000-0008-0000-1300-000005B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161925</xdr:rowOff>
    </xdr:to>
    <xdr:pic>
      <xdr:nvPicPr>
        <xdr:cNvPr id="47878" name="Picture 14" descr="logoMTL">
          <a:extLst>
            <a:ext uri="{FF2B5EF4-FFF2-40B4-BE49-F238E27FC236}">
              <a16:creationId xmlns:a16="http://schemas.microsoft.com/office/drawing/2014/main" id="{00000000-0008-0000-1300-000006B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26725" y="275939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47879" name="Picture 15" descr="logoMTL">
          <a:extLst>
            <a:ext uri="{FF2B5EF4-FFF2-40B4-BE49-F238E27FC236}">
              <a16:creationId xmlns:a16="http://schemas.microsoft.com/office/drawing/2014/main" id="{00000000-0008-0000-1300-000007B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290</xdr:row>
      <xdr:rowOff>0</xdr:rowOff>
    </xdr:from>
    <xdr:to>
      <xdr:col>21</xdr:col>
      <xdr:colOff>1228725</xdr:colOff>
      <xdr:row>291</xdr:row>
      <xdr:rowOff>123825</xdr:rowOff>
    </xdr:to>
    <xdr:pic>
      <xdr:nvPicPr>
        <xdr:cNvPr id="47880" name="Picture 16" descr="logoMTL">
          <a:extLst>
            <a:ext uri="{FF2B5EF4-FFF2-40B4-BE49-F238E27FC236}">
              <a16:creationId xmlns:a16="http://schemas.microsoft.com/office/drawing/2014/main" id="{00000000-0008-0000-1300-000008B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743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291</xdr:row>
      <xdr:rowOff>0</xdr:rowOff>
    </xdr:from>
    <xdr:to>
      <xdr:col>1</xdr:col>
      <xdr:colOff>0</xdr:colOff>
      <xdr:row>291</xdr:row>
      <xdr:rowOff>238125</xdr:rowOff>
    </xdr:to>
    <xdr:pic>
      <xdr:nvPicPr>
        <xdr:cNvPr id="47881" name="Picture 1" descr="C:\WINDOWS\TEMP\Symbol.gif">
          <a:extLst>
            <a:ext uri="{FF2B5EF4-FFF2-40B4-BE49-F238E27FC236}">
              <a16:creationId xmlns:a16="http://schemas.microsoft.com/office/drawing/2014/main" id="{00000000-0008-0000-1300-000009B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8921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196</xdr:row>
      <xdr:rowOff>0</xdr:rowOff>
    </xdr:from>
    <xdr:to>
      <xdr:col>1</xdr:col>
      <xdr:colOff>0</xdr:colOff>
      <xdr:row>196</xdr:row>
      <xdr:rowOff>238125</xdr:rowOff>
    </xdr:to>
    <xdr:pic>
      <xdr:nvPicPr>
        <xdr:cNvPr id="47882" name="Picture 1" descr="C:\WINDOWS\TEMP\Symbol.gif">
          <a:extLst>
            <a:ext uri="{FF2B5EF4-FFF2-40B4-BE49-F238E27FC236}">
              <a16:creationId xmlns:a16="http://schemas.microsoft.com/office/drawing/2014/main" id="{00000000-0008-0000-1300-00000AB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98335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136</xdr:row>
      <xdr:rowOff>0</xdr:rowOff>
    </xdr:from>
    <xdr:to>
      <xdr:col>1</xdr:col>
      <xdr:colOff>0</xdr:colOff>
      <xdr:row>136</xdr:row>
      <xdr:rowOff>238125</xdr:rowOff>
    </xdr:to>
    <xdr:pic>
      <xdr:nvPicPr>
        <xdr:cNvPr id="47883" name="Picture 1" descr="C:\WINDOWS\TEMP\Symbol.gif">
          <a:extLst>
            <a:ext uri="{FF2B5EF4-FFF2-40B4-BE49-F238E27FC236}">
              <a16:creationId xmlns:a16="http://schemas.microsoft.com/office/drawing/2014/main" id="{00000000-0008-0000-1300-00000BB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7755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47884" name="Picture 1" descr="C:\WINDOWS\TEMP\Symbol.gif">
          <a:extLst>
            <a:ext uri="{FF2B5EF4-FFF2-40B4-BE49-F238E27FC236}">
              <a16:creationId xmlns:a16="http://schemas.microsoft.com/office/drawing/2014/main" id="{00000000-0008-0000-1300-00000CB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62</xdr:row>
      <xdr:rowOff>0</xdr:rowOff>
    </xdr:from>
    <xdr:to>
      <xdr:col>22</xdr:col>
      <xdr:colOff>800100</xdr:colOff>
      <xdr:row>63</xdr:row>
      <xdr:rowOff>28575</xdr:rowOff>
    </xdr:to>
    <xdr:pic>
      <xdr:nvPicPr>
        <xdr:cNvPr id="47885" name="Picture 9" descr="C:\WINDOWS\TEMP\~0003946.gif">
          <a:extLst>
            <a:ext uri="{FF2B5EF4-FFF2-40B4-BE49-F238E27FC236}">
              <a16:creationId xmlns:a16="http://schemas.microsoft.com/office/drawing/2014/main" id="{00000000-0008-0000-1300-00000DBB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135</xdr:row>
      <xdr:rowOff>0</xdr:rowOff>
    </xdr:from>
    <xdr:to>
      <xdr:col>22</xdr:col>
      <xdr:colOff>800100</xdr:colOff>
      <xdr:row>136</xdr:row>
      <xdr:rowOff>28575</xdr:rowOff>
    </xdr:to>
    <xdr:pic>
      <xdr:nvPicPr>
        <xdr:cNvPr id="47886" name="Picture 9" descr="C:\WINDOWS\TEMP\~0003946.gif">
          <a:extLst>
            <a:ext uri="{FF2B5EF4-FFF2-40B4-BE49-F238E27FC236}">
              <a16:creationId xmlns:a16="http://schemas.microsoft.com/office/drawing/2014/main" id="{00000000-0008-0000-1300-00000EBB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2755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195</xdr:row>
      <xdr:rowOff>0</xdr:rowOff>
    </xdr:from>
    <xdr:to>
      <xdr:col>22</xdr:col>
      <xdr:colOff>800100</xdr:colOff>
      <xdr:row>196</xdr:row>
      <xdr:rowOff>28575</xdr:rowOff>
    </xdr:to>
    <xdr:pic>
      <xdr:nvPicPr>
        <xdr:cNvPr id="47887" name="Picture 9" descr="C:\WINDOWS\TEMP\~0003946.gif">
          <a:extLst>
            <a:ext uri="{FF2B5EF4-FFF2-40B4-BE49-F238E27FC236}">
              <a16:creationId xmlns:a16="http://schemas.microsoft.com/office/drawing/2014/main" id="{00000000-0008-0000-1300-00000FBB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39633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290</xdr:row>
      <xdr:rowOff>0</xdr:rowOff>
    </xdr:from>
    <xdr:to>
      <xdr:col>22</xdr:col>
      <xdr:colOff>800100</xdr:colOff>
      <xdr:row>291</xdr:row>
      <xdr:rowOff>28575</xdr:rowOff>
    </xdr:to>
    <xdr:pic>
      <xdr:nvPicPr>
        <xdr:cNvPr id="47888" name="Picture 9" descr="C:\WINDOWS\TEMP\~0003946.gif">
          <a:extLst>
            <a:ext uri="{FF2B5EF4-FFF2-40B4-BE49-F238E27FC236}">
              <a16:creationId xmlns:a16="http://schemas.microsoft.com/office/drawing/2014/main" id="{00000000-0008-0000-1300-000010BB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58721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22</xdr:col>
      <xdr:colOff>1095375</xdr:colOff>
      <xdr:row>290</xdr:row>
      <xdr:rowOff>123825</xdr:rowOff>
    </xdr:from>
    <xdr:to>
      <xdr:col>22</xdr:col>
      <xdr:colOff>1895475</xdr:colOff>
      <xdr:row>291</xdr:row>
      <xdr:rowOff>152400</xdr:rowOff>
    </xdr:to>
    <xdr:pic>
      <xdr:nvPicPr>
        <xdr:cNvPr id="48817" name="Picture 5" descr="C:\WINDOWS\TEMP\~0003946.gif">
          <a:extLst>
            <a:ext uri="{FF2B5EF4-FFF2-40B4-BE49-F238E27FC236}">
              <a16:creationId xmlns:a16="http://schemas.microsoft.com/office/drawing/2014/main" id="{00000000-0008-0000-1400-0000B1B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48818" name="Picture 6" descr="C:\WINDOWS\TEMP\~0003946.gif">
          <a:extLst>
            <a:ext uri="{FF2B5EF4-FFF2-40B4-BE49-F238E27FC236}">
              <a16:creationId xmlns:a16="http://schemas.microsoft.com/office/drawing/2014/main" id="{00000000-0008-0000-1400-0000B2B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8819" name="Picture 7" descr="C:\WINDOWS\TEMP\~0003946.gif">
          <a:extLst>
            <a:ext uri="{FF2B5EF4-FFF2-40B4-BE49-F238E27FC236}">
              <a16:creationId xmlns:a16="http://schemas.microsoft.com/office/drawing/2014/main" id="{00000000-0008-0000-1400-0000B3B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8820" name="Picture 8" descr="C:\WINDOWS\TEMP\~0003946.gif">
          <a:extLst>
            <a:ext uri="{FF2B5EF4-FFF2-40B4-BE49-F238E27FC236}">
              <a16:creationId xmlns:a16="http://schemas.microsoft.com/office/drawing/2014/main" id="{00000000-0008-0000-1400-0000B4B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8821" name="Picture 13" descr="logoMTL">
          <a:extLst>
            <a:ext uri="{FF2B5EF4-FFF2-40B4-BE49-F238E27FC236}">
              <a16:creationId xmlns:a16="http://schemas.microsoft.com/office/drawing/2014/main" id="{00000000-0008-0000-1400-0000B5B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161925</xdr:rowOff>
    </xdr:to>
    <xdr:pic>
      <xdr:nvPicPr>
        <xdr:cNvPr id="48822" name="Picture 14" descr="logoMTL">
          <a:extLst>
            <a:ext uri="{FF2B5EF4-FFF2-40B4-BE49-F238E27FC236}">
              <a16:creationId xmlns:a16="http://schemas.microsoft.com/office/drawing/2014/main" id="{00000000-0008-0000-1400-0000B6B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26725" y="275939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48823" name="Picture 15" descr="logoMTL">
          <a:extLst>
            <a:ext uri="{FF2B5EF4-FFF2-40B4-BE49-F238E27FC236}">
              <a16:creationId xmlns:a16="http://schemas.microsoft.com/office/drawing/2014/main" id="{00000000-0008-0000-1400-0000B7B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290</xdr:row>
      <xdr:rowOff>0</xdr:rowOff>
    </xdr:from>
    <xdr:to>
      <xdr:col>21</xdr:col>
      <xdr:colOff>1228725</xdr:colOff>
      <xdr:row>291</xdr:row>
      <xdr:rowOff>123825</xdr:rowOff>
    </xdr:to>
    <xdr:pic>
      <xdr:nvPicPr>
        <xdr:cNvPr id="48824" name="Picture 16" descr="logoMTL">
          <a:extLst>
            <a:ext uri="{FF2B5EF4-FFF2-40B4-BE49-F238E27FC236}">
              <a16:creationId xmlns:a16="http://schemas.microsoft.com/office/drawing/2014/main" id="{00000000-0008-0000-1400-0000B8B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743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291</xdr:row>
      <xdr:rowOff>0</xdr:rowOff>
    </xdr:from>
    <xdr:to>
      <xdr:col>1</xdr:col>
      <xdr:colOff>0</xdr:colOff>
      <xdr:row>291</xdr:row>
      <xdr:rowOff>238125</xdr:rowOff>
    </xdr:to>
    <xdr:pic>
      <xdr:nvPicPr>
        <xdr:cNvPr id="48825" name="Picture 1" descr="C:\WINDOWS\TEMP\Symbol.gif">
          <a:extLst>
            <a:ext uri="{FF2B5EF4-FFF2-40B4-BE49-F238E27FC236}">
              <a16:creationId xmlns:a16="http://schemas.microsoft.com/office/drawing/2014/main" id="{00000000-0008-0000-1400-0000B9B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8921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196</xdr:row>
      <xdr:rowOff>0</xdr:rowOff>
    </xdr:from>
    <xdr:to>
      <xdr:col>1</xdr:col>
      <xdr:colOff>0</xdr:colOff>
      <xdr:row>196</xdr:row>
      <xdr:rowOff>238125</xdr:rowOff>
    </xdr:to>
    <xdr:pic>
      <xdr:nvPicPr>
        <xdr:cNvPr id="48826" name="Picture 1" descr="C:\WINDOWS\TEMP\Symbol.gif">
          <a:extLst>
            <a:ext uri="{FF2B5EF4-FFF2-40B4-BE49-F238E27FC236}">
              <a16:creationId xmlns:a16="http://schemas.microsoft.com/office/drawing/2014/main" id="{00000000-0008-0000-1400-0000BAB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98335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136</xdr:row>
      <xdr:rowOff>0</xdr:rowOff>
    </xdr:from>
    <xdr:to>
      <xdr:col>1</xdr:col>
      <xdr:colOff>0</xdr:colOff>
      <xdr:row>136</xdr:row>
      <xdr:rowOff>238125</xdr:rowOff>
    </xdr:to>
    <xdr:pic>
      <xdr:nvPicPr>
        <xdr:cNvPr id="48827" name="Picture 1" descr="C:\WINDOWS\TEMP\Symbol.gif">
          <a:extLst>
            <a:ext uri="{FF2B5EF4-FFF2-40B4-BE49-F238E27FC236}">
              <a16:creationId xmlns:a16="http://schemas.microsoft.com/office/drawing/2014/main" id="{00000000-0008-0000-1400-0000BBB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7755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48828" name="Picture 1" descr="C:\WINDOWS\TEMP\Symbol.gif">
          <a:extLst>
            <a:ext uri="{FF2B5EF4-FFF2-40B4-BE49-F238E27FC236}">
              <a16:creationId xmlns:a16="http://schemas.microsoft.com/office/drawing/2014/main" id="{00000000-0008-0000-1400-0000BCB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290</xdr:row>
      <xdr:rowOff>0</xdr:rowOff>
    </xdr:from>
    <xdr:to>
      <xdr:col>22</xdr:col>
      <xdr:colOff>800100</xdr:colOff>
      <xdr:row>291</xdr:row>
      <xdr:rowOff>28575</xdr:rowOff>
    </xdr:to>
    <xdr:pic>
      <xdr:nvPicPr>
        <xdr:cNvPr id="48829" name="Picture 9" descr="C:\WINDOWS\TEMP\~0003946.gif">
          <a:extLst>
            <a:ext uri="{FF2B5EF4-FFF2-40B4-BE49-F238E27FC236}">
              <a16:creationId xmlns:a16="http://schemas.microsoft.com/office/drawing/2014/main" id="{00000000-0008-0000-1400-0000BDBE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58721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195</xdr:row>
      <xdr:rowOff>0</xdr:rowOff>
    </xdr:from>
    <xdr:to>
      <xdr:col>22</xdr:col>
      <xdr:colOff>800100</xdr:colOff>
      <xdr:row>196</xdr:row>
      <xdr:rowOff>28575</xdr:rowOff>
    </xdr:to>
    <xdr:pic>
      <xdr:nvPicPr>
        <xdr:cNvPr id="48830" name="Picture 9" descr="C:\WINDOWS\TEMP\~0003946.gif">
          <a:extLst>
            <a:ext uri="{FF2B5EF4-FFF2-40B4-BE49-F238E27FC236}">
              <a16:creationId xmlns:a16="http://schemas.microsoft.com/office/drawing/2014/main" id="{00000000-0008-0000-1400-0000BEBE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39633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135</xdr:row>
      <xdr:rowOff>0</xdr:rowOff>
    </xdr:from>
    <xdr:to>
      <xdr:col>22</xdr:col>
      <xdr:colOff>800100</xdr:colOff>
      <xdr:row>136</xdr:row>
      <xdr:rowOff>28575</xdr:rowOff>
    </xdr:to>
    <xdr:pic>
      <xdr:nvPicPr>
        <xdr:cNvPr id="48831" name="Picture 9" descr="C:\WINDOWS\TEMP\~0003946.gif">
          <a:extLst>
            <a:ext uri="{FF2B5EF4-FFF2-40B4-BE49-F238E27FC236}">
              <a16:creationId xmlns:a16="http://schemas.microsoft.com/office/drawing/2014/main" id="{00000000-0008-0000-1400-0000BFBE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2755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62</xdr:row>
      <xdr:rowOff>0</xdr:rowOff>
    </xdr:from>
    <xdr:to>
      <xdr:col>22</xdr:col>
      <xdr:colOff>800100</xdr:colOff>
      <xdr:row>63</xdr:row>
      <xdr:rowOff>28575</xdr:rowOff>
    </xdr:to>
    <xdr:pic>
      <xdr:nvPicPr>
        <xdr:cNvPr id="48832" name="Picture 9" descr="C:\WINDOWS\TEMP\~0003946.gif">
          <a:extLst>
            <a:ext uri="{FF2B5EF4-FFF2-40B4-BE49-F238E27FC236}">
              <a16:creationId xmlns:a16="http://schemas.microsoft.com/office/drawing/2014/main" id="{00000000-0008-0000-1400-0000C0BE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22</xdr:col>
      <xdr:colOff>1095375</xdr:colOff>
      <xdr:row>290</xdr:row>
      <xdr:rowOff>123825</xdr:rowOff>
    </xdr:from>
    <xdr:to>
      <xdr:col>22</xdr:col>
      <xdr:colOff>1895475</xdr:colOff>
      <xdr:row>291</xdr:row>
      <xdr:rowOff>152400</xdr:rowOff>
    </xdr:to>
    <xdr:pic>
      <xdr:nvPicPr>
        <xdr:cNvPr id="50641" name="Picture 5" descr="C:\WINDOWS\TEMP\~0003946.gif">
          <a:extLst>
            <a:ext uri="{FF2B5EF4-FFF2-40B4-BE49-F238E27FC236}">
              <a16:creationId xmlns:a16="http://schemas.microsoft.com/office/drawing/2014/main" id="{00000000-0008-0000-1500-0000D1C5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50642" name="Picture 6" descr="C:\WINDOWS\TEMP\~0003946.gif">
          <a:extLst>
            <a:ext uri="{FF2B5EF4-FFF2-40B4-BE49-F238E27FC236}">
              <a16:creationId xmlns:a16="http://schemas.microsoft.com/office/drawing/2014/main" id="{00000000-0008-0000-1500-0000D2C5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50643" name="Picture 7" descr="C:\WINDOWS\TEMP\~0003946.gif">
          <a:extLst>
            <a:ext uri="{FF2B5EF4-FFF2-40B4-BE49-F238E27FC236}">
              <a16:creationId xmlns:a16="http://schemas.microsoft.com/office/drawing/2014/main" id="{00000000-0008-0000-1500-0000D3C5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0644" name="Picture 8" descr="C:\WINDOWS\TEMP\~0003946.gif">
          <a:extLst>
            <a:ext uri="{FF2B5EF4-FFF2-40B4-BE49-F238E27FC236}">
              <a16:creationId xmlns:a16="http://schemas.microsoft.com/office/drawing/2014/main" id="{00000000-0008-0000-1500-0000D4C5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0645" name="Picture 13" descr="logoMTL">
          <a:extLst>
            <a:ext uri="{FF2B5EF4-FFF2-40B4-BE49-F238E27FC236}">
              <a16:creationId xmlns:a16="http://schemas.microsoft.com/office/drawing/2014/main" id="{00000000-0008-0000-1500-0000D5C5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161925</xdr:rowOff>
    </xdr:to>
    <xdr:pic>
      <xdr:nvPicPr>
        <xdr:cNvPr id="50646" name="Picture 14" descr="logoMTL">
          <a:extLst>
            <a:ext uri="{FF2B5EF4-FFF2-40B4-BE49-F238E27FC236}">
              <a16:creationId xmlns:a16="http://schemas.microsoft.com/office/drawing/2014/main" id="{00000000-0008-0000-1500-0000D6C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26725" y="275939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50647" name="Picture 15" descr="logoMTL">
          <a:extLst>
            <a:ext uri="{FF2B5EF4-FFF2-40B4-BE49-F238E27FC236}">
              <a16:creationId xmlns:a16="http://schemas.microsoft.com/office/drawing/2014/main" id="{00000000-0008-0000-1500-0000D7C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290</xdr:row>
      <xdr:rowOff>0</xdr:rowOff>
    </xdr:from>
    <xdr:to>
      <xdr:col>21</xdr:col>
      <xdr:colOff>1228725</xdr:colOff>
      <xdr:row>291</xdr:row>
      <xdr:rowOff>123825</xdr:rowOff>
    </xdr:to>
    <xdr:pic>
      <xdr:nvPicPr>
        <xdr:cNvPr id="50648" name="Picture 16" descr="logoMTL">
          <a:extLst>
            <a:ext uri="{FF2B5EF4-FFF2-40B4-BE49-F238E27FC236}">
              <a16:creationId xmlns:a16="http://schemas.microsoft.com/office/drawing/2014/main" id="{00000000-0008-0000-1500-0000D8C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743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291</xdr:row>
      <xdr:rowOff>0</xdr:rowOff>
    </xdr:from>
    <xdr:to>
      <xdr:col>1</xdr:col>
      <xdr:colOff>0</xdr:colOff>
      <xdr:row>291</xdr:row>
      <xdr:rowOff>238125</xdr:rowOff>
    </xdr:to>
    <xdr:pic>
      <xdr:nvPicPr>
        <xdr:cNvPr id="50649" name="Picture 1" descr="C:\WINDOWS\TEMP\Symbol.gif">
          <a:extLst>
            <a:ext uri="{FF2B5EF4-FFF2-40B4-BE49-F238E27FC236}">
              <a16:creationId xmlns:a16="http://schemas.microsoft.com/office/drawing/2014/main" id="{00000000-0008-0000-1500-0000D9C5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8921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196</xdr:row>
      <xdr:rowOff>0</xdr:rowOff>
    </xdr:from>
    <xdr:to>
      <xdr:col>1</xdr:col>
      <xdr:colOff>0</xdr:colOff>
      <xdr:row>196</xdr:row>
      <xdr:rowOff>238125</xdr:rowOff>
    </xdr:to>
    <xdr:pic>
      <xdr:nvPicPr>
        <xdr:cNvPr id="50650" name="Picture 1" descr="C:\WINDOWS\TEMP\Symbol.gif">
          <a:extLst>
            <a:ext uri="{FF2B5EF4-FFF2-40B4-BE49-F238E27FC236}">
              <a16:creationId xmlns:a16="http://schemas.microsoft.com/office/drawing/2014/main" id="{00000000-0008-0000-1500-0000DAC5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98335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136</xdr:row>
      <xdr:rowOff>0</xdr:rowOff>
    </xdr:from>
    <xdr:to>
      <xdr:col>1</xdr:col>
      <xdr:colOff>0</xdr:colOff>
      <xdr:row>136</xdr:row>
      <xdr:rowOff>238125</xdr:rowOff>
    </xdr:to>
    <xdr:pic>
      <xdr:nvPicPr>
        <xdr:cNvPr id="50651" name="Picture 1" descr="C:\WINDOWS\TEMP\Symbol.gif">
          <a:extLst>
            <a:ext uri="{FF2B5EF4-FFF2-40B4-BE49-F238E27FC236}">
              <a16:creationId xmlns:a16="http://schemas.microsoft.com/office/drawing/2014/main" id="{00000000-0008-0000-1500-0000DBC5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7755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50652" name="Picture 1" descr="C:\WINDOWS\TEMP\Symbol.gif">
          <a:extLst>
            <a:ext uri="{FF2B5EF4-FFF2-40B4-BE49-F238E27FC236}">
              <a16:creationId xmlns:a16="http://schemas.microsoft.com/office/drawing/2014/main" id="{00000000-0008-0000-1500-0000DCC5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290</xdr:row>
      <xdr:rowOff>0</xdr:rowOff>
    </xdr:from>
    <xdr:to>
      <xdr:col>22</xdr:col>
      <xdr:colOff>800100</xdr:colOff>
      <xdr:row>291</xdr:row>
      <xdr:rowOff>28575</xdr:rowOff>
    </xdr:to>
    <xdr:pic>
      <xdr:nvPicPr>
        <xdr:cNvPr id="50653" name="Picture 9" descr="C:\WINDOWS\TEMP\~0003946.gif">
          <a:extLst>
            <a:ext uri="{FF2B5EF4-FFF2-40B4-BE49-F238E27FC236}">
              <a16:creationId xmlns:a16="http://schemas.microsoft.com/office/drawing/2014/main" id="{00000000-0008-0000-1500-0000DDC5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58721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195</xdr:row>
      <xdr:rowOff>0</xdr:rowOff>
    </xdr:from>
    <xdr:to>
      <xdr:col>22</xdr:col>
      <xdr:colOff>800100</xdr:colOff>
      <xdr:row>196</xdr:row>
      <xdr:rowOff>28575</xdr:rowOff>
    </xdr:to>
    <xdr:pic>
      <xdr:nvPicPr>
        <xdr:cNvPr id="50654" name="Picture 9" descr="C:\WINDOWS\TEMP\~0003946.gif">
          <a:extLst>
            <a:ext uri="{FF2B5EF4-FFF2-40B4-BE49-F238E27FC236}">
              <a16:creationId xmlns:a16="http://schemas.microsoft.com/office/drawing/2014/main" id="{00000000-0008-0000-1500-0000DEC5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39633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135</xdr:row>
      <xdr:rowOff>0</xdr:rowOff>
    </xdr:from>
    <xdr:to>
      <xdr:col>22</xdr:col>
      <xdr:colOff>800100</xdr:colOff>
      <xdr:row>136</xdr:row>
      <xdr:rowOff>28575</xdr:rowOff>
    </xdr:to>
    <xdr:pic>
      <xdr:nvPicPr>
        <xdr:cNvPr id="50655" name="Picture 9" descr="C:\WINDOWS\TEMP\~0003946.gif">
          <a:extLst>
            <a:ext uri="{FF2B5EF4-FFF2-40B4-BE49-F238E27FC236}">
              <a16:creationId xmlns:a16="http://schemas.microsoft.com/office/drawing/2014/main" id="{00000000-0008-0000-1500-0000DFC5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2755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62</xdr:row>
      <xdr:rowOff>0</xdr:rowOff>
    </xdr:from>
    <xdr:to>
      <xdr:col>22</xdr:col>
      <xdr:colOff>800100</xdr:colOff>
      <xdr:row>63</xdr:row>
      <xdr:rowOff>28575</xdr:rowOff>
    </xdr:to>
    <xdr:pic>
      <xdr:nvPicPr>
        <xdr:cNvPr id="50656" name="Picture 9" descr="C:\WINDOWS\TEMP\~0003946.gif">
          <a:extLst>
            <a:ext uri="{FF2B5EF4-FFF2-40B4-BE49-F238E27FC236}">
              <a16:creationId xmlns:a16="http://schemas.microsoft.com/office/drawing/2014/main" id="{00000000-0008-0000-1500-0000E0C5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42125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2513" name="Picture 1" descr="C:\WINDOWS\TEMP\Symbol.gif">
          <a:extLst>
            <a:ext uri="{FF2B5EF4-FFF2-40B4-BE49-F238E27FC236}">
              <a16:creationId xmlns:a16="http://schemas.microsoft.com/office/drawing/2014/main" id="{00000000-0008-0000-1600-000021C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135</xdr:row>
      <xdr:rowOff>161925</xdr:rowOff>
    </xdr:from>
    <xdr:to>
      <xdr:col>1</xdr:col>
      <xdr:colOff>28575</xdr:colOff>
      <xdr:row>136</xdr:row>
      <xdr:rowOff>200025</xdr:rowOff>
    </xdr:to>
    <xdr:pic>
      <xdr:nvPicPr>
        <xdr:cNvPr id="52514" name="Picture 2" descr="C:\WINDOWS\TEMP\Symbol.gif">
          <a:extLst>
            <a:ext uri="{FF2B5EF4-FFF2-40B4-BE49-F238E27FC236}">
              <a16:creationId xmlns:a16="http://schemas.microsoft.com/office/drawing/2014/main" id="{00000000-0008-0000-1600-000022C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717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52515" name="Picture 3" descr="C:\WINDOWS\TEMP\Symbol.gif">
          <a:extLst>
            <a:ext uri="{FF2B5EF4-FFF2-40B4-BE49-F238E27FC236}">
              <a16:creationId xmlns:a16="http://schemas.microsoft.com/office/drawing/2014/main" id="{00000000-0008-0000-1600-000023C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290</xdr:row>
      <xdr:rowOff>161925</xdr:rowOff>
    </xdr:from>
    <xdr:to>
      <xdr:col>1</xdr:col>
      <xdr:colOff>19050</xdr:colOff>
      <xdr:row>291</xdr:row>
      <xdr:rowOff>200025</xdr:rowOff>
    </xdr:to>
    <xdr:pic>
      <xdr:nvPicPr>
        <xdr:cNvPr id="52516" name="Picture 4" descr="C:\WINDOWS\TEMP\Symbol.gif">
          <a:extLst>
            <a:ext uri="{FF2B5EF4-FFF2-40B4-BE49-F238E27FC236}">
              <a16:creationId xmlns:a16="http://schemas.microsoft.com/office/drawing/2014/main" id="{00000000-0008-0000-1600-000024C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88835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290</xdr:row>
      <xdr:rowOff>123825</xdr:rowOff>
    </xdr:from>
    <xdr:to>
      <xdr:col>22</xdr:col>
      <xdr:colOff>1895475</xdr:colOff>
      <xdr:row>291</xdr:row>
      <xdr:rowOff>152400</xdr:rowOff>
    </xdr:to>
    <xdr:pic>
      <xdr:nvPicPr>
        <xdr:cNvPr id="52517" name="Picture 5" descr="C:\WINDOWS\TEMP\~0003946.gif">
          <a:extLst>
            <a:ext uri="{FF2B5EF4-FFF2-40B4-BE49-F238E27FC236}">
              <a16:creationId xmlns:a16="http://schemas.microsoft.com/office/drawing/2014/main" id="{00000000-0008-0000-1600-000025CD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52518" name="Picture 6" descr="C:\WINDOWS\TEMP\~0003946.gif">
          <a:extLst>
            <a:ext uri="{FF2B5EF4-FFF2-40B4-BE49-F238E27FC236}">
              <a16:creationId xmlns:a16="http://schemas.microsoft.com/office/drawing/2014/main" id="{00000000-0008-0000-1600-000026CD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52519" name="Picture 7" descr="C:\WINDOWS\TEMP\~0003946.gif">
          <a:extLst>
            <a:ext uri="{FF2B5EF4-FFF2-40B4-BE49-F238E27FC236}">
              <a16:creationId xmlns:a16="http://schemas.microsoft.com/office/drawing/2014/main" id="{00000000-0008-0000-1600-000027CD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2520" name="Picture 8" descr="C:\WINDOWS\TEMP\~0003946.gif">
          <a:extLst>
            <a:ext uri="{FF2B5EF4-FFF2-40B4-BE49-F238E27FC236}">
              <a16:creationId xmlns:a16="http://schemas.microsoft.com/office/drawing/2014/main" id="{00000000-0008-0000-1600-000028CD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2521" name="Picture 9" descr="C:\WINDOWS\TEMP\~0003946.gif">
          <a:extLst>
            <a:ext uri="{FF2B5EF4-FFF2-40B4-BE49-F238E27FC236}">
              <a16:creationId xmlns:a16="http://schemas.microsoft.com/office/drawing/2014/main" id="{00000000-0008-0000-1600-000029CD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135</xdr:row>
      <xdr:rowOff>123825</xdr:rowOff>
    </xdr:from>
    <xdr:to>
      <xdr:col>22</xdr:col>
      <xdr:colOff>895350</xdr:colOff>
      <xdr:row>136</xdr:row>
      <xdr:rowOff>152400</xdr:rowOff>
    </xdr:to>
    <xdr:pic>
      <xdr:nvPicPr>
        <xdr:cNvPr id="52522" name="Picture 10" descr="C:\WINDOWS\TEMP\~0003946.gif">
          <a:extLst>
            <a:ext uri="{FF2B5EF4-FFF2-40B4-BE49-F238E27FC236}">
              <a16:creationId xmlns:a16="http://schemas.microsoft.com/office/drawing/2014/main" id="{00000000-0008-0000-1600-00002ACD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27679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52523" name="Picture 11" descr="C:\WINDOWS\TEMP\~0003946.gif">
          <a:extLst>
            <a:ext uri="{FF2B5EF4-FFF2-40B4-BE49-F238E27FC236}">
              <a16:creationId xmlns:a16="http://schemas.microsoft.com/office/drawing/2014/main" id="{00000000-0008-0000-1600-00002BCD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220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290</xdr:row>
      <xdr:rowOff>104775</xdr:rowOff>
    </xdr:from>
    <xdr:to>
      <xdr:col>22</xdr:col>
      <xdr:colOff>895350</xdr:colOff>
      <xdr:row>291</xdr:row>
      <xdr:rowOff>133350</xdr:rowOff>
    </xdr:to>
    <xdr:pic>
      <xdr:nvPicPr>
        <xdr:cNvPr id="52524" name="Picture 12" descr="C:\WINDOWS\TEMP\~0003946.gif">
          <a:extLst>
            <a:ext uri="{FF2B5EF4-FFF2-40B4-BE49-F238E27FC236}">
              <a16:creationId xmlns:a16="http://schemas.microsoft.com/office/drawing/2014/main" id="{00000000-0008-0000-1600-00002CCD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588264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2525" name="Picture 13" descr="logoMTL">
          <a:extLst>
            <a:ext uri="{FF2B5EF4-FFF2-40B4-BE49-F238E27FC236}">
              <a16:creationId xmlns:a16="http://schemas.microsoft.com/office/drawing/2014/main" id="{00000000-0008-0000-1600-00002DC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161925</xdr:rowOff>
    </xdr:to>
    <xdr:pic>
      <xdr:nvPicPr>
        <xdr:cNvPr id="52526" name="Picture 14" descr="logoMTL">
          <a:extLst>
            <a:ext uri="{FF2B5EF4-FFF2-40B4-BE49-F238E27FC236}">
              <a16:creationId xmlns:a16="http://schemas.microsoft.com/office/drawing/2014/main" id="{00000000-0008-0000-1600-00002EC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5939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52527" name="Picture 15" descr="logoMTL">
          <a:extLst>
            <a:ext uri="{FF2B5EF4-FFF2-40B4-BE49-F238E27FC236}">
              <a16:creationId xmlns:a16="http://schemas.microsoft.com/office/drawing/2014/main" id="{00000000-0008-0000-1600-00002FC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290</xdr:row>
      <xdr:rowOff>0</xdr:rowOff>
    </xdr:from>
    <xdr:to>
      <xdr:col>21</xdr:col>
      <xdr:colOff>1228725</xdr:colOff>
      <xdr:row>291</xdr:row>
      <xdr:rowOff>123825</xdr:rowOff>
    </xdr:to>
    <xdr:pic>
      <xdr:nvPicPr>
        <xdr:cNvPr id="52528" name="Picture 16" descr="logoMTL">
          <a:extLst>
            <a:ext uri="{FF2B5EF4-FFF2-40B4-BE49-F238E27FC236}">
              <a16:creationId xmlns:a16="http://schemas.microsoft.com/office/drawing/2014/main" id="{00000000-0008-0000-1600-000030C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4369" name="Picture 1" descr="C:\WINDOWS\TEMP\Symbol.gif">
          <a:extLst>
            <a:ext uri="{FF2B5EF4-FFF2-40B4-BE49-F238E27FC236}">
              <a16:creationId xmlns:a16="http://schemas.microsoft.com/office/drawing/2014/main" id="{00000000-0008-0000-1700-000061D4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135</xdr:row>
      <xdr:rowOff>161925</xdr:rowOff>
    </xdr:from>
    <xdr:to>
      <xdr:col>1</xdr:col>
      <xdr:colOff>28575</xdr:colOff>
      <xdr:row>136</xdr:row>
      <xdr:rowOff>200025</xdr:rowOff>
    </xdr:to>
    <xdr:pic>
      <xdr:nvPicPr>
        <xdr:cNvPr id="54370" name="Picture 2" descr="C:\WINDOWS\TEMP\Symbol.gif">
          <a:extLst>
            <a:ext uri="{FF2B5EF4-FFF2-40B4-BE49-F238E27FC236}">
              <a16:creationId xmlns:a16="http://schemas.microsoft.com/office/drawing/2014/main" id="{00000000-0008-0000-1700-000062D4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717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54371" name="Picture 3" descr="C:\WINDOWS\TEMP\Symbol.gif">
          <a:extLst>
            <a:ext uri="{FF2B5EF4-FFF2-40B4-BE49-F238E27FC236}">
              <a16:creationId xmlns:a16="http://schemas.microsoft.com/office/drawing/2014/main" id="{00000000-0008-0000-1700-000063D4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290</xdr:row>
      <xdr:rowOff>161925</xdr:rowOff>
    </xdr:from>
    <xdr:to>
      <xdr:col>1</xdr:col>
      <xdr:colOff>19050</xdr:colOff>
      <xdr:row>291</xdr:row>
      <xdr:rowOff>200025</xdr:rowOff>
    </xdr:to>
    <xdr:pic>
      <xdr:nvPicPr>
        <xdr:cNvPr id="54372" name="Picture 4" descr="C:\WINDOWS\TEMP\Symbol.gif">
          <a:extLst>
            <a:ext uri="{FF2B5EF4-FFF2-40B4-BE49-F238E27FC236}">
              <a16:creationId xmlns:a16="http://schemas.microsoft.com/office/drawing/2014/main" id="{00000000-0008-0000-1700-000064D4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8835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290</xdr:row>
      <xdr:rowOff>123825</xdr:rowOff>
    </xdr:from>
    <xdr:to>
      <xdr:col>22</xdr:col>
      <xdr:colOff>1895475</xdr:colOff>
      <xdr:row>291</xdr:row>
      <xdr:rowOff>152400</xdr:rowOff>
    </xdr:to>
    <xdr:pic>
      <xdr:nvPicPr>
        <xdr:cNvPr id="54373" name="Picture 5" descr="C:\WINDOWS\TEMP\~0003946.gif">
          <a:extLst>
            <a:ext uri="{FF2B5EF4-FFF2-40B4-BE49-F238E27FC236}">
              <a16:creationId xmlns:a16="http://schemas.microsoft.com/office/drawing/2014/main" id="{00000000-0008-0000-1700-000065D4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54374" name="Picture 6" descr="C:\WINDOWS\TEMP\~0003946.gif">
          <a:extLst>
            <a:ext uri="{FF2B5EF4-FFF2-40B4-BE49-F238E27FC236}">
              <a16:creationId xmlns:a16="http://schemas.microsoft.com/office/drawing/2014/main" id="{00000000-0008-0000-1700-000066D4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54375" name="Picture 7" descr="C:\WINDOWS\TEMP\~0003946.gif">
          <a:extLst>
            <a:ext uri="{FF2B5EF4-FFF2-40B4-BE49-F238E27FC236}">
              <a16:creationId xmlns:a16="http://schemas.microsoft.com/office/drawing/2014/main" id="{00000000-0008-0000-1700-000067D4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4376" name="Picture 8" descr="C:\WINDOWS\TEMP\~0003946.gif">
          <a:extLst>
            <a:ext uri="{FF2B5EF4-FFF2-40B4-BE49-F238E27FC236}">
              <a16:creationId xmlns:a16="http://schemas.microsoft.com/office/drawing/2014/main" id="{00000000-0008-0000-1700-000068D4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4377" name="Picture 9" descr="C:\WINDOWS\TEMP\~0003946.gif">
          <a:extLst>
            <a:ext uri="{FF2B5EF4-FFF2-40B4-BE49-F238E27FC236}">
              <a16:creationId xmlns:a16="http://schemas.microsoft.com/office/drawing/2014/main" id="{00000000-0008-0000-1700-000069D4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135</xdr:row>
      <xdr:rowOff>123825</xdr:rowOff>
    </xdr:from>
    <xdr:to>
      <xdr:col>22</xdr:col>
      <xdr:colOff>895350</xdr:colOff>
      <xdr:row>136</xdr:row>
      <xdr:rowOff>152400</xdr:rowOff>
    </xdr:to>
    <xdr:pic>
      <xdr:nvPicPr>
        <xdr:cNvPr id="54378" name="Picture 10" descr="C:\WINDOWS\TEMP\~0003946.gif">
          <a:extLst>
            <a:ext uri="{FF2B5EF4-FFF2-40B4-BE49-F238E27FC236}">
              <a16:creationId xmlns:a16="http://schemas.microsoft.com/office/drawing/2014/main" id="{00000000-0008-0000-1700-00006AD4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27679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54379" name="Picture 11" descr="C:\WINDOWS\TEMP\~0003946.gif">
          <a:extLst>
            <a:ext uri="{FF2B5EF4-FFF2-40B4-BE49-F238E27FC236}">
              <a16:creationId xmlns:a16="http://schemas.microsoft.com/office/drawing/2014/main" id="{00000000-0008-0000-1700-00006BD4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220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290</xdr:row>
      <xdr:rowOff>104775</xdr:rowOff>
    </xdr:from>
    <xdr:to>
      <xdr:col>22</xdr:col>
      <xdr:colOff>895350</xdr:colOff>
      <xdr:row>291</xdr:row>
      <xdr:rowOff>133350</xdr:rowOff>
    </xdr:to>
    <xdr:pic>
      <xdr:nvPicPr>
        <xdr:cNvPr id="54380" name="Picture 12" descr="C:\WINDOWS\TEMP\~0003946.gif">
          <a:extLst>
            <a:ext uri="{FF2B5EF4-FFF2-40B4-BE49-F238E27FC236}">
              <a16:creationId xmlns:a16="http://schemas.microsoft.com/office/drawing/2014/main" id="{00000000-0008-0000-1700-00006CD4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588264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4381" name="Picture 13" descr="logoMTL">
          <a:extLst>
            <a:ext uri="{FF2B5EF4-FFF2-40B4-BE49-F238E27FC236}">
              <a16:creationId xmlns:a16="http://schemas.microsoft.com/office/drawing/2014/main" id="{00000000-0008-0000-1700-00006DD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161925</xdr:rowOff>
    </xdr:to>
    <xdr:pic>
      <xdr:nvPicPr>
        <xdr:cNvPr id="54382" name="Picture 14" descr="logoMTL">
          <a:extLst>
            <a:ext uri="{FF2B5EF4-FFF2-40B4-BE49-F238E27FC236}">
              <a16:creationId xmlns:a16="http://schemas.microsoft.com/office/drawing/2014/main" id="{00000000-0008-0000-1700-00006ED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5939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54383" name="Picture 15" descr="logoMTL">
          <a:extLst>
            <a:ext uri="{FF2B5EF4-FFF2-40B4-BE49-F238E27FC236}">
              <a16:creationId xmlns:a16="http://schemas.microsoft.com/office/drawing/2014/main" id="{00000000-0008-0000-1700-00006FD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290</xdr:row>
      <xdr:rowOff>0</xdr:rowOff>
    </xdr:from>
    <xdr:to>
      <xdr:col>21</xdr:col>
      <xdr:colOff>1228725</xdr:colOff>
      <xdr:row>291</xdr:row>
      <xdr:rowOff>123825</xdr:rowOff>
    </xdr:to>
    <xdr:pic>
      <xdr:nvPicPr>
        <xdr:cNvPr id="54384" name="Picture 16" descr="logoMTL">
          <a:extLst>
            <a:ext uri="{FF2B5EF4-FFF2-40B4-BE49-F238E27FC236}">
              <a16:creationId xmlns:a16="http://schemas.microsoft.com/office/drawing/2014/main" id="{00000000-0008-0000-1700-000070D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6017" name="Picture 1" descr="C:\WINDOWS\TEMP\Symbol.gif">
          <a:extLst>
            <a:ext uri="{FF2B5EF4-FFF2-40B4-BE49-F238E27FC236}">
              <a16:creationId xmlns:a16="http://schemas.microsoft.com/office/drawing/2014/main" id="{00000000-0008-0000-1800-0000C1B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135</xdr:row>
      <xdr:rowOff>161925</xdr:rowOff>
    </xdr:from>
    <xdr:to>
      <xdr:col>1</xdr:col>
      <xdr:colOff>28575</xdr:colOff>
      <xdr:row>136</xdr:row>
      <xdr:rowOff>200025</xdr:rowOff>
    </xdr:to>
    <xdr:pic>
      <xdr:nvPicPr>
        <xdr:cNvPr id="46018" name="Picture 2" descr="C:\WINDOWS\TEMP\Symbol.gif">
          <a:extLst>
            <a:ext uri="{FF2B5EF4-FFF2-40B4-BE49-F238E27FC236}">
              <a16:creationId xmlns:a16="http://schemas.microsoft.com/office/drawing/2014/main" id="{00000000-0008-0000-1800-0000C2B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717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6019" name="Picture 3" descr="C:\WINDOWS\TEMP\Symbol.gif">
          <a:extLst>
            <a:ext uri="{FF2B5EF4-FFF2-40B4-BE49-F238E27FC236}">
              <a16:creationId xmlns:a16="http://schemas.microsoft.com/office/drawing/2014/main" id="{00000000-0008-0000-1800-0000C3B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290</xdr:row>
      <xdr:rowOff>161925</xdr:rowOff>
    </xdr:from>
    <xdr:to>
      <xdr:col>1</xdr:col>
      <xdr:colOff>19050</xdr:colOff>
      <xdr:row>291</xdr:row>
      <xdr:rowOff>200025</xdr:rowOff>
    </xdr:to>
    <xdr:pic>
      <xdr:nvPicPr>
        <xdr:cNvPr id="46020" name="Picture 4" descr="C:\WINDOWS\TEMP\Symbol.gif">
          <a:extLst>
            <a:ext uri="{FF2B5EF4-FFF2-40B4-BE49-F238E27FC236}">
              <a16:creationId xmlns:a16="http://schemas.microsoft.com/office/drawing/2014/main" id="{00000000-0008-0000-1800-0000C4B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8835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290</xdr:row>
      <xdr:rowOff>123825</xdr:rowOff>
    </xdr:from>
    <xdr:to>
      <xdr:col>22</xdr:col>
      <xdr:colOff>1895475</xdr:colOff>
      <xdr:row>291</xdr:row>
      <xdr:rowOff>152400</xdr:rowOff>
    </xdr:to>
    <xdr:pic>
      <xdr:nvPicPr>
        <xdr:cNvPr id="46021" name="Picture 5" descr="C:\WINDOWS\TEMP\~0003946.gif">
          <a:extLst>
            <a:ext uri="{FF2B5EF4-FFF2-40B4-BE49-F238E27FC236}">
              <a16:creationId xmlns:a16="http://schemas.microsoft.com/office/drawing/2014/main" id="{00000000-0008-0000-1800-0000C5B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46022" name="Picture 6" descr="C:\WINDOWS\TEMP\~0003946.gif">
          <a:extLst>
            <a:ext uri="{FF2B5EF4-FFF2-40B4-BE49-F238E27FC236}">
              <a16:creationId xmlns:a16="http://schemas.microsoft.com/office/drawing/2014/main" id="{00000000-0008-0000-1800-0000C6B3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6023" name="Picture 7" descr="C:\WINDOWS\TEMP\~0003946.gif">
          <a:extLst>
            <a:ext uri="{FF2B5EF4-FFF2-40B4-BE49-F238E27FC236}">
              <a16:creationId xmlns:a16="http://schemas.microsoft.com/office/drawing/2014/main" id="{00000000-0008-0000-1800-0000C7B3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6024" name="Picture 8" descr="C:\WINDOWS\TEMP\~0003946.gif">
          <a:extLst>
            <a:ext uri="{FF2B5EF4-FFF2-40B4-BE49-F238E27FC236}">
              <a16:creationId xmlns:a16="http://schemas.microsoft.com/office/drawing/2014/main" id="{00000000-0008-0000-1800-0000C8B3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6025" name="Picture 9" descr="C:\WINDOWS\TEMP\~0003946.gif">
          <a:extLst>
            <a:ext uri="{FF2B5EF4-FFF2-40B4-BE49-F238E27FC236}">
              <a16:creationId xmlns:a16="http://schemas.microsoft.com/office/drawing/2014/main" id="{00000000-0008-0000-1800-0000C9B3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135</xdr:row>
      <xdr:rowOff>123825</xdr:rowOff>
    </xdr:from>
    <xdr:to>
      <xdr:col>22</xdr:col>
      <xdr:colOff>895350</xdr:colOff>
      <xdr:row>136</xdr:row>
      <xdr:rowOff>152400</xdr:rowOff>
    </xdr:to>
    <xdr:pic>
      <xdr:nvPicPr>
        <xdr:cNvPr id="46026" name="Picture 10" descr="C:\WINDOWS\TEMP\~0003946.gif">
          <a:extLst>
            <a:ext uri="{FF2B5EF4-FFF2-40B4-BE49-F238E27FC236}">
              <a16:creationId xmlns:a16="http://schemas.microsoft.com/office/drawing/2014/main" id="{00000000-0008-0000-1800-0000CAB3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27679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46027" name="Picture 11" descr="C:\WINDOWS\TEMP\~0003946.gif">
          <a:extLst>
            <a:ext uri="{FF2B5EF4-FFF2-40B4-BE49-F238E27FC236}">
              <a16:creationId xmlns:a16="http://schemas.microsoft.com/office/drawing/2014/main" id="{00000000-0008-0000-1800-0000CBB3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220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290</xdr:row>
      <xdr:rowOff>104775</xdr:rowOff>
    </xdr:from>
    <xdr:to>
      <xdr:col>22</xdr:col>
      <xdr:colOff>895350</xdr:colOff>
      <xdr:row>291</xdr:row>
      <xdr:rowOff>133350</xdr:rowOff>
    </xdr:to>
    <xdr:pic>
      <xdr:nvPicPr>
        <xdr:cNvPr id="46028" name="Picture 12" descr="C:\WINDOWS\TEMP\~0003946.gif">
          <a:extLst>
            <a:ext uri="{FF2B5EF4-FFF2-40B4-BE49-F238E27FC236}">
              <a16:creationId xmlns:a16="http://schemas.microsoft.com/office/drawing/2014/main" id="{00000000-0008-0000-1800-0000CCB3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588264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6029" name="Picture 13" descr="logoMTL">
          <a:extLst>
            <a:ext uri="{FF2B5EF4-FFF2-40B4-BE49-F238E27FC236}">
              <a16:creationId xmlns:a16="http://schemas.microsoft.com/office/drawing/2014/main" id="{00000000-0008-0000-1800-0000CDB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161925</xdr:rowOff>
    </xdr:to>
    <xdr:pic>
      <xdr:nvPicPr>
        <xdr:cNvPr id="46030" name="Picture 14" descr="logoMTL">
          <a:extLst>
            <a:ext uri="{FF2B5EF4-FFF2-40B4-BE49-F238E27FC236}">
              <a16:creationId xmlns:a16="http://schemas.microsoft.com/office/drawing/2014/main" id="{00000000-0008-0000-1800-0000CEB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5939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46031" name="Picture 15" descr="logoMTL">
          <a:extLst>
            <a:ext uri="{FF2B5EF4-FFF2-40B4-BE49-F238E27FC236}">
              <a16:creationId xmlns:a16="http://schemas.microsoft.com/office/drawing/2014/main" id="{00000000-0008-0000-1800-0000CFB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290</xdr:row>
      <xdr:rowOff>0</xdr:rowOff>
    </xdr:from>
    <xdr:to>
      <xdr:col>21</xdr:col>
      <xdr:colOff>1228725</xdr:colOff>
      <xdr:row>291</xdr:row>
      <xdr:rowOff>123825</xdr:rowOff>
    </xdr:to>
    <xdr:pic>
      <xdr:nvPicPr>
        <xdr:cNvPr id="46032" name="Picture 16" descr="logoMTL">
          <a:extLst>
            <a:ext uri="{FF2B5EF4-FFF2-40B4-BE49-F238E27FC236}">
              <a16:creationId xmlns:a16="http://schemas.microsoft.com/office/drawing/2014/main" id="{00000000-0008-0000-1800-0000D0B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9809" name="Picture 1" descr="C:\WINDOWS\TEMP\Symbol.gif">
          <a:extLst>
            <a:ext uri="{FF2B5EF4-FFF2-40B4-BE49-F238E27FC236}">
              <a16:creationId xmlns:a16="http://schemas.microsoft.com/office/drawing/2014/main" id="{00000000-0008-0000-1900-000091C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49810" name="Picture 2" descr="C:\WINDOWS\TEMP\Symbol.gif">
          <a:extLst>
            <a:ext uri="{FF2B5EF4-FFF2-40B4-BE49-F238E27FC236}">
              <a16:creationId xmlns:a16="http://schemas.microsoft.com/office/drawing/2014/main" id="{00000000-0008-0000-1900-000092C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196</xdr:row>
      <xdr:rowOff>171450</xdr:rowOff>
    </xdr:from>
    <xdr:to>
      <xdr:col>1</xdr:col>
      <xdr:colOff>47625</xdr:colOff>
      <xdr:row>197</xdr:row>
      <xdr:rowOff>209550</xdr:rowOff>
    </xdr:to>
    <xdr:pic>
      <xdr:nvPicPr>
        <xdr:cNvPr id="49811" name="Picture 3" descr="C:\WINDOWS\TEMP\Symbol.gif">
          <a:extLst>
            <a:ext uri="{FF2B5EF4-FFF2-40B4-BE49-F238E27FC236}">
              <a16:creationId xmlns:a16="http://schemas.microsoft.com/office/drawing/2014/main" id="{00000000-0008-0000-1900-000093C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49812" name="Picture 4" descr="C:\WINDOWS\TEMP\Symbol.gif">
          <a:extLst>
            <a:ext uri="{FF2B5EF4-FFF2-40B4-BE49-F238E27FC236}">
              <a16:creationId xmlns:a16="http://schemas.microsoft.com/office/drawing/2014/main" id="{00000000-0008-0000-1900-000094C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291</xdr:row>
      <xdr:rowOff>123825</xdr:rowOff>
    </xdr:from>
    <xdr:to>
      <xdr:col>22</xdr:col>
      <xdr:colOff>1895475</xdr:colOff>
      <xdr:row>292</xdr:row>
      <xdr:rowOff>152400</xdr:rowOff>
    </xdr:to>
    <xdr:pic>
      <xdr:nvPicPr>
        <xdr:cNvPr id="49813" name="Picture 5" descr="C:\WINDOWS\TEMP\~0003946.gif">
          <a:extLst>
            <a:ext uri="{FF2B5EF4-FFF2-40B4-BE49-F238E27FC236}">
              <a16:creationId xmlns:a16="http://schemas.microsoft.com/office/drawing/2014/main" id="{00000000-0008-0000-1900-000095C2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196</xdr:row>
      <xdr:rowOff>152400</xdr:rowOff>
    </xdr:from>
    <xdr:to>
      <xdr:col>22</xdr:col>
      <xdr:colOff>1924050</xdr:colOff>
      <xdr:row>197</xdr:row>
      <xdr:rowOff>180975</xdr:rowOff>
    </xdr:to>
    <xdr:pic>
      <xdr:nvPicPr>
        <xdr:cNvPr id="49814" name="Picture 6" descr="C:\WINDOWS\TEMP\~0003946.gif">
          <a:extLst>
            <a:ext uri="{FF2B5EF4-FFF2-40B4-BE49-F238E27FC236}">
              <a16:creationId xmlns:a16="http://schemas.microsoft.com/office/drawing/2014/main" id="{00000000-0008-0000-1900-000096C2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49815" name="Picture 7" descr="C:\WINDOWS\TEMP\~0003946.gif">
          <a:extLst>
            <a:ext uri="{FF2B5EF4-FFF2-40B4-BE49-F238E27FC236}">
              <a16:creationId xmlns:a16="http://schemas.microsoft.com/office/drawing/2014/main" id="{00000000-0008-0000-1900-000097C2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9816" name="Picture 8" descr="C:\WINDOWS\TEMP\~0003946.gif">
          <a:extLst>
            <a:ext uri="{FF2B5EF4-FFF2-40B4-BE49-F238E27FC236}">
              <a16:creationId xmlns:a16="http://schemas.microsoft.com/office/drawing/2014/main" id="{00000000-0008-0000-1900-000098C2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9817" name="Picture 9" descr="C:\WINDOWS\TEMP\~0003946.gif">
          <a:extLst>
            <a:ext uri="{FF2B5EF4-FFF2-40B4-BE49-F238E27FC236}">
              <a16:creationId xmlns:a16="http://schemas.microsoft.com/office/drawing/2014/main" id="{00000000-0008-0000-1900-000099C2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49818" name="Picture 10" descr="C:\WINDOWS\TEMP\~0003946.gif">
          <a:extLst>
            <a:ext uri="{FF2B5EF4-FFF2-40B4-BE49-F238E27FC236}">
              <a16:creationId xmlns:a16="http://schemas.microsoft.com/office/drawing/2014/main" id="{00000000-0008-0000-1900-00009AC2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196</xdr:row>
      <xdr:rowOff>104775</xdr:rowOff>
    </xdr:from>
    <xdr:to>
      <xdr:col>22</xdr:col>
      <xdr:colOff>809625</xdr:colOff>
      <xdr:row>197</xdr:row>
      <xdr:rowOff>133350</xdr:rowOff>
    </xdr:to>
    <xdr:pic>
      <xdr:nvPicPr>
        <xdr:cNvPr id="49819" name="Picture 11" descr="C:\WINDOWS\TEMP\~0003946.gif">
          <a:extLst>
            <a:ext uri="{FF2B5EF4-FFF2-40B4-BE49-F238E27FC236}">
              <a16:creationId xmlns:a16="http://schemas.microsoft.com/office/drawing/2014/main" id="{00000000-0008-0000-1900-00009BC2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291</xdr:row>
      <xdr:rowOff>104775</xdr:rowOff>
    </xdr:from>
    <xdr:to>
      <xdr:col>22</xdr:col>
      <xdr:colOff>895350</xdr:colOff>
      <xdr:row>292</xdr:row>
      <xdr:rowOff>133350</xdr:rowOff>
    </xdr:to>
    <xdr:pic>
      <xdr:nvPicPr>
        <xdr:cNvPr id="49820" name="Picture 12" descr="C:\WINDOWS\TEMP\~0003946.gif">
          <a:extLst>
            <a:ext uri="{FF2B5EF4-FFF2-40B4-BE49-F238E27FC236}">
              <a16:creationId xmlns:a16="http://schemas.microsoft.com/office/drawing/2014/main" id="{00000000-0008-0000-1900-00009CC2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9821" name="Picture 13" descr="logoMTL">
          <a:extLst>
            <a:ext uri="{FF2B5EF4-FFF2-40B4-BE49-F238E27FC236}">
              <a16:creationId xmlns:a16="http://schemas.microsoft.com/office/drawing/2014/main" id="{00000000-0008-0000-1900-00009DC2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49822" name="Picture 14" descr="logoMTL">
          <a:extLst>
            <a:ext uri="{FF2B5EF4-FFF2-40B4-BE49-F238E27FC236}">
              <a16:creationId xmlns:a16="http://schemas.microsoft.com/office/drawing/2014/main" id="{00000000-0008-0000-1900-00009EC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196</xdr:row>
      <xdr:rowOff>28575</xdr:rowOff>
    </xdr:from>
    <xdr:to>
      <xdr:col>21</xdr:col>
      <xdr:colOff>1171575</xdr:colOff>
      <xdr:row>197</xdr:row>
      <xdr:rowOff>152400</xdr:rowOff>
    </xdr:to>
    <xdr:pic>
      <xdr:nvPicPr>
        <xdr:cNvPr id="49823" name="Picture 15" descr="logoMTL">
          <a:extLst>
            <a:ext uri="{FF2B5EF4-FFF2-40B4-BE49-F238E27FC236}">
              <a16:creationId xmlns:a16="http://schemas.microsoft.com/office/drawing/2014/main" id="{00000000-0008-0000-1900-00009FC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291</xdr:row>
      <xdr:rowOff>0</xdr:rowOff>
    </xdr:from>
    <xdr:to>
      <xdr:col>21</xdr:col>
      <xdr:colOff>1228725</xdr:colOff>
      <xdr:row>292</xdr:row>
      <xdr:rowOff>123825</xdr:rowOff>
    </xdr:to>
    <xdr:pic>
      <xdr:nvPicPr>
        <xdr:cNvPr id="49824" name="Picture 16" descr="logoMTL">
          <a:extLst>
            <a:ext uri="{FF2B5EF4-FFF2-40B4-BE49-F238E27FC236}">
              <a16:creationId xmlns:a16="http://schemas.microsoft.com/office/drawing/2014/main" id="{00000000-0008-0000-1900-0000A0C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1665" name="Picture 1" descr="C:\WINDOWS\TEMP\Symbol.gif">
          <a:extLst>
            <a:ext uri="{FF2B5EF4-FFF2-40B4-BE49-F238E27FC236}">
              <a16:creationId xmlns:a16="http://schemas.microsoft.com/office/drawing/2014/main" id="{00000000-0008-0000-1A00-0000D1C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51666" name="Picture 2" descr="C:\WINDOWS\TEMP\Symbol.gif">
          <a:extLst>
            <a:ext uri="{FF2B5EF4-FFF2-40B4-BE49-F238E27FC236}">
              <a16:creationId xmlns:a16="http://schemas.microsoft.com/office/drawing/2014/main" id="{00000000-0008-0000-1A00-0000D2C9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196</xdr:row>
      <xdr:rowOff>171450</xdr:rowOff>
    </xdr:from>
    <xdr:to>
      <xdr:col>1</xdr:col>
      <xdr:colOff>47625</xdr:colOff>
      <xdr:row>197</xdr:row>
      <xdr:rowOff>209550</xdr:rowOff>
    </xdr:to>
    <xdr:pic>
      <xdr:nvPicPr>
        <xdr:cNvPr id="51667" name="Picture 3" descr="C:\WINDOWS\TEMP\Symbol.gif">
          <a:extLst>
            <a:ext uri="{FF2B5EF4-FFF2-40B4-BE49-F238E27FC236}">
              <a16:creationId xmlns:a16="http://schemas.microsoft.com/office/drawing/2014/main" id="{00000000-0008-0000-1A00-0000D3C9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1668" name="Picture 4" descr="C:\WINDOWS\TEMP\Symbol.gif">
          <a:extLst>
            <a:ext uri="{FF2B5EF4-FFF2-40B4-BE49-F238E27FC236}">
              <a16:creationId xmlns:a16="http://schemas.microsoft.com/office/drawing/2014/main" id="{00000000-0008-0000-1A00-0000D4C9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291</xdr:row>
      <xdr:rowOff>123825</xdr:rowOff>
    </xdr:from>
    <xdr:to>
      <xdr:col>22</xdr:col>
      <xdr:colOff>1895475</xdr:colOff>
      <xdr:row>292</xdr:row>
      <xdr:rowOff>152400</xdr:rowOff>
    </xdr:to>
    <xdr:pic>
      <xdr:nvPicPr>
        <xdr:cNvPr id="51669" name="Picture 5" descr="C:\WINDOWS\TEMP\~0003946.gif">
          <a:extLst>
            <a:ext uri="{FF2B5EF4-FFF2-40B4-BE49-F238E27FC236}">
              <a16:creationId xmlns:a16="http://schemas.microsoft.com/office/drawing/2014/main" id="{00000000-0008-0000-1A00-0000D5C9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196</xdr:row>
      <xdr:rowOff>152400</xdr:rowOff>
    </xdr:from>
    <xdr:to>
      <xdr:col>22</xdr:col>
      <xdr:colOff>1924050</xdr:colOff>
      <xdr:row>197</xdr:row>
      <xdr:rowOff>180975</xdr:rowOff>
    </xdr:to>
    <xdr:pic>
      <xdr:nvPicPr>
        <xdr:cNvPr id="51670" name="Picture 6" descr="C:\WINDOWS\TEMP\~0003946.gif">
          <a:extLst>
            <a:ext uri="{FF2B5EF4-FFF2-40B4-BE49-F238E27FC236}">
              <a16:creationId xmlns:a16="http://schemas.microsoft.com/office/drawing/2014/main" id="{00000000-0008-0000-1A00-0000D6C9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51671" name="Picture 7" descr="C:\WINDOWS\TEMP\~0003946.gif">
          <a:extLst>
            <a:ext uri="{FF2B5EF4-FFF2-40B4-BE49-F238E27FC236}">
              <a16:creationId xmlns:a16="http://schemas.microsoft.com/office/drawing/2014/main" id="{00000000-0008-0000-1A00-0000D7C9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1672" name="Picture 8" descr="C:\WINDOWS\TEMP\~0003946.gif">
          <a:extLst>
            <a:ext uri="{FF2B5EF4-FFF2-40B4-BE49-F238E27FC236}">
              <a16:creationId xmlns:a16="http://schemas.microsoft.com/office/drawing/2014/main" id="{00000000-0008-0000-1A00-0000D8C9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1673" name="Picture 9" descr="C:\WINDOWS\TEMP\~0003946.gif">
          <a:extLst>
            <a:ext uri="{FF2B5EF4-FFF2-40B4-BE49-F238E27FC236}">
              <a16:creationId xmlns:a16="http://schemas.microsoft.com/office/drawing/2014/main" id="{00000000-0008-0000-1A00-0000D9C9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51674" name="Picture 10" descr="C:\WINDOWS\TEMP\~0003946.gif">
          <a:extLst>
            <a:ext uri="{FF2B5EF4-FFF2-40B4-BE49-F238E27FC236}">
              <a16:creationId xmlns:a16="http://schemas.microsoft.com/office/drawing/2014/main" id="{00000000-0008-0000-1A00-0000DAC9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196</xdr:row>
      <xdr:rowOff>104775</xdr:rowOff>
    </xdr:from>
    <xdr:to>
      <xdr:col>22</xdr:col>
      <xdr:colOff>809625</xdr:colOff>
      <xdr:row>197</xdr:row>
      <xdr:rowOff>133350</xdr:rowOff>
    </xdr:to>
    <xdr:pic>
      <xdr:nvPicPr>
        <xdr:cNvPr id="51675" name="Picture 11" descr="C:\WINDOWS\TEMP\~0003946.gif">
          <a:extLst>
            <a:ext uri="{FF2B5EF4-FFF2-40B4-BE49-F238E27FC236}">
              <a16:creationId xmlns:a16="http://schemas.microsoft.com/office/drawing/2014/main" id="{00000000-0008-0000-1A00-0000DBC9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291</xdr:row>
      <xdr:rowOff>104775</xdr:rowOff>
    </xdr:from>
    <xdr:to>
      <xdr:col>22</xdr:col>
      <xdr:colOff>895350</xdr:colOff>
      <xdr:row>292</xdr:row>
      <xdr:rowOff>133350</xdr:rowOff>
    </xdr:to>
    <xdr:pic>
      <xdr:nvPicPr>
        <xdr:cNvPr id="51676" name="Picture 12" descr="C:\WINDOWS\TEMP\~0003946.gif">
          <a:extLst>
            <a:ext uri="{FF2B5EF4-FFF2-40B4-BE49-F238E27FC236}">
              <a16:creationId xmlns:a16="http://schemas.microsoft.com/office/drawing/2014/main" id="{00000000-0008-0000-1A00-0000DCC9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1677" name="Picture 13" descr="logoMTL">
          <a:extLst>
            <a:ext uri="{FF2B5EF4-FFF2-40B4-BE49-F238E27FC236}">
              <a16:creationId xmlns:a16="http://schemas.microsoft.com/office/drawing/2014/main" id="{00000000-0008-0000-1A00-0000DDC9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51678" name="Picture 14" descr="logoMTL">
          <a:extLst>
            <a:ext uri="{FF2B5EF4-FFF2-40B4-BE49-F238E27FC236}">
              <a16:creationId xmlns:a16="http://schemas.microsoft.com/office/drawing/2014/main" id="{00000000-0008-0000-1A00-0000DEC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196</xdr:row>
      <xdr:rowOff>28575</xdr:rowOff>
    </xdr:from>
    <xdr:to>
      <xdr:col>21</xdr:col>
      <xdr:colOff>1171575</xdr:colOff>
      <xdr:row>197</xdr:row>
      <xdr:rowOff>152400</xdr:rowOff>
    </xdr:to>
    <xdr:pic>
      <xdr:nvPicPr>
        <xdr:cNvPr id="51679" name="Picture 15" descr="logoMTL">
          <a:extLst>
            <a:ext uri="{FF2B5EF4-FFF2-40B4-BE49-F238E27FC236}">
              <a16:creationId xmlns:a16="http://schemas.microsoft.com/office/drawing/2014/main" id="{00000000-0008-0000-1A00-0000DFC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291</xdr:row>
      <xdr:rowOff>0</xdr:rowOff>
    </xdr:from>
    <xdr:to>
      <xdr:col>21</xdr:col>
      <xdr:colOff>1228725</xdr:colOff>
      <xdr:row>292</xdr:row>
      <xdr:rowOff>123825</xdr:rowOff>
    </xdr:to>
    <xdr:pic>
      <xdr:nvPicPr>
        <xdr:cNvPr id="51680" name="Picture 16" descr="logoMTL">
          <a:extLst>
            <a:ext uri="{FF2B5EF4-FFF2-40B4-BE49-F238E27FC236}">
              <a16:creationId xmlns:a16="http://schemas.microsoft.com/office/drawing/2014/main" id="{00000000-0008-0000-1A00-0000E0C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3409" name="Picture 1" descr="C:\WINDOWS\TEMP\Symbol.gif">
          <a:extLst>
            <a:ext uri="{FF2B5EF4-FFF2-40B4-BE49-F238E27FC236}">
              <a16:creationId xmlns:a16="http://schemas.microsoft.com/office/drawing/2014/main" id="{00000000-0008-0000-1B00-0000A1D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53410" name="Picture 2" descr="C:\WINDOWS\TEMP\Symbol.gif">
          <a:extLst>
            <a:ext uri="{FF2B5EF4-FFF2-40B4-BE49-F238E27FC236}">
              <a16:creationId xmlns:a16="http://schemas.microsoft.com/office/drawing/2014/main" id="{00000000-0008-0000-1B00-0000A2D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196</xdr:row>
      <xdr:rowOff>171450</xdr:rowOff>
    </xdr:from>
    <xdr:to>
      <xdr:col>1</xdr:col>
      <xdr:colOff>47625</xdr:colOff>
      <xdr:row>197</xdr:row>
      <xdr:rowOff>209550</xdr:rowOff>
    </xdr:to>
    <xdr:pic>
      <xdr:nvPicPr>
        <xdr:cNvPr id="53411" name="Picture 3" descr="C:\WINDOWS\TEMP\Symbol.gif">
          <a:extLst>
            <a:ext uri="{FF2B5EF4-FFF2-40B4-BE49-F238E27FC236}">
              <a16:creationId xmlns:a16="http://schemas.microsoft.com/office/drawing/2014/main" id="{00000000-0008-0000-1B00-0000A3D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3412" name="Picture 4" descr="C:\WINDOWS\TEMP\Symbol.gif">
          <a:extLst>
            <a:ext uri="{FF2B5EF4-FFF2-40B4-BE49-F238E27FC236}">
              <a16:creationId xmlns:a16="http://schemas.microsoft.com/office/drawing/2014/main" id="{00000000-0008-0000-1B00-0000A4D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291</xdr:row>
      <xdr:rowOff>123825</xdr:rowOff>
    </xdr:from>
    <xdr:to>
      <xdr:col>22</xdr:col>
      <xdr:colOff>1895475</xdr:colOff>
      <xdr:row>292</xdr:row>
      <xdr:rowOff>152400</xdr:rowOff>
    </xdr:to>
    <xdr:pic>
      <xdr:nvPicPr>
        <xdr:cNvPr id="53413" name="Picture 5" descr="C:\WINDOWS\TEMP\~0003946.gif">
          <a:extLst>
            <a:ext uri="{FF2B5EF4-FFF2-40B4-BE49-F238E27FC236}">
              <a16:creationId xmlns:a16="http://schemas.microsoft.com/office/drawing/2014/main" id="{00000000-0008-0000-1B00-0000A5D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196</xdr:row>
      <xdr:rowOff>152400</xdr:rowOff>
    </xdr:from>
    <xdr:to>
      <xdr:col>22</xdr:col>
      <xdr:colOff>1924050</xdr:colOff>
      <xdr:row>197</xdr:row>
      <xdr:rowOff>180975</xdr:rowOff>
    </xdr:to>
    <xdr:pic>
      <xdr:nvPicPr>
        <xdr:cNvPr id="53414" name="Picture 6" descr="C:\WINDOWS\TEMP\~0003946.gif">
          <a:extLst>
            <a:ext uri="{FF2B5EF4-FFF2-40B4-BE49-F238E27FC236}">
              <a16:creationId xmlns:a16="http://schemas.microsoft.com/office/drawing/2014/main" id="{00000000-0008-0000-1B00-0000A6D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53415" name="Picture 7" descr="C:\WINDOWS\TEMP\~0003946.gif">
          <a:extLst>
            <a:ext uri="{FF2B5EF4-FFF2-40B4-BE49-F238E27FC236}">
              <a16:creationId xmlns:a16="http://schemas.microsoft.com/office/drawing/2014/main" id="{00000000-0008-0000-1B00-0000A7D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3416" name="Picture 8" descr="C:\WINDOWS\TEMP\~0003946.gif">
          <a:extLst>
            <a:ext uri="{FF2B5EF4-FFF2-40B4-BE49-F238E27FC236}">
              <a16:creationId xmlns:a16="http://schemas.microsoft.com/office/drawing/2014/main" id="{00000000-0008-0000-1B00-0000A8D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3417" name="Picture 9" descr="C:\WINDOWS\TEMP\~0003946.gif">
          <a:extLst>
            <a:ext uri="{FF2B5EF4-FFF2-40B4-BE49-F238E27FC236}">
              <a16:creationId xmlns:a16="http://schemas.microsoft.com/office/drawing/2014/main" id="{00000000-0008-0000-1B00-0000A9D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196</xdr:row>
      <xdr:rowOff>104775</xdr:rowOff>
    </xdr:from>
    <xdr:to>
      <xdr:col>22</xdr:col>
      <xdr:colOff>809625</xdr:colOff>
      <xdr:row>197</xdr:row>
      <xdr:rowOff>133350</xdr:rowOff>
    </xdr:to>
    <xdr:pic>
      <xdr:nvPicPr>
        <xdr:cNvPr id="53418" name="Picture 11" descr="C:\WINDOWS\TEMP\~0003946.gif">
          <a:extLst>
            <a:ext uri="{FF2B5EF4-FFF2-40B4-BE49-F238E27FC236}">
              <a16:creationId xmlns:a16="http://schemas.microsoft.com/office/drawing/2014/main" id="{00000000-0008-0000-1B00-0000AAD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291</xdr:row>
      <xdr:rowOff>104775</xdr:rowOff>
    </xdr:from>
    <xdr:to>
      <xdr:col>22</xdr:col>
      <xdr:colOff>895350</xdr:colOff>
      <xdr:row>292</xdr:row>
      <xdr:rowOff>133350</xdr:rowOff>
    </xdr:to>
    <xdr:pic>
      <xdr:nvPicPr>
        <xdr:cNvPr id="53419" name="Picture 12" descr="C:\WINDOWS\TEMP\~0003946.gif">
          <a:extLst>
            <a:ext uri="{FF2B5EF4-FFF2-40B4-BE49-F238E27FC236}">
              <a16:creationId xmlns:a16="http://schemas.microsoft.com/office/drawing/2014/main" id="{00000000-0008-0000-1B00-0000ABD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3420" name="Picture 13" descr="logoMTL">
          <a:extLst>
            <a:ext uri="{FF2B5EF4-FFF2-40B4-BE49-F238E27FC236}">
              <a16:creationId xmlns:a16="http://schemas.microsoft.com/office/drawing/2014/main" id="{00000000-0008-0000-1B00-0000ACD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53421" name="Picture 14" descr="logoMTL">
          <a:extLst>
            <a:ext uri="{FF2B5EF4-FFF2-40B4-BE49-F238E27FC236}">
              <a16:creationId xmlns:a16="http://schemas.microsoft.com/office/drawing/2014/main" id="{00000000-0008-0000-1B00-0000ADD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196</xdr:row>
      <xdr:rowOff>28575</xdr:rowOff>
    </xdr:from>
    <xdr:to>
      <xdr:col>21</xdr:col>
      <xdr:colOff>1171575</xdr:colOff>
      <xdr:row>197</xdr:row>
      <xdr:rowOff>152400</xdr:rowOff>
    </xdr:to>
    <xdr:pic>
      <xdr:nvPicPr>
        <xdr:cNvPr id="53422" name="Picture 15" descr="logoMTL">
          <a:extLst>
            <a:ext uri="{FF2B5EF4-FFF2-40B4-BE49-F238E27FC236}">
              <a16:creationId xmlns:a16="http://schemas.microsoft.com/office/drawing/2014/main" id="{00000000-0008-0000-1B00-0000AED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291</xdr:row>
      <xdr:rowOff>0</xdr:rowOff>
    </xdr:from>
    <xdr:to>
      <xdr:col>21</xdr:col>
      <xdr:colOff>1228725</xdr:colOff>
      <xdr:row>292</xdr:row>
      <xdr:rowOff>123825</xdr:rowOff>
    </xdr:to>
    <xdr:pic>
      <xdr:nvPicPr>
        <xdr:cNvPr id="53423" name="Picture 16" descr="logoMTL">
          <a:extLst>
            <a:ext uri="{FF2B5EF4-FFF2-40B4-BE49-F238E27FC236}">
              <a16:creationId xmlns:a16="http://schemas.microsoft.com/office/drawing/2014/main" id="{00000000-0008-0000-1B00-0000AFD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85725</xdr:rowOff>
    </xdr:from>
    <xdr:to>
      <xdr:col>22</xdr:col>
      <xdr:colOff>895350</xdr:colOff>
      <xdr:row>137</xdr:row>
      <xdr:rowOff>114300</xdr:rowOff>
    </xdr:to>
    <xdr:pic>
      <xdr:nvPicPr>
        <xdr:cNvPr id="53424" name="Picture 9" descr="C:\WINDOWS\TEMP\~0003946.gif">
          <a:extLst>
            <a:ext uri="{FF2B5EF4-FFF2-40B4-BE49-F238E27FC236}">
              <a16:creationId xmlns:a16="http://schemas.microsoft.com/office/drawing/2014/main" id="{00000000-0008-0000-1B00-0000B0D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41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5393" name="Picture 1" descr="C:\WINDOWS\TEMP\Symbol.gif">
          <a:extLst>
            <a:ext uri="{FF2B5EF4-FFF2-40B4-BE49-F238E27FC236}">
              <a16:creationId xmlns:a16="http://schemas.microsoft.com/office/drawing/2014/main" id="{00000000-0008-0000-1C00-000061D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55394" name="Picture 2" descr="C:\WINDOWS\TEMP\Symbol.gif">
          <a:extLst>
            <a:ext uri="{FF2B5EF4-FFF2-40B4-BE49-F238E27FC236}">
              <a16:creationId xmlns:a16="http://schemas.microsoft.com/office/drawing/2014/main" id="{00000000-0008-0000-1C00-000062D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196</xdr:row>
      <xdr:rowOff>171450</xdr:rowOff>
    </xdr:from>
    <xdr:to>
      <xdr:col>1</xdr:col>
      <xdr:colOff>47625</xdr:colOff>
      <xdr:row>197</xdr:row>
      <xdr:rowOff>209550</xdr:rowOff>
    </xdr:to>
    <xdr:pic>
      <xdr:nvPicPr>
        <xdr:cNvPr id="55395" name="Picture 3" descr="C:\WINDOWS\TEMP\Symbol.gif">
          <a:extLst>
            <a:ext uri="{FF2B5EF4-FFF2-40B4-BE49-F238E27FC236}">
              <a16:creationId xmlns:a16="http://schemas.microsoft.com/office/drawing/2014/main" id="{00000000-0008-0000-1C00-000063D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5396" name="Picture 4" descr="C:\WINDOWS\TEMP\Symbol.gif">
          <a:extLst>
            <a:ext uri="{FF2B5EF4-FFF2-40B4-BE49-F238E27FC236}">
              <a16:creationId xmlns:a16="http://schemas.microsoft.com/office/drawing/2014/main" id="{00000000-0008-0000-1C00-000064D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291</xdr:row>
      <xdr:rowOff>123825</xdr:rowOff>
    </xdr:from>
    <xdr:to>
      <xdr:col>22</xdr:col>
      <xdr:colOff>1895475</xdr:colOff>
      <xdr:row>292</xdr:row>
      <xdr:rowOff>152400</xdr:rowOff>
    </xdr:to>
    <xdr:pic>
      <xdr:nvPicPr>
        <xdr:cNvPr id="55397" name="Picture 5" descr="C:\WINDOWS\TEMP\~0003946.gif">
          <a:extLst>
            <a:ext uri="{FF2B5EF4-FFF2-40B4-BE49-F238E27FC236}">
              <a16:creationId xmlns:a16="http://schemas.microsoft.com/office/drawing/2014/main" id="{00000000-0008-0000-1C00-000065D8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196</xdr:row>
      <xdr:rowOff>152400</xdr:rowOff>
    </xdr:from>
    <xdr:to>
      <xdr:col>22</xdr:col>
      <xdr:colOff>1924050</xdr:colOff>
      <xdr:row>197</xdr:row>
      <xdr:rowOff>180975</xdr:rowOff>
    </xdr:to>
    <xdr:pic>
      <xdr:nvPicPr>
        <xdr:cNvPr id="55398" name="Picture 6" descr="C:\WINDOWS\TEMP\~0003946.gif">
          <a:extLst>
            <a:ext uri="{FF2B5EF4-FFF2-40B4-BE49-F238E27FC236}">
              <a16:creationId xmlns:a16="http://schemas.microsoft.com/office/drawing/2014/main" id="{00000000-0008-0000-1C00-000066D8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55399" name="Picture 7" descr="C:\WINDOWS\TEMP\~0003946.gif">
          <a:extLst>
            <a:ext uri="{FF2B5EF4-FFF2-40B4-BE49-F238E27FC236}">
              <a16:creationId xmlns:a16="http://schemas.microsoft.com/office/drawing/2014/main" id="{00000000-0008-0000-1C00-000067D8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5400" name="Picture 8" descr="C:\WINDOWS\TEMP\~0003946.gif">
          <a:extLst>
            <a:ext uri="{FF2B5EF4-FFF2-40B4-BE49-F238E27FC236}">
              <a16:creationId xmlns:a16="http://schemas.microsoft.com/office/drawing/2014/main" id="{00000000-0008-0000-1C00-000068D8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5401" name="Picture 9" descr="C:\WINDOWS\TEMP\~0003946.gif">
          <a:extLst>
            <a:ext uri="{FF2B5EF4-FFF2-40B4-BE49-F238E27FC236}">
              <a16:creationId xmlns:a16="http://schemas.microsoft.com/office/drawing/2014/main" id="{00000000-0008-0000-1C00-000069D8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196</xdr:row>
      <xdr:rowOff>104775</xdr:rowOff>
    </xdr:from>
    <xdr:to>
      <xdr:col>22</xdr:col>
      <xdr:colOff>809625</xdr:colOff>
      <xdr:row>197</xdr:row>
      <xdr:rowOff>133350</xdr:rowOff>
    </xdr:to>
    <xdr:pic>
      <xdr:nvPicPr>
        <xdr:cNvPr id="55402" name="Picture 11" descr="C:\WINDOWS\TEMP\~0003946.gif">
          <a:extLst>
            <a:ext uri="{FF2B5EF4-FFF2-40B4-BE49-F238E27FC236}">
              <a16:creationId xmlns:a16="http://schemas.microsoft.com/office/drawing/2014/main" id="{00000000-0008-0000-1C00-00006AD8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291</xdr:row>
      <xdr:rowOff>104775</xdr:rowOff>
    </xdr:from>
    <xdr:to>
      <xdr:col>22</xdr:col>
      <xdr:colOff>895350</xdr:colOff>
      <xdr:row>292</xdr:row>
      <xdr:rowOff>133350</xdr:rowOff>
    </xdr:to>
    <xdr:pic>
      <xdr:nvPicPr>
        <xdr:cNvPr id="55403" name="Picture 12" descr="C:\WINDOWS\TEMP\~0003946.gif">
          <a:extLst>
            <a:ext uri="{FF2B5EF4-FFF2-40B4-BE49-F238E27FC236}">
              <a16:creationId xmlns:a16="http://schemas.microsoft.com/office/drawing/2014/main" id="{00000000-0008-0000-1C00-00006BD8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5404" name="Picture 13" descr="logoMTL">
          <a:extLst>
            <a:ext uri="{FF2B5EF4-FFF2-40B4-BE49-F238E27FC236}">
              <a16:creationId xmlns:a16="http://schemas.microsoft.com/office/drawing/2014/main" id="{00000000-0008-0000-1C00-00006CD8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55405" name="Picture 14" descr="logoMTL">
          <a:extLst>
            <a:ext uri="{FF2B5EF4-FFF2-40B4-BE49-F238E27FC236}">
              <a16:creationId xmlns:a16="http://schemas.microsoft.com/office/drawing/2014/main" id="{00000000-0008-0000-1C00-00006DD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196</xdr:row>
      <xdr:rowOff>28575</xdr:rowOff>
    </xdr:from>
    <xdr:to>
      <xdr:col>21</xdr:col>
      <xdr:colOff>1171575</xdr:colOff>
      <xdr:row>197</xdr:row>
      <xdr:rowOff>152400</xdr:rowOff>
    </xdr:to>
    <xdr:pic>
      <xdr:nvPicPr>
        <xdr:cNvPr id="55406" name="Picture 15" descr="logoMTL">
          <a:extLst>
            <a:ext uri="{FF2B5EF4-FFF2-40B4-BE49-F238E27FC236}">
              <a16:creationId xmlns:a16="http://schemas.microsoft.com/office/drawing/2014/main" id="{00000000-0008-0000-1C00-00006ED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291</xdr:row>
      <xdr:rowOff>0</xdr:rowOff>
    </xdr:from>
    <xdr:to>
      <xdr:col>21</xdr:col>
      <xdr:colOff>1228725</xdr:colOff>
      <xdr:row>292</xdr:row>
      <xdr:rowOff>123825</xdr:rowOff>
    </xdr:to>
    <xdr:pic>
      <xdr:nvPicPr>
        <xdr:cNvPr id="55407" name="Picture 16" descr="logoMTL">
          <a:extLst>
            <a:ext uri="{FF2B5EF4-FFF2-40B4-BE49-F238E27FC236}">
              <a16:creationId xmlns:a16="http://schemas.microsoft.com/office/drawing/2014/main" id="{00000000-0008-0000-1C00-00006FD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85725</xdr:rowOff>
    </xdr:from>
    <xdr:to>
      <xdr:col>22</xdr:col>
      <xdr:colOff>895350</xdr:colOff>
      <xdr:row>137</xdr:row>
      <xdr:rowOff>114300</xdr:rowOff>
    </xdr:to>
    <xdr:pic>
      <xdr:nvPicPr>
        <xdr:cNvPr id="55408" name="Picture 9" descr="C:\WINDOWS\TEMP\~0003946.gif">
          <a:extLst>
            <a:ext uri="{FF2B5EF4-FFF2-40B4-BE49-F238E27FC236}">
              <a16:creationId xmlns:a16="http://schemas.microsoft.com/office/drawing/2014/main" id="{00000000-0008-0000-1C00-000070D8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41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9681" name="Picture 1" descr="C:\WINDOWS\TEMP\Symbol.gif">
          <a:extLst>
            <a:ext uri="{FF2B5EF4-FFF2-40B4-BE49-F238E27FC236}">
              <a16:creationId xmlns:a16="http://schemas.microsoft.com/office/drawing/2014/main" id="{00000000-0008-0000-0200-0000F17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135</xdr:row>
      <xdr:rowOff>161925</xdr:rowOff>
    </xdr:from>
    <xdr:to>
      <xdr:col>1</xdr:col>
      <xdr:colOff>28575</xdr:colOff>
      <xdr:row>136</xdr:row>
      <xdr:rowOff>200025</xdr:rowOff>
    </xdr:to>
    <xdr:pic>
      <xdr:nvPicPr>
        <xdr:cNvPr id="29682" name="Picture 2" descr="C:\WINDOWS\TEMP\Symbol.gif">
          <a:extLst>
            <a:ext uri="{FF2B5EF4-FFF2-40B4-BE49-F238E27FC236}">
              <a16:creationId xmlns:a16="http://schemas.microsoft.com/office/drawing/2014/main" id="{00000000-0008-0000-0200-0000F27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717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29683" name="Picture 3" descr="C:\WINDOWS\TEMP\Symbol.gif">
          <a:extLst>
            <a:ext uri="{FF2B5EF4-FFF2-40B4-BE49-F238E27FC236}">
              <a16:creationId xmlns:a16="http://schemas.microsoft.com/office/drawing/2014/main" id="{00000000-0008-0000-0200-0000F37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277</xdr:row>
      <xdr:rowOff>161925</xdr:rowOff>
    </xdr:from>
    <xdr:to>
      <xdr:col>1</xdr:col>
      <xdr:colOff>19050</xdr:colOff>
      <xdr:row>278</xdr:row>
      <xdr:rowOff>200025</xdr:rowOff>
    </xdr:to>
    <xdr:pic>
      <xdr:nvPicPr>
        <xdr:cNvPr id="29684" name="Picture 4" descr="C:\WINDOWS\TEMP\Symbol.gif">
          <a:extLst>
            <a:ext uri="{FF2B5EF4-FFF2-40B4-BE49-F238E27FC236}">
              <a16:creationId xmlns:a16="http://schemas.microsoft.com/office/drawing/2014/main" id="{00000000-0008-0000-0200-0000F47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2832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277</xdr:row>
      <xdr:rowOff>123825</xdr:rowOff>
    </xdr:from>
    <xdr:to>
      <xdr:col>22</xdr:col>
      <xdr:colOff>1895475</xdr:colOff>
      <xdr:row>278</xdr:row>
      <xdr:rowOff>152400</xdr:rowOff>
    </xdr:to>
    <xdr:pic>
      <xdr:nvPicPr>
        <xdr:cNvPr id="29685" name="Picture 5" descr="C:\WINDOWS\TEMP\~0003946.gif">
          <a:extLst>
            <a:ext uri="{FF2B5EF4-FFF2-40B4-BE49-F238E27FC236}">
              <a16:creationId xmlns:a16="http://schemas.microsoft.com/office/drawing/2014/main" id="{00000000-0008-0000-0200-0000F5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24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29686" name="Picture 6" descr="C:\WINDOWS\TEMP\~0003946.gif">
          <a:extLst>
            <a:ext uri="{FF2B5EF4-FFF2-40B4-BE49-F238E27FC236}">
              <a16:creationId xmlns:a16="http://schemas.microsoft.com/office/drawing/2014/main" id="{00000000-0008-0000-0200-0000F6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29687" name="Picture 7" descr="C:\WINDOWS\TEMP\~0003946.gif">
          <a:extLst>
            <a:ext uri="{FF2B5EF4-FFF2-40B4-BE49-F238E27FC236}">
              <a16:creationId xmlns:a16="http://schemas.microsoft.com/office/drawing/2014/main" id="{00000000-0008-0000-0200-0000F7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29688" name="Picture 8" descr="C:\WINDOWS\TEMP\~0003946.gif">
          <a:extLst>
            <a:ext uri="{FF2B5EF4-FFF2-40B4-BE49-F238E27FC236}">
              <a16:creationId xmlns:a16="http://schemas.microsoft.com/office/drawing/2014/main" id="{00000000-0008-0000-0200-0000F8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29689" name="Picture 9" descr="C:\WINDOWS\TEMP\~0003946.gif">
          <a:extLst>
            <a:ext uri="{FF2B5EF4-FFF2-40B4-BE49-F238E27FC236}">
              <a16:creationId xmlns:a16="http://schemas.microsoft.com/office/drawing/2014/main" id="{00000000-0008-0000-0200-0000F9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135</xdr:row>
      <xdr:rowOff>123825</xdr:rowOff>
    </xdr:from>
    <xdr:to>
      <xdr:col>22</xdr:col>
      <xdr:colOff>895350</xdr:colOff>
      <xdr:row>136</xdr:row>
      <xdr:rowOff>152400</xdr:rowOff>
    </xdr:to>
    <xdr:pic>
      <xdr:nvPicPr>
        <xdr:cNvPr id="29690" name="Picture 10" descr="C:\WINDOWS\TEMP\~0003946.gif">
          <a:extLst>
            <a:ext uri="{FF2B5EF4-FFF2-40B4-BE49-F238E27FC236}">
              <a16:creationId xmlns:a16="http://schemas.microsoft.com/office/drawing/2014/main" id="{00000000-0008-0000-0200-0000FA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679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29691" name="Picture 11" descr="C:\WINDOWS\TEMP\~0003946.gif">
          <a:extLst>
            <a:ext uri="{FF2B5EF4-FFF2-40B4-BE49-F238E27FC236}">
              <a16:creationId xmlns:a16="http://schemas.microsoft.com/office/drawing/2014/main" id="{00000000-0008-0000-0200-0000FB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277</xdr:row>
      <xdr:rowOff>104775</xdr:rowOff>
    </xdr:from>
    <xdr:to>
      <xdr:col>22</xdr:col>
      <xdr:colOff>895350</xdr:colOff>
      <xdr:row>278</xdr:row>
      <xdr:rowOff>133350</xdr:rowOff>
    </xdr:to>
    <xdr:pic>
      <xdr:nvPicPr>
        <xdr:cNvPr id="29692" name="Picture 12" descr="C:\WINDOWS\TEMP\~0003946.gif">
          <a:extLst>
            <a:ext uri="{FF2B5EF4-FFF2-40B4-BE49-F238E27FC236}">
              <a16:creationId xmlns:a16="http://schemas.microsoft.com/office/drawing/2014/main" id="{00000000-0008-0000-0200-0000FC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226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29693" name="Picture 13" descr="logoMTL">
          <a:extLst>
            <a:ext uri="{FF2B5EF4-FFF2-40B4-BE49-F238E27FC236}">
              <a16:creationId xmlns:a16="http://schemas.microsoft.com/office/drawing/2014/main" id="{00000000-0008-0000-0200-0000FD7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161925</xdr:rowOff>
    </xdr:to>
    <xdr:pic>
      <xdr:nvPicPr>
        <xdr:cNvPr id="29694" name="Picture 14" descr="logoMTL">
          <a:extLst>
            <a:ext uri="{FF2B5EF4-FFF2-40B4-BE49-F238E27FC236}">
              <a16:creationId xmlns:a16="http://schemas.microsoft.com/office/drawing/2014/main" id="{00000000-0008-0000-0200-0000FE7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5939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29695" name="Picture 15" descr="logoMTL">
          <a:extLst>
            <a:ext uri="{FF2B5EF4-FFF2-40B4-BE49-F238E27FC236}">
              <a16:creationId xmlns:a16="http://schemas.microsoft.com/office/drawing/2014/main" id="{00000000-0008-0000-0200-0000FF7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277</xdr:row>
      <xdr:rowOff>0</xdr:rowOff>
    </xdr:from>
    <xdr:to>
      <xdr:col>21</xdr:col>
      <xdr:colOff>1228725</xdr:colOff>
      <xdr:row>278</xdr:row>
      <xdr:rowOff>123825</xdr:rowOff>
    </xdr:to>
    <xdr:pic>
      <xdr:nvPicPr>
        <xdr:cNvPr id="58368" name="Picture 16" descr="logoMTL">
          <a:extLst>
            <a:ext uri="{FF2B5EF4-FFF2-40B4-BE49-F238E27FC236}">
              <a16:creationId xmlns:a16="http://schemas.microsoft.com/office/drawing/2014/main" id="{00000000-0008-0000-0200-000000E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1213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196</xdr:row>
      <xdr:rowOff>171450</xdr:rowOff>
    </xdr:from>
    <xdr:to>
      <xdr:col>1</xdr:col>
      <xdr:colOff>47625</xdr:colOff>
      <xdr:row>197</xdr:row>
      <xdr:rowOff>209550</xdr:rowOff>
    </xdr:to>
    <xdr:pic>
      <xdr:nvPicPr>
        <xdr:cNvPr id="4" name="Picture 3" descr="C:\WINDOWS\TEMP\Symbol.gif">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 name="Picture 4" descr="C:\WINDOWS\TEMP\Symbol.gif">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291</xdr:row>
      <xdr:rowOff>123825</xdr:rowOff>
    </xdr:from>
    <xdr:to>
      <xdr:col>22</xdr:col>
      <xdr:colOff>1895475</xdr:colOff>
      <xdr:row>292</xdr:row>
      <xdr:rowOff>152400</xdr:rowOff>
    </xdr:to>
    <xdr:pic>
      <xdr:nvPicPr>
        <xdr:cNvPr id="6" name="Picture 5" descr="C:\WINDOWS\TEMP\~0003946.gif">
          <a:extLst>
            <a:ext uri="{FF2B5EF4-FFF2-40B4-BE49-F238E27FC236}">
              <a16:creationId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196</xdr:row>
      <xdr:rowOff>152400</xdr:rowOff>
    </xdr:from>
    <xdr:to>
      <xdr:col>22</xdr:col>
      <xdr:colOff>1924050</xdr:colOff>
      <xdr:row>197</xdr:row>
      <xdr:rowOff>180975</xdr:rowOff>
    </xdr:to>
    <xdr:pic>
      <xdr:nvPicPr>
        <xdr:cNvPr id="7" name="Picture 6" descr="C:\WINDOWS\TEMP\~0003946.gif">
          <a:extLst>
            <a:ext uri="{FF2B5EF4-FFF2-40B4-BE49-F238E27FC236}">
              <a16:creationId xmlns:a16="http://schemas.microsoft.com/office/drawing/2014/main" id="{00000000-0008-0000-1D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1D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D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D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196</xdr:row>
      <xdr:rowOff>104775</xdr:rowOff>
    </xdr:from>
    <xdr:to>
      <xdr:col>22</xdr:col>
      <xdr:colOff>809625</xdr:colOff>
      <xdr:row>197</xdr:row>
      <xdr:rowOff>133350</xdr:rowOff>
    </xdr:to>
    <xdr:pic>
      <xdr:nvPicPr>
        <xdr:cNvPr id="11" name="Picture 11" descr="C:\WINDOWS\TEMP\~0003946.gif">
          <a:extLst>
            <a:ext uri="{FF2B5EF4-FFF2-40B4-BE49-F238E27FC236}">
              <a16:creationId xmlns:a16="http://schemas.microsoft.com/office/drawing/2014/main" id="{00000000-0008-0000-1D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291</xdr:row>
      <xdr:rowOff>104775</xdr:rowOff>
    </xdr:from>
    <xdr:to>
      <xdr:col>22</xdr:col>
      <xdr:colOff>895350</xdr:colOff>
      <xdr:row>292</xdr:row>
      <xdr:rowOff>133350</xdr:rowOff>
    </xdr:to>
    <xdr:pic>
      <xdr:nvPicPr>
        <xdr:cNvPr id="12" name="Picture 12" descr="C:\WINDOWS\TEMP\~0003946.gif">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3" name="Picture 13" descr="logoMTL">
          <a:extLst>
            <a:ext uri="{FF2B5EF4-FFF2-40B4-BE49-F238E27FC236}">
              <a16:creationId xmlns:a16="http://schemas.microsoft.com/office/drawing/2014/main" id="{00000000-0008-0000-1D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4" name="Picture 14" descr="logoMTL">
          <a:extLst>
            <a:ext uri="{FF2B5EF4-FFF2-40B4-BE49-F238E27FC236}">
              <a16:creationId xmlns:a16="http://schemas.microsoft.com/office/drawing/2014/main" id="{00000000-0008-0000-1D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196</xdr:row>
      <xdr:rowOff>28575</xdr:rowOff>
    </xdr:from>
    <xdr:to>
      <xdr:col>21</xdr:col>
      <xdr:colOff>1171575</xdr:colOff>
      <xdr:row>197</xdr:row>
      <xdr:rowOff>152400</xdr:rowOff>
    </xdr:to>
    <xdr:pic>
      <xdr:nvPicPr>
        <xdr:cNvPr id="15" name="Picture 15" descr="logoMTL">
          <a:extLst>
            <a:ext uri="{FF2B5EF4-FFF2-40B4-BE49-F238E27FC236}">
              <a16:creationId xmlns:a16="http://schemas.microsoft.com/office/drawing/2014/main" id="{00000000-0008-0000-1D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291</xdr:row>
      <xdr:rowOff>0</xdr:rowOff>
    </xdr:from>
    <xdr:to>
      <xdr:col>21</xdr:col>
      <xdr:colOff>1228725</xdr:colOff>
      <xdr:row>292</xdr:row>
      <xdr:rowOff>123825</xdr:rowOff>
    </xdr:to>
    <xdr:pic>
      <xdr:nvPicPr>
        <xdr:cNvPr id="16" name="Picture 16" descr="logoMTL">
          <a:extLst>
            <a:ext uri="{FF2B5EF4-FFF2-40B4-BE49-F238E27FC236}">
              <a16:creationId xmlns:a16="http://schemas.microsoft.com/office/drawing/2014/main" id="{00000000-0008-0000-1D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85725</xdr:rowOff>
    </xdr:from>
    <xdr:to>
      <xdr:col>22</xdr:col>
      <xdr:colOff>895350</xdr:colOff>
      <xdr:row>137</xdr:row>
      <xdr:rowOff>114300</xdr:rowOff>
    </xdr:to>
    <xdr:pic>
      <xdr:nvPicPr>
        <xdr:cNvPr id="17" name="Picture 9" descr="C:\WINDOWS\TEMP\~0003946.gif">
          <a:extLst>
            <a:ext uri="{FF2B5EF4-FFF2-40B4-BE49-F238E27FC236}">
              <a16:creationId xmlns:a16="http://schemas.microsoft.com/office/drawing/2014/main" id="{00000000-0008-0000-1D00-000011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41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196</xdr:row>
      <xdr:rowOff>171450</xdr:rowOff>
    </xdr:from>
    <xdr:to>
      <xdr:col>1</xdr:col>
      <xdr:colOff>47625</xdr:colOff>
      <xdr:row>197</xdr:row>
      <xdr:rowOff>209550</xdr:rowOff>
    </xdr:to>
    <xdr:pic>
      <xdr:nvPicPr>
        <xdr:cNvPr id="4" name="Picture 3" descr="C:\WINDOWS\TEMP\Symbol.gif">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 name="Picture 4" descr="C:\WINDOWS\TEMP\Symbol.gif">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291</xdr:row>
      <xdr:rowOff>123825</xdr:rowOff>
    </xdr:from>
    <xdr:to>
      <xdr:col>22</xdr:col>
      <xdr:colOff>1895475</xdr:colOff>
      <xdr:row>292</xdr:row>
      <xdr:rowOff>152400</xdr:rowOff>
    </xdr:to>
    <xdr:pic>
      <xdr:nvPicPr>
        <xdr:cNvPr id="6" name="Picture 5" descr="C:\WINDOWS\TEMP\~0003946.gif">
          <a:extLst>
            <a:ext uri="{FF2B5EF4-FFF2-40B4-BE49-F238E27FC236}">
              <a16:creationId xmlns:a16="http://schemas.microsoft.com/office/drawing/2014/main" id="{00000000-0008-0000-1E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196</xdr:row>
      <xdr:rowOff>152400</xdr:rowOff>
    </xdr:from>
    <xdr:to>
      <xdr:col>22</xdr:col>
      <xdr:colOff>1924050</xdr:colOff>
      <xdr:row>197</xdr:row>
      <xdr:rowOff>180975</xdr:rowOff>
    </xdr:to>
    <xdr:pic>
      <xdr:nvPicPr>
        <xdr:cNvPr id="7" name="Picture 6" descr="C:\WINDOWS\TEMP\~0003946.gif">
          <a:extLst>
            <a:ext uri="{FF2B5EF4-FFF2-40B4-BE49-F238E27FC236}">
              <a16:creationId xmlns:a16="http://schemas.microsoft.com/office/drawing/2014/main" id="{00000000-0008-0000-1E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1E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E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E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196</xdr:row>
      <xdr:rowOff>104775</xdr:rowOff>
    </xdr:from>
    <xdr:to>
      <xdr:col>22</xdr:col>
      <xdr:colOff>809625</xdr:colOff>
      <xdr:row>197</xdr:row>
      <xdr:rowOff>133350</xdr:rowOff>
    </xdr:to>
    <xdr:pic>
      <xdr:nvPicPr>
        <xdr:cNvPr id="11" name="Picture 11" descr="C:\WINDOWS\TEMP\~0003946.gif">
          <a:extLst>
            <a:ext uri="{FF2B5EF4-FFF2-40B4-BE49-F238E27FC236}">
              <a16:creationId xmlns:a16="http://schemas.microsoft.com/office/drawing/2014/main" id="{00000000-0008-0000-1E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291</xdr:row>
      <xdr:rowOff>104775</xdr:rowOff>
    </xdr:from>
    <xdr:to>
      <xdr:col>22</xdr:col>
      <xdr:colOff>895350</xdr:colOff>
      <xdr:row>292</xdr:row>
      <xdr:rowOff>133350</xdr:rowOff>
    </xdr:to>
    <xdr:pic>
      <xdr:nvPicPr>
        <xdr:cNvPr id="12" name="Picture 12" descr="C:\WINDOWS\TEMP\~0003946.gif">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3" name="Picture 13" descr="logoMTL">
          <a:extLst>
            <a:ext uri="{FF2B5EF4-FFF2-40B4-BE49-F238E27FC236}">
              <a16:creationId xmlns:a16="http://schemas.microsoft.com/office/drawing/2014/main" id="{00000000-0008-0000-1E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4" name="Picture 14" descr="logoMTL">
          <a:extLst>
            <a:ext uri="{FF2B5EF4-FFF2-40B4-BE49-F238E27FC236}">
              <a16:creationId xmlns:a16="http://schemas.microsoft.com/office/drawing/2014/main" id="{00000000-0008-0000-1E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196</xdr:row>
      <xdr:rowOff>28575</xdr:rowOff>
    </xdr:from>
    <xdr:to>
      <xdr:col>21</xdr:col>
      <xdr:colOff>1171575</xdr:colOff>
      <xdr:row>197</xdr:row>
      <xdr:rowOff>152400</xdr:rowOff>
    </xdr:to>
    <xdr:pic>
      <xdr:nvPicPr>
        <xdr:cNvPr id="15" name="Picture 15" descr="logoMTL">
          <a:extLst>
            <a:ext uri="{FF2B5EF4-FFF2-40B4-BE49-F238E27FC236}">
              <a16:creationId xmlns:a16="http://schemas.microsoft.com/office/drawing/2014/main" id="{00000000-0008-0000-1E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291</xdr:row>
      <xdr:rowOff>0</xdr:rowOff>
    </xdr:from>
    <xdr:to>
      <xdr:col>21</xdr:col>
      <xdr:colOff>1228725</xdr:colOff>
      <xdr:row>292</xdr:row>
      <xdr:rowOff>123825</xdr:rowOff>
    </xdr:to>
    <xdr:pic>
      <xdr:nvPicPr>
        <xdr:cNvPr id="16" name="Picture 16" descr="logoMTL">
          <a:extLst>
            <a:ext uri="{FF2B5EF4-FFF2-40B4-BE49-F238E27FC236}">
              <a16:creationId xmlns:a16="http://schemas.microsoft.com/office/drawing/2014/main" id="{00000000-0008-0000-1E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85725</xdr:rowOff>
    </xdr:from>
    <xdr:to>
      <xdr:col>22</xdr:col>
      <xdr:colOff>895350</xdr:colOff>
      <xdr:row>137</xdr:row>
      <xdr:rowOff>114300</xdr:rowOff>
    </xdr:to>
    <xdr:pic>
      <xdr:nvPicPr>
        <xdr:cNvPr id="17" name="Picture 9" descr="C:\WINDOWS\TEMP\~0003946.gif">
          <a:extLst>
            <a:ext uri="{FF2B5EF4-FFF2-40B4-BE49-F238E27FC236}">
              <a16:creationId xmlns:a16="http://schemas.microsoft.com/office/drawing/2014/main" id="{00000000-0008-0000-1E00-000011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41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196</xdr:row>
      <xdr:rowOff>171450</xdr:rowOff>
    </xdr:from>
    <xdr:to>
      <xdr:col>1</xdr:col>
      <xdr:colOff>47625</xdr:colOff>
      <xdr:row>197</xdr:row>
      <xdr:rowOff>209550</xdr:rowOff>
    </xdr:to>
    <xdr:pic>
      <xdr:nvPicPr>
        <xdr:cNvPr id="4" name="Picture 3" descr="C:\WINDOWS\TEMP\Symbol.gif">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 name="Picture 4" descr="C:\WINDOWS\TEMP\Symbol.gif">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291</xdr:row>
      <xdr:rowOff>123825</xdr:rowOff>
    </xdr:from>
    <xdr:to>
      <xdr:col>22</xdr:col>
      <xdr:colOff>1895475</xdr:colOff>
      <xdr:row>292</xdr:row>
      <xdr:rowOff>152400</xdr:rowOff>
    </xdr:to>
    <xdr:pic>
      <xdr:nvPicPr>
        <xdr:cNvPr id="6" name="Picture 5" descr="C:\WINDOWS\TEMP\~0003946.gif">
          <a:extLst>
            <a:ext uri="{FF2B5EF4-FFF2-40B4-BE49-F238E27FC236}">
              <a16:creationId xmlns:a16="http://schemas.microsoft.com/office/drawing/2014/main" id="{00000000-0008-0000-1F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196</xdr:row>
      <xdr:rowOff>152400</xdr:rowOff>
    </xdr:from>
    <xdr:to>
      <xdr:col>22</xdr:col>
      <xdr:colOff>1924050</xdr:colOff>
      <xdr:row>197</xdr:row>
      <xdr:rowOff>180975</xdr:rowOff>
    </xdr:to>
    <xdr:pic>
      <xdr:nvPicPr>
        <xdr:cNvPr id="7" name="Picture 6" descr="C:\WINDOWS\TEMP\~0003946.gif">
          <a:extLst>
            <a:ext uri="{FF2B5EF4-FFF2-40B4-BE49-F238E27FC236}">
              <a16:creationId xmlns:a16="http://schemas.microsoft.com/office/drawing/2014/main" id="{00000000-0008-0000-1F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1F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F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196</xdr:row>
      <xdr:rowOff>104775</xdr:rowOff>
    </xdr:from>
    <xdr:to>
      <xdr:col>22</xdr:col>
      <xdr:colOff>809625</xdr:colOff>
      <xdr:row>197</xdr:row>
      <xdr:rowOff>133350</xdr:rowOff>
    </xdr:to>
    <xdr:pic>
      <xdr:nvPicPr>
        <xdr:cNvPr id="11" name="Picture 11" descr="C:\WINDOWS\TEMP\~0003946.gif">
          <a:extLst>
            <a:ext uri="{FF2B5EF4-FFF2-40B4-BE49-F238E27FC236}">
              <a16:creationId xmlns:a16="http://schemas.microsoft.com/office/drawing/2014/main" id="{00000000-0008-0000-1F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291</xdr:row>
      <xdr:rowOff>104775</xdr:rowOff>
    </xdr:from>
    <xdr:to>
      <xdr:col>22</xdr:col>
      <xdr:colOff>895350</xdr:colOff>
      <xdr:row>292</xdr:row>
      <xdr:rowOff>133350</xdr:rowOff>
    </xdr:to>
    <xdr:pic>
      <xdr:nvPicPr>
        <xdr:cNvPr id="12" name="Picture 12" descr="C:\WINDOWS\TEMP\~0003946.gif">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3" name="Picture 13" descr="logoMTL">
          <a:extLst>
            <a:ext uri="{FF2B5EF4-FFF2-40B4-BE49-F238E27FC236}">
              <a16:creationId xmlns:a16="http://schemas.microsoft.com/office/drawing/2014/main" id="{00000000-0008-0000-1F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4" name="Picture 14" descr="logoMTL">
          <a:extLst>
            <a:ext uri="{FF2B5EF4-FFF2-40B4-BE49-F238E27FC236}">
              <a16:creationId xmlns:a16="http://schemas.microsoft.com/office/drawing/2014/main" id="{00000000-0008-0000-1F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196</xdr:row>
      <xdr:rowOff>28575</xdr:rowOff>
    </xdr:from>
    <xdr:to>
      <xdr:col>21</xdr:col>
      <xdr:colOff>1171575</xdr:colOff>
      <xdr:row>197</xdr:row>
      <xdr:rowOff>152400</xdr:rowOff>
    </xdr:to>
    <xdr:pic>
      <xdr:nvPicPr>
        <xdr:cNvPr id="15" name="Picture 15" descr="logoMTL">
          <a:extLst>
            <a:ext uri="{FF2B5EF4-FFF2-40B4-BE49-F238E27FC236}">
              <a16:creationId xmlns:a16="http://schemas.microsoft.com/office/drawing/2014/main" id="{00000000-0008-0000-1F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291</xdr:row>
      <xdr:rowOff>0</xdr:rowOff>
    </xdr:from>
    <xdr:to>
      <xdr:col>21</xdr:col>
      <xdr:colOff>1228725</xdr:colOff>
      <xdr:row>292</xdr:row>
      <xdr:rowOff>123825</xdr:rowOff>
    </xdr:to>
    <xdr:pic>
      <xdr:nvPicPr>
        <xdr:cNvPr id="16" name="Picture 16" descr="logoMTL">
          <a:extLst>
            <a:ext uri="{FF2B5EF4-FFF2-40B4-BE49-F238E27FC236}">
              <a16:creationId xmlns:a16="http://schemas.microsoft.com/office/drawing/2014/main" id="{00000000-0008-0000-1F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85725</xdr:rowOff>
    </xdr:from>
    <xdr:to>
      <xdr:col>22</xdr:col>
      <xdr:colOff>895350</xdr:colOff>
      <xdr:row>137</xdr:row>
      <xdr:rowOff>114300</xdr:rowOff>
    </xdr:to>
    <xdr:pic>
      <xdr:nvPicPr>
        <xdr:cNvPr id="17" name="Picture 9" descr="C:\WINDOWS\TEMP\~0003946.gif">
          <a:extLst>
            <a:ext uri="{FF2B5EF4-FFF2-40B4-BE49-F238E27FC236}">
              <a16:creationId xmlns:a16="http://schemas.microsoft.com/office/drawing/2014/main" id="{00000000-0008-0000-1F00-000011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41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196</xdr:row>
      <xdr:rowOff>171450</xdr:rowOff>
    </xdr:from>
    <xdr:to>
      <xdr:col>1</xdr:col>
      <xdr:colOff>47625</xdr:colOff>
      <xdr:row>197</xdr:row>
      <xdr:rowOff>209550</xdr:rowOff>
    </xdr:to>
    <xdr:pic>
      <xdr:nvPicPr>
        <xdr:cNvPr id="4" name="Picture 3" descr="C:\WINDOWS\TEMP\Symbol.gif">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 name="Picture 4" descr="C:\WINDOWS\TEMP\Symbol.gif">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291</xdr:row>
      <xdr:rowOff>123825</xdr:rowOff>
    </xdr:from>
    <xdr:to>
      <xdr:col>22</xdr:col>
      <xdr:colOff>1895475</xdr:colOff>
      <xdr:row>292</xdr:row>
      <xdr:rowOff>152400</xdr:rowOff>
    </xdr:to>
    <xdr:pic>
      <xdr:nvPicPr>
        <xdr:cNvPr id="6" name="Picture 5" descr="C:\WINDOWS\TEMP\~0003946.gif">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196</xdr:row>
      <xdr:rowOff>152400</xdr:rowOff>
    </xdr:from>
    <xdr:to>
      <xdr:col>22</xdr:col>
      <xdr:colOff>1924050</xdr:colOff>
      <xdr:row>197</xdr:row>
      <xdr:rowOff>180975</xdr:rowOff>
    </xdr:to>
    <xdr:pic>
      <xdr:nvPicPr>
        <xdr:cNvPr id="7" name="Picture 6" descr="C:\WINDOWS\TEMP\~0003946.gif">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20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0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0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196</xdr:row>
      <xdr:rowOff>104775</xdr:rowOff>
    </xdr:from>
    <xdr:to>
      <xdr:col>22</xdr:col>
      <xdr:colOff>809625</xdr:colOff>
      <xdr:row>197</xdr:row>
      <xdr:rowOff>133350</xdr:rowOff>
    </xdr:to>
    <xdr:pic>
      <xdr:nvPicPr>
        <xdr:cNvPr id="11" name="Picture 11" descr="C:\WINDOWS\TEMP\~0003946.gif">
          <a:extLst>
            <a:ext uri="{FF2B5EF4-FFF2-40B4-BE49-F238E27FC236}">
              <a16:creationId xmlns:a16="http://schemas.microsoft.com/office/drawing/2014/main" id="{00000000-0008-0000-20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291</xdr:row>
      <xdr:rowOff>104775</xdr:rowOff>
    </xdr:from>
    <xdr:to>
      <xdr:col>22</xdr:col>
      <xdr:colOff>895350</xdr:colOff>
      <xdr:row>292</xdr:row>
      <xdr:rowOff>133350</xdr:rowOff>
    </xdr:to>
    <xdr:pic>
      <xdr:nvPicPr>
        <xdr:cNvPr id="12" name="Picture 12" descr="C:\WINDOWS\TEMP\~0003946.gif">
          <a:extLst>
            <a:ext uri="{FF2B5EF4-FFF2-40B4-BE49-F238E27FC236}">
              <a16:creationId xmlns:a16="http://schemas.microsoft.com/office/drawing/2014/main" id="{00000000-0008-0000-20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3" name="Picture 13" descr="logoMTL">
          <a:extLst>
            <a:ext uri="{FF2B5EF4-FFF2-40B4-BE49-F238E27FC236}">
              <a16:creationId xmlns:a16="http://schemas.microsoft.com/office/drawing/2014/main" id="{00000000-0008-0000-20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4" name="Picture 14" descr="logoMTL">
          <a:extLst>
            <a:ext uri="{FF2B5EF4-FFF2-40B4-BE49-F238E27FC236}">
              <a16:creationId xmlns:a16="http://schemas.microsoft.com/office/drawing/2014/main" id="{00000000-0008-0000-20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196</xdr:row>
      <xdr:rowOff>28575</xdr:rowOff>
    </xdr:from>
    <xdr:to>
      <xdr:col>21</xdr:col>
      <xdr:colOff>1171575</xdr:colOff>
      <xdr:row>197</xdr:row>
      <xdr:rowOff>152400</xdr:rowOff>
    </xdr:to>
    <xdr:pic>
      <xdr:nvPicPr>
        <xdr:cNvPr id="15" name="Picture 15" descr="logoMTL">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291</xdr:row>
      <xdr:rowOff>0</xdr:rowOff>
    </xdr:from>
    <xdr:to>
      <xdr:col>21</xdr:col>
      <xdr:colOff>1228725</xdr:colOff>
      <xdr:row>292</xdr:row>
      <xdr:rowOff>123825</xdr:rowOff>
    </xdr:to>
    <xdr:pic>
      <xdr:nvPicPr>
        <xdr:cNvPr id="16" name="Picture 16" descr="logoMTL">
          <a:extLst>
            <a:ext uri="{FF2B5EF4-FFF2-40B4-BE49-F238E27FC236}">
              <a16:creationId xmlns:a16="http://schemas.microsoft.com/office/drawing/2014/main" id="{00000000-0008-0000-20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85725</xdr:rowOff>
    </xdr:from>
    <xdr:to>
      <xdr:col>22</xdr:col>
      <xdr:colOff>895350</xdr:colOff>
      <xdr:row>137</xdr:row>
      <xdr:rowOff>114300</xdr:rowOff>
    </xdr:to>
    <xdr:pic>
      <xdr:nvPicPr>
        <xdr:cNvPr id="17" name="Picture 9" descr="C:\WINDOWS\TEMP\~0003946.gif">
          <a:extLst>
            <a:ext uri="{FF2B5EF4-FFF2-40B4-BE49-F238E27FC236}">
              <a16:creationId xmlns:a16="http://schemas.microsoft.com/office/drawing/2014/main" id="{00000000-0008-0000-2000-000011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41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196</xdr:row>
      <xdr:rowOff>171450</xdr:rowOff>
    </xdr:from>
    <xdr:to>
      <xdr:col>1</xdr:col>
      <xdr:colOff>47625</xdr:colOff>
      <xdr:row>197</xdr:row>
      <xdr:rowOff>209550</xdr:rowOff>
    </xdr:to>
    <xdr:pic>
      <xdr:nvPicPr>
        <xdr:cNvPr id="4" name="Picture 3" descr="C:\WINDOWS\TEMP\Symbol.gif">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 name="Picture 4" descr="C:\WINDOWS\TEMP\Symbol.gif">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291</xdr:row>
      <xdr:rowOff>123825</xdr:rowOff>
    </xdr:from>
    <xdr:to>
      <xdr:col>22</xdr:col>
      <xdr:colOff>1895475</xdr:colOff>
      <xdr:row>292</xdr:row>
      <xdr:rowOff>152400</xdr:rowOff>
    </xdr:to>
    <xdr:pic>
      <xdr:nvPicPr>
        <xdr:cNvPr id="6" name="Picture 5" descr="C:\WINDOWS\TEMP\~0003946.gif">
          <a:extLst>
            <a:ext uri="{FF2B5EF4-FFF2-40B4-BE49-F238E27FC236}">
              <a16:creationId xmlns:a16="http://schemas.microsoft.com/office/drawing/2014/main" id="{00000000-0008-0000-21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196</xdr:row>
      <xdr:rowOff>152400</xdr:rowOff>
    </xdr:from>
    <xdr:to>
      <xdr:col>22</xdr:col>
      <xdr:colOff>1924050</xdr:colOff>
      <xdr:row>197</xdr:row>
      <xdr:rowOff>180975</xdr:rowOff>
    </xdr:to>
    <xdr:pic>
      <xdr:nvPicPr>
        <xdr:cNvPr id="7" name="Picture 6" descr="C:\WINDOWS\TEMP\~0003946.gif">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1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1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196</xdr:row>
      <xdr:rowOff>104775</xdr:rowOff>
    </xdr:from>
    <xdr:to>
      <xdr:col>22</xdr:col>
      <xdr:colOff>809625</xdr:colOff>
      <xdr:row>197</xdr:row>
      <xdr:rowOff>133350</xdr:rowOff>
    </xdr:to>
    <xdr:pic>
      <xdr:nvPicPr>
        <xdr:cNvPr id="11" name="Picture 11" descr="C:\WINDOWS\TEMP\~0003946.gif">
          <a:extLst>
            <a:ext uri="{FF2B5EF4-FFF2-40B4-BE49-F238E27FC236}">
              <a16:creationId xmlns:a16="http://schemas.microsoft.com/office/drawing/2014/main" id="{00000000-0008-0000-21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291</xdr:row>
      <xdr:rowOff>104775</xdr:rowOff>
    </xdr:from>
    <xdr:to>
      <xdr:col>22</xdr:col>
      <xdr:colOff>895350</xdr:colOff>
      <xdr:row>292</xdr:row>
      <xdr:rowOff>133350</xdr:rowOff>
    </xdr:to>
    <xdr:pic>
      <xdr:nvPicPr>
        <xdr:cNvPr id="12" name="Picture 12" descr="C:\WINDOWS\TEMP\~0003946.gif">
          <a:extLst>
            <a:ext uri="{FF2B5EF4-FFF2-40B4-BE49-F238E27FC236}">
              <a16:creationId xmlns:a16="http://schemas.microsoft.com/office/drawing/2014/main" id="{00000000-0008-0000-21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3" name="Picture 13" descr="logoMTL">
          <a:extLst>
            <a:ext uri="{FF2B5EF4-FFF2-40B4-BE49-F238E27FC236}">
              <a16:creationId xmlns:a16="http://schemas.microsoft.com/office/drawing/2014/main" id="{00000000-0008-0000-21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4" name="Picture 14" descr="logoMTL">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196</xdr:row>
      <xdr:rowOff>28575</xdr:rowOff>
    </xdr:from>
    <xdr:to>
      <xdr:col>21</xdr:col>
      <xdr:colOff>1171575</xdr:colOff>
      <xdr:row>197</xdr:row>
      <xdr:rowOff>152400</xdr:rowOff>
    </xdr:to>
    <xdr:pic>
      <xdr:nvPicPr>
        <xdr:cNvPr id="15" name="Picture 15" descr="logoMTL">
          <a:extLst>
            <a:ext uri="{FF2B5EF4-FFF2-40B4-BE49-F238E27FC236}">
              <a16:creationId xmlns:a16="http://schemas.microsoft.com/office/drawing/2014/main" id="{00000000-0008-0000-21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291</xdr:row>
      <xdr:rowOff>0</xdr:rowOff>
    </xdr:from>
    <xdr:to>
      <xdr:col>21</xdr:col>
      <xdr:colOff>1228725</xdr:colOff>
      <xdr:row>292</xdr:row>
      <xdr:rowOff>123825</xdr:rowOff>
    </xdr:to>
    <xdr:pic>
      <xdr:nvPicPr>
        <xdr:cNvPr id="16" name="Picture 16" descr="logoMTL">
          <a:extLst>
            <a:ext uri="{FF2B5EF4-FFF2-40B4-BE49-F238E27FC236}">
              <a16:creationId xmlns:a16="http://schemas.microsoft.com/office/drawing/2014/main" id="{00000000-0008-0000-21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85725</xdr:rowOff>
    </xdr:from>
    <xdr:to>
      <xdr:col>22</xdr:col>
      <xdr:colOff>895350</xdr:colOff>
      <xdr:row>137</xdr:row>
      <xdr:rowOff>114300</xdr:rowOff>
    </xdr:to>
    <xdr:pic>
      <xdr:nvPicPr>
        <xdr:cNvPr id="17" name="Picture 9" descr="C:\WINDOWS\TEMP\~0003946.gif">
          <a:extLst>
            <a:ext uri="{FF2B5EF4-FFF2-40B4-BE49-F238E27FC236}">
              <a16:creationId xmlns:a16="http://schemas.microsoft.com/office/drawing/2014/main" id="{00000000-0008-0000-2100-000011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41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196</xdr:row>
      <xdr:rowOff>171450</xdr:rowOff>
    </xdr:from>
    <xdr:to>
      <xdr:col>1</xdr:col>
      <xdr:colOff>47625</xdr:colOff>
      <xdr:row>197</xdr:row>
      <xdr:rowOff>209550</xdr:rowOff>
    </xdr:to>
    <xdr:pic>
      <xdr:nvPicPr>
        <xdr:cNvPr id="4" name="Picture 3" descr="C:\WINDOWS\TEMP\Symbol.gif">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291</xdr:row>
      <xdr:rowOff>161925</xdr:rowOff>
    </xdr:from>
    <xdr:to>
      <xdr:col>1</xdr:col>
      <xdr:colOff>19050</xdr:colOff>
      <xdr:row>292</xdr:row>
      <xdr:rowOff>200025</xdr:rowOff>
    </xdr:to>
    <xdr:pic>
      <xdr:nvPicPr>
        <xdr:cNvPr id="5" name="Picture 4" descr="C:\WINDOWS\TEMP\Symbol.gif">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291</xdr:row>
      <xdr:rowOff>123825</xdr:rowOff>
    </xdr:from>
    <xdr:to>
      <xdr:col>22</xdr:col>
      <xdr:colOff>1895475</xdr:colOff>
      <xdr:row>292</xdr:row>
      <xdr:rowOff>152400</xdr:rowOff>
    </xdr:to>
    <xdr:pic>
      <xdr:nvPicPr>
        <xdr:cNvPr id="6" name="Picture 5" descr="C:\WINDOWS\TEMP\~0003946.gif">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196</xdr:row>
      <xdr:rowOff>152400</xdr:rowOff>
    </xdr:from>
    <xdr:to>
      <xdr:col>22</xdr:col>
      <xdr:colOff>1924050</xdr:colOff>
      <xdr:row>197</xdr:row>
      <xdr:rowOff>180975</xdr:rowOff>
    </xdr:to>
    <xdr:pic>
      <xdr:nvPicPr>
        <xdr:cNvPr id="7" name="Picture 6" descr="C:\WINDOWS\TEMP\~0003946.gif">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2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2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196</xdr:row>
      <xdr:rowOff>104775</xdr:rowOff>
    </xdr:from>
    <xdr:to>
      <xdr:col>22</xdr:col>
      <xdr:colOff>809625</xdr:colOff>
      <xdr:row>197</xdr:row>
      <xdr:rowOff>133350</xdr:rowOff>
    </xdr:to>
    <xdr:pic>
      <xdr:nvPicPr>
        <xdr:cNvPr id="11" name="Picture 11" descr="C:\WINDOWS\TEMP\~0003946.gif">
          <a:extLst>
            <a:ext uri="{FF2B5EF4-FFF2-40B4-BE49-F238E27FC236}">
              <a16:creationId xmlns:a16="http://schemas.microsoft.com/office/drawing/2014/main" id="{00000000-0008-0000-22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291</xdr:row>
      <xdr:rowOff>104775</xdr:rowOff>
    </xdr:from>
    <xdr:to>
      <xdr:col>22</xdr:col>
      <xdr:colOff>895350</xdr:colOff>
      <xdr:row>292</xdr:row>
      <xdr:rowOff>133350</xdr:rowOff>
    </xdr:to>
    <xdr:pic>
      <xdr:nvPicPr>
        <xdr:cNvPr id="12" name="Picture 12" descr="C:\WINDOWS\TEMP\~0003946.gif">
          <a:extLst>
            <a:ext uri="{FF2B5EF4-FFF2-40B4-BE49-F238E27FC236}">
              <a16:creationId xmlns:a16="http://schemas.microsoft.com/office/drawing/2014/main" id="{00000000-0008-0000-22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3" name="Picture 13" descr="logoMTL">
          <a:extLst>
            <a:ext uri="{FF2B5EF4-FFF2-40B4-BE49-F238E27FC236}">
              <a16:creationId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4" name="Picture 14" descr="logoMTL">
          <a:extLst>
            <a:ext uri="{FF2B5EF4-FFF2-40B4-BE49-F238E27FC236}">
              <a16:creationId xmlns:a16="http://schemas.microsoft.com/office/drawing/2014/main" id="{00000000-0008-0000-22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196</xdr:row>
      <xdr:rowOff>28575</xdr:rowOff>
    </xdr:from>
    <xdr:to>
      <xdr:col>21</xdr:col>
      <xdr:colOff>1171575</xdr:colOff>
      <xdr:row>197</xdr:row>
      <xdr:rowOff>152400</xdr:rowOff>
    </xdr:to>
    <xdr:pic>
      <xdr:nvPicPr>
        <xdr:cNvPr id="15" name="Picture 15" descr="logoMTL">
          <a:extLst>
            <a:ext uri="{FF2B5EF4-FFF2-40B4-BE49-F238E27FC236}">
              <a16:creationId xmlns:a16="http://schemas.microsoft.com/office/drawing/2014/main" id="{00000000-0008-0000-22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291</xdr:row>
      <xdr:rowOff>0</xdr:rowOff>
    </xdr:from>
    <xdr:to>
      <xdr:col>21</xdr:col>
      <xdr:colOff>1228725</xdr:colOff>
      <xdr:row>292</xdr:row>
      <xdr:rowOff>123825</xdr:rowOff>
    </xdr:to>
    <xdr:pic>
      <xdr:nvPicPr>
        <xdr:cNvPr id="16" name="Picture 16" descr="logoMTL">
          <a:extLst>
            <a:ext uri="{FF2B5EF4-FFF2-40B4-BE49-F238E27FC236}">
              <a16:creationId xmlns:a16="http://schemas.microsoft.com/office/drawing/2014/main" id="{00000000-0008-0000-22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85725</xdr:rowOff>
    </xdr:from>
    <xdr:to>
      <xdr:col>22</xdr:col>
      <xdr:colOff>895350</xdr:colOff>
      <xdr:row>137</xdr:row>
      <xdr:rowOff>114300</xdr:rowOff>
    </xdr:to>
    <xdr:pic>
      <xdr:nvPicPr>
        <xdr:cNvPr id="17" name="Picture 9" descr="C:\WINDOWS\TEMP\~0003946.gif">
          <a:extLst>
            <a:ext uri="{FF2B5EF4-FFF2-40B4-BE49-F238E27FC236}">
              <a16:creationId xmlns:a16="http://schemas.microsoft.com/office/drawing/2014/main" id="{00000000-0008-0000-2200-000011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41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61</xdr:row>
      <xdr:rowOff>190500</xdr:rowOff>
    </xdr:from>
    <xdr:to>
      <xdr:col>1</xdr:col>
      <xdr:colOff>0</xdr:colOff>
      <xdr:row>62</xdr:row>
      <xdr:rowOff>228600</xdr:rowOff>
    </xdr:to>
    <xdr:pic>
      <xdr:nvPicPr>
        <xdr:cNvPr id="2" name="Picture 1" descr="C:\WINDOWS\TEMP\Symbol.gif">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135</xdr:row>
      <xdr:rowOff>161925</xdr:rowOff>
    </xdr:from>
    <xdr:to>
      <xdr:col>1</xdr:col>
      <xdr:colOff>28575</xdr:colOff>
      <xdr:row>136</xdr:row>
      <xdr:rowOff>200025</xdr:rowOff>
    </xdr:to>
    <xdr:pic>
      <xdr:nvPicPr>
        <xdr:cNvPr id="3" name="Picture 2" descr="C:\WINDOWS\TEMP\Symbol.gif">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296</xdr:row>
      <xdr:rowOff>123825</xdr:rowOff>
    </xdr:from>
    <xdr:to>
      <xdr:col>22</xdr:col>
      <xdr:colOff>1895475</xdr:colOff>
      <xdr:row>297</xdr:row>
      <xdr:rowOff>152400</xdr:rowOff>
    </xdr:to>
    <xdr:pic>
      <xdr:nvPicPr>
        <xdr:cNvPr id="6" name="Picture 5" descr="C:\WINDOWS\TEMP\~0003946.gif">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8" name="Picture 7" descr="C:\WINDOWS\TEMP\~0003946.gif">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9" name="Picture 8" descr="C:\WINDOWS\TEMP\~0003946.gif">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61</xdr:row>
      <xdr:rowOff>123825</xdr:rowOff>
    </xdr:from>
    <xdr:to>
      <xdr:col>22</xdr:col>
      <xdr:colOff>885825</xdr:colOff>
      <xdr:row>62</xdr:row>
      <xdr:rowOff>152400</xdr:rowOff>
    </xdr:to>
    <xdr:pic>
      <xdr:nvPicPr>
        <xdr:cNvPr id="10" name="Picture 9" descr="C:\WINDOWS\TEMP\~0003946.gif">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11" name="Picture 11" descr="C:\WINDOWS\TEMP\~0003946.gif">
          <a:extLst>
            <a:ext uri="{FF2B5EF4-FFF2-40B4-BE49-F238E27FC236}">
              <a16:creationId xmlns:a16="http://schemas.microsoft.com/office/drawing/2014/main" id="{00000000-0008-0000-23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296</xdr:row>
      <xdr:rowOff>104775</xdr:rowOff>
    </xdr:from>
    <xdr:to>
      <xdr:col>22</xdr:col>
      <xdr:colOff>895350</xdr:colOff>
      <xdr:row>297</xdr:row>
      <xdr:rowOff>133350</xdr:rowOff>
    </xdr:to>
    <xdr:pic>
      <xdr:nvPicPr>
        <xdr:cNvPr id="12" name="Picture 12" descr="C:\WINDOWS\TEMP\~0003946.gif">
          <a:extLst>
            <a:ext uri="{FF2B5EF4-FFF2-40B4-BE49-F238E27FC236}">
              <a16:creationId xmlns:a16="http://schemas.microsoft.com/office/drawing/2014/main" id="{00000000-0008-0000-23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61</xdr:row>
      <xdr:rowOff>38100</xdr:rowOff>
    </xdr:from>
    <xdr:to>
      <xdr:col>22</xdr:col>
      <xdr:colOff>0</xdr:colOff>
      <xdr:row>62</xdr:row>
      <xdr:rowOff>161924</xdr:rowOff>
    </xdr:to>
    <xdr:pic>
      <xdr:nvPicPr>
        <xdr:cNvPr id="13" name="Picture 13" descr="logoMTL">
          <a:extLst>
            <a:ext uri="{FF2B5EF4-FFF2-40B4-BE49-F238E27FC236}">
              <a16:creationId xmlns:a16="http://schemas.microsoft.com/office/drawing/2014/main" id="{00000000-0008-0000-23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161924</xdr:rowOff>
    </xdr:to>
    <xdr:pic>
      <xdr:nvPicPr>
        <xdr:cNvPr id="14" name="Picture 14" descr="logoMTL">
          <a:extLst>
            <a:ext uri="{FF2B5EF4-FFF2-40B4-BE49-F238E27FC236}">
              <a16:creationId xmlns:a16="http://schemas.microsoft.com/office/drawing/2014/main" id="{00000000-0008-0000-23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15" name="Picture 15" descr="logoMTL">
          <a:extLst>
            <a:ext uri="{FF2B5EF4-FFF2-40B4-BE49-F238E27FC236}">
              <a16:creationId xmlns:a16="http://schemas.microsoft.com/office/drawing/2014/main" id="{00000000-0008-0000-23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296</xdr:row>
      <xdr:rowOff>0</xdr:rowOff>
    </xdr:from>
    <xdr:to>
      <xdr:col>21</xdr:col>
      <xdr:colOff>1228725</xdr:colOff>
      <xdr:row>297</xdr:row>
      <xdr:rowOff>123825</xdr:rowOff>
    </xdr:to>
    <xdr:pic>
      <xdr:nvPicPr>
        <xdr:cNvPr id="16" name="Picture 16" descr="logoMTL">
          <a:extLst>
            <a:ext uri="{FF2B5EF4-FFF2-40B4-BE49-F238E27FC236}">
              <a16:creationId xmlns:a16="http://schemas.microsoft.com/office/drawing/2014/main" id="{00000000-0008-0000-23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135</xdr:row>
      <xdr:rowOff>85725</xdr:rowOff>
    </xdr:from>
    <xdr:to>
      <xdr:col>22</xdr:col>
      <xdr:colOff>895350</xdr:colOff>
      <xdr:row>136</xdr:row>
      <xdr:rowOff>114300</xdr:rowOff>
    </xdr:to>
    <xdr:pic>
      <xdr:nvPicPr>
        <xdr:cNvPr id="17" name="Picture 9" descr="C:\WINDOWS\TEMP\~0003946.gif">
          <a:extLst>
            <a:ext uri="{FF2B5EF4-FFF2-40B4-BE49-F238E27FC236}">
              <a16:creationId xmlns:a16="http://schemas.microsoft.com/office/drawing/2014/main" id="{00000000-0008-0000-2300-000011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41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61</xdr:row>
      <xdr:rowOff>190500</xdr:rowOff>
    </xdr:from>
    <xdr:to>
      <xdr:col>1</xdr:col>
      <xdr:colOff>0</xdr:colOff>
      <xdr:row>62</xdr:row>
      <xdr:rowOff>228600</xdr:rowOff>
    </xdr:to>
    <xdr:pic>
      <xdr:nvPicPr>
        <xdr:cNvPr id="2" name="Picture 1" descr="C:\WINDOWS\TEMP\Symbol.gif">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135</xdr:row>
      <xdr:rowOff>161925</xdr:rowOff>
    </xdr:from>
    <xdr:to>
      <xdr:col>1</xdr:col>
      <xdr:colOff>28575</xdr:colOff>
      <xdr:row>136</xdr:row>
      <xdr:rowOff>200025</xdr:rowOff>
    </xdr:to>
    <xdr:pic>
      <xdr:nvPicPr>
        <xdr:cNvPr id="3" name="Picture 2" descr="C:\WINDOWS\TEMP\Symbol.gif">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296</xdr:row>
      <xdr:rowOff>123825</xdr:rowOff>
    </xdr:from>
    <xdr:to>
      <xdr:col>22</xdr:col>
      <xdr:colOff>1895475</xdr:colOff>
      <xdr:row>297</xdr:row>
      <xdr:rowOff>152400</xdr:rowOff>
    </xdr:to>
    <xdr:pic>
      <xdr:nvPicPr>
        <xdr:cNvPr id="6" name="Picture 5" descr="C:\WINDOWS\TEMP\~0003946.gif">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8" name="Picture 7" descr="C:\WINDOWS\TEMP\~0003946.gif">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9" name="Picture 8" descr="C:\WINDOWS\TEMP\~0003946.gif">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61</xdr:row>
      <xdr:rowOff>123825</xdr:rowOff>
    </xdr:from>
    <xdr:to>
      <xdr:col>22</xdr:col>
      <xdr:colOff>885825</xdr:colOff>
      <xdr:row>62</xdr:row>
      <xdr:rowOff>152400</xdr:rowOff>
    </xdr:to>
    <xdr:pic>
      <xdr:nvPicPr>
        <xdr:cNvPr id="10" name="Picture 9" descr="C:\WINDOWS\TEMP\~0003946.gif">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11" name="Picture 11" descr="C:\WINDOWS\TEMP\~0003946.gif">
          <a:extLst>
            <a:ext uri="{FF2B5EF4-FFF2-40B4-BE49-F238E27FC236}">
              <a16:creationId xmlns:a16="http://schemas.microsoft.com/office/drawing/2014/main" id="{00000000-0008-0000-24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296</xdr:row>
      <xdr:rowOff>104775</xdr:rowOff>
    </xdr:from>
    <xdr:to>
      <xdr:col>22</xdr:col>
      <xdr:colOff>895350</xdr:colOff>
      <xdr:row>297</xdr:row>
      <xdr:rowOff>133350</xdr:rowOff>
    </xdr:to>
    <xdr:pic>
      <xdr:nvPicPr>
        <xdr:cNvPr id="12" name="Picture 12" descr="C:\WINDOWS\TEMP\~0003946.gif">
          <a:extLst>
            <a:ext uri="{FF2B5EF4-FFF2-40B4-BE49-F238E27FC236}">
              <a16:creationId xmlns:a16="http://schemas.microsoft.com/office/drawing/2014/main" id="{00000000-0008-0000-24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61</xdr:row>
      <xdr:rowOff>38100</xdr:rowOff>
    </xdr:from>
    <xdr:to>
      <xdr:col>22</xdr:col>
      <xdr:colOff>0</xdr:colOff>
      <xdr:row>62</xdr:row>
      <xdr:rowOff>161924</xdr:rowOff>
    </xdr:to>
    <xdr:pic>
      <xdr:nvPicPr>
        <xdr:cNvPr id="13" name="Picture 13" descr="logoMTL">
          <a:extLst>
            <a:ext uri="{FF2B5EF4-FFF2-40B4-BE49-F238E27FC236}">
              <a16:creationId xmlns:a16="http://schemas.microsoft.com/office/drawing/2014/main" id="{00000000-0008-0000-24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161924</xdr:rowOff>
    </xdr:to>
    <xdr:pic>
      <xdr:nvPicPr>
        <xdr:cNvPr id="14" name="Picture 14" descr="logoMTL">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15" name="Picture 15" descr="logoMTL">
          <a:extLst>
            <a:ext uri="{FF2B5EF4-FFF2-40B4-BE49-F238E27FC236}">
              <a16:creationId xmlns:a16="http://schemas.microsoft.com/office/drawing/2014/main" id="{00000000-0008-0000-24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296</xdr:row>
      <xdr:rowOff>0</xdr:rowOff>
    </xdr:from>
    <xdr:to>
      <xdr:col>21</xdr:col>
      <xdr:colOff>1228725</xdr:colOff>
      <xdr:row>297</xdr:row>
      <xdr:rowOff>123825</xdr:rowOff>
    </xdr:to>
    <xdr:pic>
      <xdr:nvPicPr>
        <xdr:cNvPr id="16" name="Picture 16" descr="logoMTL">
          <a:extLst>
            <a:ext uri="{FF2B5EF4-FFF2-40B4-BE49-F238E27FC236}">
              <a16:creationId xmlns:a16="http://schemas.microsoft.com/office/drawing/2014/main" id="{00000000-0008-0000-24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135</xdr:row>
      <xdr:rowOff>85725</xdr:rowOff>
    </xdr:from>
    <xdr:to>
      <xdr:col>22</xdr:col>
      <xdr:colOff>895350</xdr:colOff>
      <xdr:row>136</xdr:row>
      <xdr:rowOff>114300</xdr:rowOff>
    </xdr:to>
    <xdr:pic>
      <xdr:nvPicPr>
        <xdr:cNvPr id="17" name="Picture 9" descr="C:\WINDOWS\TEMP\~0003946.gif">
          <a:extLst>
            <a:ext uri="{FF2B5EF4-FFF2-40B4-BE49-F238E27FC236}">
              <a16:creationId xmlns:a16="http://schemas.microsoft.com/office/drawing/2014/main" id="{00000000-0008-0000-2400-000011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41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61</xdr:row>
      <xdr:rowOff>190500</xdr:rowOff>
    </xdr:from>
    <xdr:to>
      <xdr:col>1</xdr:col>
      <xdr:colOff>0</xdr:colOff>
      <xdr:row>62</xdr:row>
      <xdr:rowOff>228600</xdr:rowOff>
    </xdr:to>
    <xdr:pic>
      <xdr:nvPicPr>
        <xdr:cNvPr id="2" name="Picture 1" descr="C:\WINDOWS\TEMP\Symbol.gif">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135</xdr:row>
      <xdr:rowOff>161925</xdr:rowOff>
    </xdr:from>
    <xdr:to>
      <xdr:col>1</xdr:col>
      <xdr:colOff>28575</xdr:colOff>
      <xdr:row>136</xdr:row>
      <xdr:rowOff>200025</xdr:rowOff>
    </xdr:to>
    <xdr:pic>
      <xdr:nvPicPr>
        <xdr:cNvPr id="3" name="Picture 2" descr="C:\WINDOWS\TEMP\Symbol.gif">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296</xdr:row>
      <xdr:rowOff>123825</xdr:rowOff>
    </xdr:from>
    <xdr:to>
      <xdr:col>22</xdr:col>
      <xdr:colOff>1895475</xdr:colOff>
      <xdr:row>297</xdr:row>
      <xdr:rowOff>152400</xdr:rowOff>
    </xdr:to>
    <xdr:pic>
      <xdr:nvPicPr>
        <xdr:cNvPr id="6" name="Picture 5" descr="C:\WINDOWS\TEMP\~0003946.gif">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8" name="Picture 7" descr="C:\WINDOWS\TEMP\~0003946.gif">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9" name="Picture 8" descr="C:\WINDOWS\TEMP\~0003946.gif">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61</xdr:row>
      <xdr:rowOff>123825</xdr:rowOff>
    </xdr:from>
    <xdr:to>
      <xdr:col>22</xdr:col>
      <xdr:colOff>885825</xdr:colOff>
      <xdr:row>62</xdr:row>
      <xdr:rowOff>152400</xdr:rowOff>
    </xdr:to>
    <xdr:pic>
      <xdr:nvPicPr>
        <xdr:cNvPr id="10" name="Picture 9" descr="C:\WINDOWS\TEMP\~0003946.gif">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11" name="Picture 11" descr="C:\WINDOWS\TEMP\~0003946.gif">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296</xdr:row>
      <xdr:rowOff>104775</xdr:rowOff>
    </xdr:from>
    <xdr:to>
      <xdr:col>22</xdr:col>
      <xdr:colOff>895350</xdr:colOff>
      <xdr:row>297</xdr:row>
      <xdr:rowOff>133350</xdr:rowOff>
    </xdr:to>
    <xdr:pic>
      <xdr:nvPicPr>
        <xdr:cNvPr id="12" name="Picture 12" descr="C:\WINDOWS\TEMP\~0003946.gif">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61</xdr:row>
      <xdr:rowOff>38100</xdr:rowOff>
    </xdr:from>
    <xdr:to>
      <xdr:col>22</xdr:col>
      <xdr:colOff>0</xdr:colOff>
      <xdr:row>62</xdr:row>
      <xdr:rowOff>161924</xdr:rowOff>
    </xdr:to>
    <xdr:pic>
      <xdr:nvPicPr>
        <xdr:cNvPr id="13" name="Picture 13" descr="logoMTL">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161924</xdr:rowOff>
    </xdr:to>
    <xdr:pic>
      <xdr:nvPicPr>
        <xdr:cNvPr id="14" name="Picture 14" descr="logoMTL">
          <a:extLst>
            <a:ext uri="{FF2B5EF4-FFF2-40B4-BE49-F238E27FC236}">
              <a16:creationId xmlns:a16="http://schemas.microsoft.com/office/drawing/2014/main" id="{00000000-0008-0000-25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15" name="Picture 15" descr="logoMTL">
          <a:extLst>
            <a:ext uri="{FF2B5EF4-FFF2-40B4-BE49-F238E27FC236}">
              <a16:creationId xmlns:a16="http://schemas.microsoft.com/office/drawing/2014/main" id="{00000000-0008-0000-25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296</xdr:row>
      <xdr:rowOff>0</xdr:rowOff>
    </xdr:from>
    <xdr:to>
      <xdr:col>21</xdr:col>
      <xdr:colOff>1228725</xdr:colOff>
      <xdr:row>297</xdr:row>
      <xdr:rowOff>123825</xdr:rowOff>
    </xdr:to>
    <xdr:pic>
      <xdr:nvPicPr>
        <xdr:cNvPr id="16" name="Picture 16" descr="logoMTL">
          <a:extLst>
            <a:ext uri="{FF2B5EF4-FFF2-40B4-BE49-F238E27FC236}">
              <a16:creationId xmlns:a16="http://schemas.microsoft.com/office/drawing/2014/main" id="{00000000-0008-0000-25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135</xdr:row>
      <xdr:rowOff>85725</xdr:rowOff>
    </xdr:from>
    <xdr:to>
      <xdr:col>22</xdr:col>
      <xdr:colOff>895350</xdr:colOff>
      <xdr:row>136</xdr:row>
      <xdr:rowOff>114300</xdr:rowOff>
    </xdr:to>
    <xdr:pic>
      <xdr:nvPicPr>
        <xdr:cNvPr id="17" name="Picture 9" descr="C:\WINDOWS\TEMP\~0003946.gif">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41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61</xdr:row>
      <xdr:rowOff>190500</xdr:rowOff>
    </xdr:from>
    <xdr:to>
      <xdr:col>1</xdr:col>
      <xdr:colOff>0</xdr:colOff>
      <xdr:row>62</xdr:row>
      <xdr:rowOff>228600</xdr:rowOff>
    </xdr:to>
    <xdr:pic>
      <xdr:nvPicPr>
        <xdr:cNvPr id="2" name="Picture 1" descr="C:\WINDOWS\TEMP\Symbol.gif">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135</xdr:row>
      <xdr:rowOff>161925</xdr:rowOff>
    </xdr:from>
    <xdr:to>
      <xdr:col>1</xdr:col>
      <xdr:colOff>28575</xdr:colOff>
      <xdr:row>136</xdr:row>
      <xdr:rowOff>200025</xdr:rowOff>
    </xdr:to>
    <xdr:pic>
      <xdr:nvPicPr>
        <xdr:cNvPr id="3" name="Picture 2" descr="C:\WINDOWS\TEMP\Symbol.gif">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296</xdr:row>
      <xdr:rowOff>123825</xdr:rowOff>
    </xdr:from>
    <xdr:to>
      <xdr:col>22</xdr:col>
      <xdr:colOff>1895475</xdr:colOff>
      <xdr:row>297</xdr:row>
      <xdr:rowOff>152400</xdr:rowOff>
    </xdr:to>
    <xdr:pic>
      <xdr:nvPicPr>
        <xdr:cNvPr id="6" name="Picture 5" descr="C:\WINDOWS\TEMP\~0003946.gif">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8" name="Picture 7" descr="C:\WINDOWS\TEMP\~0003946.gif">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9" name="Picture 8" descr="C:\WINDOWS\TEMP\~0003946.gif">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61</xdr:row>
      <xdr:rowOff>123825</xdr:rowOff>
    </xdr:from>
    <xdr:to>
      <xdr:col>22</xdr:col>
      <xdr:colOff>885825</xdr:colOff>
      <xdr:row>62</xdr:row>
      <xdr:rowOff>152400</xdr:rowOff>
    </xdr:to>
    <xdr:pic>
      <xdr:nvPicPr>
        <xdr:cNvPr id="10" name="Picture 9" descr="C:\WINDOWS\TEMP\~0003946.gif">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11" name="Picture 11" descr="C:\WINDOWS\TEMP\~0003946.gif">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296</xdr:row>
      <xdr:rowOff>104775</xdr:rowOff>
    </xdr:from>
    <xdr:to>
      <xdr:col>22</xdr:col>
      <xdr:colOff>895350</xdr:colOff>
      <xdr:row>297</xdr:row>
      <xdr:rowOff>133350</xdr:rowOff>
    </xdr:to>
    <xdr:pic>
      <xdr:nvPicPr>
        <xdr:cNvPr id="12" name="Picture 12" descr="C:\WINDOWS\TEMP\~0003946.gif">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61</xdr:row>
      <xdr:rowOff>38100</xdr:rowOff>
    </xdr:from>
    <xdr:to>
      <xdr:col>22</xdr:col>
      <xdr:colOff>0</xdr:colOff>
      <xdr:row>62</xdr:row>
      <xdr:rowOff>161924</xdr:rowOff>
    </xdr:to>
    <xdr:pic>
      <xdr:nvPicPr>
        <xdr:cNvPr id="13" name="Picture 13" descr="logoMTL">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161924</xdr:rowOff>
    </xdr:to>
    <xdr:pic>
      <xdr:nvPicPr>
        <xdr:cNvPr id="14" name="Picture 14" descr="logoMTL">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15" name="Picture 15" descr="logoMTL">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296</xdr:row>
      <xdr:rowOff>0</xdr:rowOff>
    </xdr:from>
    <xdr:to>
      <xdr:col>21</xdr:col>
      <xdr:colOff>1228725</xdr:colOff>
      <xdr:row>297</xdr:row>
      <xdr:rowOff>123825</xdr:rowOff>
    </xdr:to>
    <xdr:pic>
      <xdr:nvPicPr>
        <xdr:cNvPr id="16" name="Picture 16" descr="logoMTL">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135</xdr:row>
      <xdr:rowOff>85725</xdr:rowOff>
    </xdr:from>
    <xdr:to>
      <xdr:col>22</xdr:col>
      <xdr:colOff>895350</xdr:colOff>
      <xdr:row>136</xdr:row>
      <xdr:rowOff>114300</xdr:rowOff>
    </xdr:to>
    <xdr:pic>
      <xdr:nvPicPr>
        <xdr:cNvPr id="17" name="Picture 9" descr="C:\WINDOWS\TEMP\~0003946.gif">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41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0705" name="Picture 1" descr="C:\WINDOWS\TEMP\Symbol.gif">
          <a:extLst>
            <a:ext uri="{FF2B5EF4-FFF2-40B4-BE49-F238E27FC236}">
              <a16:creationId xmlns:a16="http://schemas.microsoft.com/office/drawing/2014/main" id="{00000000-0008-0000-0300-0000F17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135</xdr:row>
      <xdr:rowOff>161925</xdr:rowOff>
    </xdr:from>
    <xdr:to>
      <xdr:col>1</xdr:col>
      <xdr:colOff>28575</xdr:colOff>
      <xdr:row>136</xdr:row>
      <xdr:rowOff>200025</xdr:rowOff>
    </xdr:to>
    <xdr:pic>
      <xdr:nvPicPr>
        <xdr:cNvPr id="30706" name="Picture 2" descr="C:\WINDOWS\TEMP\Symbol.gif">
          <a:extLst>
            <a:ext uri="{FF2B5EF4-FFF2-40B4-BE49-F238E27FC236}">
              <a16:creationId xmlns:a16="http://schemas.microsoft.com/office/drawing/2014/main" id="{00000000-0008-0000-0300-0000F27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717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30707" name="Picture 3" descr="C:\WINDOWS\TEMP\Symbol.gif">
          <a:extLst>
            <a:ext uri="{FF2B5EF4-FFF2-40B4-BE49-F238E27FC236}">
              <a16:creationId xmlns:a16="http://schemas.microsoft.com/office/drawing/2014/main" id="{00000000-0008-0000-0300-0000F37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277</xdr:row>
      <xdr:rowOff>161925</xdr:rowOff>
    </xdr:from>
    <xdr:to>
      <xdr:col>1</xdr:col>
      <xdr:colOff>19050</xdr:colOff>
      <xdr:row>278</xdr:row>
      <xdr:rowOff>200025</xdr:rowOff>
    </xdr:to>
    <xdr:pic>
      <xdr:nvPicPr>
        <xdr:cNvPr id="30708" name="Picture 4" descr="C:\WINDOWS\TEMP\Symbol.gif">
          <a:extLst>
            <a:ext uri="{FF2B5EF4-FFF2-40B4-BE49-F238E27FC236}">
              <a16:creationId xmlns:a16="http://schemas.microsoft.com/office/drawing/2014/main" id="{00000000-0008-0000-0300-0000F47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2832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277</xdr:row>
      <xdr:rowOff>123825</xdr:rowOff>
    </xdr:from>
    <xdr:to>
      <xdr:col>22</xdr:col>
      <xdr:colOff>1895475</xdr:colOff>
      <xdr:row>278</xdr:row>
      <xdr:rowOff>152400</xdr:rowOff>
    </xdr:to>
    <xdr:pic>
      <xdr:nvPicPr>
        <xdr:cNvPr id="30709" name="Picture 5" descr="C:\WINDOWS\TEMP\~0003946.gif">
          <a:extLst>
            <a:ext uri="{FF2B5EF4-FFF2-40B4-BE49-F238E27FC236}">
              <a16:creationId xmlns:a16="http://schemas.microsoft.com/office/drawing/2014/main" id="{00000000-0008-0000-0300-0000F5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24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30710" name="Picture 6" descr="C:\WINDOWS\TEMP\~0003946.gif">
          <a:extLst>
            <a:ext uri="{FF2B5EF4-FFF2-40B4-BE49-F238E27FC236}">
              <a16:creationId xmlns:a16="http://schemas.microsoft.com/office/drawing/2014/main" id="{00000000-0008-0000-0300-0000F6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30711" name="Picture 7" descr="C:\WINDOWS\TEMP\~0003946.gif">
          <a:extLst>
            <a:ext uri="{FF2B5EF4-FFF2-40B4-BE49-F238E27FC236}">
              <a16:creationId xmlns:a16="http://schemas.microsoft.com/office/drawing/2014/main" id="{00000000-0008-0000-0300-0000F7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0712" name="Picture 8" descr="C:\WINDOWS\TEMP\~0003946.gif">
          <a:extLst>
            <a:ext uri="{FF2B5EF4-FFF2-40B4-BE49-F238E27FC236}">
              <a16:creationId xmlns:a16="http://schemas.microsoft.com/office/drawing/2014/main" id="{00000000-0008-0000-0300-0000F8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0713" name="Picture 9" descr="C:\WINDOWS\TEMP\~0003946.gif">
          <a:extLst>
            <a:ext uri="{FF2B5EF4-FFF2-40B4-BE49-F238E27FC236}">
              <a16:creationId xmlns:a16="http://schemas.microsoft.com/office/drawing/2014/main" id="{00000000-0008-0000-0300-0000F9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135</xdr:row>
      <xdr:rowOff>123825</xdr:rowOff>
    </xdr:from>
    <xdr:to>
      <xdr:col>22</xdr:col>
      <xdr:colOff>895350</xdr:colOff>
      <xdr:row>136</xdr:row>
      <xdr:rowOff>152400</xdr:rowOff>
    </xdr:to>
    <xdr:pic>
      <xdr:nvPicPr>
        <xdr:cNvPr id="30714" name="Picture 10" descr="C:\WINDOWS\TEMP\~0003946.gif">
          <a:extLst>
            <a:ext uri="{FF2B5EF4-FFF2-40B4-BE49-F238E27FC236}">
              <a16:creationId xmlns:a16="http://schemas.microsoft.com/office/drawing/2014/main" id="{00000000-0008-0000-0300-0000FA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679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30715" name="Picture 11" descr="C:\WINDOWS\TEMP\~0003946.gif">
          <a:extLst>
            <a:ext uri="{FF2B5EF4-FFF2-40B4-BE49-F238E27FC236}">
              <a16:creationId xmlns:a16="http://schemas.microsoft.com/office/drawing/2014/main" id="{00000000-0008-0000-0300-0000FB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277</xdr:row>
      <xdr:rowOff>104775</xdr:rowOff>
    </xdr:from>
    <xdr:to>
      <xdr:col>22</xdr:col>
      <xdr:colOff>895350</xdr:colOff>
      <xdr:row>278</xdr:row>
      <xdr:rowOff>133350</xdr:rowOff>
    </xdr:to>
    <xdr:pic>
      <xdr:nvPicPr>
        <xdr:cNvPr id="30716" name="Picture 12" descr="C:\WINDOWS\TEMP\~0003946.gif">
          <a:extLst>
            <a:ext uri="{FF2B5EF4-FFF2-40B4-BE49-F238E27FC236}">
              <a16:creationId xmlns:a16="http://schemas.microsoft.com/office/drawing/2014/main" id="{00000000-0008-0000-0300-0000FC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226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0717" name="Picture 13" descr="logoMTL">
          <a:extLst>
            <a:ext uri="{FF2B5EF4-FFF2-40B4-BE49-F238E27FC236}">
              <a16:creationId xmlns:a16="http://schemas.microsoft.com/office/drawing/2014/main" id="{00000000-0008-0000-0300-0000FD7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161925</xdr:rowOff>
    </xdr:to>
    <xdr:pic>
      <xdr:nvPicPr>
        <xdr:cNvPr id="30718" name="Picture 14" descr="logoMTL">
          <a:extLst>
            <a:ext uri="{FF2B5EF4-FFF2-40B4-BE49-F238E27FC236}">
              <a16:creationId xmlns:a16="http://schemas.microsoft.com/office/drawing/2014/main" id="{00000000-0008-0000-0300-0000FE7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5939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30719" name="Picture 15" descr="logoMTL">
          <a:extLst>
            <a:ext uri="{FF2B5EF4-FFF2-40B4-BE49-F238E27FC236}">
              <a16:creationId xmlns:a16="http://schemas.microsoft.com/office/drawing/2014/main" id="{00000000-0008-0000-0300-0000FF7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277</xdr:row>
      <xdr:rowOff>0</xdr:rowOff>
    </xdr:from>
    <xdr:to>
      <xdr:col>21</xdr:col>
      <xdr:colOff>1228725</xdr:colOff>
      <xdr:row>278</xdr:row>
      <xdr:rowOff>123825</xdr:rowOff>
    </xdr:to>
    <xdr:pic>
      <xdr:nvPicPr>
        <xdr:cNvPr id="59392" name="Picture 16" descr="logoMTL">
          <a:extLst>
            <a:ext uri="{FF2B5EF4-FFF2-40B4-BE49-F238E27FC236}">
              <a16:creationId xmlns:a16="http://schemas.microsoft.com/office/drawing/2014/main" id="{00000000-0008-0000-0300-000000E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1213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61</xdr:row>
      <xdr:rowOff>190500</xdr:rowOff>
    </xdr:from>
    <xdr:to>
      <xdr:col>1</xdr:col>
      <xdr:colOff>0</xdr:colOff>
      <xdr:row>62</xdr:row>
      <xdr:rowOff>228600</xdr:rowOff>
    </xdr:to>
    <xdr:pic>
      <xdr:nvPicPr>
        <xdr:cNvPr id="2" name="Picture 1" descr="C:\WINDOWS\TEMP\Symbol.gif">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135</xdr:row>
      <xdr:rowOff>161925</xdr:rowOff>
    </xdr:from>
    <xdr:to>
      <xdr:col>1</xdr:col>
      <xdr:colOff>28575</xdr:colOff>
      <xdr:row>136</xdr:row>
      <xdr:rowOff>200025</xdr:rowOff>
    </xdr:to>
    <xdr:pic>
      <xdr:nvPicPr>
        <xdr:cNvPr id="3" name="Picture 2" descr="C:\WINDOWS\TEMP\Symbol.gif">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296</xdr:row>
      <xdr:rowOff>123825</xdr:rowOff>
    </xdr:from>
    <xdr:to>
      <xdr:col>22</xdr:col>
      <xdr:colOff>1895475</xdr:colOff>
      <xdr:row>297</xdr:row>
      <xdr:rowOff>152400</xdr:rowOff>
    </xdr:to>
    <xdr:pic>
      <xdr:nvPicPr>
        <xdr:cNvPr id="6" name="Picture 5" descr="C:\WINDOWS\TEMP\~0003946.gif">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8" name="Picture 7" descr="C:\WINDOWS\TEMP\~0003946.gif">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9" name="Picture 8" descr="C:\WINDOWS\TEMP\~0003946.gif">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61</xdr:row>
      <xdr:rowOff>123825</xdr:rowOff>
    </xdr:from>
    <xdr:to>
      <xdr:col>22</xdr:col>
      <xdr:colOff>885825</xdr:colOff>
      <xdr:row>62</xdr:row>
      <xdr:rowOff>152400</xdr:rowOff>
    </xdr:to>
    <xdr:pic>
      <xdr:nvPicPr>
        <xdr:cNvPr id="10" name="Picture 9" descr="C:\WINDOWS\TEMP\~0003946.gif">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11" name="Picture 11" descr="C:\WINDOWS\TEMP\~0003946.gif">
          <a:extLst>
            <a:ext uri="{FF2B5EF4-FFF2-40B4-BE49-F238E27FC236}">
              <a16:creationId xmlns:a16="http://schemas.microsoft.com/office/drawing/2014/main" id="{00000000-0008-0000-27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296</xdr:row>
      <xdr:rowOff>104775</xdr:rowOff>
    </xdr:from>
    <xdr:to>
      <xdr:col>22</xdr:col>
      <xdr:colOff>895350</xdr:colOff>
      <xdr:row>297</xdr:row>
      <xdr:rowOff>133350</xdr:rowOff>
    </xdr:to>
    <xdr:pic>
      <xdr:nvPicPr>
        <xdr:cNvPr id="12" name="Picture 12" descr="C:\WINDOWS\TEMP\~0003946.gif">
          <a:extLst>
            <a:ext uri="{FF2B5EF4-FFF2-40B4-BE49-F238E27FC236}">
              <a16:creationId xmlns:a16="http://schemas.microsoft.com/office/drawing/2014/main" id="{00000000-0008-0000-27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61</xdr:row>
      <xdr:rowOff>38100</xdr:rowOff>
    </xdr:from>
    <xdr:to>
      <xdr:col>22</xdr:col>
      <xdr:colOff>0</xdr:colOff>
      <xdr:row>62</xdr:row>
      <xdr:rowOff>161924</xdr:rowOff>
    </xdr:to>
    <xdr:pic>
      <xdr:nvPicPr>
        <xdr:cNvPr id="13" name="Picture 13" descr="logoMTL">
          <a:extLst>
            <a:ext uri="{FF2B5EF4-FFF2-40B4-BE49-F238E27FC236}">
              <a16:creationId xmlns:a16="http://schemas.microsoft.com/office/drawing/2014/main" id="{00000000-0008-0000-27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161924</xdr:rowOff>
    </xdr:to>
    <xdr:pic>
      <xdr:nvPicPr>
        <xdr:cNvPr id="14" name="Picture 14" descr="logoMTL">
          <a:extLst>
            <a:ext uri="{FF2B5EF4-FFF2-40B4-BE49-F238E27FC236}">
              <a16:creationId xmlns:a16="http://schemas.microsoft.com/office/drawing/2014/main" id="{00000000-0008-0000-27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15" name="Picture 15" descr="logoMTL">
          <a:extLst>
            <a:ext uri="{FF2B5EF4-FFF2-40B4-BE49-F238E27FC236}">
              <a16:creationId xmlns:a16="http://schemas.microsoft.com/office/drawing/2014/main" id="{00000000-0008-0000-27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296</xdr:row>
      <xdr:rowOff>0</xdr:rowOff>
    </xdr:from>
    <xdr:to>
      <xdr:col>21</xdr:col>
      <xdr:colOff>1228725</xdr:colOff>
      <xdr:row>297</xdr:row>
      <xdr:rowOff>123825</xdr:rowOff>
    </xdr:to>
    <xdr:pic>
      <xdr:nvPicPr>
        <xdr:cNvPr id="16" name="Picture 16" descr="logoMTL">
          <a:extLst>
            <a:ext uri="{FF2B5EF4-FFF2-40B4-BE49-F238E27FC236}">
              <a16:creationId xmlns:a16="http://schemas.microsoft.com/office/drawing/2014/main" id="{00000000-0008-0000-27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135</xdr:row>
      <xdr:rowOff>85725</xdr:rowOff>
    </xdr:from>
    <xdr:to>
      <xdr:col>22</xdr:col>
      <xdr:colOff>895350</xdr:colOff>
      <xdr:row>136</xdr:row>
      <xdr:rowOff>114300</xdr:rowOff>
    </xdr:to>
    <xdr:pic>
      <xdr:nvPicPr>
        <xdr:cNvPr id="17" name="Picture 9" descr="C:\WINDOWS\TEMP\~0003946.gif">
          <a:extLst>
            <a:ext uri="{FF2B5EF4-FFF2-40B4-BE49-F238E27FC236}">
              <a16:creationId xmlns:a16="http://schemas.microsoft.com/office/drawing/2014/main" id="{00000000-0008-0000-2700-000011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41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61</xdr:row>
      <xdr:rowOff>190500</xdr:rowOff>
    </xdr:from>
    <xdr:to>
      <xdr:col>1</xdr:col>
      <xdr:colOff>0</xdr:colOff>
      <xdr:row>62</xdr:row>
      <xdr:rowOff>228600</xdr:rowOff>
    </xdr:to>
    <xdr:pic>
      <xdr:nvPicPr>
        <xdr:cNvPr id="2" name="Picture 1" descr="C:\WINDOWS\TEMP\Symbol.gif">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135</xdr:row>
      <xdr:rowOff>161925</xdr:rowOff>
    </xdr:from>
    <xdr:to>
      <xdr:col>1</xdr:col>
      <xdr:colOff>28575</xdr:colOff>
      <xdr:row>136</xdr:row>
      <xdr:rowOff>200025</xdr:rowOff>
    </xdr:to>
    <xdr:pic>
      <xdr:nvPicPr>
        <xdr:cNvPr id="3" name="Picture 2" descr="C:\WINDOWS\TEMP\Symbol.gif">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0050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0835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296</xdr:row>
      <xdr:rowOff>123825</xdr:rowOff>
    </xdr:from>
    <xdr:to>
      <xdr:col>22</xdr:col>
      <xdr:colOff>1895475</xdr:colOff>
      <xdr:row>297</xdr:row>
      <xdr:rowOff>152400</xdr:rowOff>
    </xdr:to>
    <xdr:pic>
      <xdr:nvPicPr>
        <xdr:cNvPr id="6" name="Picture 5" descr="C:\WINDOWS\TEMP\~0003946.gif">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904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985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8" name="Picture 7" descr="C:\WINDOWS\TEMP\~0003946.gif">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9" name="Picture 8" descr="C:\WINDOWS\TEMP\~0003946.gif">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61</xdr:row>
      <xdr:rowOff>123825</xdr:rowOff>
    </xdr:from>
    <xdr:to>
      <xdr:col>22</xdr:col>
      <xdr:colOff>885825</xdr:colOff>
      <xdr:row>62</xdr:row>
      <xdr:rowOff>152400</xdr:rowOff>
    </xdr:to>
    <xdr:pic>
      <xdr:nvPicPr>
        <xdr:cNvPr id="10" name="Picture 9" descr="C:\WINDOWS\TEMP\~0003946.gif">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11" name="Picture 11" descr="C:\WINDOWS\TEMP\~0003946.gif">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938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296</xdr:row>
      <xdr:rowOff>104775</xdr:rowOff>
    </xdr:from>
    <xdr:to>
      <xdr:col>22</xdr:col>
      <xdr:colOff>895350</xdr:colOff>
      <xdr:row>297</xdr:row>
      <xdr:rowOff>133350</xdr:rowOff>
    </xdr:to>
    <xdr:pic>
      <xdr:nvPicPr>
        <xdr:cNvPr id="12" name="Picture 12" descr="C:\WINDOWS\TEMP\~0003946.gif">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902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61</xdr:row>
      <xdr:rowOff>38100</xdr:rowOff>
    </xdr:from>
    <xdr:to>
      <xdr:col>22</xdr:col>
      <xdr:colOff>0</xdr:colOff>
      <xdr:row>62</xdr:row>
      <xdr:rowOff>161924</xdr:rowOff>
    </xdr:to>
    <xdr:pic>
      <xdr:nvPicPr>
        <xdr:cNvPr id="13" name="Picture 13" descr="logoMTL">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161924</xdr:rowOff>
    </xdr:to>
    <xdr:pic>
      <xdr:nvPicPr>
        <xdr:cNvPr id="14" name="Picture 14" descr="logoMTL">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15" name="Picture 15" descr="logoMTL">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8621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296</xdr:row>
      <xdr:rowOff>0</xdr:rowOff>
    </xdr:from>
    <xdr:to>
      <xdr:col>21</xdr:col>
      <xdr:colOff>1228725</xdr:colOff>
      <xdr:row>297</xdr:row>
      <xdr:rowOff>123825</xdr:rowOff>
    </xdr:to>
    <xdr:pic>
      <xdr:nvPicPr>
        <xdr:cNvPr id="16" name="Picture 16" descr="logoMTL">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9216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135</xdr:row>
      <xdr:rowOff>85725</xdr:rowOff>
    </xdr:from>
    <xdr:to>
      <xdr:col>22</xdr:col>
      <xdr:colOff>895350</xdr:colOff>
      <xdr:row>136</xdr:row>
      <xdr:rowOff>114300</xdr:rowOff>
    </xdr:to>
    <xdr:pic>
      <xdr:nvPicPr>
        <xdr:cNvPr id="17" name="Picture 9" descr="C:\WINDOWS\TEMP\~0003946.gif">
          <a:extLst>
            <a:ext uri="{FF2B5EF4-FFF2-40B4-BE49-F238E27FC236}">
              <a16:creationId xmlns:a16="http://schemas.microsoft.com/office/drawing/2014/main" id="{00000000-0008-0000-2800-000011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41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61</xdr:row>
      <xdr:rowOff>190500</xdr:rowOff>
    </xdr:from>
    <xdr:to>
      <xdr:col>1</xdr:col>
      <xdr:colOff>0</xdr:colOff>
      <xdr:row>62</xdr:row>
      <xdr:rowOff>228600</xdr:rowOff>
    </xdr:to>
    <xdr:pic>
      <xdr:nvPicPr>
        <xdr:cNvPr id="2" name="Picture 1" descr="C:\WINDOWS\TEMP\Symbol.gif">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4968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135</xdr:row>
      <xdr:rowOff>161925</xdr:rowOff>
    </xdr:from>
    <xdr:to>
      <xdr:col>1</xdr:col>
      <xdr:colOff>28575</xdr:colOff>
      <xdr:row>136</xdr:row>
      <xdr:rowOff>200025</xdr:rowOff>
    </xdr:to>
    <xdr:pic>
      <xdr:nvPicPr>
        <xdr:cNvPr id="3" name="Picture 2" descr="C:\WINDOWS\TEMP\Symbol.gif">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717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8835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6" name="Picture 5" descr="C:\WINDOWS\TEMP\~0003946.gif">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84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7" name="Picture 6" descr="C:\WINDOWS\TEMP\~0003946.gif">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8" name="Picture 7" descr="C:\WINDOWS\TEMP\~0003946.gif">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9" name="Picture 8" descr="C:\WINDOWS\TEMP\~0003946.gif">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468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61</xdr:row>
      <xdr:rowOff>123825</xdr:rowOff>
    </xdr:from>
    <xdr:to>
      <xdr:col>22</xdr:col>
      <xdr:colOff>885825</xdr:colOff>
      <xdr:row>62</xdr:row>
      <xdr:rowOff>152400</xdr:rowOff>
    </xdr:to>
    <xdr:pic>
      <xdr:nvPicPr>
        <xdr:cNvPr id="10" name="Picture 9" descr="C:\WINDOWS\TEMP\~0003946.gif">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430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11" name="Picture 11" descr="C:\WINDOWS\TEMP\~0003946.gif">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12" name="Picture 12" descr="C:\WINDOWS\TEMP\~0003946.gif">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8264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61</xdr:row>
      <xdr:rowOff>38100</xdr:rowOff>
    </xdr:from>
    <xdr:to>
      <xdr:col>22</xdr:col>
      <xdr:colOff>0</xdr:colOff>
      <xdr:row>62</xdr:row>
      <xdr:rowOff>161924</xdr:rowOff>
    </xdr:to>
    <xdr:pic>
      <xdr:nvPicPr>
        <xdr:cNvPr id="13" name="Picture 13" descr="logoMTL">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344400"/>
          <a:ext cx="809625" cy="323849"/>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161924</xdr:rowOff>
    </xdr:to>
    <xdr:pic>
      <xdr:nvPicPr>
        <xdr:cNvPr id="14" name="Picture 14" descr="logoMTL">
          <a:extLst>
            <a:ext uri="{FF2B5EF4-FFF2-40B4-BE49-F238E27FC236}">
              <a16:creationId xmlns:a16="http://schemas.microsoft.com/office/drawing/2014/main" id="{00000000-0008-0000-29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593925"/>
          <a:ext cx="800100" cy="323849"/>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15" name="Picture 15" descr="logoMTL">
          <a:extLst>
            <a:ext uri="{FF2B5EF4-FFF2-40B4-BE49-F238E27FC236}">
              <a16:creationId xmlns:a16="http://schemas.microsoft.com/office/drawing/2014/main" id="{00000000-0008-0000-29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123824</xdr:rowOff>
    </xdr:to>
    <xdr:pic>
      <xdr:nvPicPr>
        <xdr:cNvPr id="16" name="Picture 16" descr="logoMTL">
          <a:extLst>
            <a:ext uri="{FF2B5EF4-FFF2-40B4-BE49-F238E27FC236}">
              <a16:creationId xmlns:a16="http://schemas.microsoft.com/office/drawing/2014/main" id="{00000000-0008-0000-29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7216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135</xdr:row>
      <xdr:rowOff>85725</xdr:rowOff>
    </xdr:from>
    <xdr:to>
      <xdr:col>22</xdr:col>
      <xdr:colOff>895350</xdr:colOff>
      <xdr:row>136</xdr:row>
      <xdr:rowOff>114300</xdr:rowOff>
    </xdr:to>
    <xdr:pic>
      <xdr:nvPicPr>
        <xdr:cNvPr id="17" name="Picture 9" descr="C:\WINDOWS\TEMP\~0003946.gif">
          <a:extLst>
            <a:ext uri="{FF2B5EF4-FFF2-40B4-BE49-F238E27FC236}">
              <a16:creationId xmlns:a16="http://schemas.microsoft.com/office/drawing/2014/main" id="{00000000-0008-0000-2900-000011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641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61</xdr:row>
      <xdr:rowOff>190500</xdr:rowOff>
    </xdr:from>
    <xdr:to>
      <xdr:col>1</xdr:col>
      <xdr:colOff>0</xdr:colOff>
      <xdr:row>62</xdr:row>
      <xdr:rowOff>228600</xdr:rowOff>
    </xdr:to>
    <xdr:pic>
      <xdr:nvPicPr>
        <xdr:cNvPr id="2" name="Picture 1" descr="C:\WINDOWS\TEMP\Symbol.gif">
          <a:extLst>
            <a:ext uri="{FF2B5EF4-FFF2-40B4-BE49-F238E27FC236}">
              <a16:creationId xmlns:a16="http://schemas.microsoft.com/office/drawing/2014/main" id="{5341A026-84D7-44DF-B1E1-B111D8BE2118}"/>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4968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135</xdr:row>
      <xdr:rowOff>161925</xdr:rowOff>
    </xdr:from>
    <xdr:to>
      <xdr:col>1</xdr:col>
      <xdr:colOff>28575</xdr:colOff>
      <xdr:row>136</xdr:row>
      <xdr:rowOff>200025</xdr:rowOff>
    </xdr:to>
    <xdr:pic>
      <xdr:nvPicPr>
        <xdr:cNvPr id="3" name="Picture 2" descr="C:\WINDOWS\TEMP\Symbol.gif">
          <a:extLst>
            <a:ext uri="{FF2B5EF4-FFF2-40B4-BE49-F238E27FC236}">
              <a16:creationId xmlns:a16="http://schemas.microsoft.com/office/drawing/2014/main" id="{A696A713-F816-404D-A3E8-D0727303EF35}"/>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717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4" name="Picture 3" descr="C:\WINDOWS\TEMP\Symbol.gif">
          <a:extLst>
            <a:ext uri="{FF2B5EF4-FFF2-40B4-BE49-F238E27FC236}">
              <a16:creationId xmlns:a16="http://schemas.microsoft.com/office/drawing/2014/main" id="{31FB1299-649E-4EC9-BE42-89A6FAFF214D}"/>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id="{3995CC55-8B53-4A93-AD8F-F150B3D146BB}"/>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295</xdr:row>
      <xdr:rowOff>123825</xdr:rowOff>
    </xdr:from>
    <xdr:to>
      <xdr:col>22</xdr:col>
      <xdr:colOff>1895475</xdr:colOff>
      <xdr:row>296</xdr:row>
      <xdr:rowOff>152400</xdr:rowOff>
    </xdr:to>
    <xdr:pic>
      <xdr:nvPicPr>
        <xdr:cNvPr id="6" name="Picture 5" descr="C:\WINDOWS\TEMP\~0003946.gif">
          <a:extLst>
            <a:ext uri="{FF2B5EF4-FFF2-40B4-BE49-F238E27FC236}">
              <a16:creationId xmlns:a16="http://schemas.microsoft.com/office/drawing/2014/main" id="{72C2AF15-8F9F-4EF6-AE57-965558C9A20C}"/>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7" name="Picture 6" descr="C:\WINDOWS\TEMP\~0003946.gif">
          <a:extLst>
            <a:ext uri="{FF2B5EF4-FFF2-40B4-BE49-F238E27FC236}">
              <a16:creationId xmlns:a16="http://schemas.microsoft.com/office/drawing/2014/main" id="{04EA6EE2-1F30-4973-B635-DFDC731C0749}"/>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8" name="Picture 7" descr="C:\WINDOWS\TEMP\~0003946.gif">
          <a:extLst>
            <a:ext uri="{FF2B5EF4-FFF2-40B4-BE49-F238E27FC236}">
              <a16:creationId xmlns:a16="http://schemas.microsoft.com/office/drawing/2014/main" id="{CBC24C15-86E9-4A0E-A1D6-9B45468A95D8}"/>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9" name="Picture 8" descr="C:\WINDOWS\TEMP\~0003946.gif">
          <a:extLst>
            <a:ext uri="{FF2B5EF4-FFF2-40B4-BE49-F238E27FC236}">
              <a16:creationId xmlns:a16="http://schemas.microsoft.com/office/drawing/2014/main" id="{D416EDD7-29EA-445B-AFA5-A3C9D74D269A}"/>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468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61</xdr:row>
      <xdr:rowOff>123825</xdr:rowOff>
    </xdr:from>
    <xdr:to>
      <xdr:col>22</xdr:col>
      <xdr:colOff>885825</xdr:colOff>
      <xdr:row>62</xdr:row>
      <xdr:rowOff>152400</xdr:rowOff>
    </xdr:to>
    <xdr:pic>
      <xdr:nvPicPr>
        <xdr:cNvPr id="10" name="Picture 9" descr="C:\WINDOWS\TEMP\~0003946.gif">
          <a:extLst>
            <a:ext uri="{FF2B5EF4-FFF2-40B4-BE49-F238E27FC236}">
              <a16:creationId xmlns:a16="http://schemas.microsoft.com/office/drawing/2014/main" id="{4328B8CA-76AD-4354-9BC6-BA2A529B2B2E}"/>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430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11" name="Picture 11" descr="C:\WINDOWS\TEMP\~0003946.gif">
          <a:extLst>
            <a:ext uri="{FF2B5EF4-FFF2-40B4-BE49-F238E27FC236}">
              <a16:creationId xmlns:a16="http://schemas.microsoft.com/office/drawing/2014/main" id="{0055F1A4-D2EC-4834-A97B-566421BC70D2}"/>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295</xdr:row>
      <xdr:rowOff>104775</xdr:rowOff>
    </xdr:from>
    <xdr:to>
      <xdr:col>22</xdr:col>
      <xdr:colOff>895350</xdr:colOff>
      <xdr:row>296</xdr:row>
      <xdr:rowOff>133350</xdr:rowOff>
    </xdr:to>
    <xdr:pic>
      <xdr:nvPicPr>
        <xdr:cNvPr id="12" name="Picture 12" descr="C:\WINDOWS\TEMP\~0003946.gif">
          <a:extLst>
            <a:ext uri="{FF2B5EF4-FFF2-40B4-BE49-F238E27FC236}">
              <a16:creationId xmlns:a16="http://schemas.microsoft.com/office/drawing/2014/main" id="{8620DCB8-C135-45BC-B354-6D97850E866B}"/>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61</xdr:row>
      <xdr:rowOff>38100</xdr:rowOff>
    </xdr:from>
    <xdr:to>
      <xdr:col>22</xdr:col>
      <xdr:colOff>0</xdr:colOff>
      <xdr:row>62</xdr:row>
      <xdr:rowOff>161924</xdr:rowOff>
    </xdr:to>
    <xdr:pic>
      <xdr:nvPicPr>
        <xdr:cNvPr id="13" name="Picture 13" descr="logoMTL">
          <a:extLst>
            <a:ext uri="{FF2B5EF4-FFF2-40B4-BE49-F238E27FC236}">
              <a16:creationId xmlns:a16="http://schemas.microsoft.com/office/drawing/2014/main" id="{2DFBDC11-9EA5-4393-983B-292DBCDA89E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344400"/>
          <a:ext cx="809625" cy="323849"/>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161924</xdr:rowOff>
    </xdr:to>
    <xdr:pic>
      <xdr:nvPicPr>
        <xdr:cNvPr id="14" name="Picture 14" descr="logoMTL">
          <a:extLst>
            <a:ext uri="{FF2B5EF4-FFF2-40B4-BE49-F238E27FC236}">
              <a16:creationId xmlns:a16="http://schemas.microsoft.com/office/drawing/2014/main" id="{6DB24F29-F7C3-4384-8CC5-2541ACADFEB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593925"/>
          <a:ext cx="800100" cy="323849"/>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15" name="Picture 15" descr="logoMTL">
          <a:extLst>
            <a:ext uri="{FF2B5EF4-FFF2-40B4-BE49-F238E27FC236}">
              <a16:creationId xmlns:a16="http://schemas.microsoft.com/office/drawing/2014/main" id="{5148B707-5C77-4537-8018-44E5E2DE6A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295</xdr:row>
      <xdr:rowOff>0</xdr:rowOff>
    </xdr:from>
    <xdr:to>
      <xdr:col>21</xdr:col>
      <xdr:colOff>1228725</xdr:colOff>
      <xdr:row>296</xdr:row>
      <xdr:rowOff>123824</xdr:rowOff>
    </xdr:to>
    <xdr:pic>
      <xdr:nvPicPr>
        <xdr:cNvPr id="16" name="Picture 16" descr="logoMTL">
          <a:extLst>
            <a:ext uri="{FF2B5EF4-FFF2-40B4-BE49-F238E27FC236}">
              <a16:creationId xmlns:a16="http://schemas.microsoft.com/office/drawing/2014/main" id="{05524F16-0C3B-43E9-AAD4-8C467BFD298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135</xdr:row>
      <xdr:rowOff>85725</xdr:rowOff>
    </xdr:from>
    <xdr:to>
      <xdr:col>22</xdr:col>
      <xdr:colOff>895350</xdr:colOff>
      <xdr:row>136</xdr:row>
      <xdr:rowOff>114300</xdr:rowOff>
    </xdr:to>
    <xdr:pic>
      <xdr:nvPicPr>
        <xdr:cNvPr id="17" name="Picture 9" descr="C:\WINDOWS\TEMP\~0003946.gif">
          <a:extLst>
            <a:ext uri="{FF2B5EF4-FFF2-40B4-BE49-F238E27FC236}">
              <a16:creationId xmlns:a16="http://schemas.microsoft.com/office/drawing/2014/main" id="{66A61273-B98F-4D46-A6A7-320160B1211F}"/>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641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22</xdr:col>
      <xdr:colOff>1095375</xdr:colOff>
      <xdr:row>295</xdr:row>
      <xdr:rowOff>123825</xdr:rowOff>
    </xdr:from>
    <xdr:to>
      <xdr:col>22</xdr:col>
      <xdr:colOff>1895475</xdr:colOff>
      <xdr:row>296</xdr:row>
      <xdr:rowOff>152400</xdr:rowOff>
    </xdr:to>
    <xdr:pic>
      <xdr:nvPicPr>
        <xdr:cNvPr id="6" name="Picture 5" descr="C:\WINDOWS\TEMP\~0003946.gif">
          <a:extLst>
            <a:ext uri="{FF2B5EF4-FFF2-40B4-BE49-F238E27FC236}">
              <a16:creationId xmlns:a16="http://schemas.microsoft.com/office/drawing/2014/main" id="{C30225B8-F2B6-45B5-B0A7-F08B0FA393E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59883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7" name="Picture 6" descr="C:\WINDOWS\TEMP\~0003946.gif">
          <a:extLst>
            <a:ext uri="{FF2B5EF4-FFF2-40B4-BE49-F238E27FC236}">
              <a16:creationId xmlns:a16="http://schemas.microsoft.com/office/drawing/2014/main" id="{5B2380E0-5AC8-41FD-98D1-96B9FF32BCF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8" name="Picture 7" descr="C:\WINDOWS\TEMP\~0003946.gif">
          <a:extLst>
            <a:ext uri="{FF2B5EF4-FFF2-40B4-BE49-F238E27FC236}">
              <a16:creationId xmlns:a16="http://schemas.microsoft.com/office/drawing/2014/main" id="{18D66B51-0B02-423D-978D-706D4D49C92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9" name="Picture 8" descr="C:\WINDOWS\TEMP\~0003946.gif">
          <a:extLst>
            <a:ext uri="{FF2B5EF4-FFF2-40B4-BE49-F238E27FC236}">
              <a16:creationId xmlns:a16="http://schemas.microsoft.com/office/drawing/2014/main" id="{C85B6132-5716-47EB-9730-E2455737C0D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468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149679</xdr:colOff>
      <xdr:row>61</xdr:row>
      <xdr:rowOff>136071</xdr:rowOff>
    </xdr:from>
    <xdr:to>
      <xdr:col>0</xdr:col>
      <xdr:colOff>320382</xdr:colOff>
      <xdr:row>62</xdr:row>
      <xdr:rowOff>163632</xdr:rowOff>
    </xdr:to>
    <xdr:pic>
      <xdr:nvPicPr>
        <xdr:cNvPr id="19" name="Picture 18">
          <a:extLst>
            <a:ext uri="{FF2B5EF4-FFF2-40B4-BE49-F238E27FC236}">
              <a16:creationId xmlns:a16="http://schemas.microsoft.com/office/drawing/2014/main" id="{BD5485EA-6345-429A-B57A-704D49E8BF51}"/>
            </a:ext>
          </a:extLst>
        </xdr:cNvPr>
        <xdr:cNvPicPr>
          <a:picLocks noChangeAspect="1"/>
        </xdr:cNvPicPr>
      </xdr:nvPicPr>
      <xdr:blipFill>
        <a:blip xmlns:r="http://schemas.openxmlformats.org/officeDocument/2006/relationships" r:embed="rId3"/>
        <a:stretch>
          <a:fillRect/>
        </a:stretch>
      </xdr:blipFill>
      <xdr:spPr>
        <a:xfrm>
          <a:off x="149679" y="12681857"/>
          <a:ext cx="170703" cy="231668"/>
        </a:xfrm>
        <a:prstGeom prst="rect">
          <a:avLst/>
        </a:prstGeom>
      </xdr:spPr>
    </xdr:pic>
    <xdr:clientData/>
  </xdr:twoCellAnchor>
  <xdr:twoCellAnchor editAs="oneCell">
    <xdr:from>
      <xdr:col>0</xdr:col>
      <xdr:colOff>176893</xdr:colOff>
      <xdr:row>135</xdr:row>
      <xdr:rowOff>149678</xdr:rowOff>
    </xdr:from>
    <xdr:to>
      <xdr:col>1</xdr:col>
      <xdr:colOff>7417</xdr:colOff>
      <xdr:row>136</xdr:row>
      <xdr:rowOff>177239</xdr:rowOff>
    </xdr:to>
    <xdr:pic>
      <xdr:nvPicPr>
        <xdr:cNvPr id="20" name="Picture 19">
          <a:extLst>
            <a:ext uri="{FF2B5EF4-FFF2-40B4-BE49-F238E27FC236}">
              <a16:creationId xmlns:a16="http://schemas.microsoft.com/office/drawing/2014/main" id="{E34CA008-C605-4250-8DCD-D471D6C50429}"/>
            </a:ext>
          </a:extLst>
        </xdr:cNvPr>
        <xdr:cNvPicPr>
          <a:picLocks noChangeAspect="1"/>
        </xdr:cNvPicPr>
      </xdr:nvPicPr>
      <xdr:blipFill>
        <a:blip xmlns:r="http://schemas.openxmlformats.org/officeDocument/2006/relationships" r:embed="rId3"/>
        <a:stretch>
          <a:fillRect/>
        </a:stretch>
      </xdr:blipFill>
      <xdr:spPr>
        <a:xfrm>
          <a:off x="176893" y="28234821"/>
          <a:ext cx="170703" cy="231668"/>
        </a:xfrm>
        <a:prstGeom prst="rect">
          <a:avLst/>
        </a:prstGeom>
      </xdr:spPr>
    </xdr:pic>
    <xdr:clientData/>
  </xdr:twoCellAnchor>
  <xdr:twoCellAnchor editAs="oneCell">
    <xdr:from>
      <xdr:col>0</xdr:col>
      <xdr:colOff>149679</xdr:colOff>
      <xdr:row>195</xdr:row>
      <xdr:rowOff>136071</xdr:rowOff>
    </xdr:from>
    <xdr:to>
      <xdr:col>0</xdr:col>
      <xdr:colOff>320382</xdr:colOff>
      <xdr:row>196</xdr:row>
      <xdr:rowOff>163632</xdr:rowOff>
    </xdr:to>
    <xdr:pic>
      <xdr:nvPicPr>
        <xdr:cNvPr id="21" name="Picture 20">
          <a:extLst>
            <a:ext uri="{FF2B5EF4-FFF2-40B4-BE49-F238E27FC236}">
              <a16:creationId xmlns:a16="http://schemas.microsoft.com/office/drawing/2014/main" id="{BF821D7D-CAD8-4971-9A03-986594B13C10}"/>
            </a:ext>
          </a:extLst>
        </xdr:cNvPr>
        <xdr:cNvPicPr>
          <a:picLocks noChangeAspect="1"/>
        </xdr:cNvPicPr>
      </xdr:nvPicPr>
      <xdr:blipFill>
        <a:blip xmlns:r="http://schemas.openxmlformats.org/officeDocument/2006/relationships" r:embed="rId3"/>
        <a:stretch>
          <a:fillRect/>
        </a:stretch>
      </xdr:blipFill>
      <xdr:spPr>
        <a:xfrm>
          <a:off x="149679" y="40508464"/>
          <a:ext cx="170703" cy="231668"/>
        </a:xfrm>
        <a:prstGeom prst="rect">
          <a:avLst/>
        </a:prstGeom>
      </xdr:spPr>
    </xdr:pic>
    <xdr:clientData/>
  </xdr:twoCellAnchor>
  <xdr:twoCellAnchor editAs="oneCell">
    <xdr:from>
      <xdr:col>0</xdr:col>
      <xdr:colOff>190500</xdr:colOff>
      <xdr:row>295</xdr:row>
      <xdr:rowOff>122465</xdr:rowOff>
    </xdr:from>
    <xdr:to>
      <xdr:col>1</xdr:col>
      <xdr:colOff>21024</xdr:colOff>
      <xdr:row>296</xdr:row>
      <xdr:rowOff>150026</xdr:rowOff>
    </xdr:to>
    <xdr:pic>
      <xdr:nvPicPr>
        <xdr:cNvPr id="22" name="Picture 21">
          <a:extLst>
            <a:ext uri="{FF2B5EF4-FFF2-40B4-BE49-F238E27FC236}">
              <a16:creationId xmlns:a16="http://schemas.microsoft.com/office/drawing/2014/main" id="{54E849EB-EA46-4806-ACBE-2F8A3D5F2A0C}"/>
            </a:ext>
          </a:extLst>
        </xdr:cNvPr>
        <xdr:cNvPicPr>
          <a:picLocks noChangeAspect="1"/>
        </xdr:cNvPicPr>
      </xdr:nvPicPr>
      <xdr:blipFill>
        <a:blip xmlns:r="http://schemas.openxmlformats.org/officeDocument/2006/relationships" r:embed="rId3"/>
        <a:stretch>
          <a:fillRect/>
        </a:stretch>
      </xdr:blipFill>
      <xdr:spPr>
        <a:xfrm>
          <a:off x="190500" y="61028036"/>
          <a:ext cx="170703" cy="231668"/>
        </a:xfrm>
        <a:prstGeom prst="rect">
          <a:avLst/>
        </a:prstGeom>
      </xdr:spPr>
    </xdr:pic>
    <xdr:clientData/>
  </xdr:twoCellAnchor>
  <xdr:twoCellAnchor editAs="oneCell">
    <xdr:from>
      <xdr:col>22</xdr:col>
      <xdr:colOff>68036</xdr:colOff>
      <xdr:row>61</xdr:row>
      <xdr:rowOff>13607</xdr:rowOff>
    </xdr:from>
    <xdr:to>
      <xdr:col>22</xdr:col>
      <xdr:colOff>897164</xdr:colOff>
      <xdr:row>62</xdr:row>
      <xdr:rowOff>102133</xdr:rowOff>
    </xdr:to>
    <xdr:pic>
      <xdr:nvPicPr>
        <xdr:cNvPr id="24" name="Picture 23">
          <a:extLst>
            <a:ext uri="{FF2B5EF4-FFF2-40B4-BE49-F238E27FC236}">
              <a16:creationId xmlns:a16="http://schemas.microsoft.com/office/drawing/2014/main" id="{598AE848-13C1-4DEA-9D41-09BBB5619A91}"/>
            </a:ext>
          </a:extLst>
        </xdr:cNvPr>
        <xdr:cNvPicPr>
          <a:picLocks noChangeAspect="1"/>
        </xdr:cNvPicPr>
      </xdr:nvPicPr>
      <xdr:blipFill>
        <a:blip xmlns:r="http://schemas.openxmlformats.org/officeDocument/2006/relationships" r:embed="rId4"/>
        <a:stretch>
          <a:fillRect/>
        </a:stretch>
      </xdr:blipFill>
      <xdr:spPr>
        <a:xfrm>
          <a:off x="24288750" y="12559393"/>
          <a:ext cx="829128" cy="292633"/>
        </a:xfrm>
        <a:prstGeom prst="rect">
          <a:avLst/>
        </a:prstGeom>
      </xdr:spPr>
    </xdr:pic>
    <xdr:clientData/>
  </xdr:twoCellAnchor>
  <xdr:twoCellAnchor editAs="oneCell">
    <xdr:from>
      <xdr:col>22</xdr:col>
      <xdr:colOff>68036</xdr:colOff>
      <xdr:row>135</xdr:row>
      <xdr:rowOff>68035</xdr:rowOff>
    </xdr:from>
    <xdr:to>
      <xdr:col>22</xdr:col>
      <xdr:colOff>897164</xdr:colOff>
      <xdr:row>136</xdr:row>
      <xdr:rowOff>156561</xdr:rowOff>
    </xdr:to>
    <xdr:pic>
      <xdr:nvPicPr>
        <xdr:cNvPr id="25" name="Picture 24">
          <a:extLst>
            <a:ext uri="{FF2B5EF4-FFF2-40B4-BE49-F238E27FC236}">
              <a16:creationId xmlns:a16="http://schemas.microsoft.com/office/drawing/2014/main" id="{90C3A0DC-B946-4F12-BDAA-A941A0CD214A}"/>
            </a:ext>
          </a:extLst>
        </xdr:cNvPr>
        <xdr:cNvPicPr>
          <a:picLocks noChangeAspect="1"/>
        </xdr:cNvPicPr>
      </xdr:nvPicPr>
      <xdr:blipFill>
        <a:blip xmlns:r="http://schemas.openxmlformats.org/officeDocument/2006/relationships" r:embed="rId4"/>
        <a:stretch>
          <a:fillRect/>
        </a:stretch>
      </xdr:blipFill>
      <xdr:spPr>
        <a:xfrm>
          <a:off x="24288750" y="28153178"/>
          <a:ext cx="829128" cy="292633"/>
        </a:xfrm>
        <a:prstGeom prst="rect">
          <a:avLst/>
        </a:prstGeom>
      </xdr:spPr>
    </xdr:pic>
    <xdr:clientData/>
  </xdr:twoCellAnchor>
  <xdr:twoCellAnchor editAs="oneCell">
    <xdr:from>
      <xdr:col>22</xdr:col>
      <xdr:colOff>68035</xdr:colOff>
      <xdr:row>195</xdr:row>
      <xdr:rowOff>27214</xdr:rowOff>
    </xdr:from>
    <xdr:to>
      <xdr:col>22</xdr:col>
      <xdr:colOff>897163</xdr:colOff>
      <xdr:row>196</xdr:row>
      <xdr:rowOff>115740</xdr:rowOff>
    </xdr:to>
    <xdr:pic>
      <xdr:nvPicPr>
        <xdr:cNvPr id="26" name="Picture 25">
          <a:extLst>
            <a:ext uri="{FF2B5EF4-FFF2-40B4-BE49-F238E27FC236}">
              <a16:creationId xmlns:a16="http://schemas.microsoft.com/office/drawing/2014/main" id="{B8728EF3-3F78-4FC4-82D5-FA317B36C9E2}"/>
            </a:ext>
          </a:extLst>
        </xdr:cNvPr>
        <xdr:cNvPicPr>
          <a:picLocks noChangeAspect="1"/>
        </xdr:cNvPicPr>
      </xdr:nvPicPr>
      <xdr:blipFill>
        <a:blip xmlns:r="http://schemas.openxmlformats.org/officeDocument/2006/relationships" r:embed="rId4"/>
        <a:stretch>
          <a:fillRect/>
        </a:stretch>
      </xdr:blipFill>
      <xdr:spPr>
        <a:xfrm>
          <a:off x="24288749" y="40399607"/>
          <a:ext cx="829128" cy="292633"/>
        </a:xfrm>
        <a:prstGeom prst="rect">
          <a:avLst/>
        </a:prstGeom>
      </xdr:spPr>
    </xdr:pic>
    <xdr:clientData/>
  </xdr:twoCellAnchor>
  <xdr:twoCellAnchor editAs="oneCell">
    <xdr:from>
      <xdr:col>22</xdr:col>
      <xdr:colOff>40821</xdr:colOff>
      <xdr:row>294</xdr:row>
      <xdr:rowOff>217714</xdr:rowOff>
    </xdr:from>
    <xdr:to>
      <xdr:col>22</xdr:col>
      <xdr:colOff>869949</xdr:colOff>
      <xdr:row>296</xdr:row>
      <xdr:rowOff>61311</xdr:rowOff>
    </xdr:to>
    <xdr:pic>
      <xdr:nvPicPr>
        <xdr:cNvPr id="27" name="Picture 26">
          <a:extLst>
            <a:ext uri="{FF2B5EF4-FFF2-40B4-BE49-F238E27FC236}">
              <a16:creationId xmlns:a16="http://schemas.microsoft.com/office/drawing/2014/main" id="{EE6B7FA7-9195-45DF-8A69-993AC12B9A4B}"/>
            </a:ext>
          </a:extLst>
        </xdr:cNvPr>
        <xdr:cNvPicPr>
          <a:picLocks noChangeAspect="1"/>
        </xdr:cNvPicPr>
      </xdr:nvPicPr>
      <xdr:blipFill>
        <a:blip xmlns:r="http://schemas.openxmlformats.org/officeDocument/2006/relationships" r:embed="rId4"/>
        <a:stretch>
          <a:fillRect/>
        </a:stretch>
      </xdr:blipFill>
      <xdr:spPr>
        <a:xfrm>
          <a:off x="24261535" y="60878357"/>
          <a:ext cx="829128" cy="29263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22</xdr:col>
      <xdr:colOff>1095375</xdr:colOff>
      <xdr:row>295</xdr:row>
      <xdr:rowOff>123825</xdr:rowOff>
    </xdr:from>
    <xdr:to>
      <xdr:col>22</xdr:col>
      <xdr:colOff>1895475</xdr:colOff>
      <xdr:row>296</xdr:row>
      <xdr:rowOff>152400</xdr:rowOff>
    </xdr:to>
    <xdr:pic>
      <xdr:nvPicPr>
        <xdr:cNvPr id="2" name="Picture 1" descr="C:\WINDOWS\TEMP\~0003946.gif">
          <a:extLst>
            <a:ext uri="{FF2B5EF4-FFF2-40B4-BE49-F238E27FC236}">
              <a16:creationId xmlns:a16="http://schemas.microsoft.com/office/drawing/2014/main" id="{77810B9C-43A5-473E-88BD-5BAB1322621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59893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3" name="Picture 2" descr="C:\WINDOWS\TEMP\~0003946.gif">
          <a:extLst>
            <a:ext uri="{FF2B5EF4-FFF2-40B4-BE49-F238E27FC236}">
              <a16:creationId xmlns:a16="http://schemas.microsoft.com/office/drawing/2014/main" id="{D0005C63-BFF1-4921-95A9-A5F93C0EC5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3979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 name="Picture 3" descr="C:\WINDOWS\TEMP\~0003946.gif">
          <a:extLst>
            <a:ext uri="{FF2B5EF4-FFF2-40B4-BE49-F238E27FC236}">
              <a16:creationId xmlns:a16="http://schemas.microsoft.com/office/drawing/2014/main" id="{CBA331C5-5D03-4E9F-AD33-8DA5AD1BE19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A034BF32-3225-4C27-B590-C185CD4F6F1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149679</xdr:colOff>
      <xdr:row>61</xdr:row>
      <xdr:rowOff>136071</xdr:rowOff>
    </xdr:from>
    <xdr:to>
      <xdr:col>0</xdr:col>
      <xdr:colOff>320382</xdr:colOff>
      <xdr:row>62</xdr:row>
      <xdr:rowOff>163632</xdr:rowOff>
    </xdr:to>
    <xdr:pic>
      <xdr:nvPicPr>
        <xdr:cNvPr id="6" name="Picture 5">
          <a:extLst>
            <a:ext uri="{FF2B5EF4-FFF2-40B4-BE49-F238E27FC236}">
              <a16:creationId xmlns:a16="http://schemas.microsoft.com/office/drawing/2014/main" id="{0DA66B60-43F9-4DCA-A90B-482D4CC80A4B}"/>
            </a:ext>
          </a:extLst>
        </xdr:cNvPr>
        <xdr:cNvPicPr>
          <a:picLocks noChangeAspect="1"/>
        </xdr:cNvPicPr>
      </xdr:nvPicPr>
      <xdr:blipFill>
        <a:blip xmlns:r="http://schemas.openxmlformats.org/officeDocument/2006/relationships" r:embed="rId3"/>
        <a:stretch>
          <a:fillRect/>
        </a:stretch>
      </xdr:blipFill>
      <xdr:spPr>
        <a:xfrm>
          <a:off x="149679" y="12451896"/>
          <a:ext cx="170703" cy="227586"/>
        </a:xfrm>
        <a:prstGeom prst="rect">
          <a:avLst/>
        </a:prstGeom>
      </xdr:spPr>
    </xdr:pic>
    <xdr:clientData/>
  </xdr:twoCellAnchor>
  <xdr:twoCellAnchor editAs="oneCell">
    <xdr:from>
      <xdr:col>0</xdr:col>
      <xdr:colOff>176893</xdr:colOff>
      <xdr:row>135</xdr:row>
      <xdr:rowOff>149678</xdr:rowOff>
    </xdr:from>
    <xdr:to>
      <xdr:col>1</xdr:col>
      <xdr:colOff>7417</xdr:colOff>
      <xdr:row>136</xdr:row>
      <xdr:rowOff>177239</xdr:rowOff>
    </xdr:to>
    <xdr:pic>
      <xdr:nvPicPr>
        <xdr:cNvPr id="7" name="Picture 6">
          <a:extLst>
            <a:ext uri="{FF2B5EF4-FFF2-40B4-BE49-F238E27FC236}">
              <a16:creationId xmlns:a16="http://schemas.microsoft.com/office/drawing/2014/main" id="{9465E1CD-D29B-4C12-893F-E9F160548E19}"/>
            </a:ext>
          </a:extLst>
        </xdr:cNvPr>
        <xdr:cNvPicPr>
          <a:picLocks noChangeAspect="1"/>
        </xdr:cNvPicPr>
      </xdr:nvPicPr>
      <xdr:blipFill>
        <a:blip xmlns:r="http://schemas.openxmlformats.org/officeDocument/2006/relationships" r:embed="rId3"/>
        <a:stretch>
          <a:fillRect/>
        </a:stretch>
      </xdr:blipFill>
      <xdr:spPr>
        <a:xfrm>
          <a:off x="176893" y="27715028"/>
          <a:ext cx="173424" cy="227586"/>
        </a:xfrm>
        <a:prstGeom prst="rect">
          <a:avLst/>
        </a:prstGeom>
      </xdr:spPr>
    </xdr:pic>
    <xdr:clientData/>
  </xdr:twoCellAnchor>
  <xdr:twoCellAnchor editAs="oneCell">
    <xdr:from>
      <xdr:col>0</xdr:col>
      <xdr:colOff>149679</xdr:colOff>
      <xdr:row>195</xdr:row>
      <xdr:rowOff>136071</xdr:rowOff>
    </xdr:from>
    <xdr:to>
      <xdr:col>0</xdr:col>
      <xdr:colOff>320382</xdr:colOff>
      <xdr:row>196</xdr:row>
      <xdr:rowOff>163632</xdr:rowOff>
    </xdr:to>
    <xdr:pic>
      <xdr:nvPicPr>
        <xdr:cNvPr id="8" name="Picture 7">
          <a:extLst>
            <a:ext uri="{FF2B5EF4-FFF2-40B4-BE49-F238E27FC236}">
              <a16:creationId xmlns:a16="http://schemas.microsoft.com/office/drawing/2014/main" id="{3391C2C4-D5E4-4750-8F05-5CDCA5598B8B}"/>
            </a:ext>
          </a:extLst>
        </xdr:cNvPr>
        <xdr:cNvPicPr>
          <a:picLocks noChangeAspect="1"/>
        </xdr:cNvPicPr>
      </xdr:nvPicPr>
      <xdr:blipFill>
        <a:blip xmlns:r="http://schemas.openxmlformats.org/officeDocument/2006/relationships" r:embed="rId3"/>
        <a:stretch>
          <a:fillRect/>
        </a:stretch>
      </xdr:blipFill>
      <xdr:spPr>
        <a:xfrm>
          <a:off x="149679" y="39779121"/>
          <a:ext cx="170703" cy="227586"/>
        </a:xfrm>
        <a:prstGeom prst="rect">
          <a:avLst/>
        </a:prstGeom>
      </xdr:spPr>
    </xdr:pic>
    <xdr:clientData/>
  </xdr:twoCellAnchor>
  <xdr:twoCellAnchor editAs="oneCell">
    <xdr:from>
      <xdr:col>0</xdr:col>
      <xdr:colOff>190500</xdr:colOff>
      <xdr:row>295</xdr:row>
      <xdr:rowOff>122465</xdr:rowOff>
    </xdr:from>
    <xdr:to>
      <xdr:col>1</xdr:col>
      <xdr:colOff>21024</xdr:colOff>
      <xdr:row>296</xdr:row>
      <xdr:rowOff>150026</xdr:rowOff>
    </xdr:to>
    <xdr:pic>
      <xdr:nvPicPr>
        <xdr:cNvPr id="9" name="Picture 8">
          <a:extLst>
            <a:ext uri="{FF2B5EF4-FFF2-40B4-BE49-F238E27FC236}">
              <a16:creationId xmlns:a16="http://schemas.microsoft.com/office/drawing/2014/main" id="{E93428C4-C338-4A45-8F44-7ED442FA2840}"/>
            </a:ext>
          </a:extLst>
        </xdr:cNvPr>
        <xdr:cNvPicPr>
          <a:picLocks noChangeAspect="1"/>
        </xdr:cNvPicPr>
      </xdr:nvPicPr>
      <xdr:blipFill>
        <a:blip xmlns:r="http://schemas.openxmlformats.org/officeDocument/2006/relationships" r:embed="rId3"/>
        <a:stretch>
          <a:fillRect/>
        </a:stretch>
      </xdr:blipFill>
      <xdr:spPr>
        <a:xfrm>
          <a:off x="190500" y="59891840"/>
          <a:ext cx="173424" cy="227586"/>
        </a:xfrm>
        <a:prstGeom prst="rect">
          <a:avLst/>
        </a:prstGeom>
      </xdr:spPr>
    </xdr:pic>
    <xdr:clientData/>
  </xdr:twoCellAnchor>
  <xdr:twoCellAnchor editAs="oneCell">
    <xdr:from>
      <xdr:col>22</xdr:col>
      <xdr:colOff>68036</xdr:colOff>
      <xdr:row>61</xdr:row>
      <xdr:rowOff>13607</xdr:rowOff>
    </xdr:from>
    <xdr:to>
      <xdr:col>22</xdr:col>
      <xdr:colOff>897164</xdr:colOff>
      <xdr:row>62</xdr:row>
      <xdr:rowOff>102133</xdr:rowOff>
    </xdr:to>
    <xdr:pic>
      <xdr:nvPicPr>
        <xdr:cNvPr id="10" name="Picture 9">
          <a:extLst>
            <a:ext uri="{FF2B5EF4-FFF2-40B4-BE49-F238E27FC236}">
              <a16:creationId xmlns:a16="http://schemas.microsoft.com/office/drawing/2014/main" id="{489A358A-0644-44BB-A14F-433EA6F47EBD}"/>
            </a:ext>
          </a:extLst>
        </xdr:cNvPr>
        <xdr:cNvPicPr>
          <a:picLocks noChangeAspect="1"/>
        </xdr:cNvPicPr>
      </xdr:nvPicPr>
      <xdr:blipFill>
        <a:blip xmlns:r="http://schemas.openxmlformats.org/officeDocument/2006/relationships" r:embed="rId4"/>
        <a:stretch>
          <a:fillRect/>
        </a:stretch>
      </xdr:blipFill>
      <xdr:spPr>
        <a:xfrm>
          <a:off x="24280586" y="12329432"/>
          <a:ext cx="829128" cy="288551"/>
        </a:xfrm>
        <a:prstGeom prst="rect">
          <a:avLst/>
        </a:prstGeom>
      </xdr:spPr>
    </xdr:pic>
    <xdr:clientData/>
  </xdr:twoCellAnchor>
  <xdr:twoCellAnchor editAs="oneCell">
    <xdr:from>
      <xdr:col>22</xdr:col>
      <xdr:colOff>68036</xdr:colOff>
      <xdr:row>135</xdr:row>
      <xdr:rowOff>68035</xdr:rowOff>
    </xdr:from>
    <xdr:to>
      <xdr:col>22</xdr:col>
      <xdr:colOff>897164</xdr:colOff>
      <xdr:row>136</xdr:row>
      <xdr:rowOff>156561</xdr:rowOff>
    </xdr:to>
    <xdr:pic>
      <xdr:nvPicPr>
        <xdr:cNvPr id="11" name="Picture 10">
          <a:extLst>
            <a:ext uri="{FF2B5EF4-FFF2-40B4-BE49-F238E27FC236}">
              <a16:creationId xmlns:a16="http://schemas.microsoft.com/office/drawing/2014/main" id="{A3DBE31F-CAFA-4EC0-AC7A-1D9C6964EC9E}"/>
            </a:ext>
          </a:extLst>
        </xdr:cNvPr>
        <xdr:cNvPicPr>
          <a:picLocks noChangeAspect="1"/>
        </xdr:cNvPicPr>
      </xdr:nvPicPr>
      <xdr:blipFill>
        <a:blip xmlns:r="http://schemas.openxmlformats.org/officeDocument/2006/relationships" r:embed="rId4"/>
        <a:stretch>
          <a:fillRect/>
        </a:stretch>
      </xdr:blipFill>
      <xdr:spPr>
        <a:xfrm>
          <a:off x="24280586" y="27633385"/>
          <a:ext cx="829128" cy="288551"/>
        </a:xfrm>
        <a:prstGeom prst="rect">
          <a:avLst/>
        </a:prstGeom>
      </xdr:spPr>
    </xdr:pic>
    <xdr:clientData/>
  </xdr:twoCellAnchor>
  <xdr:twoCellAnchor editAs="oneCell">
    <xdr:from>
      <xdr:col>22</xdr:col>
      <xdr:colOff>68035</xdr:colOff>
      <xdr:row>195</xdr:row>
      <xdr:rowOff>27214</xdr:rowOff>
    </xdr:from>
    <xdr:to>
      <xdr:col>22</xdr:col>
      <xdr:colOff>897163</xdr:colOff>
      <xdr:row>196</xdr:row>
      <xdr:rowOff>115740</xdr:rowOff>
    </xdr:to>
    <xdr:pic>
      <xdr:nvPicPr>
        <xdr:cNvPr id="12" name="Picture 11">
          <a:extLst>
            <a:ext uri="{FF2B5EF4-FFF2-40B4-BE49-F238E27FC236}">
              <a16:creationId xmlns:a16="http://schemas.microsoft.com/office/drawing/2014/main" id="{1AE0F8BF-DC61-4C52-BA05-C098CF0BA99B}"/>
            </a:ext>
          </a:extLst>
        </xdr:cNvPr>
        <xdr:cNvPicPr>
          <a:picLocks noChangeAspect="1"/>
        </xdr:cNvPicPr>
      </xdr:nvPicPr>
      <xdr:blipFill>
        <a:blip xmlns:r="http://schemas.openxmlformats.org/officeDocument/2006/relationships" r:embed="rId4"/>
        <a:stretch>
          <a:fillRect/>
        </a:stretch>
      </xdr:blipFill>
      <xdr:spPr>
        <a:xfrm>
          <a:off x="24280585" y="39670264"/>
          <a:ext cx="829128" cy="288551"/>
        </a:xfrm>
        <a:prstGeom prst="rect">
          <a:avLst/>
        </a:prstGeom>
      </xdr:spPr>
    </xdr:pic>
    <xdr:clientData/>
  </xdr:twoCellAnchor>
  <xdr:twoCellAnchor editAs="oneCell">
    <xdr:from>
      <xdr:col>22</xdr:col>
      <xdr:colOff>40821</xdr:colOff>
      <xdr:row>294</xdr:row>
      <xdr:rowOff>217714</xdr:rowOff>
    </xdr:from>
    <xdr:to>
      <xdr:col>22</xdr:col>
      <xdr:colOff>869949</xdr:colOff>
      <xdr:row>296</xdr:row>
      <xdr:rowOff>61311</xdr:rowOff>
    </xdr:to>
    <xdr:pic>
      <xdr:nvPicPr>
        <xdr:cNvPr id="13" name="Picture 12">
          <a:extLst>
            <a:ext uri="{FF2B5EF4-FFF2-40B4-BE49-F238E27FC236}">
              <a16:creationId xmlns:a16="http://schemas.microsoft.com/office/drawing/2014/main" id="{8BC134A4-A9B6-48B6-9B63-DA43C3242967}"/>
            </a:ext>
          </a:extLst>
        </xdr:cNvPr>
        <xdr:cNvPicPr>
          <a:picLocks noChangeAspect="1"/>
        </xdr:cNvPicPr>
      </xdr:nvPicPr>
      <xdr:blipFill>
        <a:blip xmlns:r="http://schemas.openxmlformats.org/officeDocument/2006/relationships" r:embed="rId4"/>
        <a:stretch>
          <a:fillRect/>
        </a:stretch>
      </xdr:blipFill>
      <xdr:spPr>
        <a:xfrm>
          <a:off x="24253371" y="59748964"/>
          <a:ext cx="829128" cy="28174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22</xdr:col>
      <xdr:colOff>1095375</xdr:colOff>
      <xdr:row>295</xdr:row>
      <xdr:rowOff>123825</xdr:rowOff>
    </xdr:from>
    <xdr:to>
      <xdr:col>22</xdr:col>
      <xdr:colOff>1895475</xdr:colOff>
      <xdr:row>296</xdr:row>
      <xdr:rowOff>152400</xdr:rowOff>
    </xdr:to>
    <xdr:pic>
      <xdr:nvPicPr>
        <xdr:cNvPr id="2" name="Picture 1" descr="C:\WINDOWS\TEMP\~0003946.gif">
          <a:extLst>
            <a:ext uri="{FF2B5EF4-FFF2-40B4-BE49-F238E27FC236}">
              <a16:creationId xmlns:a16="http://schemas.microsoft.com/office/drawing/2014/main" id="{07ADC5D7-DE8C-45F2-8CCA-00825103B4B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59893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3" name="Picture 2" descr="C:\WINDOWS\TEMP\~0003946.gif">
          <a:extLst>
            <a:ext uri="{FF2B5EF4-FFF2-40B4-BE49-F238E27FC236}">
              <a16:creationId xmlns:a16="http://schemas.microsoft.com/office/drawing/2014/main" id="{1BAB770C-CDE5-44D9-9BF0-A68F8FF8D40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3979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 name="Picture 3" descr="C:\WINDOWS\TEMP\~0003946.gif">
          <a:extLst>
            <a:ext uri="{FF2B5EF4-FFF2-40B4-BE49-F238E27FC236}">
              <a16:creationId xmlns:a16="http://schemas.microsoft.com/office/drawing/2014/main" id="{1A7B9E35-BDF2-4FB9-BF4F-968118E8C80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08D241F0-088E-49B7-A02C-5CF210875FF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149679</xdr:colOff>
      <xdr:row>61</xdr:row>
      <xdr:rowOff>136071</xdr:rowOff>
    </xdr:from>
    <xdr:to>
      <xdr:col>0</xdr:col>
      <xdr:colOff>320382</xdr:colOff>
      <xdr:row>62</xdr:row>
      <xdr:rowOff>163632</xdr:rowOff>
    </xdr:to>
    <xdr:pic>
      <xdr:nvPicPr>
        <xdr:cNvPr id="6" name="Picture 5">
          <a:extLst>
            <a:ext uri="{FF2B5EF4-FFF2-40B4-BE49-F238E27FC236}">
              <a16:creationId xmlns:a16="http://schemas.microsoft.com/office/drawing/2014/main" id="{87C6FD6E-6359-4E06-BB0B-51FDC12A1E38}"/>
            </a:ext>
          </a:extLst>
        </xdr:cNvPr>
        <xdr:cNvPicPr>
          <a:picLocks noChangeAspect="1"/>
        </xdr:cNvPicPr>
      </xdr:nvPicPr>
      <xdr:blipFill>
        <a:blip xmlns:r="http://schemas.openxmlformats.org/officeDocument/2006/relationships" r:embed="rId3"/>
        <a:stretch>
          <a:fillRect/>
        </a:stretch>
      </xdr:blipFill>
      <xdr:spPr>
        <a:xfrm>
          <a:off x="149679" y="12451896"/>
          <a:ext cx="170703" cy="227586"/>
        </a:xfrm>
        <a:prstGeom prst="rect">
          <a:avLst/>
        </a:prstGeom>
      </xdr:spPr>
    </xdr:pic>
    <xdr:clientData/>
  </xdr:twoCellAnchor>
  <xdr:twoCellAnchor editAs="oneCell">
    <xdr:from>
      <xdr:col>0</xdr:col>
      <xdr:colOff>176893</xdr:colOff>
      <xdr:row>135</xdr:row>
      <xdr:rowOff>149678</xdr:rowOff>
    </xdr:from>
    <xdr:to>
      <xdr:col>1</xdr:col>
      <xdr:colOff>7417</xdr:colOff>
      <xdr:row>136</xdr:row>
      <xdr:rowOff>177239</xdr:rowOff>
    </xdr:to>
    <xdr:pic>
      <xdr:nvPicPr>
        <xdr:cNvPr id="7" name="Picture 6">
          <a:extLst>
            <a:ext uri="{FF2B5EF4-FFF2-40B4-BE49-F238E27FC236}">
              <a16:creationId xmlns:a16="http://schemas.microsoft.com/office/drawing/2014/main" id="{7CF6619F-AB25-4436-B0FD-A6E9B094C5B4}"/>
            </a:ext>
          </a:extLst>
        </xdr:cNvPr>
        <xdr:cNvPicPr>
          <a:picLocks noChangeAspect="1"/>
        </xdr:cNvPicPr>
      </xdr:nvPicPr>
      <xdr:blipFill>
        <a:blip xmlns:r="http://schemas.openxmlformats.org/officeDocument/2006/relationships" r:embed="rId3"/>
        <a:stretch>
          <a:fillRect/>
        </a:stretch>
      </xdr:blipFill>
      <xdr:spPr>
        <a:xfrm>
          <a:off x="176893" y="27715028"/>
          <a:ext cx="173424" cy="227586"/>
        </a:xfrm>
        <a:prstGeom prst="rect">
          <a:avLst/>
        </a:prstGeom>
      </xdr:spPr>
    </xdr:pic>
    <xdr:clientData/>
  </xdr:twoCellAnchor>
  <xdr:twoCellAnchor editAs="oneCell">
    <xdr:from>
      <xdr:col>0</xdr:col>
      <xdr:colOff>149679</xdr:colOff>
      <xdr:row>195</xdr:row>
      <xdr:rowOff>136071</xdr:rowOff>
    </xdr:from>
    <xdr:to>
      <xdr:col>0</xdr:col>
      <xdr:colOff>320382</xdr:colOff>
      <xdr:row>196</xdr:row>
      <xdr:rowOff>163632</xdr:rowOff>
    </xdr:to>
    <xdr:pic>
      <xdr:nvPicPr>
        <xdr:cNvPr id="8" name="Picture 7">
          <a:extLst>
            <a:ext uri="{FF2B5EF4-FFF2-40B4-BE49-F238E27FC236}">
              <a16:creationId xmlns:a16="http://schemas.microsoft.com/office/drawing/2014/main" id="{4EE86D5B-F559-427C-AA03-5BD015931126}"/>
            </a:ext>
          </a:extLst>
        </xdr:cNvPr>
        <xdr:cNvPicPr>
          <a:picLocks noChangeAspect="1"/>
        </xdr:cNvPicPr>
      </xdr:nvPicPr>
      <xdr:blipFill>
        <a:blip xmlns:r="http://schemas.openxmlformats.org/officeDocument/2006/relationships" r:embed="rId3"/>
        <a:stretch>
          <a:fillRect/>
        </a:stretch>
      </xdr:blipFill>
      <xdr:spPr>
        <a:xfrm>
          <a:off x="149679" y="39779121"/>
          <a:ext cx="170703" cy="227586"/>
        </a:xfrm>
        <a:prstGeom prst="rect">
          <a:avLst/>
        </a:prstGeom>
      </xdr:spPr>
    </xdr:pic>
    <xdr:clientData/>
  </xdr:twoCellAnchor>
  <xdr:twoCellAnchor editAs="oneCell">
    <xdr:from>
      <xdr:col>0</xdr:col>
      <xdr:colOff>190500</xdr:colOff>
      <xdr:row>295</xdr:row>
      <xdr:rowOff>122465</xdr:rowOff>
    </xdr:from>
    <xdr:to>
      <xdr:col>1</xdr:col>
      <xdr:colOff>21024</xdr:colOff>
      <xdr:row>296</xdr:row>
      <xdr:rowOff>150026</xdr:rowOff>
    </xdr:to>
    <xdr:pic>
      <xdr:nvPicPr>
        <xdr:cNvPr id="9" name="Picture 8">
          <a:extLst>
            <a:ext uri="{FF2B5EF4-FFF2-40B4-BE49-F238E27FC236}">
              <a16:creationId xmlns:a16="http://schemas.microsoft.com/office/drawing/2014/main" id="{FC69F049-6897-45BC-BDF7-B80DE23559F0}"/>
            </a:ext>
          </a:extLst>
        </xdr:cNvPr>
        <xdr:cNvPicPr>
          <a:picLocks noChangeAspect="1"/>
        </xdr:cNvPicPr>
      </xdr:nvPicPr>
      <xdr:blipFill>
        <a:blip xmlns:r="http://schemas.openxmlformats.org/officeDocument/2006/relationships" r:embed="rId3"/>
        <a:stretch>
          <a:fillRect/>
        </a:stretch>
      </xdr:blipFill>
      <xdr:spPr>
        <a:xfrm>
          <a:off x="190500" y="59891840"/>
          <a:ext cx="173424" cy="227586"/>
        </a:xfrm>
        <a:prstGeom prst="rect">
          <a:avLst/>
        </a:prstGeom>
      </xdr:spPr>
    </xdr:pic>
    <xdr:clientData/>
  </xdr:twoCellAnchor>
  <xdr:twoCellAnchor editAs="oneCell">
    <xdr:from>
      <xdr:col>22</xdr:col>
      <xdr:colOff>68036</xdr:colOff>
      <xdr:row>61</xdr:row>
      <xdr:rowOff>13607</xdr:rowOff>
    </xdr:from>
    <xdr:to>
      <xdr:col>22</xdr:col>
      <xdr:colOff>897164</xdr:colOff>
      <xdr:row>62</xdr:row>
      <xdr:rowOff>102133</xdr:rowOff>
    </xdr:to>
    <xdr:pic>
      <xdr:nvPicPr>
        <xdr:cNvPr id="10" name="Picture 9">
          <a:extLst>
            <a:ext uri="{FF2B5EF4-FFF2-40B4-BE49-F238E27FC236}">
              <a16:creationId xmlns:a16="http://schemas.microsoft.com/office/drawing/2014/main" id="{EE39870A-8FDD-44F6-9248-F36D1CC207C3}"/>
            </a:ext>
          </a:extLst>
        </xdr:cNvPr>
        <xdr:cNvPicPr>
          <a:picLocks noChangeAspect="1"/>
        </xdr:cNvPicPr>
      </xdr:nvPicPr>
      <xdr:blipFill>
        <a:blip xmlns:r="http://schemas.openxmlformats.org/officeDocument/2006/relationships" r:embed="rId4"/>
        <a:stretch>
          <a:fillRect/>
        </a:stretch>
      </xdr:blipFill>
      <xdr:spPr>
        <a:xfrm>
          <a:off x="24213911" y="12329432"/>
          <a:ext cx="829128" cy="288551"/>
        </a:xfrm>
        <a:prstGeom prst="rect">
          <a:avLst/>
        </a:prstGeom>
      </xdr:spPr>
    </xdr:pic>
    <xdr:clientData/>
  </xdr:twoCellAnchor>
  <xdr:twoCellAnchor editAs="oneCell">
    <xdr:from>
      <xdr:col>22</xdr:col>
      <xdr:colOff>68036</xdr:colOff>
      <xdr:row>135</xdr:row>
      <xdr:rowOff>68035</xdr:rowOff>
    </xdr:from>
    <xdr:to>
      <xdr:col>22</xdr:col>
      <xdr:colOff>897164</xdr:colOff>
      <xdr:row>136</xdr:row>
      <xdr:rowOff>156561</xdr:rowOff>
    </xdr:to>
    <xdr:pic>
      <xdr:nvPicPr>
        <xdr:cNvPr id="11" name="Picture 10">
          <a:extLst>
            <a:ext uri="{FF2B5EF4-FFF2-40B4-BE49-F238E27FC236}">
              <a16:creationId xmlns:a16="http://schemas.microsoft.com/office/drawing/2014/main" id="{93B538BB-F464-4C5C-9214-DF2D6B8B3AEB}"/>
            </a:ext>
          </a:extLst>
        </xdr:cNvPr>
        <xdr:cNvPicPr>
          <a:picLocks noChangeAspect="1"/>
        </xdr:cNvPicPr>
      </xdr:nvPicPr>
      <xdr:blipFill>
        <a:blip xmlns:r="http://schemas.openxmlformats.org/officeDocument/2006/relationships" r:embed="rId4"/>
        <a:stretch>
          <a:fillRect/>
        </a:stretch>
      </xdr:blipFill>
      <xdr:spPr>
        <a:xfrm>
          <a:off x="24213911" y="27633385"/>
          <a:ext cx="829128" cy="288551"/>
        </a:xfrm>
        <a:prstGeom prst="rect">
          <a:avLst/>
        </a:prstGeom>
      </xdr:spPr>
    </xdr:pic>
    <xdr:clientData/>
  </xdr:twoCellAnchor>
  <xdr:twoCellAnchor editAs="oneCell">
    <xdr:from>
      <xdr:col>22</xdr:col>
      <xdr:colOff>68035</xdr:colOff>
      <xdr:row>195</xdr:row>
      <xdr:rowOff>27214</xdr:rowOff>
    </xdr:from>
    <xdr:to>
      <xdr:col>22</xdr:col>
      <xdr:colOff>897163</xdr:colOff>
      <xdr:row>196</xdr:row>
      <xdr:rowOff>115740</xdr:rowOff>
    </xdr:to>
    <xdr:pic>
      <xdr:nvPicPr>
        <xdr:cNvPr id="12" name="Picture 11">
          <a:extLst>
            <a:ext uri="{FF2B5EF4-FFF2-40B4-BE49-F238E27FC236}">
              <a16:creationId xmlns:a16="http://schemas.microsoft.com/office/drawing/2014/main" id="{435AADA2-1917-42F2-AAF3-A6100A8812AA}"/>
            </a:ext>
          </a:extLst>
        </xdr:cNvPr>
        <xdr:cNvPicPr>
          <a:picLocks noChangeAspect="1"/>
        </xdr:cNvPicPr>
      </xdr:nvPicPr>
      <xdr:blipFill>
        <a:blip xmlns:r="http://schemas.openxmlformats.org/officeDocument/2006/relationships" r:embed="rId4"/>
        <a:stretch>
          <a:fillRect/>
        </a:stretch>
      </xdr:blipFill>
      <xdr:spPr>
        <a:xfrm>
          <a:off x="24213910" y="39670264"/>
          <a:ext cx="829128" cy="288551"/>
        </a:xfrm>
        <a:prstGeom prst="rect">
          <a:avLst/>
        </a:prstGeom>
      </xdr:spPr>
    </xdr:pic>
    <xdr:clientData/>
  </xdr:twoCellAnchor>
  <xdr:twoCellAnchor editAs="oneCell">
    <xdr:from>
      <xdr:col>22</xdr:col>
      <xdr:colOff>40821</xdr:colOff>
      <xdr:row>294</xdr:row>
      <xdr:rowOff>217714</xdr:rowOff>
    </xdr:from>
    <xdr:to>
      <xdr:col>22</xdr:col>
      <xdr:colOff>869949</xdr:colOff>
      <xdr:row>296</xdr:row>
      <xdr:rowOff>61311</xdr:rowOff>
    </xdr:to>
    <xdr:pic>
      <xdr:nvPicPr>
        <xdr:cNvPr id="13" name="Picture 12">
          <a:extLst>
            <a:ext uri="{FF2B5EF4-FFF2-40B4-BE49-F238E27FC236}">
              <a16:creationId xmlns:a16="http://schemas.microsoft.com/office/drawing/2014/main" id="{0DA31A9A-5795-4859-821E-F5E8938E1CA2}"/>
            </a:ext>
          </a:extLst>
        </xdr:cNvPr>
        <xdr:cNvPicPr>
          <a:picLocks noChangeAspect="1"/>
        </xdr:cNvPicPr>
      </xdr:nvPicPr>
      <xdr:blipFill>
        <a:blip xmlns:r="http://schemas.openxmlformats.org/officeDocument/2006/relationships" r:embed="rId4"/>
        <a:stretch>
          <a:fillRect/>
        </a:stretch>
      </xdr:blipFill>
      <xdr:spPr>
        <a:xfrm>
          <a:off x="24186696" y="59748964"/>
          <a:ext cx="829128" cy="28174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22</xdr:col>
      <xdr:colOff>1095375</xdr:colOff>
      <xdr:row>295</xdr:row>
      <xdr:rowOff>123825</xdr:rowOff>
    </xdr:from>
    <xdr:to>
      <xdr:col>22</xdr:col>
      <xdr:colOff>1895475</xdr:colOff>
      <xdr:row>296</xdr:row>
      <xdr:rowOff>152400</xdr:rowOff>
    </xdr:to>
    <xdr:pic>
      <xdr:nvPicPr>
        <xdr:cNvPr id="2" name="Picture 1" descr="C:\WINDOWS\TEMP\~0003946.gif">
          <a:extLst>
            <a:ext uri="{FF2B5EF4-FFF2-40B4-BE49-F238E27FC236}">
              <a16:creationId xmlns:a16="http://schemas.microsoft.com/office/drawing/2014/main" id="{4CF01840-E10A-4690-BA53-1476FB68F10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59893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3" name="Picture 2" descr="C:\WINDOWS\TEMP\~0003946.gif">
          <a:extLst>
            <a:ext uri="{FF2B5EF4-FFF2-40B4-BE49-F238E27FC236}">
              <a16:creationId xmlns:a16="http://schemas.microsoft.com/office/drawing/2014/main" id="{95DDE8E5-CDD5-49B7-BDD2-B30D869F6C6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3979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 name="Picture 3" descr="C:\WINDOWS\TEMP\~0003946.gif">
          <a:extLst>
            <a:ext uri="{FF2B5EF4-FFF2-40B4-BE49-F238E27FC236}">
              <a16:creationId xmlns:a16="http://schemas.microsoft.com/office/drawing/2014/main" id="{E04A2527-7A55-4182-B98D-6A974B670DF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220B06B2-34FD-4BB0-8E02-B3418F3E026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149679</xdr:colOff>
      <xdr:row>61</xdr:row>
      <xdr:rowOff>136071</xdr:rowOff>
    </xdr:from>
    <xdr:to>
      <xdr:col>0</xdr:col>
      <xdr:colOff>320382</xdr:colOff>
      <xdr:row>62</xdr:row>
      <xdr:rowOff>163632</xdr:rowOff>
    </xdr:to>
    <xdr:pic>
      <xdr:nvPicPr>
        <xdr:cNvPr id="6" name="Picture 5">
          <a:extLst>
            <a:ext uri="{FF2B5EF4-FFF2-40B4-BE49-F238E27FC236}">
              <a16:creationId xmlns:a16="http://schemas.microsoft.com/office/drawing/2014/main" id="{B2626831-473C-4F88-8537-59B347DCB066}"/>
            </a:ext>
          </a:extLst>
        </xdr:cNvPr>
        <xdr:cNvPicPr>
          <a:picLocks noChangeAspect="1"/>
        </xdr:cNvPicPr>
      </xdr:nvPicPr>
      <xdr:blipFill>
        <a:blip xmlns:r="http://schemas.openxmlformats.org/officeDocument/2006/relationships" r:embed="rId3"/>
        <a:stretch>
          <a:fillRect/>
        </a:stretch>
      </xdr:blipFill>
      <xdr:spPr>
        <a:xfrm>
          <a:off x="149679" y="12451896"/>
          <a:ext cx="170703" cy="227586"/>
        </a:xfrm>
        <a:prstGeom prst="rect">
          <a:avLst/>
        </a:prstGeom>
      </xdr:spPr>
    </xdr:pic>
    <xdr:clientData/>
  </xdr:twoCellAnchor>
  <xdr:twoCellAnchor editAs="oneCell">
    <xdr:from>
      <xdr:col>0</xdr:col>
      <xdr:colOff>176893</xdr:colOff>
      <xdr:row>135</xdr:row>
      <xdr:rowOff>149678</xdr:rowOff>
    </xdr:from>
    <xdr:to>
      <xdr:col>1</xdr:col>
      <xdr:colOff>7417</xdr:colOff>
      <xdr:row>136</xdr:row>
      <xdr:rowOff>177239</xdr:rowOff>
    </xdr:to>
    <xdr:pic>
      <xdr:nvPicPr>
        <xdr:cNvPr id="7" name="Picture 6">
          <a:extLst>
            <a:ext uri="{FF2B5EF4-FFF2-40B4-BE49-F238E27FC236}">
              <a16:creationId xmlns:a16="http://schemas.microsoft.com/office/drawing/2014/main" id="{76F55F97-501B-467D-981A-E414F15F682A}"/>
            </a:ext>
          </a:extLst>
        </xdr:cNvPr>
        <xdr:cNvPicPr>
          <a:picLocks noChangeAspect="1"/>
        </xdr:cNvPicPr>
      </xdr:nvPicPr>
      <xdr:blipFill>
        <a:blip xmlns:r="http://schemas.openxmlformats.org/officeDocument/2006/relationships" r:embed="rId3"/>
        <a:stretch>
          <a:fillRect/>
        </a:stretch>
      </xdr:blipFill>
      <xdr:spPr>
        <a:xfrm>
          <a:off x="176893" y="27715028"/>
          <a:ext cx="173424" cy="227586"/>
        </a:xfrm>
        <a:prstGeom prst="rect">
          <a:avLst/>
        </a:prstGeom>
      </xdr:spPr>
    </xdr:pic>
    <xdr:clientData/>
  </xdr:twoCellAnchor>
  <xdr:twoCellAnchor editAs="oneCell">
    <xdr:from>
      <xdr:col>0</xdr:col>
      <xdr:colOff>149679</xdr:colOff>
      <xdr:row>195</xdr:row>
      <xdr:rowOff>136071</xdr:rowOff>
    </xdr:from>
    <xdr:to>
      <xdr:col>0</xdr:col>
      <xdr:colOff>320382</xdr:colOff>
      <xdr:row>196</xdr:row>
      <xdr:rowOff>163632</xdr:rowOff>
    </xdr:to>
    <xdr:pic>
      <xdr:nvPicPr>
        <xdr:cNvPr id="8" name="Picture 7">
          <a:extLst>
            <a:ext uri="{FF2B5EF4-FFF2-40B4-BE49-F238E27FC236}">
              <a16:creationId xmlns:a16="http://schemas.microsoft.com/office/drawing/2014/main" id="{6D18660E-D74B-4F0E-86E8-FF7FA47A9E9D}"/>
            </a:ext>
          </a:extLst>
        </xdr:cNvPr>
        <xdr:cNvPicPr>
          <a:picLocks noChangeAspect="1"/>
        </xdr:cNvPicPr>
      </xdr:nvPicPr>
      <xdr:blipFill>
        <a:blip xmlns:r="http://schemas.openxmlformats.org/officeDocument/2006/relationships" r:embed="rId3"/>
        <a:stretch>
          <a:fillRect/>
        </a:stretch>
      </xdr:blipFill>
      <xdr:spPr>
        <a:xfrm>
          <a:off x="149679" y="39779121"/>
          <a:ext cx="170703" cy="227586"/>
        </a:xfrm>
        <a:prstGeom prst="rect">
          <a:avLst/>
        </a:prstGeom>
      </xdr:spPr>
    </xdr:pic>
    <xdr:clientData/>
  </xdr:twoCellAnchor>
  <xdr:twoCellAnchor editAs="oneCell">
    <xdr:from>
      <xdr:col>0</xdr:col>
      <xdr:colOff>190500</xdr:colOff>
      <xdr:row>295</xdr:row>
      <xdr:rowOff>122465</xdr:rowOff>
    </xdr:from>
    <xdr:to>
      <xdr:col>1</xdr:col>
      <xdr:colOff>21024</xdr:colOff>
      <xdr:row>296</xdr:row>
      <xdr:rowOff>150026</xdr:rowOff>
    </xdr:to>
    <xdr:pic>
      <xdr:nvPicPr>
        <xdr:cNvPr id="9" name="Picture 8">
          <a:extLst>
            <a:ext uri="{FF2B5EF4-FFF2-40B4-BE49-F238E27FC236}">
              <a16:creationId xmlns:a16="http://schemas.microsoft.com/office/drawing/2014/main" id="{2E65F2AA-1D32-45C5-A3CA-6BA4F7311695}"/>
            </a:ext>
          </a:extLst>
        </xdr:cNvPr>
        <xdr:cNvPicPr>
          <a:picLocks noChangeAspect="1"/>
        </xdr:cNvPicPr>
      </xdr:nvPicPr>
      <xdr:blipFill>
        <a:blip xmlns:r="http://schemas.openxmlformats.org/officeDocument/2006/relationships" r:embed="rId3"/>
        <a:stretch>
          <a:fillRect/>
        </a:stretch>
      </xdr:blipFill>
      <xdr:spPr>
        <a:xfrm>
          <a:off x="190500" y="59891840"/>
          <a:ext cx="173424" cy="227586"/>
        </a:xfrm>
        <a:prstGeom prst="rect">
          <a:avLst/>
        </a:prstGeom>
      </xdr:spPr>
    </xdr:pic>
    <xdr:clientData/>
  </xdr:twoCellAnchor>
  <xdr:twoCellAnchor editAs="oneCell">
    <xdr:from>
      <xdr:col>22</xdr:col>
      <xdr:colOff>68036</xdr:colOff>
      <xdr:row>61</xdr:row>
      <xdr:rowOff>13607</xdr:rowOff>
    </xdr:from>
    <xdr:to>
      <xdr:col>22</xdr:col>
      <xdr:colOff>897164</xdr:colOff>
      <xdr:row>62</xdr:row>
      <xdr:rowOff>102133</xdr:rowOff>
    </xdr:to>
    <xdr:pic>
      <xdr:nvPicPr>
        <xdr:cNvPr id="10" name="Picture 9">
          <a:extLst>
            <a:ext uri="{FF2B5EF4-FFF2-40B4-BE49-F238E27FC236}">
              <a16:creationId xmlns:a16="http://schemas.microsoft.com/office/drawing/2014/main" id="{56345D1C-A756-4C1C-8AFB-A76F4E1C2AC2}"/>
            </a:ext>
          </a:extLst>
        </xdr:cNvPr>
        <xdr:cNvPicPr>
          <a:picLocks noChangeAspect="1"/>
        </xdr:cNvPicPr>
      </xdr:nvPicPr>
      <xdr:blipFill>
        <a:blip xmlns:r="http://schemas.openxmlformats.org/officeDocument/2006/relationships" r:embed="rId4"/>
        <a:stretch>
          <a:fillRect/>
        </a:stretch>
      </xdr:blipFill>
      <xdr:spPr>
        <a:xfrm>
          <a:off x="24213911" y="12329432"/>
          <a:ext cx="829128" cy="288551"/>
        </a:xfrm>
        <a:prstGeom prst="rect">
          <a:avLst/>
        </a:prstGeom>
      </xdr:spPr>
    </xdr:pic>
    <xdr:clientData/>
  </xdr:twoCellAnchor>
  <xdr:twoCellAnchor editAs="oneCell">
    <xdr:from>
      <xdr:col>22</xdr:col>
      <xdr:colOff>68036</xdr:colOff>
      <xdr:row>135</xdr:row>
      <xdr:rowOff>68035</xdr:rowOff>
    </xdr:from>
    <xdr:to>
      <xdr:col>22</xdr:col>
      <xdr:colOff>897164</xdr:colOff>
      <xdr:row>136</xdr:row>
      <xdr:rowOff>156561</xdr:rowOff>
    </xdr:to>
    <xdr:pic>
      <xdr:nvPicPr>
        <xdr:cNvPr id="11" name="Picture 10">
          <a:extLst>
            <a:ext uri="{FF2B5EF4-FFF2-40B4-BE49-F238E27FC236}">
              <a16:creationId xmlns:a16="http://schemas.microsoft.com/office/drawing/2014/main" id="{55C89A5D-4CAB-4059-82C9-6A0EF5D2BE73}"/>
            </a:ext>
          </a:extLst>
        </xdr:cNvPr>
        <xdr:cNvPicPr>
          <a:picLocks noChangeAspect="1"/>
        </xdr:cNvPicPr>
      </xdr:nvPicPr>
      <xdr:blipFill>
        <a:blip xmlns:r="http://schemas.openxmlformats.org/officeDocument/2006/relationships" r:embed="rId4"/>
        <a:stretch>
          <a:fillRect/>
        </a:stretch>
      </xdr:blipFill>
      <xdr:spPr>
        <a:xfrm>
          <a:off x="24213911" y="27633385"/>
          <a:ext cx="829128" cy="288551"/>
        </a:xfrm>
        <a:prstGeom prst="rect">
          <a:avLst/>
        </a:prstGeom>
      </xdr:spPr>
    </xdr:pic>
    <xdr:clientData/>
  </xdr:twoCellAnchor>
  <xdr:twoCellAnchor editAs="oneCell">
    <xdr:from>
      <xdr:col>22</xdr:col>
      <xdr:colOff>68035</xdr:colOff>
      <xdr:row>195</xdr:row>
      <xdr:rowOff>27214</xdr:rowOff>
    </xdr:from>
    <xdr:to>
      <xdr:col>22</xdr:col>
      <xdr:colOff>897163</xdr:colOff>
      <xdr:row>196</xdr:row>
      <xdr:rowOff>115740</xdr:rowOff>
    </xdr:to>
    <xdr:pic>
      <xdr:nvPicPr>
        <xdr:cNvPr id="12" name="Picture 11">
          <a:extLst>
            <a:ext uri="{FF2B5EF4-FFF2-40B4-BE49-F238E27FC236}">
              <a16:creationId xmlns:a16="http://schemas.microsoft.com/office/drawing/2014/main" id="{B3124E60-652E-41D4-AE19-E2FE4940A210}"/>
            </a:ext>
          </a:extLst>
        </xdr:cNvPr>
        <xdr:cNvPicPr>
          <a:picLocks noChangeAspect="1"/>
        </xdr:cNvPicPr>
      </xdr:nvPicPr>
      <xdr:blipFill>
        <a:blip xmlns:r="http://schemas.openxmlformats.org/officeDocument/2006/relationships" r:embed="rId4"/>
        <a:stretch>
          <a:fillRect/>
        </a:stretch>
      </xdr:blipFill>
      <xdr:spPr>
        <a:xfrm>
          <a:off x="24213910" y="39670264"/>
          <a:ext cx="829128" cy="288551"/>
        </a:xfrm>
        <a:prstGeom prst="rect">
          <a:avLst/>
        </a:prstGeom>
      </xdr:spPr>
    </xdr:pic>
    <xdr:clientData/>
  </xdr:twoCellAnchor>
  <xdr:twoCellAnchor editAs="oneCell">
    <xdr:from>
      <xdr:col>22</xdr:col>
      <xdr:colOff>40821</xdr:colOff>
      <xdr:row>294</xdr:row>
      <xdr:rowOff>217714</xdr:rowOff>
    </xdr:from>
    <xdr:to>
      <xdr:col>22</xdr:col>
      <xdr:colOff>869949</xdr:colOff>
      <xdr:row>296</xdr:row>
      <xdr:rowOff>61311</xdr:rowOff>
    </xdr:to>
    <xdr:pic>
      <xdr:nvPicPr>
        <xdr:cNvPr id="13" name="Picture 12">
          <a:extLst>
            <a:ext uri="{FF2B5EF4-FFF2-40B4-BE49-F238E27FC236}">
              <a16:creationId xmlns:a16="http://schemas.microsoft.com/office/drawing/2014/main" id="{FFCEE410-54A6-435B-AC6A-D709C276CAE1}"/>
            </a:ext>
          </a:extLst>
        </xdr:cNvPr>
        <xdr:cNvPicPr>
          <a:picLocks noChangeAspect="1"/>
        </xdr:cNvPicPr>
      </xdr:nvPicPr>
      <xdr:blipFill>
        <a:blip xmlns:r="http://schemas.openxmlformats.org/officeDocument/2006/relationships" r:embed="rId4"/>
        <a:stretch>
          <a:fillRect/>
        </a:stretch>
      </xdr:blipFill>
      <xdr:spPr>
        <a:xfrm>
          <a:off x="24186696" y="59748964"/>
          <a:ext cx="829128" cy="28174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22</xdr:col>
      <xdr:colOff>1095375</xdr:colOff>
      <xdr:row>295</xdr:row>
      <xdr:rowOff>123825</xdr:rowOff>
    </xdr:from>
    <xdr:to>
      <xdr:col>22</xdr:col>
      <xdr:colOff>1895475</xdr:colOff>
      <xdr:row>296</xdr:row>
      <xdr:rowOff>152400</xdr:rowOff>
    </xdr:to>
    <xdr:pic>
      <xdr:nvPicPr>
        <xdr:cNvPr id="2" name="Picture 1" descr="C:\WINDOWS\TEMP\~0003946.gif">
          <a:extLst>
            <a:ext uri="{FF2B5EF4-FFF2-40B4-BE49-F238E27FC236}">
              <a16:creationId xmlns:a16="http://schemas.microsoft.com/office/drawing/2014/main" id="{B42D2A2C-5740-4A2A-A456-C291BB0AD51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59893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3" name="Picture 2" descr="C:\WINDOWS\TEMP\~0003946.gif">
          <a:extLst>
            <a:ext uri="{FF2B5EF4-FFF2-40B4-BE49-F238E27FC236}">
              <a16:creationId xmlns:a16="http://schemas.microsoft.com/office/drawing/2014/main" id="{69A6F66C-5F70-41BD-8FC9-EE1EBE9801C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3979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 name="Picture 3" descr="C:\WINDOWS\TEMP\~0003946.gif">
          <a:extLst>
            <a:ext uri="{FF2B5EF4-FFF2-40B4-BE49-F238E27FC236}">
              <a16:creationId xmlns:a16="http://schemas.microsoft.com/office/drawing/2014/main" id="{A069A319-3703-433E-93BA-661F5D0C4F5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074F1F9E-F667-4474-97CC-3D66371FD9B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149679</xdr:colOff>
      <xdr:row>61</xdr:row>
      <xdr:rowOff>136071</xdr:rowOff>
    </xdr:from>
    <xdr:to>
      <xdr:col>0</xdr:col>
      <xdr:colOff>320382</xdr:colOff>
      <xdr:row>62</xdr:row>
      <xdr:rowOff>163632</xdr:rowOff>
    </xdr:to>
    <xdr:pic>
      <xdr:nvPicPr>
        <xdr:cNvPr id="6" name="Picture 5">
          <a:extLst>
            <a:ext uri="{FF2B5EF4-FFF2-40B4-BE49-F238E27FC236}">
              <a16:creationId xmlns:a16="http://schemas.microsoft.com/office/drawing/2014/main" id="{474CEDE9-31C3-4FEE-B3CE-87DA0F580606}"/>
            </a:ext>
          </a:extLst>
        </xdr:cNvPr>
        <xdr:cNvPicPr>
          <a:picLocks noChangeAspect="1"/>
        </xdr:cNvPicPr>
      </xdr:nvPicPr>
      <xdr:blipFill>
        <a:blip xmlns:r="http://schemas.openxmlformats.org/officeDocument/2006/relationships" r:embed="rId3"/>
        <a:stretch>
          <a:fillRect/>
        </a:stretch>
      </xdr:blipFill>
      <xdr:spPr>
        <a:xfrm>
          <a:off x="149679" y="12451896"/>
          <a:ext cx="170703" cy="227586"/>
        </a:xfrm>
        <a:prstGeom prst="rect">
          <a:avLst/>
        </a:prstGeom>
      </xdr:spPr>
    </xdr:pic>
    <xdr:clientData/>
  </xdr:twoCellAnchor>
  <xdr:twoCellAnchor editAs="oneCell">
    <xdr:from>
      <xdr:col>0</xdr:col>
      <xdr:colOff>176893</xdr:colOff>
      <xdr:row>135</xdr:row>
      <xdr:rowOff>149678</xdr:rowOff>
    </xdr:from>
    <xdr:to>
      <xdr:col>1</xdr:col>
      <xdr:colOff>7417</xdr:colOff>
      <xdr:row>136</xdr:row>
      <xdr:rowOff>177239</xdr:rowOff>
    </xdr:to>
    <xdr:pic>
      <xdr:nvPicPr>
        <xdr:cNvPr id="7" name="Picture 6">
          <a:extLst>
            <a:ext uri="{FF2B5EF4-FFF2-40B4-BE49-F238E27FC236}">
              <a16:creationId xmlns:a16="http://schemas.microsoft.com/office/drawing/2014/main" id="{A08702E9-E813-471A-8530-D150B16F9C09}"/>
            </a:ext>
          </a:extLst>
        </xdr:cNvPr>
        <xdr:cNvPicPr>
          <a:picLocks noChangeAspect="1"/>
        </xdr:cNvPicPr>
      </xdr:nvPicPr>
      <xdr:blipFill>
        <a:blip xmlns:r="http://schemas.openxmlformats.org/officeDocument/2006/relationships" r:embed="rId3"/>
        <a:stretch>
          <a:fillRect/>
        </a:stretch>
      </xdr:blipFill>
      <xdr:spPr>
        <a:xfrm>
          <a:off x="176893" y="27715028"/>
          <a:ext cx="173424" cy="227586"/>
        </a:xfrm>
        <a:prstGeom prst="rect">
          <a:avLst/>
        </a:prstGeom>
      </xdr:spPr>
    </xdr:pic>
    <xdr:clientData/>
  </xdr:twoCellAnchor>
  <xdr:twoCellAnchor editAs="oneCell">
    <xdr:from>
      <xdr:col>0</xdr:col>
      <xdr:colOff>149679</xdr:colOff>
      <xdr:row>195</xdr:row>
      <xdr:rowOff>136071</xdr:rowOff>
    </xdr:from>
    <xdr:to>
      <xdr:col>0</xdr:col>
      <xdr:colOff>320382</xdr:colOff>
      <xdr:row>196</xdr:row>
      <xdr:rowOff>163632</xdr:rowOff>
    </xdr:to>
    <xdr:pic>
      <xdr:nvPicPr>
        <xdr:cNvPr id="8" name="Picture 7">
          <a:extLst>
            <a:ext uri="{FF2B5EF4-FFF2-40B4-BE49-F238E27FC236}">
              <a16:creationId xmlns:a16="http://schemas.microsoft.com/office/drawing/2014/main" id="{765AEE99-2FA4-47C3-9730-93060BBE98D3}"/>
            </a:ext>
          </a:extLst>
        </xdr:cNvPr>
        <xdr:cNvPicPr>
          <a:picLocks noChangeAspect="1"/>
        </xdr:cNvPicPr>
      </xdr:nvPicPr>
      <xdr:blipFill>
        <a:blip xmlns:r="http://schemas.openxmlformats.org/officeDocument/2006/relationships" r:embed="rId3"/>
        <a:stretch>
          <a:fillRect/>
        </a:stretch>
      </xdr:blipFill>
      <xdr:spPr>
        <a:xfrm>
          <a:off x="149679" y="39779121"/>
          <a:ext cx="170703" cy="227586"/>
        </a:xfrm>
        <a:prstGeom prst="rect">
          <a:avLst/>
        </a:prstGeom>
      </xdr:spPr>
    </xdr:pic>
    <xdr:clientData/>
  </xdr:twoCellAnchor>
  <xdr:twoCellAnchor editAs="oneCell">
    <xdr:from>
      <xdr:col>0</xdr:col>
      <xdr:colOff>190500</xdr:colOff>
      <xdr:row>295</xdr:row>
      <xdr:rowOff>122465</xdr:rowOff>
    </xdr:from>
    <xdr:to>
      <xdr:col>1</xdr:col>
      <xdr:colOff>21024</xdr:colOff>
      <xdr:row>296</xdr:row>
      <xdr:rowOff>150026</xdr:rowOff>
    </xdr:to>
    <xdr:pic>
      <xdr:nvPicPr>
        <xdr:cNvPr id="9" name="Picture 8">
          <a:extLst>
            <a:ext uri="{FF2B5EF4-FFF2-40B4-BE49-F238E27FC236}">
              <a16:creationId xmlns:a16="http://schemas.microsoft.com/office/drawing/2014/main" id="{751CA450-012F-4708-9DE9-7746DA35B234}"/>
            </a:ext>
          </a:extLst>
        </xdr:cNvPr>
        <xdr:cNvPicPr>
          <a:picLocks noChangeAspect="1"/>
        </xdr:cNvPicPr>
      </xdr:nvPicPr>
      <xdr:blipFill>
        <a:blip xmlns:r="http://schemas.openxmlformats.org/officeDocument/2006/relationships" r:embed="rId3"/>
        <a:stretch>
          <a:fillRect/>
        </a:stretch>
      </xdr:blipFill>
      <xdr:spPr>
        <a:xfrm>
          <a:off x="190500" y="59891840"/>
          <a:ext cx="173424" cy="227586"/>
        </a:xfrm>
        <a:prstGeom prst="rect">
          <a:avLst/>
        </a:prstGeom>
      </xdr:spPr>
    </xdr:pic>
    <xdr:clientData/>
  </xdr:twoCellAnchor>
  <xdr:twoCellAnchor editAs="oneCell">
    <xdr:from>
      <xdr:col>22</xdr:col>
      <xdr:colOff>68036</xdr:colOff>
      <xdr:row>61</xdr:row>
      <xdr:rowOff>13607</xdr:rowOff>
    </xdr:from>
    <xdr:to>
      <xdr:col>22</xdr:col>
      <xdr:colOff>897164</xdr:colOff>
      <xdr:row>62</xdr:row>
      <xdr:rowOff>102133</xdr:rowOff>
    </xdr:to>
    <xdr:pic>
      <xdr:nvPicPr>
        <xdr:cNvPr id="10" name="Picture 9">
          <a:extLst>
            <a:ext uri="{FF2B5EF4-FFF2-40B4-BE49-F238E27FC236}">
              <a16:creationId xmlns:a16="http://schemas.microsoft.com/office/drawing/2014/main" id="{4456EB10-BBCE-4269-A353-24A9EA0C6C18}"/>
            </a:ext>
          </a:extLst>
        </xdr:cNvPr>
        <xdr:cNvPicPr>
          <a:picLocks noChangeAspect="1"/>
        </xdr:cNvPicPr>
      </xdr:nvPicPr>
      <xdr:blipFill>
        <a:blip xmlns:r="http://schemas.openxmlformats.org/officeDocument/2006/relationships" r:embed="rId4"/>
        <a:stretch>
          <a:fillRect/>
        </a:stretch>
      </xdr:blipFill>
      <xdr:spPr>
        <a:xfrm>
          <a:off x="24213911" y="12329432"/>
          <a:ext cx="829128" cy="288551"/>
        </a:xfrm>
        <a:prstGeom prst="rect">
          <a:avLst/>
        </a:prstGeom>
      </xdr:spPr>
    </xdr:pic>
    <xdr:clientData/>
  </xdr:twoCellAnchor>
  <xdr:twoCellAnchor editAs="oneCell">
    <xdr:from>
      <xdr:col>22</xdr:col>
      <xdr:colOff>68036</xdr:colOff>
      <xdr:row>135</xdr:row>
      <xdr:rowOff>68035</xdr:rowOff>
    </xdr:from>
    <xdr:to>
      <xdr:col>22</xdr:col>
      <xdr:colOff>897164</xdr:colOff>
      <xdr:row>136</xdr:row>
      <xdr:rowOff>156561</xdr:rowOff>
    </xdr:to>
    <xdr:pic>
      <xdr:nvPicPr>
        <xdr:cNvPr id="11" name="Picture 10">
          <a:extLst>
            <a:ext uri="{FF2B5EF4-FFF2-40B4-BE49-F238E27FC236}">
              <a16:creationId xmlns:a16="http://schemas.microsoft.com/office/drawing/2014/main" id="{918B02B2-C80F-436A-92AC-4BB51980FAC7}"/>
            </a:ext>
          </a:extLst>
        </xdr:cNvPr>
        <xdr:cNvPicPr>
          <a:picLocks noChangeAspect="1"/>
        </xdr:cNvPicPr>
      </xdr:nvPicPr>
      <xdr:blipFill>
        <a:blip xmlns:r="http://schemas.openxmlformats.org/officeDocument/2006/relationships" r:embed="rId4"/>
        <a:stretch>
          <a:fillRect/>
        </a:stretch>
      </xdr:blipFill>
      <xdr:spPr>
        <a:xfrm>
          <a:off x="24213911" y="27633385"/>
          <a:ext cx="829128" cy="288551"/>
        </a:xfrm>
        <a:prstGeom prst="rect">
          <a:avLst/>
        </a:prstGeom>
      </xdr:spPr>
    </xdr:pic>
    <xdr:clientData/>
  </xdr:twoCellAnchor>
  <xdr:twoCellAnchor editAs="oneCell">
    <xdr:from>
      <xdr:col>22</xdr:col>
      <xdr:colOff>68035</xdr:colOff>
      <xdr:row>195</xdr:row>
      <xdr:rowOff>27214</xdr:rowOff>
    </xdr:from>
    <xdr:to>
      <xdr:col>22</xdr:col>
      <xdr:colOff>897163</xdr:colOff>
      <xdr:row>196</xdr:row>
      <xdr:rowOff>115740</xdr:rowOff>
    </xdr:to>
    <xdr:pic>
      <xdr:nvPicPr>
        <xdr:cNvPr id="12" name="Picture 11">
          <a:extLst>
            <a:ext uri="{FF2B5EF4-FFF2-40B4-BE49-F238E27FC236}">
              <a16:creationId xmlns:a16="http://schemas.microsoft.com/office/drawing/2014/main" id="{FF908324-A93D-4740-9FD9-B435F2DD9BE8}"/>
            </a:ext>
          </a:extLst>
        </xdr:cNvPr>
        <xdr:cNvPicPr>
          <a:picLocks noChangeAspect="1"/>
        </xdr:cNvPicPr>
      </xdr:nvPicPr>
      <xdr:blipFill>
        <a:blip xmlns:r="http://schemas.openxmlformats.org/officeDocument/2006/relationships" r:embed="rId4"/>
        <a:stretch>
          <a:fillRect/>
        </a:stretch>
      </xdr:blipFill>
      <xdr:spPr>
        <a:xfrm>
          <a:off x="24213910" y="39670264"/>
          <a:ext cx="829128" cy="288551"/>
        </a:xfrm>
        <a:prstGeom prst="rect">
          <a:avLst/>
        </a:prstGeom>
      </xdr:spPr>
    </xdr:pic>
    <xdr:clientData/>
  </xdr:twoCellAnchor>
  <xdr:twoCellAnchor editAs="oneCell">
    <xdr:from>
      <xdr:col>22</xdr:col>
      <xdr:colOff>40821</xdr:colOff>
      <xdr:row>294</xdr:row>
      <xdr:rowOff>217714</xdr:rowOff>
    </xdr:from>
    <xdr:to>
      <xdr:col>22</xdr:col>
      <xdr:colOff>869949</xdr:colOff>
      <xdr:row>296</xdr:row>
      <xdr:rowOff>61311</xdr:rowOff>
    </xdr:to>
    <xdr:pic>
      <xdr:nvPicPr>
        <xdr:cNvPr id="13" name="Picture 12">
          <a:extLst>
            <a:ext uri="{FF2B5EF4-FFF2-40B4-BE49-F238E27FC236}">
              <a16:creationId xmlns:a16="http://schemas.microsoft.com/office/drawing/2014/main" id="{E085B11A-D3F4-4A74-9B1F-D09D2E3129B0}"/>
            </a:ext>
          </a:extLst>
        </xdr:cNvPr>
        <xdr:cNvPicPr>
          <a:picLocks noChangeAspect="1"/>
        </xdr:cNvPicPr>
      </xdr:nvPicPr>
      <xdr:blipFill>
        <a:blip xmlns:r="http://schemas.openxmlformats.org/officeDocument/2006/relationships" r:embed="rId4"/>
        <a:stretch>
          <a:fillRect/>
        </a:stretch>
      </xdr:blipFill>
      <xdr:spPr>
        <a:xfrm>
          <a:off x="24186696" y="59748964"/>
          <a:ext cx="829128" cy="28174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22</xdr:col>
      <xdr:colOff>1095375</xdr:colOff>
      <xdr:row>295</xdr:row>
      <xdr:rowOff>123825</xdr:rowOff>
    </xdr:from>
    <xdr:to>
      <xdr:col>22</xdr:col>
      <xdr:colOff>1895475</xdr:colOff>
      <xdr:row>296</xdr:row>
      <xdr:rowOff>152400</xdr:rowOff>
    </xdr:to>
    <xdr:pic>
      <xdr:nvPicPr>
        <xdr:cNvPr id="2" name="Picture 1" descr="C:\WINDOWS\TEMP\~0003946.gif">
          <a:extLst>
            <a:ext uri="{FF2B5EF4-FFF2-40B4-BE49-F238E27FC236}">
              <a16:creationId xmlns:a16="http://schemas.microsoft.com/office/drawing/2014/main" id="{CD452AE9-68BB-49D4-85B8-4E36E305DA7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59893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3" name="Picture 2" descr="C:\WINDOWS\TEMP\~0003946.gif">
          <a:extLst>
            <a:ext uri="{FF2B5EF4-FFF2-40B4-BE49-F238E27FC236}">
              <a16:creationId xmlns:a16="http://schemas.microsoft.com/office/drawing/2014/main" id="{EE5EA594-B788-4627-9075-585A5356A16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3979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 name="Picture 3" descr="C:\WINDOWS\TEMP\~0003946.gif">
          <a:extLst>
            <a:ext uri="{FF2B5EF4-FFF2-40B4-BE49-F238E27FC236}">
              <a16:creationId xmlns:a16="http://schemas.microsoft.com/office/drawing/2014/main" id="{78B163F0-834D-4C76-9840-18CE78787FD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88FC531F-4851-41F3-8303-7B23AFA9B27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149679</xdr:colOff>
      <xdr:row>61</xdr:row>
      <xdr:rowOff>136071</xdr:rowOff>
    </xdr:from>
    <xdr:to>
      <xdr:col>0</xdr:col>
      <xdr:colOff>320382</xdr:colOff>
      <xdr:row>62</xdr:row>
      <xdr:rowOff>163632</xdr:rowOff>
    </xdr:to>
    <xdr:pic>
      <xdr:nvPicPr>
        <xdr:cNvPr id="6" name="Picture 5">
          <a:extLst>
            <a:ext uri="{FF2B5EF4-FFF2-40B4-BE49-F238E27FC236}">
              <a16:creationId xmlns:a16="http://schemas.microsoft.com/office/drawing/2014/main" id="{2586D1AA-383A-474A-B4FD-43E4A6E8F195}"/>
            </a:ext>
          </a:extLst>
        </xdr:cNvPr>
        <xdr:cNvPicPr>
          <a:picLocks noChangeAspect="1"/>
        </xdr:cNvPicPr>
      </xdr:nvPicPr>
      <xdr:blipFill>
        <a:blip xmlns:r="http://schemas.openxmlformats.org/officeDocument/2006/relationships" r:embed="rId3"/>
        <a:stretch>
          <a:fillRect/>
        </a:stretch>
      </xdr:blipFill>
      <xdr:spPr>
        <a:xfrm>
          <a:off x="149679" y="12451896"/>
          <a:ext cx="170703" cy="227586"/>
        </a:xfrm>
        <a:prstGeom prst="rect">
          <a:avLst/>
        </a:prstGeom>
      </xdr:spPr>
    </xdr:pic>
    <xdr:clientData/>
  </xdr:twoCellAnchor>
  <xdr:twoCellAnchor editAs="oneCell">
    <xdr:from>
      <xdr:col>0</xdr:col>
      <xdr:colOff>176893</xdr:colOff>
      <xdr:row>135</xdr:row>
      <xdr:rowOff>149678</xdr:rowOff>
    </xdr:from>
    <xdr:to>
      <xdr:col>1</xdr:col>
      <xdr:colOff>7417</xdr:colOff>
      <xdr:row>136</xdr:row>
      <xdr:rowOff>177239</xdr:rowOff>
    </xdr:to>
    <xdr:pic>
      <xdr:nvPicPr>
        <xdr:cNvPr id="7" name="Picture 6">
          <a:extLst>
            <a:ext uri="{FF2B5EF4-FFF2-40B4-BE49-F238E27FC236}">
              <a16:creationId xmlns:a16="http://schemas.microsoft.com/office/drawing/2014/main" id="{27E10DCE-E82E-4AD1-B219-5A87D86848FA}"/>
            </a:ext>
          </a:extLst>
        </xdr:cNvPr>
        <xdr:cNvPicPr>
          <a:picLocks noChangeAspect="1"/>
        </xdr:cNvPicPr>
      </xdr:nvPicPr>
      <xdr:blipFill>
        <a:blip xmlns:r="http://schemas.openxmlformats.org/officeDocument/2006/relationships" r:embed="rId3"/>
        <a:stretch>
          <a:fillRect/>
        </a:stretch>
      </xdr:blipFill>
      <xdr:spPr>
        <a:xfrm>
          <a:off x="176893" y="27715028"/>
          <a:ext cx="173424" cy="227586"/>
        </a:xfrm>
        <a:prstGeom prst="rect">
          <a:avLst/>
        </a:prstGeom>
      </xdr:spPr>
    </xdr:pic>
    <xdr:clientData/>
  </xdr:twoCellAnchor>
  <xdr:twoCellAnchor editAs="oneCell">
    <xdr:from>
      <xdr:col>0</xdr:col>
      <xdr:colOff>149679</xdr:colOff>
      <xdr:row>195</xdr:row>
      <xdr:rowOff>136071</xdr:rowOff>
    </xdr:from>
    <xdr:to>
      <xdr:col>0</xdr:col>
      <xdr:colOff>320382</xdr:colOff>
      <xdr:row>196</xdr:row>
      <xdr:rowOff>163632</xdr:rowOff>
    </xdr:to>
    <xdr:pic>
      <xdr:nvPicPr>
        <xdr:cNvPr id="8" name="Picture 7">
          <a:extLst>
            <a:ext uri="{FF2B5EF4-FFF2-40B4-BE49-F238E27FC236}">
              <a16:creationId xmlns:a16="http://schemas.microsoft.com/office/drawing/2014/main" id="{9D9CF9D0-A24C-4DF3-B31F-C698CD788C79}"/>
            </a:ext>
          </a:extLst>
        </xdr:cNvPr>
        <xdr:cNvPicPr>
          <a:picLocks noChangeAspect="1"/>
        </xdr:cNvPicPr>
      </xdr:nvPicPr>
      <xdr:blipFill>
        <a:blip xmlns:r="http://schemas.openxmlformats.org/officeDocument/2006/relationships" r:embed="rId3"/>
        <a:stretch>
          <a:fillRect/>
        </a:stretch>
      </xdr:blipFill>
      <xdr:spPr>
        <a:xfrm>
          <a:off x="149679" y="39779121"/>
          <a:ext cx="170703" cy="227586"/>
        </a:xfrm>
        <a:prstGeom prst="rect">
          <a:avLst/>
        </a:prstGeom>
      </xdr:spPr>
    </xdr:pic>
    <xdr:clientData/>
  </xdr:twoCellAnchor>
  <xdr:twoCellAnchor editAs="oneCell">
    <xdr:from>
      <xdr:col>0</xdr:col>
      <xdr:colOff>190500</xdr:colOff>
      <xdr:row>295</xdr:row>
      <xdr:rowOff>122465</xdr:rowOff>
    </xdr:from>
    <xdr:to>
      <xdr:col>1</xdr:col>
      <xdr:colOff>21024</xdr:colOff>
      <xdr:row>296</xdr:row>
      <xdr:rowOff>150026</xdr:rowOff>
    </xdr:to>
    <xdr:pic>
      <xdr:nvPicPr>
        <xdr:cNvPr id="9" name="Picture 8">
          <a:extLst>
            <a:ext uri="{FF2B5EF4-FFF2-40B4-BE49-F238E27FC236}">
              <a16:creationId xmlns:a16="http://schemas.microsoft.com/office/drawing/2014/main" id="{77676BED-23B1-4B66-BC08-FBA766F8315E}"/>
            </a:ext>
          </a:extLst>
        </xdr:cNvPr>
        <xdr:cNvPicPr>
          <a:picLocks noChangeAspect="1"/>
        </xdr:cNvPicPr>
      </xdr:nvPicPr>
      <xdr:blipFill>
        <a:blip xmlns:r="http://schemas.openxmlformats.org/officeDocument/2006/relationships" r:embed="rId3"/>
        <a:stretch>
          <a:fillRect/>
        </a:stretch>
      </xdr:blipFill>
      <xdr:spPr>
        <a:xfrm>
          <a:off x="190500" y="59891840"/>
          <a:ext cx="173424" cy="227586"/>
        </a:xfrm>
        <a:prstGeom prst="rect">
          <a:avLst/>
        </a:prstGeom>
      </xdr:spPr>
    </xdr:pic>
    <xdr:clientData/>
  </xdr:twoCellAnchor>
  <xdr:twoCellAnchor editAs="oneCell">
    <xdr:from>
      <xdr:col>22</xdr:col>
      <xdr:colOff>68036</xdr:colOff>
      <xdr:row>61</xdr:row>
      <xdr:rowOff>13607</xdr:rowOff>
    </xdr:from>
    <xdr:to>
      <xdr:col>22</xdr:col>
      <xdr:colOff>897164</xdr:colOff>
      <xdr:row>62</xdr:row>
      <xdr:rowOff>102133</xdr:rowOff>
    </xdr:to>
    <xdr:pic>
      <xdr:nvPicPr>
        <xdr:cNvPr id="10" name="Picture 9">
          <a:extLst>
            <a:ext uri="{FF2B5EF4-FFF2-40B4-BE49-F238E27FC236}">
              <a16:creationId xmlns:a16="http://schemas.microsoft.com/office/drawing/2014/main" id="{2ADDC2D9-4DFE-4B84-890E-BB9834DE1869}"/>
            </a:ext>
          </a:extLst>
        </xdr:cNvPr>
        <xdr:cNvPicPr>
          <a:picLocks noChangeAspect="1"/>
        </xdr:cNvPicPr>
      </xdr:nvPicPr>
      <xdr:blipFill>
        <a:blip xmlns:r="http://schemas.openxmlformats.org/officeDocument/2006/relationships" r:embed="rId4"/>
        <a:stretch>
          <a:fillRect/>
        </a:stretch>
      </xdr:blipFill>
      <xdr:spPr>
        <a:xfrm>
          <a:off x="24213911" y="12329432"/>
          <a:ext cx="829128" cy="288551"/>
        </a:xfrm>
        <a:prstGeom prst="rect">
          <a:avLst/>
        </a:prstGeom>
      </xdr:spPr>
    </xdr:pic>
    <xdr:clientData/>
  </xdr:twoCellAnchor>
  <xdr:twoCellAnchor editAs="oneCell">
    <xdr:from>
      <xdr:col>22</xdr:col>
      <xdr:colOff>68036</xdr:colOff>
      <xdr:row>135</xdr:row>
      <xdr:rowOff>68035</xdr:rowOff>
    </xdr:from>
    <xdr:to>
      <xdr:col>22</xdr:col>
      <xdr:colOff>897164</xdr:colOff>
      <xdr:row>136</xdr:row>
      <xdr:rowOff>156561</xdr:rowOff>
    </xdr:to>
    <xdr:pic>
      <xdr:nvPicPr>
        <xdr:cNvPr id="11" name="Picture 10">
          <a:extLst>
            <a:ext uri="{FF2B5EF4-FFF2-40B4-BE49-F238E27FC236}">
              <a16:creationId xmlns:a16="http://schemas.microsoft.com/office/drawing/2014/main" id="{57C0AB52-5F4E-4498-9D1D-B2E77C1D1FE6}"/>
            </a:ext>
          </a:extLst>
        </xdr:cNvPr>
        <xdr:cNvPicPr>
          <a:picLocks noChangeAspect="1"/>
        </xdr:cNvPicPr>
      </xdr:nvPicPr>
      <xdr:blipFill>
        <a:blip xmlns:r="http://schemas.openxmlformats.org/officeDocument/2006/relationships" r:embed="rId4"/>
        <a:stretch>
          <a:fillRect/>
        </a:stretch>
      </xdr:blipFill>
      <xdr:spPr>
        <a:xfrm>
          <a:off x="24213911" y="27633385"/>
          <a:ext cx="829128" cy="288551"/>
        </a:xfrm>
        <a:prstGeom prst="rect">
          <a:avLst/>
        </a:prstGeom>
      </xdr:spPr>
    </xdr:pic>
    <xdr:clientData/>
  </xdr:twoCellAnchor>
  <xdr:twoCellAnchor editAs="oneCell">
    <xdr:from>
      <xdr:col>22</xdr:col>
      <xdr:colOff>68035</xdr:colOff>
      <xdr:row>195</xdr:row>
      <xdr:rowOff>27214</xdr:rowOff>
    </xdr:from>
    <xdr:to>
      <xdr:col>22</xdr:col>
      <xdr:colOff>897163</xdr:colOff>
      <xdr:row>196</xdr:row>
      <xdr:rowOff>115740</xdr:rowOff>
    </xdr:to>
    <xdr:pic>
      <xdr:nvPicPr>
        <xdr:cNvPr id="12" name="Picture 11">
          <a:extLst>
            <a:ext uri="{FF2B5EF4-FFF2-40B4-BE49-F238E27FC236}">
              <a16:creationId xmlns:a16="http://schemas.microsoft.com/office/drawing/2014/main" id="{E448D2CD-7E1B-4999-B415-46129BA459DA}"/>
            </a:ext>
          </a:extLst>
        </xdr:cNvPr>
        <xdr:cNvPicPr>
          <a:picLocks noChangeAspect="1"/>
        </xdr:cNvPicPr>
      </xdr:nvPicPr>
      <xdr:blipFill>
        <a:blip xmlns:r="http://schemas.openxmlformats.org/officeDocument/2006/relationships" r:embed="rId4"/>
        <a:stretch>
          <a:fillRect/>
        </a:stretch>
      </xdr:blipFill>
      <xdr:spPr>
        <a:xfrm>
          <a:off x="24213910" y="39670264"/>
          <a:ext cx="829128" cy="288551"/>
        </a:xfrm>
        <a:prstGeom prst="rect">
          <a:avLst/>
        </a:prstGeom>
      </xdr:spPr>
    </xdr:pic>
    <xdr:clientData/>
  </xdr:twoCellAnchor>
  <xdr:twoCellAnchor editAs="oneCell">
    <xdr:from>
      <xdr:col>22</xdr:col>
      <xdr:colOff>40821</xdr:colOff>
      <xdr:row>294</xdr:row>
      <xdr:rowOff>217714</xdr:rowOff>
    </xdr:from>
    <xdr:to>
      <xdr:col>22</xdr:col>
      <xdr:colOff>869949</xdr:colOff>
      <xdr:row>296</xdr:row>
      <xdr:rowOff>61311</xdr:rowOff>
    </xdr:to>
    <xdr:pic>
      <xdr:nvPicPr>
        <xdr:cNvPr id="13" name="Picture 12">
          <a:extLst>
            <a:ext uri="{FF2B5EF4-FFF2-40B4-BE49-F238E27FC236}">
              <a16:creationId xmlns:a16="http://schemas.microsoft.com/office/drawing/2014/main" id="{11267B84-F075-4DAE-A3B4-3C54325D8277}"/>
            </a:ext>
          </a:extLst>
        </xdr:cNvPr>
        <xdr:cNvPicPr>
          <a:picLocks noChangeAspect="1"/>
        </xdr:cNvPicPr>
      </xdr:nvPicPr>
      <xdr:blipFill>
        <a:blip xmlns:r="http://schemas.openxmlformats.org/officeDocument/2006/relationships" r:embed="rId4"/>
        <a:stretch>
          <a:fillRect/>
        </a:stretch>
      </xdr:blipFill>
      <xdr:spPr>
        <a:xfrm>
          <a:off x="24186696" y="59748964"/>
          <a:ext cx="829128" cy="2817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1729" name="Picture 1" descr="C:\WINDOWS\TEMP\Symbol.gif">
          <a:extLst>
            <a:ext uri="{FF2B5EF4-FFF2-40B4-BE49-F238E27FC236}">
              <a16:creationId xmlns:a16="http://schemas.microsoft.com/office/drawing/2014/main" id="{00000000-0008-0000-0400-0000F17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1730" name="Picture 2" descr="C:\WINDOWS\TEMP\Symbol.gif">
          <a:extLst>
            <a:ext uri="{FF2B5EF4-FFF2-40B4-BE49-F238E27FC236}">
              <a16:creationId xmlns:a16="http://schemas.microsoft.com/office/drawing/2014/main" id="{00000000-0008-0000-0400-0000F27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31731" name="Picture 3" descr="C:\WINDOWS\TEMP\Symbol.gif">
          <a:extLst>
            <a:ext uri="{FF2B5EF4-FFF2-40B4-BE49-F238E27FC236}">
              <a16:creationId xmlns:a16="http://schemas.microsoft.com/office/drawing/2014/main" id="{00000000-0008-0000-0400-0000F37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31732" name="Picture 4" descr="C:\WINDOWS\TEMP\Symbol.gif">
          <a:extLst>
            <a:ext uri="{FF2B5EF4-FFF2-40B4-BE49-F238E27FC236}">
              <a16:creationId xmlns:a16="http://schemas.microsoft.com/office/drawing/2014/main" id="{00000000-0008-0000-0400-0000F47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278</xdr:row>
      <xdr:rowOff>123825</xdr:rowOff>
    </xdr:from>
    <xdr:to>
      <xdr:col>22</xdr:col>
      <xdr:colOff>1895475</xdr:colOff>
      <xdr:row>279</xdr:row>
      <xdr:rowOff>152400</xdr:rowOff>
    </xdr:to>
    <xdr:pic>
      <xdr:nvPicPr>
        <xdr:cNvPr id="31733" name="Picture 5" descr="C:\WINDOWS\TEMP\~0003946.gif">
          <a:extLst>
            <a:ext uri="{FF2B5EF4-FFF2-40B4-BE49-F238E27FC236}">
              <a16:creationId xmlns:a16="http://schemas.microsoft.com/office/drawing/2014/main" id="{00000000-0008-0000-0400-0000F5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31734" name="Picture 6" descr="C:\WINDOWS\TEMP\~0003946.gif">
          <a:extLst>
            <a:ext uri="{FF2B5EF4-FFF2-40B4-BE49-F238E27FC236}">
              <a16:creationId xmlns:a16="http://schemas.microsoft.com/office/drawing/2014/main" id="{00000000-0008-0000-0400-0000F6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31735" name="Picture 7" descr="C:\WINDOWS\TEMP\~0003946.gif">
          <a:extLst>
            <a:ext uri="{FF2B5EF4-FFF2-40B4-BE49-F238E27FC236}">
              <a16:creationId xmlns:a16="http://schemas.microsoft.com/office/drawing/2014/main" id="{00000000-0008-0000-0400-0000F7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1736" name="Picture 8" descr="C:\WINDOWS\TEMP\~0003946.gif">
          <a:extLst>
            <a:ext uri="{FF2B5EF4-FFF2-40B4-BE49-F238E27FC236}">
              <a16:creationId xmlns:a16="http://schemas.microsoft.com/office/drawing/2014/main" id="{00000000-0008-0000-0400-0000F8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1737" name="Picture 9" descr="C:\WINDOWS\TEMP\~0003946.gif">
          <a:extLst>
            <a:ext uri="{FF2B5EF4-FFF2-40B4-BE49-F238E27FC236}">
              <a16:creationId xmlns:a16="http://schemas.microsoft.com/office/drawing/2014/main" id="{00000000-0008-0000-0400-0000F9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31738" name="Picture 10" descr="C:\WINDOWS\TEMP\~0003946.gif">
          <a:extLst>
            <a:ext uri="{FF2B5EF4-FFF2-40B4-BE49-F238E27FC236}">
              <a16:creationId xmlns:a16="http://schemas.microsoft.com/office/drawing/2014/main" id="{00000000-0008-0000-0400-0000FA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31739" name="Picture 11" descr="C:\WINDOWS\TEMP\~0003946.gif">
          <a:extLst>
            <a:ext uri="{FF2B5EF4-FFF2-40B4-BE49-F238E27FC236}">
              <a16:creationId xmlns:a16="http://schemas.microsoft.com/office/drawing/2014/main" id="{00000000-0008-0000-0400-0000FB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278</xdr:row>
      <xdr:rowOff>104775</xdr:rowOff>
    </xdr:from>
    <xdr:to>
      <xdr:col>22</xdr:col>
      <xdr:colOff>895350</xdr:colOff>
      <xdr:row>279</xdr:row>
      <xdr:rowOff>133350</xdr:rowOff>
    </xdr:to>
    <xdr:pic>
      <xdr:nvPicPr>
        <xdr:cNvPr id="31740" name="Picture 12" descr="C:\WINDOWS\TEMP\~0003946.gif">
          <a:extLst>
            <a:ext uri="{FF2B5EF4-FFF2-40B4-BE49-F238E27FC236}">
              <a16:creationId xmlns:a16="http://schemas.microsoft.com/office/drawing/2014/main" id="{00000000-0008-0000-0400-0000FC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42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1741" name="Picture 13" descr="logoMTL">
          <a:extLst>
            <a:ext uri="{FF2B5EF4-FFF2-40B4-BE49-F238E27FC236}">
              <a16:creationId xmlns:a16="http://schemas.microsoft.com/office/drawing/2014/main" id="{00000000-0008-0000-0400-0000FD7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31742" name="Picture 14" descr="logoMTL">
          <a:extLst>
            <a:ext uri="{FF2B5EF4-FFF2-40B4-BE49-F238E27FC236}">
              <a16:creationId xmlns:a16="http://schemas.microsoft.com/office/drawing/2014/main" id="{00000000-0008-0000-0400-0000FE7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31743" name="Picture 15" descr="logoMTL">
          <a:extLst>
            <a:ext uri="{FF2B5EF4-FFF2-40B4-BE49-F238E27FC236}">
              <a16:creationId xmlns:a16="http://schemas.microsoft.com/office/drawing/2014/main" id="{00000000-0008-0000-0400-0000FF7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278</xdr:row>
      <xdr:rowOff>0</xdr:rowOff>
    </xdr:from>
    <xdr:to>
      <xdr:col>21</xdr:col>
      <xdr:colOff>1228725</xdr:colOff>
      <xdr:row>279</xdr:row>
      <xdr:rowOff>123825</xdr:rowOff>
    </xdr:to>
    <xdr:pic>
      <xdr:nvPicPr>
        <xdr:cNvPr id="60416" name="Picture 16" descr="logoMTL">
          <a:extLst>
            <a:ext uri="{FF2B5EF4-FFF2-40B4-BE49-F238E27FC236}">
              <a16:creationId xmlns:a16="http://schemas.microsoft.com/office/drawing/2014/main" id="{00000000-0008-0000-0400-000000E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22</xdr:col>
      <xdr:colOff>1095375</xdr:colOff>
      <xdr:row>295</xdr:row>
      <xdr:rowOff>123825</xdr:rowOff>
    </xdr:from>
    <xdr:to>
      <xdr:col>22</xdr:col>
      <xdr:colOff>1895475</xdr:colOff>
      <xdr:row>296</xdr:row>
      <xdr:rowOff>152400</xdr:rowOff>
    </xdr:to>
    <xdr:pic>
      <xdr:nvPicPr>
        <xdr:cNvPr id="2" name="Picture 1" descr="C:\WINDOWS\TEMP\~0003946.gif">
          <a:extLst>
            <a:ext uri="{FF2B5EF4-FFF2-40B4-BE49-F238E27FC236}">
              <a16:creationId xmlns:a16="http://schemas.microsoft.com/office/drawing/2014/main" id="{7A1AAAD6-BF03-4284-B5F1-99F814B21BB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59893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3" name="Picture 2" descr="C:\WINDOWS\TEMP\~0003946.gif">
          <a:extLst>
            <a:ext uri="{FF2B5EF4-FFF2-40B4-BE49-F238E27FC236}">
              <a16:creationId xmlns:a16="http://schemas.microsoft.com/office/drawing/2014/main" id="{1B369F85-0C42-4F20-BE67-878C5EA9ECA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3979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 name="Picture 3" descr="C:\WINDOWS\TEMP\~0003946.gif">
          <a:extLst>
            <a:ext uri="{FF2B5EF4-FFF2-40B4-BE49-F238E27FC236}">
              <a16:creationId xmlns:a16="http://schemas.microsoft.com/office/drawing/2014/main" id="{FA7E6D1D-BEF7-43F4-9D57-7E873266F36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1B3E77A7-ABF5-4C4C-B4AA-02778347827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149679</xdr:colOff>
      <xdr:row>61</xdr:row>
      <xdr:rowOff>136071</xdr:rowOff>
    </xdr:from>
    <xdr:to>
      <xdr:col>0</xdr:col>
      <xdr:colOff>320382</xdr:colOff>
      <xdr:row>62</xdr:row>
      <xdr:rowOff>163632</xdr:rowOff>
    </xdr:to>
    <xdr:pic>
      <xdr:nvPicPr>
        <xdr:cNvPr id="6" name="Picture 5">
          <a:extLst>
            <a:ext uri="{FF2B5EF4-FFF2-40B4-BE49-F238E27FC236}">
              <a16:creationId xmlns:a16="http://schemas.microsoft.com/office/drawing/2014/main" id="{2CA2EF9D-5B89-4666-95D8-84CACF382685}"/>
            </a:ext>
          </a:extLst>
        </xdr:cNvPr>
        <xdr:cNvPicPr>
          <a:picLocks noChangeAspect="1"/>
        </xdr:cNvPicPr>
      </xdr:nvPicPr>
      <xdr:blipFill>
        <a:blip xmlns:r="http://schemas.openxmlformats.org/officeDocument/2006/relationships" r:embed="rId3"/>
        <a:stretch>
          <a:fillRect/>
        </a:stretch>
      </xdr:blipFill>
      <xdr:spPr>
        <a:xfrm>
          <a:off x="149679" y="12451896"/>
          <a:ext cx="170703" cy="227586"/>
        </a:xfrm>
        <a:prstGeom prst="rect">
          <a:avLst/>
        </a:prstGeom>
      </xdr:spPr>
    </xdr:pic>
    <xdr:clientData/>
  </xdr:twoCellAnchor>
  <xdr:twoCellAnchor editAs="oneCell">
    <xdr:from>
      <xdr:col>0</xdr:col>
      <xdr:colOff>176893</xdr:colOff>
      <xdr:row>135</xdr:row>
      <xdr:rowOff>149678</xdr:rowOff>
    </xdr:from>
    <xdr:to>
      <xdr:col>1</xdr:col>
      <xdr:colOff>7417</xdr:colOff>
      <xdr:row>136</xdr:row>
      <xdr:rowOff>177239</xdr:rowOff>
    </xdr:to>
    <xdr:pic>
      <xdr:nvPicPr>
        <xdr:cNvPr id="7" name="Picture 6">
          <a:extLst>
            <a:ext uri="{FF2B5EF4-FFF2-40B4-BE49-F238E27FC236}">
              <a16:creationId xmlns:a16="http://schemas.microsoft.com/office/drawing/2014/main" id="{54041E18-3152-4008-BED2-11306E1FF703}"/>
            </a:ext>
          </a:extLst>
        </xdr:cNvPr>
        <xdr:cNvPicPr>
          <a:picLocks noChangeAspect="1"/>
        </xdr:cNvPicPr>
      </xdr:nvPicPr>
      <xdr:blipFill>
        <a:blip xmlns:r="http://schemas.openxmlformats.org/officeDocument/2006/relationships" r:embed="rId3"/>
        <a:stretch>
          <a:fillRect/>
        </a:stretch>
      </xdr:blipFill>
      <xdr:spPr>
        <a:xfrm>
          <a:off x="176893" y="27715028"/>
          <a:ext cx="173424" cy="227586"/>
        </a:xfrm>
        <a:prstGeom prst="rect">
          <a:avLst/>
        </a:prstGeom>
      </xdr:spPr>
    </xdr:pic>
    <xdr:clientData/>
  </xdr:twoCellAnchor>
  <xdr:twoCellAnchor editAs="oneCell">
    <xdr:from>
      <xdr:col>0</xdr:col>
      <xdr:colOff>149679</xdr:colOff>
      <xdr:row>195</xdr:row>
      <xdr:rowOff>136071</xdr:rowOff>
    </xdr:from>
    <xdr:to>
      <xdr:col>0</xdr:col>
      <xdr:colOff>320382</xdr:colOff>
      <xdr:row>196</xdr:row>
      <xdr:rowOff>163632</xdr:rowOff>
    </xdr:to>
    <xdr:pic>
      <xdr:nvPicPr>
        <xdr:cNvPr id="8" name="Picture 7">
          <a:extLst>
            <a:ext uri="{FF2B5EF4-FFF2-40B4-BE49-F238E27FC236}">
              <a16:creationId xmlns:a16="http://schemas.microsoft.com/office/drawing/2014/main" id="{61154873-1017-4A06-8F90-0DB050C4D418}"/>
            </a:ext>
          </a:extLst>
        </xdr:cNvPr>
        <xdr:cNvPicPr>
          <a:picLocks noChangeAspect="1"/>
        </xdr:cNvPicPr>
      </xdr:nvPicPr>
      <xdr:blipFill>
        <a:blip xmlns:r="http://schemas.openxmlformats.org/officeDocument/2006/relationships" r:embed="rId3"/>
        <a:stretch>
          <a:fillRect/>
        </a:stretch>
      </xdr:blipFill>
      <xdr:spPr>
        <a:xfrm>
          <a:off x="149679" y="39779121"/>
          <a:ext cx="170703" cy="227586"/>
        </a:xfrm>
        <a:prstGeom prst="rect">
          <a:avLst/>
        </a:prstGeom>
      </xdr:spPr>
    </xdr:pic>
    <xdr:clientData/>
  </xdr:twoCellAnchor>
  <xdr:twoCellAnchor editAs="oneCell">
    <xdr:from>
      <xdr:col>0</xdr:col>
      <xdr:colOff>190500</xdr:colOff>
      <xdr:row>295</xdr:row>
      <xdr:rowOff>122465</xdr:rowOff>
    </xdr:from>
    <xdr:to>
      <xdr:col>1</xdr:col>
      <xdr:colOff>21024</xdr:colOff>
      <xdr:row>296</xdr:row>
      <xdr:rowOff>150026</xdr:rowOff>
    </xdr:to>
    <xdr:pic>
      <xdr:nvPicPr>
        <xdr:cNvPr id="9" name="Picture 8">
          <a:extLst>
            <a:ext uri="{FF2B5EF4-FFF2-40B4-BE49-F238E27FC236}">
              <a16:creationId xmlns:a16="http://schemas.microsoft.com/office/drawing/2014/main" id="{F7CAB826-7AD3-43D8-979E-A23DAA923783}"/>
            </a:ext>
          </a:extLst>
        </xdr:cNvPr>
        <xdr:cNvPicPr>
          <a:picLocks noChangeAspect="1"/>
        </xdr:cNvPicPr>
      </xdr:nvPicPr>
      <xdr:blipFill>
        <a:blip xmlns:r="http://schemas.openxmlformats.org/officeDocument/2006/relationships" r:embed="rId3"/>
        <a:stretch>
          <a:fillRect/>
        </a:stretch>
      </xdr:blipFill>
      <xdr:spPr>
        <a:xfrm>
          <a:off x="190500" y="59891840"/>
          <a:ext cx="173424" cy="227586"/>
        </a:xfrm>
        <a:prstGeom prst="rect">
          <a:avLst/>
        </a:prstGeom>
      </xdr:spPr>
    </xdr:pic>
    <xdr:clientData/>
  </xdr:twoCellAnchor>
  <xdr:twoCellAnchor editAs="oneCell">
    <xdr:from>
      <xdr:col>22</xdr:col>
      <xdr:colOff>68036</xdr:colOff>
      <xdr:row>61</xdr:row>
      <xdr:rowOff>13607</xdr:rowOff>
    </xdr:from>
    <xdr:to>
      <xdr:col>22</xdr:col>
      <xdr:colOff>897164</xdr:colOff>
      <xdr:row>62</xdr:row>
      <xdr:rowOff>102133</xdr:rowOff>
    </xdr:to>
    <xdr:pic>
      <xdr:nvPicPr>
        <xdr:cNvPr id="10" name="Picture 9">
          <a:extLst>
            <a:ext uri="{FF2B5EF4-FFF2-40B4-BE49-F238E27FC236}">
              <a16:creationId xmlns:a16="http://schemas.microsoft.com/office/drawing/2014/main" id="{1C4D1351-F21D-4C8D-9FD3-8BD19DCA1E55}"/>
            </a:ext>
          </a:extLst>
        </xdr:cNvPr>
        <xdr:cNvPicPr>
          <a:picLocks noChangeAspect="1"/>
        </xdr:cNvPicPr>
      </xdr:nvPicPr>
      <xdr:blipFill>
        <a:blip xmlns:r="http://schemas.openxmlformats.org/officeDocument/2006/relationships" r:embed="rId4"/>
        <a:stretch>
          <a:fillRect/>
        </a:stretch>
      </xdr:blipFill>
      <xdr:spPr>
        <a:xfrm>
          <a:off x="24213911" y="12329432"/>
          <a:ext cx="829128" cy="288551"/>
        </a:xfrm>
        <a:prstGeom prst="rect">
          <a:avLst/>
        </a:prstGeom>
      </xdr:spPr>
    </xdr:pic>
    <xdr:clientData/>
  </xdr:twoCellAnchor>
  <xdr:twoCellAnchor editAs="oneCell">
    <xdr:from>
      <xdr:col>22</xdr:col>
      <xdr:colOff>68036</xdr:colOff>
      <xdr:row>135</xdr:row>
      <xdr:rowOff>68035</xdr:rowOff>
    </xdr:from>
    <xdr:to>
      <xdr:col>22</xdr:col>
      <xdr:colOff>897164</xdr:colOff>
      <xdr:row>136</xdr:row>
      <xdr:rowOff>156561</xdr:rowOff>
    </xdr:to>
    <xdr:pic>
      <xdr:nvPicPr>
        <xdr:cNvPr id="11" name="Picture 10">
          <a:extLst>
            <a:ext uri="{FF2B5EF4-FFF2-40B4-BE49-F238E27FC236}">
              <a16:creationId xmlns:a16="http://schemas.microsoft.com/office/drawing/2014/main" id="{D209DC94-8191-4BE3-AB0E-67A09995F9C2}"/>
            </a:ext>
          </a:extLst>
        </xdr:cNvPr>
        <xdr:cNvPicPr>
          <a:picLocks noChangeAspect="1"/>
        </xdr:cNvPicPr>
      </xdr:nvPicPr>
      <xdr:blipFill>
        <a:blip xmlns:r="http://schemas.openxmlformats.org/officeDocument/2006/relationships" r:embed="rId4"/>
        <a:stretch>
          <a:fillRect/>
        </a:stretch>
      </xdr:blipFill>
      <xdr:spPr>
        <a:xfrm>
          <a:off x="24213911" y="27633385"/>
          <a:ext cx="829128" cy="288551"/>
        </a:xfrm>
        <a:prstGeom prst="rect">
          <a:avLst/>
        </a:prstGeom>
      </xdr:spPr>
    </xdr:pic>
    <xdr:clientData/>
  </xdr:twoCellAnchor>
  <xdr:twoCellAnchor editAs="oneCell">
    <xdr:from>
      <xdr:col>22</xdr:col>
      <xdr:colOff>68035</xdr:colOff>
      <xdr:row>195</xdr:row>
      <xdr:rowOff>27214</xdr:rowOff>
    </xdr:from>
    <xdr:to>
      <xdr:col>22</xdr:col>
      <xdr:colOff>897163</xdr:colOff>
      <xdr:row>196</xdr:row>
      <xdr:rowOff>115740</xdr:rowOff>
    </xdr:to>
    <xdr:pic>
      <xdr:nvPicPr>
        <xdr:cNvPr id="12" name="Picture 11">
          <a:extLst>
            <a:ext uri="{FF2B5EF4-FFF2-40B4-BE49-F238E27FC236}">
              <a16:creationId xmlns:a16="http://schemas.microsoft.com/office/drawing/2014/main" id="{8241030D-9057-430D-8C71-92C1762BC359}"/>
            </a:ext>
          </a:extLst>
        </xdr:cNvPr>
        <xdr:cNvPicPr>
          <a:picLocks noChangeAspect="1"/>
        </xdr:cNvPicPr>
      </xdr:nvPicPr>
      <xdr:blipFill>
        <a:blip xmlns:r="http://schemas.openxmlformats.org/officeDocument/2006/relationships" r:embed="rId4"/>
        <a:stretch>
          <a:fillRect/>
        </a:stretch>
      </xdr:blipFill>
      <xdr:spPr>
        <a:xfrm>
          <a:off x="24213910" y="39670264"/>
          <a:ext cx="829128" cy="288551"/>
        </a:xfrm>
        <a:prstGeom prst="rect">
          <a:avLst/>
        </a:prstGeom>
      </xdr:spPr>
    </xdr:pic>
    <xdr:clientData/>
  </xdr:twoCellAnchor>
  <xdr:twoCellAnchor editAs="oneCell">
    <xdr:from>
      <xdr:col>22</xdr:col>
      <xdr:colOff>40821</xdr:colOff>
      <xdr:row>294</xdr:row>
      <xdr:rowOff>217714</xdr:rowOff>
    </xdr:from>
    <xdr:to>
      <xdr:col>22</xdr:col>
      <xdr:colOff>869949</xdr:colOff>
      <xdr:row>296</xdr:row>
      <xdr:rowOff>61311</xdr:rowOff>
    </xdr:to>
    <xdr:pic>
      <xdr:nvPicPr>
        <xdr:cNvPr id="13" name="Picture 12">
          <a:extLst>
            <a:ext uri="{FF2B5EF4-FFF2-40B4-BE49-F238E27FC236}">
              <a16:creationId xmlns:a16="http://schemas.microsoft.com/office/drawing/2014/main" id="{5DC4CD32-F7B4-4E72-839B-56C75DF84718}"/>
            </a:ext>
          </a:extLst>
        </xdr:cNvPr>
        <xdr:cNvPicPr>
          <a:picLocks noChangeAspect="1"/>
        </xdr:cNvPicPr>
      </xdr:nvPicPr>
      <xdr:blipFill>
        <a:blip xmlns:r="http://schemas.openxmlformats.org/officeDocument/2006/relationships" r:embed="rId4"/>
        <a:stretch>
          <a:fillRect/>
        </a:stretch>
      </xdr:blipFill>
      <xdr:spPr>
        <a:xfrm>
          <a:off x="24186696" y="59748964"/>
          <a:ext cx="829128" cy="28174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22</xdr:col>
      <xdr:colOff>1095375</xdr:colOff>
      <xdr:row>295</xdr:row>
      <xdr:rowOff>123825</xdr:rowOff>
    </xdr:from>
    <xdr:to>
      <xdr:col>22</xdr:col>
      <xdr:colOff>1895475</xdr:colOff>
      <xdr:row>296</xdr:row>
      <xdr:rowOff>152400</xdr:rowOff>
    </xdr:to>
    <xdr:pic>
      <xdr:nvPicPr>
        <xdr:cNvPr id="2" name="Picture 1" descr="C:\WINDOWS\TEMP\~0003946.gif">
          <a:extLst>
            <a:ext uri="{FF2B5EF4-FFF2-40B4-BE49-F238E27FC236}">
              <a16:creationId xmlns:a16="http://schemas.microsoft.com/office/drawing/2014/main" id="{DCC25A20-1972-4EA9-AD71-F96BDD43E4E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59893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3" name="Picture 2" descr="C:\WINDOWS\TEMP\~0003946.gif">
          <a:extLst>
            <a:ext uri="{FF2B5EF4-FFF2-40B4-BE49-F238E27FC236}">
              <a16:creationId xmlns:a16="http://schemas.microsoft.com/office/drawing/2014/main" id="{F5F157FA-A1D0-4236-8430-83F3ADDA982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3979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 name="Picture 3" descr="C:\WINDOWS\TEMP\~0003946.gif">
          <a:extLst>
            <a:ext uri="{FF2B5EF4-FFF2-40B4-BE49-F238E27FC236}">
              <a16:creationId xmlns:a16="http://schemas.microsoft.com/office/drawing/2014/main" id="{FD6F059F-E0DF-4AFC-BAB1-D0FC264D502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6BF58327-6BE1-41D1-86C0-C885DEFB139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149679</xdr:colOff>
      <xdr:row>61</xdr:row>
      <xdr:rowOff>136071</xdr:rowOff>
    </xdr:from>
    <xdr:to>
      <xdr:col>0</xdr:col>
      <xdr:colOff>320382</xdr:colOff>
      <xdr:row>62</xdr:row>
      <xdr:rowOff>163632</xdr:rowOff>
    </xdr:to>
    <xdr:pic>
      <xdr:nvPicPr>
        <xdr:cNvPr id="6" name="Picture 5">
          <a:extLst>
            <a:ext uri="{FF2B5EF4-FFF2-40B4-BE49-F238E27FC236}">
              <a16:creationId xmlns:a16="http://schemas.microsoft.com/office/drawing/2014/main" id="{6BE89C98-9408-4661-ABFD-D1494840DBA1}"/>
            </a:ext>
          </a:extLst>
        </xdr:cNvPr>
        <xdr:cNvPicPr>
          <a:picLocks noChangeAspect="1"/>
        </xdr:cNvPicPr>
      </xdr:nvPicPr>
      <xdr:blipFill>
        <a:blip xmlns:r="http://schemas.openxmlformats.org/officeDocument/2006/relationships" r:embed="rId3"/>
        <a:stretch>
          <a:fillRect/>
        </a:stretch>
      </xdr:blipFill>
      <xdr:spPr>
        <a:xfrm>
          <a:off x="149679" y="12451896"/>
          <a:ext cx="170703" cy="227586"/>
        </a:xfrm>
        <a:prstGeom prst="rect">
          <a:avLst/>
        </a:prstGeom>
      </xdr:spPr>
    </xdr:pic>
    <xdr:clientData/>
  </xdr:twoCellAnchor>
  <xdr:twoCellAnchor editAs="oneCell">
    <xdr:from>
      <xdr:col>0</xdr:col>
      <xdr:colOff>176893</xdr:colOff>
      <xdr:row>135</xdr:row>
      <xdr:rowOff>149678</xdr:rowOff>
    </xdr:from>
    <xdr:to>
      <xdr:col>1</xdr:col>
      <xdr:colOff>7417</xdr:colOff>
      <xdr:row>136</xdr:row>
      <xdr:rowOff>177239</xdr:rowOff>
    </xdr:to>
    <xdr:pic>
      <xdr:nvPicPr>
        <xdr:cNvPr id="7" name="Picture 6">
          <a:extLst>
            <a:ext uri="{FF2B5EF4-FFF2-40B4-BE49-F238E27FC236}">
              <a16:creationId xmlns:a16="http://schemas.microsoft.com/office/drawing/2014/main" id="{6F88ED12-0F13-4E44-9EDC-01B9CD7AD782}"/>
            </a:ext>
          </a:extLst>
        </xdr:cNvPr>
        <xdr:cNvPicPr>
          <a:picLocks noChangeAspect="1"/>
        </xdr:cNvPicPr>
      </xdr:nvPicPr>
      <xdr:blipFill>
        <a:blip xmlns:r="http://schemas.openxmlformats.org/officeDocument/2006/relationships" r:embed="rId3"/>
        <a:stretch>
          <a:fillRect/>
        </a:stretch>
      </xdr:blipFill>
      <xdr:spPr>
        <a:xfrm>
          <a:off x="176893" y="27715028"/>
          <a:ext cx="173424" cy="227586"/>
        </a:xfrm>
        <a:prstGeom prst="rect">
          <a:avLst/>
        </a:prstGeom>
      </xdr:spPr>
    </xdr:pic>
    <xdr:clientData/>
  </xdr:twoCellAnchor>
  <xdr:twoCellAnchor editAs="oneCell">
    <xdr:from>
      <xdr:col>0</xdr:col>
      <xdr:colOff>149679</xdr:colOff>
      <xdr:row>195</xdr:row>
      <xdr:rowOff>136071</xdr:rowOff>
    </xdr:from>
    <xdr:to>
      <xdr:col>0</xdr:col>
      <xdr:colOff>320382</xdr:colOff>
      <xdr:row>196</xdr:row>
      <xdr:rowOff>163632</xdr:rowOff>
    </xdr:to>
    <xdr:pic>
      <xdr:nvPicPr>
        <xdr:cNvPr id="8" name="Picture 7">
          <a:extLst>
            <a:ext uri="{FF2B5EF4-FFF2-40B4-BE49-F238E27FC236}">
              <a16:creationId xmlns:a16="http://schemas.microsoft.com/office/drawing/2014/main" id="{DC86CED1-BB7C-4D37-BB87-59487D3E7A90}"/>
            </a:ext>
          </a:extLst>
        </xdr:cNvPr>
        <xdr:cNvPicPr>
          <a:picLocks noChangeAspect="1"/>
        </xdr:cNvPicPr>
      </xdr:nvPicPr>
      <xdr:blipFill>
        <a:blip xmlns:r="http://schemas.openxmlformats.org/officeDocument/2006/relationships" r:embed="rId3"/>
        <a:stretch>
          <a:fillRect/>
        </a:stretch>
      </xdr:blipFill>
      <xdr:spPr>
        <a:xfrm>
          <a:off x="149679" y="39779121"/>
          <a:ext cx="170703" cy="227586"/>
        </a:xfrm>
        <a:prstGeom prst="rect">
          <a:avLst/>
        </a:prstGeom>
      </xdr:spPr>
    </xdr:pic>
    <xdr:clientData/>
  </xdr:twoCellAnchor>
  <xdr:twoCellAnchor editAs="oneCell">
    <xdr:from>
      <xdr:col>0</xdr:col>
      <xdr:colOff>190500</xdr:colOff>
      <xdr:row>295</xdr:row>
      <xdr:rowOff>122465</xdr:rowOff>
    </xdr:from>
    <xdr:to>
      <xdr:col>1</xdr:col>
      <xdr:colOff>21024</xdr:colOff>
      <xdr:row>296</xdr:row>
      <xdr:rowOff>150026</xdr:rowOff>
    </xdr:to>
    <xdr:pic>
      <xdr:nvPicPr>
        <xdr:cNvPr id="9" name="Picture 8">
          <a:extLst>
            <a:ext uri="{FF2B5EF4-FFF2-40B4-BE49-F238E27FC236}">
              <a16:creationId xmlns:a16="http://schemas.microsoft.com/office/drawing/2014/main" id="{EC7F00A0-CB45-4D53-BB44-C3EC014CC073}"/>
            </a:ext>
          </a:extLst>
        </xdr:cNvPr>
        <xdr:cNvPicPr>
          <a:picLocks noChangeAspect="1"/>
        </xdr:cNvPicPr>
      </xdr:nvPicPr>
      <xdr:blipFill>
        <a:blip xmlns:r="http://schemas.openxmlformats.org/officeDocument/2006/relationships" r:embed="rId3"/>
        <a:stretch>
          <a:fillRect/>
        </a:stretch>
      </xdr:blipFill>
      <xdr:spPr>
        <a:xfrm>
          <a:off x="190500" y="59891840"/>
          <a:ext cx="173424" cy="227586"/>
        </a:xfrm>
        <a:prstGeom prst="rect">
          <a:avLst/>
        </a:prstGeom>
      </xdr:spPr>
    </xdr:pic>
    <xdr:clientData/>
  </xdr:twoCellAnchor>
  <xdr:twoCellAnchor editAs="oneCell">
    <xdr:from>
      <xdr:col>22</xdr:col>
      <xdr:colOff>68036</xdr:colOff>
      <xdr:row>61</xdr:row>
      <xdr:rowOff>13607</xdr:rowOff>
    </xdr:from>
    <xdr:to>
      <xdr:col>22</xdr:col>
      <xdr:colOff>897164</xdr:colOff>
      <xdr:row>62</xdr:row>
      <xdr:rowOff>102133</xdr:rowOff>
    </xdr:to>
    <xdr:pic>
      <xdr:nvPicPr>
        <xdr:cNvPr id="10" name="Picture 9">
          <a:extLst>
            <a:ext uri="{FF2B5EF4-FFF2-40B4-BE49-F238E27FC236}">
              <a16:creationId xmlns:a16="http://schemas.microsoft.com/office/drawing/2014/main" id="{5FAE62AE-9071-40F9-8273-64271C4E1A6C}"/>
            </a:ext>
          </a:extLst>
        </xdr:cNvPr>
        <xdr:cNvPicPr>
          <a:picLocks noChangeAspect="1"/>
        </xdr:cNvPicPr>
      </xdr:nvPicPr>
      <xdr:blipFill>
        <a:blip xmlns:r="http://schemas.openxmlformats.org/officeDocument/2006/relationships" r:embed="rId4"/>
        <a:stretch>
          <a:fillRect/>
        </a:stretch>
      </xdr:blipFill>
      <xdr:spPr>
        <a:xfrm>
          <a:off x="24213911" y="12329432"/>
          <a:ext cx="829128" cy="288551"/>
        </a:xfrm>
        <a:prstGeom prst="rect">
          <a:avLst/>
        </a:prstGeom>
      </xdr:spPr>
    </xdr:pic>
    <xdr:clientData/>
  </xdr:twoCellAnchor>
  <xdr:twoCellAnchor editAs="oneCell">
    <xdr:from>
      <xdr:col>22</xdr:col>
      <xdr:colOff>68036</xdr:colOff>
      <xdr:row>135</xdr:row>
      <xdr:rowOff>68035</xdr:rowOff>
    </xdr:from>
    <xdr:to>
      <xdr:col>22</xdr:col>
      <xdr:colOff>897164</xdr:colOff>
      <xdr:row>136</xdr:row>
      <xdr:rowOff>156561</xdr:rowOff>
    </xdr:to>
    <xdr:pic>
      <xdr:nvPicPr>
        <xdr:cNvPr id="11" name="Picture 10">
          <a:extLst>
            <a:ext uri="{FF2B5EF4-FFF2-40B4-BE49-F238E27FC236}">
              <a16:creationId xmlns:a16="http://schemas.microsoft.com/office/drawing/2014/main" id="{06AFCEC2-BD8A-4E26-846F-9C26D9000B96}"/>
            </a:ext>
          </a:extLst>
        </xdr:cNvPr>
        <xdr:cNvPicPr>
          <a:picLocks noChangeAspect="1"/>
        </xdr:cNvPicPr>
      </xdr:nvPicPr>
      <xdr:blipFill>
        <a:blip xmlns:r="http://schemas.openxmlformats.org/officeDocument/2006/relationships" r:embed="rId4"/>
        <a:stretch>
          <a:fillRect/>
        </a:stretch>
      </xdr:blipFill>
      <xdr:spPr>
        <a:xfrm>
          <a:off x="24213911" y="27633385"/>
          <a:ext cx="829128" cy="288551"/>
        </a:xfrm>
        <a:prstGeom prst="rect">
          <a:avLst/>
        </a:prstGeom>
      </xdr:spPr>
    </xdr:pic>
    <xdr:clientData/>
  </xdr:twoCellAnchor>
  <xdr:twoCellAnchor editAs="oneCell">
    <xdr:from>
      <xdr:col>22</xdr:col>
      <xdr:colOff>68035</xdr:colOff>
      <xdr:row>195</xdr:row>
      <xdr:rowOff>27214</xdr:rowOff>
    </xdr:from>
    <xdr:to>
      <xdr:col>22</xdr:col>
      <xdr:colOff>897163</xdr:colOff>
      <xdr:row>196</xdr:row>
      <xdr:rowOff>115740</xdr:rowOff>
    </xdr:to>
    <xdr:pic>
      <xdr:nvPicPr>
        <xdr:cNvPr id="12" name="Picture 11">
          <a:extLst>
            <a:ext uri="{FF2B5EF4-FFF2-40B4-BE49-F238E27FC236}">
              <a16:creationId xmlns:a16="http://schemas.microsoft.com/office/drawing/2014/main" id="{48A9615F-DAFE-440D-BA34-3925043C2185}"/>
            </a:ext>
          </a:extLst>
        </xdr:cNvPr>
        <xdr:cNvPicPr>
          <a:picLocks noChangeAspect="1"/>
        </xdr:cNvPicPr>
      </xdr:nvPicPr>
      <xdr:blipFill>
        <a:blip xmlns:r="http://schemas.openxmlformats.org/officeDocument/2006/relationships" r:embed="rId4"/>
        <a:stretch>
          <a:fillRect/>
        </a:stretch>
      </xdr:blipFill>
      <xdr:spPr>
        <a:xfrm>
          <a:off x="24213910" y="39670264"/>
          <a:ext cx="829128" cy="288551"/>
        </a:xfrm>
        <a:prstGeom prst="rect">
          <a:avLst/>
        </a:prstGeom>
      </xdr:spPr>
    </xdr:pic>
    <xdr:clientData/>
  </xdr:twoCellAnchor>
  <xdr:twoCellAnchor editAs="oneCell">
    <xdr:from>
      <xdr:col>22</xdr:col>
      <xdr:colOff>40821</xdr:colOff>
      <xdr:row>294</xdr:row>
      <xdr:rowOff>217714</xdr:rowOff>
    </xdr:from>
    <xdr:to>
      <xdr:col>22</xdr:col>
      <xdr:colOff>869949</xdr:colOff>
      <xdr:row>296</xdr:row>
      <xdr:rowOff>61311</xdr:rowOff>
    </xdr:to>
    <xdr:pic>
      <xdr:nvPicPr>
        <xdr:cNvPr id="13" name="Picture 12">
          <a:extLst>
            <a:ext uri="{FF2B5EF4-FFF2-40B4-BE49-F238E27FC236}">
              <a16:creationId xmlns:a16="http://schemas.microsoft.com/office/drawing/2014/main" id="{3782E4EC-F848-4D49-9955-051C2AFDCCFC}"/>
            </a:ext>
          </a:extLst>
        </xdr:cNvPr>
        <xdr:cNvPicPr>
          <a:picLocks noChangeAspect="1"/>
        </xdr:cNvPicPr>
      </xdr:nvPicPr>
      <xdr:blipFill>
        <a:blip xmlns:r="http://schemas.openxmlformats.org/officeDocument/2006/relationships" r:embed="rId4"/>
        <a:stretch>
          <a:fillRect/>
        </a:stretch>
      </xdr:blipFill>
      <xdr:spPr>
        <a:xfrm>
          <a:off x="24186696" y="59748964"/>
          <a:ext cx="829128" cy="28174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22</xdr:col>
      <xdr:colOff>1095375</xdr:colOff>
      <xdr:row>298</xdr:row>
      <xdr:rowOff>123825</xdr:rowOff>
    </xdr:from>
    <xdr:to>
      <xdr:col>22</xdr:col>
      <xdr:colOff>1895475</xdr:colOff>
      <xdr:row>299</xdr:row>
      <xdr:rowOff>152400</xdr:rowOff>
    </xdr:to>
    <xdr:pic>
      <xdr:nvPicPr>
        <xdr:cNvPr id="2" name="Picture 1" descr="C:\WINDOWS\TEMP\~0003946.gif">
          <a:extLst>
            <a:ext uri="{FF2B5EF4-FFF2-40B4-BE49-F238E27FC236}">
              <a16:creationId xmlns:a16="http://schemas.microsoft.com/office/drawing/2014/main" id="{F9A77639-C86C-4770-8D30-81BD6C65964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59893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3" name="Picture 2" descr="C:\WINDOWS\TEMP\~0003946.gif">
          <a:extLst>
            <a:ext uri="{FF2B5EF4-FFF2-40B4-BE49-F238E27FC236}">
              <a16:creationId xmlns:a16="http://schemas.microsoft.com/office/drawing/2014/main" id="{F6FB535C-6956-47C3-B8FE-A558E32C245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39795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138</xdr:row>
      <xdr:rowOff>161925</xdr:rowOff>
    </xdr:from>
    <xdr:to>
      <xdr:col>22</xdr:col>
      <xdr:colOff>1952625</xdr:colOff>
      <xdr:row>139</xdr:row>
      <xdr:rowOff>190500</xdr:rowOff>
    </xdr:to>
    <xdr:pic>
      <xdr:nvPicPr>
        <xdr:cNvPr id="4" name="Picture 3" descr="C:\WINDOWS\TEMP\~0003946.gif">
          <a:extLst>
            <a:ext uri="{FF2B5EF4-FFF2-40B4-BE49-F238E27FC236}">
              <a16:creationId xmlns:a16="http://schemas.microsoft.com/office/drawing/2014/main" id="{4213C8AF-2ACC-4D3C-B090-CF8DDD1E29F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5FBAD70D-4028-40EE-AED3-DE40AD53364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149679</xdr:colOff>
      <xdr:row>61</xdr:row>
      <xdr:rowOff>136071</xdr:rowOff>
    </xdr:from>
    <xdr:to>
      <xdr:col>0</xdr:col>
      <xdr:colOff>320382</xdr:colOff>
      <xdr:row>62</xdr:row>
      <xdr:rowOff>163632</xdr:rowOff>
    </xdr:to>
    <xdr:pic>
      <xdr:nvPicPr>
        <xdr:cNvPr id="6" name="Picture 5">
          <a:extLst>
            <a:ext uri="{FF2B5EF4-FFF2-40B4-BE49-F238E27FC236}">
              <a16:creationId xmlns:a16="http://schemas.microsoft.com/office/drawing/2014/main" id="{87DED48D-7E63-441C-BF22-B050A444FDA0}"/>
            </a:ext>
          </a:extLst>
        </xdr:cNvPr>
        <xdr:cNvPicPr>
          <a:picLocks noChangeAspect="1"/>
        </xdr:cNvPicPr>
      </xdr:nvPicPr>
      <xdr:blipFill>
        <a:blip xmlns:r="http://schemas.openxmlformats.org/officeDocument/2006/relationships" r:embed="rId3"/>
        <a:stretch>
          <a:fillRect/>
        </a:stretch>
      </xdr:blipFill>
      <xdr:spPr>
        <a:xfrm>
          <a:off x="149679" y="12451896"/>
          <a:ext cx="170703" cy="227586"/>
        </a:xfrm>
        <a:prstGeom prst="rect">
          <a:avLst/>
        </a:prstGeom>
      </xdr:spPr>
    </xdr:pic>
    <xdr:clientData/>
  </xdr:twoCellAnchor>
  <xdr:twoCellAnchor editAs="oneCell">
    <xdr:from>
      <xdr:col>0</xdr:col>
      <xdr:colOff>176893</xdr:colOff>
      <xdr:row>138</xdr:row>
      <xdr:rowOff>149678</xdr:rowOff>
    </xdr:from>
    <xdr:to>
      <xdr:col>1</xdr:col>
      <xdr:colOff>7417</xdr:colOff>
      <xdr:row>139</xdr:row>
      <xdr:rowOff>177239</xdr:rowOff>
    </xdr:to>
    <xdr:pic>
      <xdr:nvPicPr>
        <xdr:cNvPr id="7" name="Picture 6">
          <a:extLst>
            <a:ext uri="{FF2B5EF4-FFF2-40B4-BE49-F238E27FC236}">
              <a16:creationId xmlns:a16="http://schemas.microsoft.com/office/drawing/2014/main" id="{C8A27B80-C014-475C-9F14-57B73587837B}"/>
            </a:ext>
          </a:extLst>
        </xdr:cNvPr>
        <xdr:cNvPicPr>
          <a:picLocks noChangeAspect="1"/>
        </xdr:cNvPicPr>
      </xdr:nvPicPr>
      <xdr:blipFill>
        <a:blip xmlns:r="http://schemas.openxmlformats.org/officeDocument/2006/relationships" r:embed="rId3"/>
        <a:stretch>
          <a:fillRect/>
        </a:stretch>
      </xdr:blipFill>
      <xdr:spPr>
        <a:xfrm>
          <a:off x="176893" y="27715028"/>
          <a:ext cx="173424" cy="227586"/>
        </a:xfrm>
        <a:prstGeom prst="rect">
          <a:avLst/>
        </a:prstGeom>
      </xdr:spPr>
    </xdr:pic>
    <xdr:clientData/>
  </xdr:twoCellAnchor>
  <xdr:twoCellAnchor editAs="oneCell">
    <xdr:from>
      <xdr:col>0</xdr:col>
      <xdr:colOff>149679</xdr:colOff>
      <xdr:row>198</xdr:row>
      <xdr:rowOff>136071</xdr:rowOff>
    </xdr:from>
    <xdr:to>
      <xdr:col>0</xdr:col>
      <xdr:colOff>320382</xdr:colOff>
      <xdr:row>199</xdr:row>
      <xdr:rowOff>163632</xdr:rowOff>
    </xdr:to>
    <xdr:pic>
      <xdr:nvPicPr>
        <xdr:cNvPr id="8" name="Picture 7">
          <a:extLst>
            <a:ext uri="{FF2B5EF4-FFF2-40B4-BE49-F238E27FC236}">
              <a16:creationId xmlns:a16="http://schemas.microsoft.com/office/drawing/2014/main" id="{B7B0FE16-C328-49F4-837F-254DCBAEDF6D}"/>
            </a:ext>
          </a:extLst>
        </xdr:cNvPr>
        <xdr:cNvPicPr>
          <a:picLocks noChangeAspect="1"/>
        </xdr:cNvPicPr>
      </xdr:nvPicPr>
      <xdr:blipFill>
        <a:blip xmlns:r="http://schemas.openxmlformats.org/officeDocument/2006/relationships" r:embed="rId3"/>
        <a:stretch>
          <a:fillRect/>
        </a:stretch>
      </xdr:blipFill>
      <xdr:spPr>
        <a:xfrm>
          <a:off x="149679" y="39779121"/>
          <a:ext cx="170703" cy="227586"/>
        </a:xfrm>
        <a:prstGeom prst="rect">
          <a:avLst/>
        </a:prstGeom>
      </xdr:spPr>
    </xdr:pic>
    <xdr:clientData/>
  </xdr:twoCellAnchor>
  <xdr:twoCellAnchor editAs="oneCell">
    <xdr:from>
      <xdr:col>0</xdr:col>
      <xdr:colOff>190500</xdr:colOff>
      <xdr:row>298</xdr:row>
      <xdr:rowOff>122465</xdr:rowOff>
    </xdr:from>
    <xdr:to>
      <xdr:col>1</xdr:col>
      <xdr:colOff>21024</xdr:colOff>
      <xdr:row>299</xdr:row>
      <xdr:rowOff>150026</xdr:rowOff>
    </xdr:to>
    <xdr:pic>
      <xdr:nvPicPr>
        <xdr:cNvPr id="9" name="Picture 8">
          <a:extLst>
            <a:ext uri="{FF2B5EF4-FFF2-40B4-BE49-F238E27FC236}">
              <a16:creationId xmlns:a16="http://schemas.microsoft.com/office/drawing/2014/main" id="{6D5A35E1-699A-4F9E-95EA-DC6F1B7A4286}"/>
            </a:ext>
          </a:extLst>
        </xdr:cNvPr>
        <xdr:cNvPicPr>
          <a:picLocks noChangeAspect="1"/>
        </xdr:cNvPicPr>
      </xdr:nvPicPr>
      <xdr:blipFill>
        <a:blip xmlns:r="http://schemas.openxmlformats.org/officeDocument/2006/relationships" r:embed="rId3"/>
        <a:stretch>
          <a:fillRect/>
        </a:stretch>
      </xdr:blipFill>
      <xdr:spPr>
        <a:xfrm>
          <a:off x="190500" y="59891840"/>
          <a:ext cx="173424" cy="227586"/>
        </a:xfrm>
        <a:prstGeom prst="rect">
          <a:avLst/>
        </a:prstGeom>
      </xdr:spPr>
    </xdr:pic>
    <xdr:clientData/>
  </xdr:twoCellAnchor>
  <xdr:twoCellAnchor editAs="oneCell">
    <xdr:from>
      <xdr:col>22</xdr:col>
      <xdr:colOff>68036</xdr:colOff>
      <xdr:row>61</xdr:row>
      <xdr:rowOff>13607</xdr:rowOff>
    </xdr:from>
    <xdr:to>
      <xdr:col>22</xdr:col>
      <xdr:colOff>897164</xdr:colOff>
      <xdr:row>62</xdr:row>
      <xdr:rowOff>102133</xdr:rowOff>
    </xdr:to>
    <xdr:pic>
      <xdr:nvPicPr>
        <xdr:cNvPr id="10" name="Picture 9">
          <a:extLst>
            <a:ext uri="{FF2B5EF4-FFF2-40B4-BE49-F238E27FC236}">
              <a16:creationId xmlns:a16="http://schemas.microsoft.com/office/drawing/2014/main" id="{BCFF388E-AD32-4DB9-BAA3-AC2059B6221F}"/>
            </a:ext>
          </a:extLst>
        </xdr:cNvPr>
        <xdr:cNvPicPr>
          <a:picLocks noChangeAspect="1"/>
        </xdr:cNvPicPr>
      </xdr:nvPicPr>
      <xdr:blipFill>
        <a:blip xmlns:r="http://schemas.openxmlformats.org/officeDocument/2006/relationships" r:embed="rId4"/>
        <a:stretch>
          <a:fillRect/>
        </a:stretch>
      </xdr:blipFill>
      <xdr:spPr>
        <a:xfrm>
          <a:off x="24213911" y="12329432"/>
          <a:ext cx="829128" cy="288551"/>
        </a:xfrm>
        <a:prstGeom prst="rect">
          <a:avLst/>
        </a:prstGeom>
      </xdr:spPr>
    </xdr:pic>
    <xdr:clientData/>
  </xdr:twoCellAnchor>
  <xdr:twoCellAnchor editAs="oneCell">
    <xdr:from>
      <xdr:col>22</xdr:col>
      <xdr:colOff>68036</xdr:colOff>
      <xdr:row>138</xdr:row>
      <xdr:rowOff>68035</xdr:rowOff>
    </xdr:from>
    <xdr:to>
      <xdr:col>22</xdr:col>
      <xdr:colOff>897164</xdr:colOff>
      <xdr:row>139</xdr:row>
      <xdr:rowOff>156561</xdr:rowOff>
    </xdr:to>
    <xdr:pic>
      <xdr:nvPicPr>
        <xdr:cNvPr id="11" name="Picture 10">
          <a:extLst>
            <a:ext uri="{FF2B5EF4-FFF2-40B4-BE49-F238E27FC236}">
              <a16:creationId xmlns:a16="http://schemas.microsoft.com/office/drawing/2014/main" id="{57BFA9DD-A891-4D22-AD1C-EE43F389F573}"/>
            </a:ext>
          </a:extLst>
        </xdr:cNvPr>
        <xdr:cNvPicPr>
          <a:picLocks noChangeAspect="1"/>
        </xdr:cNvPicPr>
      </xdr:nvPicPr>
      <xdr:blipFill>
        <a:blip xmlns:r="http://schemas.openxmlformats.org/officeDocument/2006/relationships" r:embed="rId4"/>
        <a:stretch>
          <a:fillRect/>
        </a:stretch>
      </xdr:blipFill>
      <xdr:spPr>
        <a:xfrm>
          <a:off x="24213911" y="27633385"/>
          <a:ext cx="829128" cy="288551"/>
        </a:xfrm>
        <a:prstGeom prst="rect">
          <a:avLst/>
        </a:prstGeom>
      </xdr:spPr>
    </xdr:pic>
    <xdr:clientData/>
  </xdr:twoCellAnchor>
  <xdr:twoCellAnchor editAs="oneCell">
    <xdr:from>
      <xdr:col>22</xdr:col>
      <xdr:colOff>68035</xdr:colOff>
      <xdr:row>198</xdr:row>
      <xdr:rowOff>27214</xdr:rowOff>
    </xdr:from>
    <xdr:to>
      <xdr:col>22</xdr:col>
      <xdr:colOff>897163</xdr:colOff>
      <xdr:row>199</xdr:row>
      <xdr:rowOff>115740</xdr:rowOff>
    </xdr:to>
    <xdr:pic>
      <xdr:nvPicPr>
        <xdr:cNvPr id="12" name="Picture 11">
          <a:extLst>
            <a:ext uri="{FF2B5EF4-FFF2-40B4-BE49-F238E27FC236}">
              <a16:creationId xmlns:a16="http://schemas.microsoft.com/office/drawing/2014/main" id="{A8E41A39-977D-4EE8-B39F-02623EBD3878}"/>
            </a:ext>
          </a:extLst>
        </xdr:cNvPr>
        <xdr:cNvPicPr>
          <a:picLocks noChangeAspect="1"/>
        </xdr:cNvPicPr>
      </xdr:nvPicPr>
      <xdr:blipFill>
        <a:blip xmlns:r="http://schemas.openxmlformats.org/officeDocument/2006/relationships" r:embed="rId4"/>
        <a:stretch>
          <a:fillRect/>
        </a:stretch>
      </xdr:blipFill>
      <xdr:spPr>
        <a:xfrm>
          <a:off x="24213910" y="39670264"/>
          <a:ext cx="829128" cy="288551"/>
        </a:xfrm>
        <a:prstGeom prst="rect">
          <a:avLst/>
        </a:prstGeom>
      </xdr:spPr>
    </xdr:pic>
    <xdr:clientData/>
  </xdr:twoCellAnchor>
  <xdr:twoCellAnchor editAs="oneCell">
    <xdr:from>
      <xdr:col>22</xdr:col>
      <xdr:colOff>40821</xdr:colOff>
      <xdr:row>297</xdr:row>
      <xdr:rowOff>217714</xdr:rowOff>
    </xdr:from>
    <xdr:to>
      <xdr:col>22</xdr:col>
      <xdr:colOff>869949</xdr:colOff>
      <xdr:row>299</xdr:row>
      <xdr:rowOff>61311</xdr:rowOff>
    </xdr:to>
    <xdr:pic>
      <xdr:nvPicPr>
        <xdr:cNvPr id="13" name="Picture 12">
          <a:extLst>
            <a:ext uri="{FF2B5EF4-FFF2-40B4-BE49-F238E27FC236}">
              <a16:creationId xmlns:a16="http://schemas.microsoft.com/office/drawing/2014/main" id="{4FC1D5D6-1A4C-4F81-9840-BC5364F9943F}"/>
            </a:ext>
          </a:extLst>
        </xdr:cNvPr>
        <xdr:cNvPicPr>
          <a:picLocks noChangeAspect="1"/>
        </xdr:cNvPicPr>
      </xdr:nvPicPr>
      <xdr:blipFill>
        <a:blip xmlns:r="http://schemas.openxmlformats.org/officeDocument/2006/relationships" r:embed="rId4"/>
        <a:stretch>
          <a:fillRect/>
        </a:stretch>
      </xdr:blipFill>
      <xdr:spPr>
        <a:xfrm>
          <a:off x="24186696" y="59748964"/>
          <a:ext cx="829128" cy="28174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22</xdr:col>
      <xdr:colOff>1095375</xdr:colOff>
      <xdr:row>298</xdr:row>
      <xdr:rowOff>123825</xdr:rowOff>
    </xdr:from>
    <xdr:to>
      <xdr:col>22</xdr:col>
      <xdr:colOff>1895475</xdr:colOff>
      <xdr:row>299</xdr:row>
      <xdr:rowOff>152400</xdr:rowOff>
    </xdr:to>
    <xdr:pic>
      <xdr:nvPicPr>
        <xdr:cNvPr id="2" name="Picture 1" descr="C:\WINDOWS\TEMP\~0003946.gif">
          <a:extLst>
            <a:ext uri="{FF2B5EF4-FFF2-40B4-BE49-F238E27FC236}">
              <a16:creationId xmlns:a16="http://schemas.microsoft.com/office/drawing/2014/main" id="{43E9F138-1F37-4E33-828D-91ED121A0EA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60493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3" name="Picture 2" descr="C:\WINDOWS\TEMP\~0003946.gif">
          <a:extLst>
            <a:ext uri="{FF2B5EF4-FFF2-40B4-BE49-F238E27FC236}">
              <a16:creationId xmlns:a16="http://schemas.microsoft.com/office/drawing/2014/main" id="{34AFD546-0606-4A5B-9401-48D323D4A2C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138</xdr:row>
      <xdr:rowOff>161925</xdr:rowOff>
    </xdr:from>
    <xdr:to>
      <xdr:col>22</xdr:col>
      <xdr:colOff>1952625</xdr:colOff>
      <xdr:row>139</xdr:row>
      <xdr:rowOff>190500</xdr:rowOff>
    </xdr:to>
    <xdr:pic>
      <xdr:nvPicPr>
        <xdr:cNvPr id="4" name="Picture 3" descr="C:\WINDOWS\TEMP\~0003946.gif">
          <a:extLst>
            <a:ext uri="{FF2B5EF4-FFF2-40B4-BE49-F238E27FC236}">
              <a16:creationId xmlns:a16="http://schemas.microsoft.com/office/drawing/2014/main" id="{2613A855-A5A2-454A-BAF1-C07C7714679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28327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57043FC2-A3DA-44E7-9F19-3AFC597285D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149679</xdr:colOff>
      <xdr:row>61</xdr:row>
      <xdr:rowOff>136071</xdr:rowOff>
    </xdr:from>
    <xdr:to>
      <xdr:col>0</xdr:col>
      <xdr:colOff>320382</xdr:colOff>
      <xdr:row>62</xdr:row>
      <xdr:rowOff>163632</xdr:rowOff>
    </xdr:to>
    <xdr:pic>
      <xdr:nvPicPr>
        <xdr:cNvPr id="6" name="Picture 5">
          <a:extLst>
            <a:ext uri="{FF2B5EF4-FFF2-40B4-BE49-F238E27FC236}">
              <a16:creationId xmlns:a16="http://schemas.microsoft.com/office/drawing/2014/main" id="{2AFCB6F8-E35E-4F40-9C6C-053F63A41D66}"/>
            </a:ext>
          </a:extLst>
        </xdr:cNvPr>
        <xdr:cNvPicPr>
          <a:picLocks noChangeAspect="1"/>
        </xdr:cNvPicPr>
      </xdr:nvPicPr>
      <xdr:blipFill>
        <a:blip xmlns:r="http://schemas.openxmlformats.org/officeDocument/2006/relationships" r:embed="rId3"/>
        <a:stretch>
          <a:fillRect/>
        </a:stretch>
      </xdr:blipFill>
      <xdr:spPr>
        <a:xfrm>
          <a:off x="149679" y="12451896"/>
          <a:ext cx="170703" cy="227586"/>
        </a:xfrm>
        <a:prstGeom prst="rect">
          <a:avLst/>
        </a:prstGeom>
      </xdr:spPr>
    </xdr:pic>
    <xdr:clientData/>
  </xdr:twoCellAnchor>
  <xdr:twoCellAnchor editAs="oneCell">
    <xdr:from>
      <xdr:col>0</xdr:col>
      <xdr:colOff>176893</xdr:colOff>
      <xdr:row>138</xdr:row>
      <xdr:rowOff>149678</xdr:rowOff>
    </xdr:from>
    <xdr:to>
      <xdr:col>1</xdr:col>
      <xdr:colOff>7417</xdr:colOff>
      <xdr:row>139</xdr:row>
      <xdr:rowOff>177239</xdr:rowOff>
    </xdr:to>
    <xdr:pic>
      <xdr:nvPicPr>
        <xdr:cNvPr id="7" name="Picture 6">
          <a:extLst>
            <a:ext uri="{FF2B5EF4-FFF2-40B4-BE49-F238E27FC236}">
              <a16:creationId xmlns:a16="http://schemas.microsoft.com/office/drawing/2014/main" id="{4AF8A065-F38C-455C-97BD-323DEECE67B5}"/>
            </a:ext>
          </a:extLst>
        </xdr:cNvPr>
        <xdr:cNvPicPr>
          <a:picLocks noChangeAspect="1"/>
        </xdr:cNvPicPr>
      </xdr:nvPicPr>
      <xdr:blipFill>
        <a:blip xmlns:r="http://schemas.openxmlformats.org/officeDocument/2006/relationships" r:embed="rId3"/>
        <a:stretch>
          <a:fillRect/>
        </a:stretch>
      </xdr:blipFill>
      <xdr:spPr>
        <a:xfrm>
          <a:off x="176893" y="28315103"/>
          <a:ext cx="173424" cy="227586"/>
        </a:xfrm>
        <a:prstGeom prst="rect">
          <a:avLst/>
        </a:prstGeom>
      </xdr:spPr>
    </xdr:pic>
    <xdr:clientData/>
  </xdr:twoCellAnchor>
  <xdr:twoCellAnchor editAs="oneCell">
    <xdr:from>
      <xdr:col>0</xdr:col>
      <xdr:colOff>149679</xdr:colOff>
      <xdr:row>198</xdr:row>
      <xdr:rowOff>136071</xdr:rowOff>
    </xdr:from>
    <xdr:to>
      <xdr:col>0</xdr:col>
      <xdr:colOff>320382</xdr:colOff>
      <xdr:row>199</xdr:row>
      <xdr:rowOff>163632</xdr:rowOff>
    </xdr:to>
    <xdr:pic>
      <xdr:nvPicPr>
        <xdr:cNvPr id="8" name="Picture 7">
          <a:extLst>
            <a:ext uri="{FF2B5EF4-FFF2-40B4-BE49-F238E27FC236}">
              <a16:creationId xmlns:a16="http://schemas.microsoft.com/office/drawing/2014/main" id="{C57E1653-F921-4E26-9AD7-CF8E058D1F01}"/>
            </a:ext>
          </a:extLst>
        </xdr:cNvPr>
        <xdr:cNvPicPr>
          <a:picLocks noChangeAspect="1"/>
        </xdr:cNvPicPr>
      </xdr:nvPicPr>
      <xdr:blipFill>
        <a:blip xmlns:r="http://schemas.openxmlformats.org/officeDocument/2006/relationships" r:embed="rId3"/>
        <a:stretch>
          <a:fillRect/>
        </a:stretch>
      </xdr:blipFill>
      <xdr:spPr>
        <a:xfrm>
          <a:off x="149679" y="40379196"/>
          <a:ext cx="170703" cy="227586"/>
        </a:xfrm>
        <a:prstGeom prst="rect">
          <a:avLst/>
        </a:prstGeom>
      </xdr:spPr>
    </xdr:pic>
    <xdr:clientData/>
  </xdr:twoCellAnchor>
  <xdr:twoCellAnchor editAs="oneCell">
    <xdr:from>
      <xdr:col>0</xdr:col>
      <xdr:colOff>190500</xdr:colOff>
      <xdr:row>298</xdr:row>
      <xdr:rowOff>122465</xdr:rowOff>
    </xdr:from>
    <xdr:to>
      <xdr:col>1</xdr:col>
      <xdr:colOff>21024</xdr:colOff>
      <xdr:row>299</xdr:row>
      <xdr:rowOff>150026</xdr:rowOff>
    </xdr:to>
    <xdr:pic>
      <xdr:nvPicPr>
        <xdr:cNvPr id="9" name="Picture 8">
          <a:extLst>
            <a:ext uri="{FF2B5EF4-FFF2-40B4-BE49-F238E27FC236}">
              <a16:creationId xmlns:a16="http://schemas.microsoft.com/office/drawing/2014/main" id="{4D9D5350-2BBE-4BA5-AE0E-19373116E072}"/>
            </a:ext>
          </a:extLst>
        </xdr:cNvPr>
        <xdr:cNvPicPr>
          <a:picLocks noChangeAspect="1"/>
        </xdr:cNvPicPr>
      </xdr:nvPicPr>
      <xdr:blipFill>
        <a:blip xmlns:r="http://schemas.openxmlformats.org/officeDocument/2006/relationships" r:embed="rId3"/>
        <a:stretch>
          <a:fillRect/>
        </a:stretch>
      </xdr:blipFill>
      <xdr:spPr>
        <a:xfrm>
          <a:off x="190500" y="60491915"/>
          <a:ext cx="173424" cy="227586"/>
        </a:xfrm>
        <a:prstGeom prst="rect">
          <a:avLst/>
        </a:prstGeom>
      </xdr:spPr>
    </xdr:pic>
    <xdr:clientData/>
  </xdr:twoCellAnchor>
  <xdr:twoCellAnchor editAs="oneCell">
    <xdr:from>
      <xdr:col>22</xdr:col>
      <xdr:colOff>68036</xdr:colOff>
      <xdr:row>61</xdr:row>
      <xdr:rowOff>13607</xdr:rowOff>
    </xdr:from>
    <xdr:to>
      <xdr:col>22</xdr:col>
      <xdr:colOff>897164</xdr:colOff>
      <xdr:row>62</xdr:row>
      <xdr:rowOff>102133</xdr:rowOff>
    </xdr:to>
    <xdr:pic>
      <xdr:nvPicPr>
        <xdr:cNvPr id="10" name="Picture 9">
          <a:extLst>
            <a:ext uri="{FF2B5EF4-FFF2-40B4-BE49-F238E27FC236}">
              <a16:creationId xmlns:a16="http://schemas.microsoft.com/office/drawing/2014/main" id="{73853873-F2B5-456A-8EB6-95F83CE877FE}"/>
            </a:ext>
          </a:extLst>
        </xdr:cNvPr>
        <xdr:cNvPicPr>
          <a:picLocks noChangeAspect="1"/>
        </xdr:cNvPicPr>
      </xdr:nvPicPr>
      <xdr:blipFill>
        <a:blip xmlns:r="http://schemas.openxmlformats.org/officeDocument/2006/relationships" r:embed="rId4"/>
        <a:stretch>
          <a:fillRect/>
        </a:stretch>
      </xdr:blipFill>
      <xdr:spPr>
        <a:xfrm>
          <a:off x="24213911" y="12329432"/>
          <a:ext cx="829128" cy="288551"/>
        </a:xfrm>
        <a:prstGeom prst="rect">
          <a:avLst/>
        </a:prstGeom>
      </xdr:spPr>
    </xdr:pic>
    <xdr:clientData/>
  </xdr:twoCellAnchor>
  <xdr:twoCellAnchor editAs="oneCell">
    <xdr:from>
      <xdr:col>22</xdr:col>
      <xdr:colOff>68036</xdr:colOff>
      <xdr:row>138</xdr:row>
      <xdr:rowOff>68035</xdr:rowOff>
    </xdr:from>
    <xdr:to>
      <xdr:col>22</xdr:col>
      <xdr:colOff>897164</xdr:colOff>
      <xdr:row>139</xdr:row>
      <xdr:rowOff>156561</xdr:rowOff>
    </xdr:to>
    <xdr:pic>
      <xdr:nvPicPr>
        <xdr:cNvPr id="11" name="Picture 10">
          <a:extLst>
            <a:ext uri="{FF2B5EF4-FFF2-40B4-BE49-F238E27FC236}">
              <a16:creationId xmlns:a16="http://schemas.microsoft.com/office/drawing/2014/main" id="{2E3F2969-95DD-4FC2-AEEA-60353A97CDE0}"/>
            </a:ext>
          </a:extLst>
        </xdr:cNvPr>
        <xdr:cNvPicPr>
          <a:picLocks noChangeAspect="1"/>
        </xdr:cNvPicPr>
      </xdr:nvPicPr>
      <xdr:blipFill>
        <a:blip xmlns:r="http://schemas.openxmlformats.org/officeDocument/2006/relationships" r:embed="rId4"/>
        <a:stretch>
          <a:fillRect/>
        </a:stretch>
      </xdr:blipFill>
      <xdr:spPr>
        <a:xfrm>
          <a:off x="24213911" y="28233460"/>
          <a:ext cx="829128" cy="288551"/>
        </a:xfrm>
        <a:prstGeom prst="rect">
          <a:avLst/>
        </a:prstGeom>
      </xdr:spPr>
    </xdr:pic>
    <xdr:clientData/>
  </xdr:twoCellAnchor>
  <xdr:twoCellAnchor editAs="oneCell">
    <xdr:from>
      <xdr:col>22</xdr:col>
      <xdr:colOff>68035</xdr:colOff>
      <xdr:row>198</xdr:row>
      <xdr:rowOff>27214</xdr:rowOff>
    </xdr:from>
    <xdr:to>
      <xdr:col>22</xdr:col>
      <xdr:colOff>897163</xdr:colOff>
      <xdr:row>199</xdr:row>
      <xdr:rowOff>115740</xdr:rowOff>
    </xdr:to>
    <xdr:pic>
      <xdr:nvPicPr>
        <xdr:cNvPr id="12" name="Picture 11">
          <a:extLst>
            <a:ext uri="{FF2B5EF4-FFF2-40B4-BE49-F238E27FC236}">
              <a16:creationId xmlns:a16="http://schemas.microsoft.com/office/drawing/2014/main" id="{F598FF7A-29C7-4867-B0DE-2C408B88D06F}"/>
            </a:ext>
          </a:extLst>
        </xdr:cNvPr>
        <xdr:cNvPicPr>
          <a:picLocks noChangeAspect="1"/>
        </xdr:cNvPicPr>
      </xdr:nvPicPr>
      <xdr:blipFill>
        <a:blip xmlns:r="http://schemas.openxmlformats.org/officeDocument/2006/relationships" r:embed="rId4"/>
        <a:stretch>
          <a:fillRect/>
        </a:stretch>
      </xdr:blipFill>
      <xdr:spPr>
        <a:xfrm>
          <a:off x="24213910" y="40270339"/>
          <a:ext cx="829128" cy="288551"/>
        </a:xfrm>
        <a:prstGeom prst="rect">
          <a:avLst/>
        </a:prstGeom>
      </xdr:spPr>
    </xdr:pic>
    <xdr:clientData/>
  </xdr:twoCellAnchor>
  <xdr:twoCellAnchor editAs="oneCell">
    <xdr:from>
      <xdr:col>22</xdr:col>
      <xdr:colOff>40821</xdr:colOff>
      <xdr:row>297</xdr:row>
      <xdr:rowOff>217714</xdr:rowOff>
    </xdr:from>
    <xdr:to>
      <xdr:col>22</xdr:col>
      <xdr:colOff>869949</xdr:colOff>
      <xdr:row>299</xdr:row>
      <xdr:rowOff>61311</xdr:rowOff>
    </xdr:to>
    <xdr:pic>
      <xdr:nvPicPr>
        <xdr:cNvPr id="13" name="Picture 12">
          <a:extLst>
            <a:ext uri="{FF2B5EF4-FFF2-40B4-BE49-F238E27FC236}">
              <a16:creationId xmlns:a16="http://schemas.microsoft.com/office/drawing/2014/main" id="{5C493B04-5CF0-40D9-B612-4F4E1E71D8FF}"/>
            </a:ext>
          </a:extLst>
        </xdr:cNvPr>
        <xdr:cNvPicPr>
          <a:picLocks noChangeAspect="1"/>
        </xdr:cNvPicPr>
      </xdr:nvPicPr>
      <xdr:blipFill>
        <a:blip xmlns:r="http://schemas.openxmlformats.org/officeDocument/2006/relationships" r:embed="rId4"/>
        <a:stretch>
          <a:fillRect/>
        </a:stretch>
      </xdr:blipFill>
      <xdr:spPr>
        <a:xfrm>
          <a:off x="24186696" y="60349039"/>
          <a:ext cx="829128" cy="28174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22</xdr:col>
      <xdr:colOff>1095375</xdr:colOff>
      <xdr:row>312</xdr:row>
      <xdr:rowOff>123825</xdr:rowOff>
    </xdr:from>
    <xdr:to>
      <xdr:col>22</xdr:col>
      <xdr:colOff>1895475</xdr:colOff>
      <xdr:row>313</xdr:row>
      <xdr:rowOff>152400</xdr:rowOff>
    </xdr:to>
    <xdr:pic>
      <xdr:nvPicPr>
        <xdr:cNvPr id="2" name="Picture 1" descr="C:\WINDOWS\TEMP\~0003946.gif">
          <a:extLst>
            <a:ext uri="{FF2B5EF4-FFF2-40B4-BE49-F238E27FC236}">
              <a16:creationId xmlns:a16="http://schemas.microsoft.com/office/drawing/2014/main" id="{B0207E52-BEF7-432E-B651-22AE3120F2F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60493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3" name="Picture 2" descr="C:\WINDOWS\TEMP\~0003946.gif">
          <a:extLst>
            <a:ext uri="{FF2B5EF4-FFF2-40B4-BE49-F238E27FC236}">
              <a16:creationId xmlns:a16="http://schemas.microsoft.com/office/drawing/2014/main" id="{DBC66AE8-91FF-42F9-B944-6DCAC656960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40395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138</xdr:row>
      <xdr:rowOff>161925</xdr:rowOff>
    </xdr:from>
    <xdr:to>
      <xdr:col>22</xdr:col>
      <xdr:colOff>1952625</xdr:colOff>
      <xdr:row>139</xdr:row>
      <xdr:rowOff>190500</xdr:rowOff>
    </xdr:to>
    <xdr:pic>
      <xdr:nvPicPr>
        <xdr:cNvPr id="4" name="Picture 3" descr="C:\WINDOWS\TEMP\~0003946.gif">
          <a:extLst>
            <a:ext uri="{FF2B5EF4-FFF2-40B4-BE49-F238E27FC236}">
              <a16:creationId xmlns:a16="http://schemas.microsoft.com/office/drawing/2014/main" id="{D2626F0A-AF1E-4610-A072-D7BA532D232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28327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38665D98-2C0B-4D81-8E84-7C32E5995AE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16505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149679</xdr:colOff>
      <xdr:row>61</xdr:row>
      <xdr:rowOff>136071</xdr:rowOff>
    </xdr:from>
    <xdr:to>
      <xdr:col>0</xdr:col>
      <xdr:colOff>324827</xdr:colOff>
      <xdr:row>62</xdr:row>
      <xdr:rowOff>171887</xdr:rowOff>
    </xdr:to>
    <xdr:pic>
      <xdr:nvPicPr>
        <xdr:cNvPr id="6" name="Picture 5">
          <a:extLst>
            <a:ext uri="{FF2B5EF4-FFF2-40B4-BE49-F238E27FC236}">
              <a16:creationId xmlns:a16="http://schemas.microsoft.com/office/drawing/2014/main" id="{1D93CF81-3D44-49B8-A38F-F41A88FDD2B7}"/>
            </a:ext>
          </a:extLst>
        </xdr:cNvPr>
        <xdr:cNvPicPr>
          <a:picLocks noChangeAspect="1"/>
        </xdr:cNvPicPr>
      </xdr:nvPicPr>
      <xdr:blipFill>
        <a:blip xmlns:r="http://schemas.openxmlformats.org/officeDocument/2006/relationships" r:embed="rId3"/>
        <a:stretch>
          <a:fillRect/>
        </a:stretch>
      </xdr:blipFill>
      <xdr:spPr>
        <a:xfrm>
          <a:off x="149679" y="12451896"/>
          <a:ext cx="170703" cy="227586"/>
        </a:xfrm>
        <a:prstGeom prst="rect">
          <a:avLst/>
        </a:prstGeom>
      </xdr:spPr>
    </xdr:pic>
    <xdr:clientData/>
  </xdr:twoCellAnchor>
  <xdr:twoCellAnchor editAs="oneCell">
    <xdr:from>
      <xdr:col>0</xdr:col>
      <xdr:colOff>176893</xdr:colOff>
      <xdr:row>138</xdr:row>
      <xdr:rowOff>149678</xdr:rowOff>
    </xdr:from>
    <xdr:to>
      <xdr:col>1</xdr:col>
      <xdr:colOff>16307</xdr:colOff>
      <xdr:row>139</xdr:row>
      <xdr:rowOff>174699</xdr:rowOff>
    </xdr:to>
    <xdr:pic>
      <xdr:nvPicPr>
        <xdr:cNvPr id="7" name="Picture 6">
          <a:extLst>
            <a:ext uri="{FF2B5EF4-FFF2-40B4-BE49-F238E27FC236}">
              <a16:creationId xmlns:a16="http://schemas.microsoft.com/office/drawing/2014/main" id="{2D85E2A0-CF46-4BEC-9F99-B35E305C3241}"/>
            </a:ext>
          </a:extLst>
        </xdr:cNvPr>
        <xdr:cNvPicPr>
          <a:picLocks noChangeAspect="1"/>
        </xdr:cNvPicPr>
      </xdr:nvPicPr>
      <xdr:blipFill>
        <a:blip xmlns:r="http://schemas.openxmlformats.org/officeDocument/2006/relationships" r:embed="rId3"/>
        <a:stretch>
          <a:fillRect/>
        </a:stretch>
      </xdr:blipFill>
      <xdr:spPr>
        <a:xfrm>
          <a:off x="176893" y="28315103"/>
          <a:ext cx="173424" cy="227586"/>
        </a:xfrm>
        <a:prstGeom prst="rect">
          <a:avLst/>
        </a:prstGeom>
      </xdr:spPr>
    </xdr:pic>
    <xdr:clientData/>
  </xdr:twoCellAnchor>
  <xdr:twoCellAnchor editAs="oneCell">
    <xdr:from>
      <xdr:col>0</xdr:col>
      <xdr:colOff>149679</xdr:colOff>
      <xdr:row>198</xdr:row>
      <xdr:rowOff>136071</xdr:rowOff>
    </xdr:from>
    <xdr:to>
      <xdr:col>0</xdr:col>
      <xdr:colOff>324827</xdr:colOff>
      <xdr:row>199</xdr:row>
      <xdr:rowOff>171887</xdr:rowOff>
    </xdr:to>
    <xdr:pic>
      <xdr:nvPicPr>
        <xdr:cNvPr id="8" name="Picture 7">
          <a:extLst>
            <a:ext uri="{FF2B5EF4-FFF2-40B4-BE49-F238E27FC236}">
              <a16:creationId xmlns:a16="http://schemas.microsoft.com/office/drawing/2014/main" id="{F7F75C80-D021-44B8-9FC9-A352847EEAA4}"/>
            </a:ext>
          </a:extLst>
        </xdr:cNvPr>
        <xdr:cNvPicPr>
          <a:picLocks noChangeAspect="1"/>
        </xdr:cNvPicPr>
      </xdr:nvPicPr>
      <xdr:blipFill>
        <a:blip xmlns:r="http://schemas.openxmlformats.org/officeDocument/2006/relationships" r:embed="rId3"/>
        <a:stretch>
          <a:fillRect/>
        </a:stretch>
      </xdr:blipFill>
      <xdr:spPr>
        <a:xfrm>
          <a:off x="149679" y="40379196"/>
          <a:ext cx="170703" cy="227586"/>
        </a:xfrm>
        <a:prstGeom prst="rect">
          <a:avLst/>
        </a:prstGeom>
      </xdr:spPr>
    </xdr:pic>
    <xdr:clientData/>
  </xdr:twoCellAnchor>
  <xdr:twoCellAnchor editAs="oneCell">
    <xdr:from>
      <xdr:col>0</xdr:col>
      <xdr:colOff>190500</xdr:colOff>
      <xdr:row>312</xdr:row>
      <xdr:rowOff>122465</xdr:rowOff>
    </xdr:from>
    <xdr:to>
      <xdr:col>1</xdr:col>
      <xdr:colOff>21024</xdr:colOff>
      <xdr:row>313</xdr:row>
      <xdr:rowOff>150026</xdr:rowOff>
    </xdr:to>
    <xdr:pic>
      <xdr:nvPicPr>
        <xdr:cNvPr id="9" name="Picture 8">
          <a:extLst>
            <a:ext uri="{FF2B5EF4-FFF2-40B4-BE49-F238E27FC236}">
              <a16:creationId xmlns:a16="http://schemas.microsoft.com/office/drawing/2014/main" id="{D6A9A4DF-0BBA-48E6-9846-8B1474BD3B1D}"/>
            </a:ext>
          </a:extLst>
        </xdr:cNvPr>
        <xdr:cNvPicPr>
          <a:picLocks noChangeAspect="1"/>
        </xdr:cNvPicPr>
      </xdr:nvPicPr>
      <xdr:blipFill>
        <a:blip xmlns:r="http://schemas.openxmlformats.org/officeDocument/2006/relationships" r:embed="rId3"/>
        <a:stretch>
          <a:fillRect/>
        </a:stretch>
      </xdr:blipFill>
      <xdr:spPr>
        <a:xfrm>
          <a:off x="190500" y="60491915"/>
          <a:ext cx="173424" cy="227586"/>
        </a:xfrm>
        <a:prstGeom prst="rect">
          <a:avLst/>
        </a:prstGeom>
      </xdr:spPr>
    </xdr:pic>
    <xdr:clientData/>
  </xdr:twoCellAnchor>
  <xdr:twoCellAnchor editAs="oneCell">
    <xdr:from>
      <xdr:col>22</xdr:col>
      <xdr:colOff>68036</xdr:colOff>
      <xdr:row>61</xdr:row>
      <xdr:rowOff>13607</xdr:rowOff>
    </xdr:from>
    <xdr:to>
      <xdr:col>22</xdr:col>
      <xdr:colOff>897164</xdr:colOff>
      <xdr:row>62</xdr:row>
      <xdr:rowOff>93878</xdr:rowOff>
    </xdr:to>
    <xdr:pic>
      <xdr:nvPicPr>
        <xdr:cNvPr id="10" name="Picture 9">
          <a:extLst>
            <a:ext uri="{FF2B5EF4-FFF2-40B4-BE49-F238E27FC236}">
              <a16:creationId xmlns:a16="http://schemas.microsoft.com/office/drawing/2014/main" id="{C7AB0251-2F21-4D26-81BF-196281CC0EF5}"/>
            </a:ext>
          </a:extLst>
        </xdr:cNvPr>
        <xdr:cNvPicPr>
          <a:picLocks noChangeAspect="1"/>
        </xdr:cNvPicPr>
      </xdr:nvPicPr>
      <xdr:blipFill>
        <a:blip xmlns:r="http://schemas.openxmlformats.org/officeDocument/2006/relationships" r:embed="rId4"/>
        <a:stretch>
          <a:fillRect/>
        </a:stretch>
      </xdr:blipFill>
      <xdr:spPr>
        <a:xfrm>
          <a:off x="24213911" y="12329432"/>
          <a:ext cx="829128" cy="288551"/>
        </a:xfrm>
        <a:prstGeom prst="rect">
          <a:avLst/>
        </a:prstGeom>
      </xdr:spPr>
    </xdr:pic>
    <xdr:clientData/>
  </xdr:twoCellAnchor>
  <xdr:twoCellAnchor editAs="oneCell">
    <xdr:from>
      <xdr:col>22</xdr:col>
      <xdr:colOff>68036</xdr:colOff>
      <xdr:row>138</xdr:row>
      <xdr:rowOff>68035</xdr:rowOff>
    </xdr:from>
    <xdr:to>
      <xdr:col>22</xdr:col>
      <xdr:colOff>897164</xdr:colOff>
      <xdr:row>139</xdr:row>
      <xdr:rowOff>169261</xdr:rowOff>
    </xdr:to>
    <xdr:pic>
      <xdr:nvPicPr>
        <xdr:cNvPr id="11" name="Picture 10">
          <a:extLst>
            <a:ext uri="{FF2B5EF4-FFF2-40B4-BE49-F238E27FC236}">
              <a16:creationId xmlns:a16="http://schemas.microsoft.com/office/drawing/2014/main" id="{330AE0D5-FA92-44A4-ADB6-42A6360A50B8}"/>
            </a:ext>
          </a:extLst>
        </xdr:cNvPr>
        <xdr:cNvPicPr>
          <a:picLocks noChangeAspect="1"/>
        </xdr:cNvPicPr>
      </xdr:nvPicPr>
      <xdr:blipFill>
        <a:blip xmlns:r="http://schemas.openxmlformats.org/officeDocument/2006/relationships" r:embed="rId4"/>
        <a:stretch>
          <a:fillRect/>
        </a:stretch>
      </xdr:blipFill>
      <xdr:spPr>
        <a:xfrm>
          <a:off x="24213911" y="28233460"/>
          <a:ext cx="829128" cy="288551"/>
        </a:xfrm>
        <a:prstGeom prst="rect">
          <a:avLst/>
        </a:prstGeom>
      </xdr:spPr>
    </xdr:pic>
    <xdr:clientData/>
  </xdr:twoCellAnchor>
  <xdr:twoCellAnchor editAs="oneCell">
    <xdr:from>
      <xdr:col>22</xdr:col>
      <xdr:colOff>68035</xdr:colOff>
      <xdr:row>198</xdr:row>
      <xdr:rowOff>27214</xdr:rowOff>
    </xdr:from>
    <xdr:to>
      <xdr:col>22</xdr:col>
      <xdr:colOff>897163</xdr:colOff>
      <xdr:row>199</xdr:row>
      <xdr:rowOff>115740</xdr:rowOff>
    </xdr:to>
    <xdr:pic>
      <xdr:nvPicPr>
        <xdr:cNvPr id="12" name="Picture 11">
          <a:extLst>
            <a:ext uri="{FF2B5EF4-FFF2-40B4-BE49-F238E27FC236}">
              <a16:creationId xmlns:a16="http://schemas.microsoft.com/office/drawing/2014/main" id="{87A965E9-3AFB-431B-ADB6-7475DCF1D1E6}"/>
            </a:ext>
          </a:extLst>
        </xdr:cNvPr>
        <xdr:cNvPicPr>
          <a:picLocks noChangeAspect="1"/>
        </xdr:cNvPicPr>
      </xdr:nvPicPr>
      <xdr:blipFill>
        <a:blip xmlns:r="http://schemas.openxmlformats.org/officeDocument/2006/relationships" r:embed="rId4"/>
        <a:stretch>
          <a:fillRect/>
        </a:stretch>
      </xdr:blipFill>
      <xdr:spPr>
        <a:xfrm>
          <a:off x="24213910" y="40270339"/>
          <a:ext cx="829128" cy="288551"/>
        </a:xfrm>
        <a:prstGeom prst="rect">
          <a:avLst/>
        </a:prstGeom>
      </xdr:spPr>
    </xdr:pic>
    <xdr:clientData/>
  </xdr:twoCellAnchor>
  <xdr:twoCellAnchor editAs="oneCell">
    <xdr:from>
      <xdr:col>22</xdr:col>
      <xdr:colOff>40821</xdr:colOff>
      <xdr:row>311</xdr:row>
      <xdr:rowOff>217714</xdr:rowOff>
    </xdr:from>
    <xdr:to>
      <xdr:col>22</xdr:col>
      <xdr:colOff>861059</xdr:colOff>
      <xdr:row>313</xdr:row>
      <xdr:rowOff>56866</xdr:rowOff>
    </xdr:to>
    <xdr:pic>
      <xdr:nvPicPr>
        <xdr:cNvPr id="13" name="Picture 12">
          <a:extLst>
            <a:ext uri="{FF2B5EF4-FFF2-40B4-BE49-F238E27FC236}">
              <a16:creationId xmlns:a16="http://schemas.microsoft.com/office/drawing/2014/main" id="{9570FB2B-EAF4-4108-9328-7ED21594B603}"/>
            </a:ext>
          </a:extLst>
        </xdr:cNvPr>
        <xdr:cNvPicPr>
          <a:picLocks noChangeAspect="1"/>
        </xdr:cNvPicPr>
      </xdr:nvPicPr>
      <xdr:blipFill>
        <a:blip xmlns:r="http://schemas.openxmlformats.org/officeDocument/2006/relationships" r:embed="rId4"/>
        <a:stretch>
          <a:fillRect/>
        </a:stretch>
      </xdr:blipFill>
      <xdr:spPr>
        <a:xfrm>
          <a:off x="24186696" y="60349039"/>
          <a:ext cx="829128" cy="28174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22</xdr:col>
      <xdr:colOff>1095375</xdr:colOff>
      <xdr:row>324</xdr:row>
      <xdr:rowOff>123825</xdr:rowOff>
    </xdr:from>
    <xdr:to>
      <xdr:col>22</xdr:col>
      <xdr:colOff>1895475</xdr:colOff>
      <xdr:row>325</xdr:row>
      <xdr:rowOff>152400</xdr:rowOff>
    </xdr:to>
    <xdr:pic>
      <xdr:nvPicPr>
        <xdr:cNvPr id="2" name="Picture 1" descr="C:\WINDOWS\TEMP\~0003946.gif">
          <a:extLst>
            <a:ext uri="{FF2B5EF4-FFF2-40B4-BE49-F238E27FC236}">
              <a16:creationId xmlns:a16="http://schemas.microsoft.com/office/drawing/2014/main" id="{09B1D0C5-A0A9-44F3-922F-51BEB171FE0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09375" y="632142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3" name="Picture 2" descr="C:\WINDOWS\TEMP\~0003946.gif">
          <a:extLst>
            <a:ext uri="{FF2B5EF4-FFF2-40B4-BE49-F238E27FC236}">
              <a16:creationId xmlns:a16="http://schemas.microsoft.com/office/drawing/2014/main" id="{8C64416A-3DE0-4B6A-9BD2-9B459B1162E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12550" y="403288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138</xdr:row>
      <xdr:rowOff>161925</xdr:rowOff>
    </xdr:from>
    <xdr:to>
      <xdr:col>22</xdr:col>
      <xdr:colOff>1952625</xdr:colOff>
      <xdr:row>139</xdr:row>
      <xdr:rowOff>190500</xdr:rowOff>
    </xdr:to>
    <xdr:pic>
      <xdr:nvPicPr>
        <xdr:cNvPr id="4" name="Picture 3" descr="C:\WINDOWS\TEMP\~0003946.gif">
          <a:extLst>
            <a:ext uri="{FF2B5EF4-FFF2-40B4-BE49-F238E27FC236}">
              <a16:creationId xmlns:a16="http://schemas.microsoft.com/office/drawing/2014/main" id="{A8C85D56-8480-4AEC-A38A-688909870E4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09375" y="2829560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A31D6C46-A83B-47E0-91FF-F0A19B569DE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09375" y="124650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149679</xdr:colOff>
      <xdr:row>61</xdr:row>
      <xdr:rowOff>136071</xdr:rowOff>
    </xdr:from>
    <xdr:to>
      <xdr:col>0</xdr:col>
      <xdr:colOff>324827</xdr:colOff>
      <xdr:row>62</xdr:row>
      <xdr:rowOff>171887</xdr:rowOff>
    </xdr:to>
    <xdr:pic>
      <xdr:nvPicPr>
        <xdr:cNvPr id="6" name="Picture 5">
          <a:extLst>
            <a:ext uri="{FF2B5EF4-FFF2-40B4-BE49-F238E27FC236}">
              <a16:creationId xmlns:a16="http://schemas.microsoft.com/office/drawing/2014/main" id="{A83B3A37-2967-4790-ADE6-CAFF59BE01B3}"/>
            </a:ext>
          </a:extLst>
        </xdr:cNvPr>
        <xdr:cNvPicPr>
          <a:picLocks noChangeAspect="1"/>
        </xdr:cNvPicPr>
      </xdr:nvPicPr>
      <xdr:blipFill>
        <a:blip xmlns:r="http://schemas.openxmlformats.org/officeDocument/2006/relationships" r:embed="rId3"/>
        <a:stretch>
          <a:fillRect/>
        </a:stretch>
      </xdr:blipFill>
      <xdr:spPr>
        <a:xfrm>
          <a:off x="149679" y="12442371"/>
          <a:ext cx="175148" cy="235841"/>
        </a:xfrm>
        <a:prstGeom prst="rect">
          <a:avLst/>
        </a:prstGeom>
      </xdr:spPr>
    </xdr:pic>
    <xdr:clientData/>
  </xdr:twoCellAnchor>
  <xdr:twoCellAnchor editAs="oneCell">
    <xdr:from>
      <xdr:col>0</xdr:col>
      <xdr:colOff>176893</xdr:colOff>
      <xdr:row>138</xdr:row>
      <xdr:rowOff>149678</xdr:rowOff>
    </xdr:from>
    <xdr:to>
      <xdr:col>1</xdr:col>
      <xdr:colOff>16307</xdr:colOff>
      <xdr:row>139</xdr:row>
      <xdr:rowOff>177874</xdr:rowOff>
    </xdr:to>
    <xdr:pic>
      <xdr:nvPicPr>
        <xdr:cNvPr id="7" name="Picture 6">
          <a:extLst>
            <a:ext uri="{FF2B5EF4-FFF2-40B4-BE49-F238E27FC236}">
              <a16:creationId xmlns:a16="http://schemas.microsoft.com/office/drawing/2014/main" id="{23E41533-25E7-44CB-A502-973BBCB5D52A}"/>
            </a:ext>
          </a:extLst>
        </xdr:cNvPr>
        <xdr:cNvPicPr>
          <a:picLocks noChangeAspect="1"/>
        </xdr:cNvPicPr>
      </xdr:nvPicPr>
      <xdr:blipFill>
        <a:blip xmlns:r="http://schemas.openxmlformats.org/officeDocument/2006/relationships" r:embed="rId3"/>
        <a:stretch>
          <a:fillRect/>
        </a:stretch>
      </xdr:blipFill>
      <xdr:spPr>
        <a:xfrm>
          <a:off x="180068" y="28286528"/>
          <a:ext cx="169614" cy="228221"/>
        </a:xfrm>
        <a:prstGeom prst="rect">
          <a:avLst/>
        </a:prstGeom>
      </xdr:spPr>
    </xdr:pic>
    <xdr:clientData/>
  </xdr:twoCellAnchor>
  <xdr:twoCellAnchor editAs="oneCell">
    <xdr:from>
      <xdr:col>0</xdr:col>
      <xdr:colOff>149679</xdr:colOff>
      <xdr:row>198</xdr:row>
      <xdr:rowOff>136071</xdr:rowOff>
    </xdr:from>
    <xdr:to>
      <xdr:col>0</xdr:col>
      <xdr:colOff>324827</xdr:colOff>
      <xdr:row>199</xdr:row>
      <xdr:rowOff>171887</xdr:rowOff>
    </xdr:to>
    <xdr:pic>
      <xdr:nvPicPr>
        <xdr:cNvPr id="8" name="Picture 7">
          <a:extLst>
            <a:ext uri="{FF2B5EF4-FFF2-40B4-BE49-F238E27FC236}">
              <a16:creationId xmlns:a16="http://schemas.microsoft.com/office/drawing/2014/main" id="{B4C41A64-3A07-476A-B107-5A67DE18CD6E}"/>
            </a:ext>
          </a:extLst>
        </xdr:cNvPr>
        <xdr:cNvPicPr>
          <a:picLocks noChangeAspect="1"/>
        </xdr:cNvPicPr>
      </xdr:nvPicPr>
      <xdr:blipFill>
        <a:blip xmlns:r="http://schemas.openxmlformats.org/officeDocument/2006/relationships" r:embed="rId3"/>
        <a:stretch>
          <a:fillRect/>
        </a:stretch>
      </xdr:blipFill>
      <xdr:spPr>
        <a:xfrm>
          <a:off x="149679" y="40312521"/>
          <a:ext cx="175148" cy="235841"/>
        </a:xfrm>
        <a:prstGeom prst="rect">
          <a:avLst/>
        </a:prstGeom>
      </xdr:spPr>
    </xdr:pic>
    <xdr:clientData/>
  </xdr:twoCellAnchor>
  <xdr:twoCellAnchor editAs="oneCell">
    <xdr:from>
      <xdr:col>0</xdr:col>
      <xdr:colOff>190500</xdr:colOff>
      <xdr:row>324</xdr:row>
      <xdr:rowOff>122465</xdr:rowOff>
    </xdr:from>
    <xdr:to>
      <xdr:col>1</xdr:col>
      <xdr:colOff>21024</xdr:colOff>
      <xdr:row>325</xdr:row>
      <xdr:rowOff>150026</xdr:rowOff>
    </xdr:to>
    <xdr:pic>
      <xdr:nvPicPr>
        <xdr:cNvPr id="9" name="Picture 8">
          <a:extLst>
            <a:ext uri="{FF2B5EF4-FFF2-40B4-BE49-F238E27FC236}">
              <a16:creationId xmlns:a16="http://schemas.microsoft.com/office/drawing/2014/main" id="{6819AB17-523A-4E33-8AF1-E2D02A06A812}"/>
            </a:ext>
          </a:extLst>
        </xdr:cNvPr>
        <xdr:cNvPicPr>
          <a:picLocks noChangeAspect="1"/>
        </xdr:cNvPicPr>
      </xdr:nvPicPr>
      <xdr:blipFill>
        <a:blip xmlns:r="http://schemas.openxmlformats.org/officeDocument/2006/relationships" r:embed="rId3"/>
        <a:stretch>
          <a:fillRect/>
        </a:stretch>
      </xdr:blipFill>
      <xdr:spPr>
        <a:xfrm>
          <a:off x="190500" y="63219240"/>
          <a:ext cx="163899" cy="224411"/>
        </a:xfrm>
        <a:prstGeom prst="rect">
          <a:avLst/>
        </a:prstGeom>
      </xdr:spPr>
    </xdr:pic>
    <xdr:clientData/>
  </xdr:twoCellAnchor>
  <xdr:twoCellAnchor editAs="oneCell">
    <xdr:from>
      <xdr:col>22</xdr:col>
      <xdr:colOff>68036</xdr:colOff>
      <xdr:row>61</xdr:row>
      <xdr:rowOff>13607</xdr:rowOff>
    </xdr:from>
    <xdr:to>
      <xdr:col>22</xdr:col>
      <xdr:colOff>897164</xdr:colOff>
      <xdr:row>62</xdr:row>
      <xdr:rowOff>93878</xdr:rowOff>
    </xdr:to>
    <xdr:pic>
      <xdr:nvPicPr>
        <xdr:cNvPr id="10" name="Picture 9">
          <a:extLst>
            <a:ext uri="{FF2B5EF4-FFF2-40B4-BE49-F238E27FC236}">
              <a16:creationId xmlns:a16="http://schemas.microsoft.com/office/drawing/2014/main" id="{751A03E5-66CC-4EAE-8D21-246FB786C59A}"/>
            </a:ext>
          </a:extLst>
        </xdr:cNvPr>
        <xdr:cNvPicPr>
          <a:picLocks noChangeAspect="1"/>
        </xdr:cNvPicPr>
      </xdr:nvPicPr>
      <xdr:blipFill>
        <a:blip xmlns:r="http://schemas.openxmlformats.org/officeDocument/2006/relationships" r:embed="rId4"/>
        <a:stretch>
          <a:fillRect/>
        </a:stretch>
      </xdr:blipFill>
      <xdr:spPr>
        <a:xfrm>
          <a:off x="23296336" y="12316732"/>
          <a:ext cx="832303" cy="283471"/>
        </a:xfrm>
        <a:prstGeom prst="rect">
          <a:avLst/>
        </a:prstGeom>
      </xdr:spPr>
    </xdr:pic>
    <xdr:clientData/>
  </xdr:twoCellAnchor>
  <xdr:twoCellAnchor editAs="oneCell">
    <xdr:from>
      <xdr:col>22</xdr:col>
      <xdr:colOff>68036</xdr:colOff>
      <xdr:row>138</xdr:row>
      <xdr:rowOff>68035</xdr:rowOff>
    </xdr:from>
    <xdr:to>
      <xdr:col>22</xdr:col>
      <xdr:colOff>897164</xdr:colOff>
      <xdr:row>139</xdr:row>
      <xdr:rowOff>169261</xdr:rowOff>
    </xdr:to>
    <xdr:pic>
      <xdr:nvPicPr>
        <xdr:cNvPr id="11" name="Picture 10">
          <a:extLst>
            <a:ext uri="{FF2B5EF4-FFF2-40B4-BE49-F238E27FC236}">
              <a16:creationId xmlns:a16="http://schemas.microsoft.com/office/drawing/2014/main" id="{7F1BC5D0-7226-4EA5-B020-274150B6903A}"/>
            </a:ext>
          </a:extLst>
        </xdr:cNvPr>
        <xdr:cNvPicPr>
          <a:picLocks noChangeAspect="1"/>
        </xdr:cNvPicPr>
      </xdr:nvPicPr>
      <xdr:blipFill>
        <a:blip xmlns:r="http://schemas.openxmlformats.org/officeDocument/2006/relationships" r:embed="rId4"/>
        <a:stretch>
          <a:fillRect/>
        </a:stretch>
      </xdr:blipFill>
      <xdr:spPr>
        <a:xfrm>
          <a:off x="23296336" y="28201710"/>
          <a:ext cx="832303" cy="304426"/>
        </a:xfrm>
        <a:prstGeom prst="rect">
          <a:avLst/>
        </a:prstGeom>
      </xdr:spPr>
    </xdr:pic>
    <xdr:clientData/>
  </xdr:twoCellAnchor>
  <xdr:twoCellAnchor editAs="oneCell">
    <xdr:from>
      <xdr:col>22</xdr:col>
      <xdr:colOff>68035</xdr:colOff>
      <xdr:row>198</xdr:row>
      <xdr:rowOff>27214</xdr:rowOff>
    </xdr:from>
    <xdr:to>
      <xdr:col>22</xdr:col>
      <xdr:colOff>897163</xdr:colOff>
      <xdr:row>199</xdr:row>
      <xdr:rowOff>115740</xdr:rowOff>
    </xdr:to>
    <xdr:pic>
      <xdr:nvPicPr>
        <xdr:cNvPr id="12" name="Picture 11">
          <a:extLst>
            <a:ext uri="{FF2B5EF4-FFF2-40B4-BE49-F238E27FC236}">
              <a16:creationId xmlns:a16="http://schemas.microsoft.com/office/drawing/2014/main" id="{80F0070D-8A36-41EC-BA4E-F819B0AA78FA}"/>
            </a:ext>
          </a:extLst>
        </xdr:cNvPr>
        <xdr:cNvPicPr>
          <a:picLocks noChangeAspect="1"/>
        </xdr:cNvPicPr>
      </xdr:nvPicPr>
      <xdr:blipFill>
        <a:blip xmlns:r="http://schemas.openxmlformats.org/officeDocument/2006/relationships" r:embed="rId4"/>
        <a:stretch>
          <a:fillRect/>
        </a:stretch>
      </xdr:blipFill>
      <xdr:spPr>
        <a:xfrm>
          <a:off x="23296335" y="40206839"/>
          <a:ext cx="832303" cy="285376"/>
        </a:xfrm>
        <a:prstGeom prst="rect">
          <a:avLst/>
        </a:prstGeom>
      </xdr:spPr>
    </xdr:pic>
    <xdr:clientData/>
  </xdr:twoCellAnchor>
  <xdr:twoCellAnchor editAs="oneCell">
    <xdr:from>
      <xdr:col>22</xdr:col>
      <xdr:colOff>40821</xdr:colOff>
      <xdr:row>323</xdr:row>
      <xdr:rowOff>217714</xdr:rowOff>
    </xdr:from>
    <xdr:to>
      <xdr:col>22</xdr:col>
      <xdr:colOff>864234</xdr:colOff>
      <xdr:row>325</xdr:row>
      <xdr:rowOff>56866</xdr:rowOff>
    </xdr:to>
    <xdr:pic>
      <xdr:nvPicPr>
        <xdr:cNvPr id="13" name="Picture 12">
          <a:extLst>
            <a:ext uri="{FF2B5EF4-FFF2-40B4-BE49-F238E27FC236}">
              <a16:creationId xmlns:a16="http://schemas.microsoft.com/office/drawing/2014/main" id="{4CC52D25-79EE-414D-BE4C-DCCE22DA91AB}"/>
            </a:ext>
          </a:extLst>
        </xdr:cNvPr>
        <xdr:cNvPicPr>
          <a:picLocks noChangeAspect="1"/>
        </xdr:cNvPicPr>
      </xdr:nvPicPr>
      <xdr:blipFill>
        <a:blip xmlns:r="http://schemas.openxmlformats.org/officeDocument/2006/relationships" r:embed="rId4"/>
        <a:stretch>
          <a:fillRect/>
        </a:stretch>
      </xdr:blipFill>
      <xdr:spPr>
        <a:xfrm>
          <a:off x="23272296" y="63076364"/>
          <a:ext cx="823413" cy="27412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22</xdr:col>
      <xdr:colOff>1095375</xdr:colOff>
      <xdr:row>324</xdr:row>
      <xdr:rowOff>123825</xdr:rowOff>
    </xdr:from>
    <xdr:to>
      <xdr:col>22</xdr:col>
      <xdr:colOff>1895475</xdr:colOff>
      <xdr:row>325</xdr:row>
      <xdr:rowOff>152400</xdr:rowOff>
    </xdr:to>
    <xdr:pic>
      <xdr:nvPicPr>
        <xdr:cNvPr id="2" name="Picture 1" descr="C:\WINDOWS\TEMP\~0003946.gif">
          <a:extLst>
            <a:ext uri="{FF2B5EF4-FFF2-40B4-BE49-F238E27FC236}">
              <a16:creationId xmlns:a16="http://schemas.microsoft.com/office/drawing/2014/main" id="{46F6483A-5925-4BE6-B77E-6BEFFC2DE98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09375" y="656145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3" name="Picture 2" descr="C:\WINDOWS\TEMP\~0003946.gif">
          <a:extLst>
            <a:ext uri="{FF2B5EF4-FFF2-40B4-BE49-F238E27FC236}">
              <a16:creationId xmlns:a16="http://schemas.microsoft.com/office/drawing/2014/main" id="{AA0DF99B-ABBA-431D-BD1B-4A8A9B07327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12550" y="403288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138</xdr:row>
      <xdr:rowOff>161925</xdr:rowOff>
    </xdr:from>
    <xdr:to>
      <xdr:col>22</xdr:col>
      <xdr:colOff>1952625</xdr:colOff>
      <xdr:row>139</xdr:row>
      <xdr:rowOff>190500</xdr:rowOff>
    </xdr:to>
    <xdr:pic>
      <xdr:nvPicPr>
        <xdr:cNvPr id="4" name="Picture 3" descr="C:\WINDOWS\TEMP\~0003946.gif">
          <a:extLst>
            <a:ext uri="{FF2B5EF4-FFF2-40B4-BE49-F238E27FC236}">
              <a16:creationId xmlns:a16="http://schemas.microsoft.com/office/drawing/2014/main" id="{B4D7E829-EA5D-4046-B157-A83C9C6D3A0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09375" y="2829560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7A20B7E7-5E58-49CC-BFB9-374FE23676D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09375" y="124650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149679</xdr:colOff>
      <xdr:row>61</xdr:row>
      <xdr:rowOff>136071</xdr:rowOff>
    </xdr:from>
    <xdr:to>
      <xdr:col>0</xdr:col>
      <xdr:colOff>324827</xdr:colOff>
      <xdr:row>62</xdr:row>
      <xdr:rowOff>171887</xdr:rowOff>
    </xdr:to>
    <xdr:pic>
      <xdr:nvPicPr>
        <xdr:cNvPr id="6" name="Picture 5">
          <a:extLst>
            <a:ext uri="{FF2B5EF4-FFF2-40B4-BE49-F238E27FC236}">
              <a16:creationId xmlns:a16="http://schemas.microsoft.com/office/drawing/2014/main" id="{56AF9C69-69BB-4AA1-A36F-F796973DC65E}"/>
            </a:ext>
          </a:extLst>
        </xdr:cNvPr>
        <xdr:cNvPicPr>
          <a:picLocks noChangeAspect="1"/>
        </xdr:cNvPicPr>
      </xdr:nvPicPr>
      <xdr:blipFill>
        <a:blip xmlns:r="http://schemas.openxmlformats.org/officeDocument/2006/relationships" r:embed="rId3"/>
        <a:stretch>
          <a:fillRect/>
        </a:stretch>
      </xdr:blipFill>
      <xdr:spPr>
        <a:xfrm>
          <a:off x="149679" y="12442371"/>
          <a:ext cx="175148" cy="235841"/>
        </a:xfrm>
        <a:prstGeom prst="rect">
          <a:avLst/>
        </a:prstGeom>
      </xdr:spPr>
    </xdr:pic>
    <xdr:clientData/>
  </xdr:twoCellAnchor>
  <xdr:twoCellAnchor editAs="oneCell">
    <xdr:from>
      <xdr:col>0</xdr:col>
      <xdr:colOff>176893</xdr:colOff>
      <xdr:row>138</xdr:row>
      <xdr:rowOff>149678</xdr:rowOff>
    </xdr:from>
    <xdr:to>
      <xdr:col>1</xdr:col>
      <xdr:colOff>16307</xdr:colOff>
      <xdr:row>139</xdr:row>
      <xdr:rowOff>177874</xdr:rowOff>
    </xdr:to>
    <xdr:pic>
      <xdr:nvPicPr>
        <xdr:cNvPr id="7" name="Picture 6">
          <a:extLst>
            <a:ext uri="{FF2B5EF4-FFF2-40B4-BE49-F238E27FC236}">
              <a16:creationId xmlns:a16="http://schemas.microsoft.com/office/drawing/2014/main" id="{E969C094-4749-40B4-9524-D344A58C0741}"/>
            </a:ext>
          </a:extLst>
        </xdr:cNvPr>
        <xdr:cNvPicPr>
          <a:picLocks noChangeAspect="1"/>
        </xdr:cNvPicPr>
      </xdr:nvPicPr>
      <xdr:blipFill>
        <a:blip xmlns:r="http://schemas.openxmlformats.org/officeDocument/2006/relationships" r:embed="rId3"/>
        <a:stretch>
          <a:fillRect/>
        </a:stretch>
      </xdr:blipFill>
      <xdr:spPr>
        <a:xfrm>
          <a:off x="180068" y="28286528"/>
          <a:ext cx="169614" cy="231396"/>
        </a:xfrm>
        <a:prstGeom prst="rect">
          <a:avLst/>
        </a:prstGeom>
      </xdr:spPr>
    </xdr:pic>
    <xdr:clientData/>
  </xdr:twoCellAnchor>
  <xdr:twoCellAnchor editAs="oneCell">
    <xdr:from>
      <xdr:col>0</xdr:col>
      <xdr:colOff>149679</xdr:colOff>
      <xdr:row>198</xdr:row>
      <xdr:rowOff>136071</xdr:rowOff>
    </xdr:from>
    <xdr:to>
      <xdr:col>0</xdr:col>
      <xdr:colOff>324827</xdr:colOff>
      <xdr:row>199</xdr:row>
      <xdr:rowOff>171887</xdr:rowOff>
    </xdr:to>
    <xdr:pic>
      <xdr:nvPicPr>
        <xdr:cNvPr id="8" name="Picture 7">
          <a:extLst>
            <a:ext uri="{FF2B5EF4-FFF2-40B4-BE49-F238E27FC236}">
              <a16:creationId xmlns:a16="http://schemas.microsoft.com/office/drawing/2014/main" id="{B92AE3E7-9724-435B-8465-71F6ACC9CB45}"/>
            </a:ext>
          </a:extLst>
        </xdr:cNvPr>
        <xdr:cNvPicPr>
          <a:picLocks noChangeAspect="1"/>
        </xdr:cNvPicPr>
      </xdr:nvPicPr>
      <xdr:blipFill>
        <a:blip xmlns:r="http://schemas.openxmlformats.org/officeDocument/2006/relationships" r:embed="rId3"/>
        <a:stretch>
          <a:fillRect/>
        </a:stretch>
      </xdr:blipFill>
      <xdr:spPr>
        <a:xfrm>
          <a:off x="149679" y="40312521"/>
          <a:ext cx="175148" cy="235841"/>
        </a:xfrm>
        <a:prstGeom prst="rect">
          <a:avLst/>
        </a:prstGeom>
      </xdr:spPr>
    </xdr:pic>
    <xdr:clientData/>
  </xdr:twoCellAnchor>
  <xdr:twoCellAnchor editAs="oneCell">
    <xdr:from>
      <xdr:col>0</xdr:col>
      <xdr:colOff>190500</xdr:colOff>
      <xdr:row>324</xdr:row>
      <xdr:rowOff>122465</xdr:rowOff>
    </xdr:from>
    <xdr:to>
      <xdr:col>1</xdr:col>
      <xdr:colOff>21024</xdr:colOff>
      <xdr:row>325</xdr:row>
      <xdr:rowOff>150026</xdr:rowOff>
    </xdr:to>
    <xdr:pic>
      <xdr:nvPicPr>
        <xdr:cNvPr id="9" name="Picture 8">
          <a:extLst>
            <a:ext uri="{FF2B5EF4-FFF2-40B4-BE49-F238E27FC236}">
              <a16:creationId xmlns:a16="http://schemas.microsoft.com/office/drawing/2014/main" id="{DE584888-7A8D-4F41-92F6-49D3BDE9F66E}"/>
            </a:ext>
          </a:extLst>
        </xdr:cNvPr>
        <xdr:cNvPicPr>
          <a:picLocks noChangeAspect="1"/>
        </xdr:cNvPicPr>
      </xdr:nvPicPr>
      <xdr:blipFill>
        <a:blip xmlns:r="http://schemas.openxmlformats.org/officeDocument/2006/relationships" r:embed="rId3"/>
        <a:stretch>
          <a:fillRect/>
        </a:stretch>
      </xdr:blipFill>
      <xdr:spPr>
        <a:xfrm>
          <a:off x="190500" y="65619540"/>
          <a:ext cx="163899" cy="224411"/>
        </a:xfrm>
        <a:prstGeom prst="rect">
          <a:avLst/>
        </a:prstGeom>
      </xdr:spPr>
    </xdr:pic>
    <xdr:clientData/>
  </xdr:twoCellAnchor>
  <xdr:twoCellAnchor editAs="oneCell">
    <xdr:from>
      <xdr:col>22</xdr:col>
      <xdr:colOff>68036</xdr:colOff>
      <xdr:row>61</xdr:row>
      <xdr:rowOff>13607</xdr:rowOff>
    </xdr:from>
    <xdr:to>
      <xdr:col>22</xdr:col>
      <xdr:colOff>897164</xdr:colOff>
      <xdr:row>62</xdr:row>
      <xdr:rowOff>93878</xdr:rowOff>
    </xdr:to>
    <xdr:pic>
      <xdr:nvPicPr>
        <xdr:cNvPr id="10" name="Picture 9">
          <a:extLst>
            <a:ext uri="{FF2B5EF4-FFF2-40B4-BE49-F238E27FC236}">
              <a16:creationId xmlns:a16="http://schemas.microsoft.com/office/drawing/2014/main" id="{26894C03-C3A4-43CB-B830-D9E1A5FF5459}"/>
            </a:ext>
          </a:extLst>
        </xdr:cNvPr>
        <xdr:cNvPicPr>
          <a:picLocks noChangeAspect="1"/>
        </xdr:cNvPicPr>
      </xdr:nvPicPr>
      <xdr:blipFill>
        <a:blip xmlns:r="http://schemas.openxmlformats.org/officeDocument/2006/relationships" r:embed="rId4"/>
        <a:stretch>
          <a:fillRect/>
        </a:stretch>
      </xdr:blipFill>
      <xdr:spPr>
        <a:xfrm>
          <a:off x="23296336" y="12316732"/>
          <a:ext cx="832303" cy="283471"/>
        </a:xfrm>
        <a:prstGeom prst="rect">
          <a:avLst/>
        </a:prstGeom>
      </xdr:spPr>
    </xdr:pic>
    <xdr:clientData/>
  </xdr:twoCellAnchor>
  <xdr:twoCellAnchor editAs="oneCell">
    <xdr:from>
      <xdr:col>22</xdr:col>
      <xdr:colOff>68036</xdr:colOff>
      <xdr:row>138</xdr:row>
      <xdr:rowOff>68035</xdr:rowOff>
    </xdr:from>
    <xdr:to>
      <xdr:col>22</xdr:col>
      <xdr:colOff>897164</xdr:colOff>
      <xdr:row>139</xdr:row>
      <xdr:rowOff>169261</xdr:rowOff>
    </xdr:to>
    <xdr:pic>
      <xdr:nvPicPr>
        <xdr:cNvPr id="11" name="Picture 10">
          <a:extLst>
            <a:ext uri="{FF2B5EF4-FFF2-40B4-BE49-F238E27FC236}">
              <a16:creationId xmlns:a16="http://schemas.microsoft.com/office/drawing/2014/main" id="{9B063AA7-81F3-425A-9FC5-E99124A74BF9}"/>
            </a:ext>
          </a:extLst>
        </xdr:cNvPr>
        <xdr:cNvPicPr>
          <a:picLocks noChangeAspect="1"/>
        </xdr:cNvPicPr>
      </xdr:nvPicPr>
      <xdr:blipFill>
        <a:blip xmlns:r="http://schemas.openxmlformats.org/officeDocument/2006/relationships" r:embed="rId4"/>
        <a:stretch>
          <a:fillRect/>
        </a:stretch>
      </xdr:blipFill>
      <xdr:spPr>
        <a:xfrm>
          <a:off x="23296336" y="28201710"/>
          <a:ext cx="832303" cy="304426"/>
        </a:xfrm>
        <a:prstGeom prst="rect">
          <a:avLst/>
        </a:prstGeom>
      </xdr:spPr>
    </xdr:pic>
    <xdr:clientData/>
  </xdr:twoCellAnchor>
  <xdr:twoCellAnchor editAs="oneCell">
    <xdr:from>
      <xdr:col>22</xdr:col>
      <xdr:colOff>68035</xdr:colOff>
      <xdr:row>198</xdr:row>
      <xdr:rowOff>27214</xdr:rowOff>
    </xdr:from>
    <xdr:to>
      <xdr:col>22</xdr:col>
      <xdr:colOff>897163</xdr:colOff>
      <xdr:row>199</xdr:row>
      <xdr:rowOff>115740</xdr:rowOff>
    </xdr:to>
    <xdr:pic>
      <xdr:nvPicPr>
        <xdr:cNvPr id="12" name="Picture 11">
          <a:extLst>
            <a:ext uri="{FF2B5EF4-FFF2-40B4-BE49-F238E27FC236}">
              <a16:creationId xmlns:a16="http://schemas.microsoft.com/office/drawing/2014/main" id="{E1B032CA-D285-46B5-B796-A1C9673D8E28}"/>
            </a:ext>
          </a:extLst>
        </xdr:cNvPr>
        <xdr:cNvPicPr>
          <a:picLocks noChangeAspect="1"/>
        </xdr:cNvPicPr>
      </xdr:nvPicPr>
      <xdr:blipFill>
        <a:blip xmlns:r="http://schemas.openxmlformats.org/officeDocument/2006/relationships" r:embed="rId4"/>
        <a:stretch>
          <a:fillRect/>
        </a:stretch>
      </xdr:blipFill>
      <xdr:spPr>
        <a:xfrm>
          <a:off x="23296335" y="40206839"/>
          <a:ext cx="832303" cy="285376"/>
        </a:xfrm>
        <a:prstGeom prst="rect">
          <a:avLst/>
        </a:prstGeom>
      </xdr:spPr>
    </xdr:pic>
    <xdr:clientData/>
  </xdr:twoCellAnchor>
  <xdr:twoCellAnchor editAs="oneCell">
    <xdr:from>
      <xdr:col>22</xdr:col>
      <xdr:colOff>40821</xdr:colOff>
      <xdr:row>323</xdr:row>
      <xdr:rowOff>217714</xdr:rowOff>
    </xdr:from>
    <xdr:to>
      <xdr:col>22</xdr:col>
      <xdr:colOff>864234</xdr:colOff>
      <xdr:row>325</xdr:row>
      <xdr:rowOff>56866</xdr:rowOff>
    </xdr:to>
    <xdr:pic>
      <xdr:nvPicPr>
        <xdr:cNvPr id="13" name="Picture 12">
          <a:extLst>
            <a:ext uri="{FF2B5EF4-FFF2-40B4-BE49-F238E27FC236}">
              <a16:creationId xmlns:a16="http://schemas.microsoft.com/office/drawing/2014/main" id="{E15AD6E0-4801-4586-A976-8F943D1589CA}"/>
            </a:ext>
          </a:extLst>
        </xdr:cNvPr>
        <xdr:cNvPicPr>
          <a:picLocks noChangeAspect="1"/>
        </xdr:cNvPicPr>
      </xdr:nvPicPr>
      <xdr:blipFill>
        <a:blip xmlns:r="http://schemas.openxmlformats.org/officeDocument/2006/relationships" r:embed="rId4"/>
        <a:stretch>
          <a:fillRect/>
        </a:stretch>
      </xdr:blipFill>
      <xdr:spPr>
        <a:xfrm>
          <a:off x="23272296" y="65476664"/>
          <a:ext cx="826588" cy="27412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22</xdr:col>
      <xdr:colOff>1095375</xdr:colOff>
      <xdr:row>324</xdr:row>
      <xdr:rowOff>123825</xdr:rowOff>
    </xdr:from>
    <xdr:to>
      <xdr:col>22</xdr:col>
      <xdr:colOff>1895475</xdr:colOff>
      <xdr:row>325</xdr:row>
      <xdr:rowOff>152400</xdr:rowOff>
    </xdr:to>
    <xdr:pic>
      <xdr:nvPicPr>
        <xdr:cNvPr id="2" name="Picture 1" descr="C:\WINDOWS\TEMP\~0003946.gif">
          <a:extLst>
            <a:ext uri="{FF2B5EF4-FFF2-40B4-BE49-F238E27FC236}">
              <a16:creationId xmlns:a16="http://schemas.microsoft.com/office/drawing/2014/main" id="{85DD9912-918C-452C-B9DB-75162A4F2ED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09375" y="656145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198</xdr:row>
      <xdr:rowOff>152400</xdr:rowOff>
    </xdr:from>
    <xdr:to>
      <xdr:col>22</xdr:col>
      <xdr:colOff>1924050</xdr:colOff>
      <xdr:row>199</xdr:row>
      <xdr:rowOff>180975</xdr:rowOff>
    </xdr:to>
    <xdr:pic>
      <xdr:nvPicPr>
        <xdr:cNvPr id="3" name="Picture 2" descr="C:\WINDOWS\TEMP\~0003946.gif">
          <a:extLst>
            <a:ext uri="{FF2B5EF4-FFF2-40B4-BE49-F238E27FC236}">
              <a16:creationId xmlns:a16="http://schemas.microsoft.com/office/drawing/2014/main" id="{D8DC1E63-6216-4548-8F75-F320FF1919E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12550" y="403288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138</xdr:row>
      <xdr:rowOff>161925</xdr:rowOff>
    </xdr:from>
    <xdr:to>
      <xdr:col>22</xdr:col>
      <xdr:colOff>1952625</xdr:colOff>
      <xdr:row>139</xdr:row>
      <xdr:rowOff>190500</xdr:rowOff>
    </xdr:to>
    <xdr:pic>
      <xdr:nvPicPr>
        <xdr:cNvPr id="4" name="Picture 3" descr="C:\WINDOWS\TEMP\~0003946.gif">
          <a:extLst>
            <a:ext uri="{FF2B5EF4-FFF2-40B4-BE49-F238E27FC236}">
              <a16:creationId xmlns:a16="http://schemas.microsoft.com/office/drawing/2014/main" id="{47600144-6CD4-4546-A40D-32E95AA2C75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09375" y="2829560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81A9F4E6-04B9-4C12-A8AA-7E264F5EBDF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09375" y="124650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149679</xdr:colOff>
      <xdr:row>61</xdr:row>
      <xdr:rowOff>136071</xdr:rowOff>
    </xdr:from>
    <xdr:to>
      <xdr:col>0</xdr:col>
      <xdr:colOff>324827</xdr:colOff>
      <xdr:row>62</xdr:row>
      <xdr:rowOff>171887</xdr:rowOff>
    </xdr:to>
    <xdr:pic>
      <xdr:nvPicPr>
        <xdr:cNvPr id="6" name="Picture 5">
          <a:extLst>
            <a:ext uri="{FF2B5EF4-FFF2-40B4-BE49-F238E27FC236}">
              <a16:creationId xmlns:a16="http://schemas.microsoft.com/office/drawing/2014/main" id="{FE7A415E-ADEB-455C-8FE6-ECF366B5E34E}"/>
            </a:ext>
          </a:extLst>
        </xdr:cNvPr>
        <xdr:cNvPicPr>
          <a:picLocks noChangeAspect="1"/>
        </xdr:cNvPicPr>
      </xdr:nvPicPr>
      <xdr:blipFill>
        <a:blip xmlns:r="http://schemas.openxmlformats.org/officeDocument/2006/relationships" r:embed="rId3"/>
        <a:stretch>
          <a:fillRect/>
        </a:stretch>
      </xdr:blipFill>
      <xdr:spPr>
        <a:xfrm>
          <a:off x="149679" y="12442371"/>
          <a:ext cx="175148" cy="235841"/>
        </a:xfrm>
        <a:prstGeom prst="rect">
          <a:avLst/>
        </a:prstGeom>
      </xdr:spPr>
    </xdr:pic>
    <xdr:clientData/>
  </xdr:twoCellAnchor>
  <xdr:twoCellAnchor editAs="oneCell">
    <xdr:from>
      <xdr:col>0</xdr:col>
      <xdr:colOff>176893</xdr:colOff>
      <xdr:row>138</xdr:row>
      <xdr:rowOff>149678</xdr:rowOff>
    </xdr:from>
    <xdr:to>
      <xdr:col>1</xdr:col>
      <xdr:colOff>16307</xdr:colOff>
      <xdr:row>139</xdr:row>
      <xdr:rowOff>177874</xdr:rowOff>
    </xdr:to>
    <xdr:pic>
      <xdr:nvPicPr>
        <xdr:cNvPr id="7" name="Picture 6">
          <a:extLst>
            <a:ext uri="{FF2B5EF4-FFF2-40B4-BE49-F238E27FC236}">
              <a16:creationId xmlns:a16="http://schemas.microsoft.com/office/drawing/2014/main" id="{41F3393D-043C-4D3B-90AD-30268AFFE87F}"/>
            </a:ext>
          </a:extLst>
        </xdr:cNvPr>
        <xdr:cNvPicPr>
          <a:picLocks noChangeAspect="1"/>
        </xdr:cNvPicPr>
      </xdr:nvPicPr>
      <xdr:blipFill>
        <a:blip xmlns:r="http://schemas.openxmlformats.org/officeDocument/2006/relationships" r:embed="rId3"/>
        <a:stretch>
          <a:fillRect/>
        </a:stretch>
      </xdr:blipFill>
      <xdr:spPr>
        <a:xfrm>
          <a:off x="180068" y="28286528"/>
          <a:ext cx="169614" cy="231396"/>
        </a:xfrm>
        <a:prstGeom prst="rect">
          <a:avLst/>
        </a:prstGeom>
      </xdr:spPr>
    </xdr:pic>
    <xdr:clientData/>
  </xdr:twoCellAnchor>
  <xdr:twoCellAnchor editAs="oneCell">
    <xdr:from>
      <xdr:col>0</xdr:col>
      <xdr:colOff>149679</xdr:colOff>
      <xdr:row>198</xdr:row>
      <xdr:rowOff>136071</xdr:rowOff>
    </xdr:from>
    <xdr:to>
      <xdr:col>0</xdr:col>
      <xdr:colOff>324827</xdr:colOff>
      <xdr:row>199</xdr:row>
      <xdr:rowOff>171887</xdr:rowOff>
    </xdr:to>
    <xdr:pic>
      <xdr:nvPicPr>
        <xdr:cNvPr id="8" name="Picture 7">
          <a:extLst>
            <a:ext uri="{FF2B5EF4-FFF2-40B4-BE49-F238E27FC236}">
              <a16:creationId xmlns:a16="http://schemas.microsoft.com/office/drawing/2014/main" id="{F82FAC72-8C77-4B86-91DC-37A3576A3E0A}"/>
            </a:ext>
          </a:extLst>
        </xdr:cNvPr>
        <xdr:cNvPicPr>
          <a:picLocks noChangeAspect="1"/>
        </xdr:cNvPicPr>
      </xdr:nvPicPr>
      <xdr:blipFill>
        <a:blip xmlns:r="http://schemas.openxmlformats.org/officeDocument/2006/relationships" r:embed="rId3"/>
        <a:stretch>
          <a:fillRect/>
        </a:stretch>
      </xdr:blipFill>
      <xdr:spPr>
        <a:xfrm>
          <a:off x="149679" y="40312521"/>
          <a:ext cx="175148" cy="235841"/>
        </a:xfrm>
        <a:prstGeom prst="rect">
          <a:avLst/>
        </a:prstGeom>
      </xdr:spPr>
    </xdr:pic>
    <xdr:clientData/>
  </xdr:twoCellAnchor>
  <xdr:twoCellAnchor editAs="oneCell">
    <xdr:from>
      <xdr:col>0</xdr:col>
      <xdr:colOff>190500</xdr:colOff>
      <xdr:row>324</xdr:row>
      <xdr:rowOff>122465</xdr:rowOff>
    </xdr:from>
    <xdr:to>
      <xdr:col>1</xdr:col>
      <xdr:colOff>21024</xdr:colOff>
      <xdr:row>325</xdr:row>
      <xdr:rowOff>150026</xdr:rowOff>
    </xdr:to>
    <xdr:pic>
      <xdr:nvPicPr>
        <xdr:cNvPr id="9" name="Picture 8">
          <a:extLst>
            <a:ext uri="{FF2B5EF4-FFF2-40B4-BE49-F238E27FC236}">
              <a16:creationId xmlns:a16="http://schemas.microsoft.com/office/drawing/2014/main" id="{4D09B38B-F571-454D-9096-E00E5E74EA60}"/>
            </a:ext>
          </a:extLst>
        </xdr:cNvPr>
        <xdr:cNvPicPr>
          <a:picLocks noChangeAspect="1"/>
        </xdr:cNvPicPr>
      </xdr:nvPicPr>
      <xdr:blipFill>
        <a:blip xmlns:r="http://schemas.openxmlformats.org/officeDocument/2006/relationships" r:embed="rId3"/>
        <a:stretch>
          <a:fillRect/>
        </a:stretch>
      </xdr:blipFill>
      <xdr:spPr>
        <a:xfrm>
          <a:off x="190500" y="65619540"/>
          <a:ext cx="163899" cy="224411"/>
        </a:xfrm>
        <a:prstGeom prst="rect">
          <a:avLst/>
        </a:prstGeom>
      </xdr:spPr>
    </xdr:pic>
    <xdr:clientData/>
  </xdr:twoCellAnchor>
  <xdr:twoCellAnchor editAs="oneCell">
    <xdr:from>
      <xdr:col>22</xdr:col>
      <xdr:colOff>68036</xdr:colOff>
      <xdr:row>61</xdr:row>
      <xdr:rowOff>13607</xdr:rowOff>
    </xdr:from>
    <xdr:to>
      <xdr:col>22</xdr:col>
      <xdr:colOff>897164</xdr:colOff>
      <xdr:row>62</xdr:row>
      <xdr:rowOff>93878</xdr:rowOff>
    </xdr:to>
    <xdr:pic>
      <xdr:nvPicPr>
        <xdr:cNvPr id="10" name="Picture 9">
          <a:extLst>
            <a:ext uri="{FF2B5EF4-FFF2-40B4-BE49-F238E27FC236}">
              <a16:creationId xmlns:a16="http://schemas.microsoft.com/office/drawing/2014/main" id="{686E43ED-2E0D-4948-9A37-8C6BA283EAB1}"/>
            </a:ext>
          </a:extLst>
        </xdr:cNvPr>
        <xdr:cNvPicPr>
          <a:picLocks noChangeAspect="1"/>
        </xdr:cNvPicPr>
      </xdr:nvPicPr>
      <xdr:blipFill>
        <a:blip xmlns:r="http://schemas.openxmlformats.org/officeDocument/2006/relationships" r:embed="rId4"/>
        <a:stretch>
          <a:fillRect/>
        </a:stretch>
      </xdr:blipFill>
      <xdr:spPr>
        <a:xfrm>
          <a:off x="23296336" y="12316732"/>
          <a:ext cx="832303" cy="283471"/>
        </a:xfrm>
        <a:prstGeom prst="rect">
          <a:avLst/>
        </a:prstGeom>
      </xdr:spPr>
    </xdr:pic>
    <xdr:clientData/>
  </xdr:twoCellAnchor>
  <xdr:twoCellAnchor editAs="oneCell">
    <xdr:from>
      <xdr:col>22</xdr:col>
      <xdr:colOff>68036</xdr:colOff>
      <xdr:row>138</xdr:row>
      <xdr:rowOff>68035</xdr:rowOff>
    </xdr:from>
    <xdr:to>
      <xdr:col>22</xdr:col>
      <xdr:colOff>897164</xdr:colOff>
      <xdr:row>139</xdr:row>
      <xdr:rowOff>169261</xdr:rowOff>
    </xdr:to>
    <xdr:pic>
      <xdr:nvPicPr>
        <xdr:cNvPr id="11" name="Picture 10">
          <a:extLst>
            <a:ext uri="{FF2B5EF4-FFF2-40B4-BE49-F238E27FC236}">
              <a16:creationId xmlns:a16="http://schemas.microsoft.com/office/drawing/2014/main" id="{E6B7B0AE-C1FB-4E9D-8439-F7490BA50D6A}"/>
            </a:ext>
          </a:extLst>
        </xdr:cNvPr>
        <xdr:cNvPicPr>
          <a:picLocks noChangeAspect="1"/>
        </xdr:cNvPicPr>
      </xdr:nvPicPr>
      <xdr:blipFill>
        <a:blip xmlns:r="http://schemas.openxmlformats.org/officeDocument/2006/relationships" r:embed="rId4"/>
        <a:stretch>
          <a:fillRect/>
        </a:stretch>
      </xdr:blipFill>
      <xdr:spPr>
        <a:xfrm>
          <a:off x="23296336" y="28201710"/>
          <a:ext cx="832303" cy="304426"/>
        </a:xfrm>
        <a:prstGeom prst="rect">
          <a:avLst/>
        </a:prstGeom>
      </xdr:spPr>
    </xdr:pic>
    <xdr:clientData/>
  </xdr:twoCellAnchor>
  <xdr:twoCellAnchor editAs="oneCell">
    <xdr:from>
      <xdr:col>22</xdr:col>
      <xdr:colOff>68035</xdr:colOff>
      <xdr:row>198</xdr:row>
      <xdr:rowOff>27214</xdr:rowOff>
    </xdr:from>
    <xdr:to>
      <xdr:col>22</xdr:col>
      <xdr:colOff>897163</xdr:colOff>
      <xdr:row>199</xdr:row>
      <xdr:rowOff>115740</xdr:rowOff>
    </xdr:to>
    <xdr:pic>
      <xdr:nvPicPr>
        <xdr:cNvPr id="12" name="Picture 11">
          <a:extLst>
            <a:ext uri="{FF2B5EF4-FFF2-40B4-BE49-F238E27FC236}">
              <a16:creationId xmlns:a16="http://schemas.microsoft.com/office/drawing/2014/main" id="{F8FC8B66-BDD9-4165-92A7-145E704A4887}"/>
            </a:ext>
          </a:extLst>
        </xdr:cNvPr>
        <xdr:cNvPicPr>
          <a:picLocks noChangeAspect="1"/>
        </xdr:cNvPicPr>
      </xdr:nvPicPr>
      <xdr:blipFill>
        <a:blip xmlns:r="http://schemas.openxmlformats.org/officeDocument/2006/relationships" r:embed="rId4"/>
        <a:stretch>
          <a:fillRect/>
        </a:stretch>
      </xdr:blipFill>
      <xdr:spPr>
        <a:xfrm>
          <a:off x="23296335" y="40206839"/>
          <a:ext cx="832303" cy="285376"/>
        </a:xfrm>
        <a:prstGeom prst="rect">
          <a:avLst/>
        </a:prstGeom>
      </xdr:spPr>
    </xdr:pic>
    <xdr:clientData/>
  </xdr:twoCellAnchor>
  <xdr:twoCellAnchor editAs="oneCell">
    <xdr:from>
      <xdr:col>22</xdr:col>
      <xdr:colOff>40821</xdr:colOff>
      <xdr:row>323</xdr:row>
      <xdr:rowOff>217714</xdr:rowOff>
    </xdr:from>
    <xdr:to>
      <xdr:col>22</xdr:col>
      <xdr:colOff>864234</xdr:colOff>
      <xdr:row>325</xdr:row>
      <xdr:rowOff>56866</xdr:rowOff>
    </xdr:to>
    <xdr:pic>
      <xdr:nvPicPr>
        <xdr:cNvPr id="13" name="Picture 12">
          <a:extLst>
            <a:ext uri="{FF2B5EF4-FFF2-40B4-BE49-F238E27FC236}">
              <a16:creationId xmlns:a16="http://schemas.microsoft.com/office/drawing/2014/main" id="{528E615D-724B-49A7-BD64-CFE35B46D8A1}"/>
            </a:ext>
          </a:extLst>
        </xdr:cNvPr>
        <xdr:cNvPicPr>
          <a:picLocks noChangeAspect="1"/>
        </xdr:cNvPicPr>
      </xdr:nvPicPr>
      <xdr:blipFill>
        <a:blip xmlns:r="http://schemas.openxmlformats.org/officeDocument/2006/relationships" r:embed="rId4"/>
        <a:stretch>
          <a:fillRect/>
        </a:stretch>
      </xdr:blipFill>
      <xdr:spPr>
        <a:xfrm>
          <a:off x="23272296" y="65476664"/>
          <a:ext cx="826588" cy="27412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22</xdr:col>
      <xdr:colOff>1095375</xdr:colOff>
      <xdr:row>325</xdr:row>
      <xdr:rowOff>123825</xdr:rowOff>
    </xdr:from>
    <xdr:to>
      <xdr:col>22</xdr:col>
      <xdr:colOff>1895475</xdr:colOff>
      <xdr:row>326</xdr:row>
      <xdr:rowOff>152400</xdr:rowOff>
    </xdr:to>
    <xdr:pic>
      <xdr:nvPicPr>
        <xdr:cNvPr id="2" name="Picture 1" descr="C:\WINDOWS\TEMP\~0003946.gif">
          <a:extLst>
            <a:ext uri="{FF2B5EF4-FFF2-40B4-BE49-F238E27FC236}">
              <a16:creationId xmlns:a16="http://schemas.microsoft.com/office/drawing/2014/main" id="{C118BDCE-904E-4919-A230-C713B95BC0F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199850" y="656145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3" name="Picture 2" descr="C:\WINDOWS\TEMP\~0003946.gif">
          <a:extLst>
            <a:ext uri="{FF2B5EF4-FFF2-40B4-BE49-F238E27FC236}">
              <a16:creationId xmlns:a16="http://schemas.microsoft.com/office/drawing/2014/main" id="{4767BB6F-05CB-4B39-BA15-DA1652733E8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03025" y="403288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18CD4BE8-628C-4BFF-B721-F69BD945C19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199850" y="2829560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EDA9F998-1F7F-4263-BFCF-64482CE9CD1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199850" y="124650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149679</xdr:colOff>
      <xdr:row>61</xdr:row>
      <xdr:rowOff>136071</xdr:rowOff>
    </xdr:from>
    <xdr:to>
      <xdr:col>0</xdr:col>
      <xdr:colOff>324827</xdr:colOff>
      <xdr:row>62</xdr:row>
      <xdr:rowOff>171887</xdr:rowOff>
    </xdr:to>
    <xdr:pic>
      <xdr:nvPicPr>
        <xdr:cNvPr id="6" name="Picture 5">
          <a:extLst>
            <a:ext uri="{FF2B5EF4-FFF2-40B4-BE49-F238E27FC236}">
              <a16:creationId xmlns:a16="http://schemas.microsoft.com/office/drawing/2014/main" id="{261ACAC3-7B5D-485D-9BC9-2BD7B5AB13A8}"/>
            </a:ext>
          </a:extLst>
        </xdr:cNvPr>
        <xdr:cNvPicPr>
          <a:picLocks noChangeAspect="1"/>
        </xdr:cNvPicPr>
      </xdr:nvPicPr>
      <xdr:blipFill>
        <a:blip xmlns:r="http://schemas.openxmlformats.org/officeDocument/2006/relationships" r:embed="rId3"/>
        <a:stretch>
          <a:fillRect/>
        </a:stretch>
      </xdr:blipFill>
      <xdr:spPr>
        <a:xfrm>
          <a:off x="149679" y="12442371"/>
          <a:ext cx="175148" cy="235841"/>
        </a:xfrm>
        <a:prstGeom prst="rect">
          <a:avLst/>
        </a:prstGeom>
      </xdr:spPr>
    </xdr:pic>
    <xdr:clientData/>
  </xdr:twoCellAnchor>
  <xdr:twoCellAnchor editAs="oneCell">
    <xdr:from>
      <xdr:col>0</xdr:col>
      <xdr:colOff>176893</xdr:colOff>
      <xdr:row>139</xdr:row>
      <xdr:rowOff>149678</xdr:rowOff>
    </xdr:from>
    <xdr:to>
      <xdr:col>1</xdr:col>
      <xdr:colOff>16307</xdr:colOff>
      <xdr:row>140</xdr:row>
      <xdr:rowOff>177874</xdr:rowOff>
    </xdr:to>
    <xdr:pic>
      <xdr:nvPicPr>
        <xdr:cNvPr id="7" name="Picture 6">
          <a:extLst>
            <a:ext uri="{FF2B5EF4-FFF2-40B4-BE49-F238E27FC236}">
              <a16:creationId xmlns:a16="http://schemas.microsoft.com/office/drawing/2014/main" id="{32F98AAD-4C3A-468B-9562-6A7AE8BD4D61}"/>
            </a:ext>
          </a:extLst>
        </xdr:cNvPr>
        <xdr:cNvPicPr>
          <a:picLocks noChangeAspect="1"/>
        </xdr:cNvPicPr>
      </xdr:nvPicPr>
      <xdr:blipFill>
        <a:blip xmlns:r="http://schemas.openxmlformats.org/officeDocument/2006/relationships" r:embed="rId3"/>
        <a:stretch>
          <a:fillRect/>
        </a:stretch>
      </xdr:blipFill>
      <xdr:spPr>
        <a:xfrm>
          <a:off x="180068" y="28286528"/>
          <a:ext cx="169614" cy="231396"/>
        </a:xfrm>
        <a:prstGeom prst="rect">
          <a:avLst/>
        </a:prstGeom>
      </xdr:spPr>
    </xdr:pic>
    <xdr:clientData/>
  </xdr:twoCellAnchor>
  <xdr:twoCellAnchor editAs="oneCell">
    <xdr:from>
      <xdr:col>0</xdr:col>
      <xdr:colOff>149679</xdr:colOff>
      <xdr:row>199</xdr:row>
      <xdr:rowOff>136071</xdr:rowOff>
    </xdr:from>
    <xdr:to>
      <xdr:col>0</xdr:col>
      <xdr:colOff>324827</xdr:colOff>
      <xdr:row>200</xdr:row>
      <xdr:rowOff>171887</xdr:rowOff>
    </xdr:to>
    <xdr:pic>
      <xdr:nvPicPr>
        <xdr:cNvPr id="8" name="Picture 7">
          <a:extLst>
            <a:ext uri="{FF2B5EF4-FFF2-40B4-BE49-F238E27FC236}">
              <a16:creationId xmlns:a16="http://schemas.microsoft.com/office/drawing/2014/main" id="{F985702C-7FE9-444F-A8A4-98E259166289}"/>
            </a:ext>
          </a:extLst>
        </xdr:cNvPr>
        <xdr:cNvPicPr>
          <a:picLocks noChangeAspect="1"/>
        </xdr:cNvPicPr>
      </xdr:nvPicPr>
      <xdr:blipFill>
        <a:blip xmlns:r="http://schemas.openxmlformats.org/officeDocument/2006/relationships" r:embed="rId3"/>
        <a:stretch>
          <a:fillRect/>
        </a:stretch>
      </xdr:blipFill>
      <xdr:spPr>
        <a:xfrm>
          <a:off x="149679" y="40312521"/>
          <a:ext cx="175148" cy="235841"/>
        </a:xfrm>
        <a:prstGeom prst="rect">
          <a:avLst/>
        </a:prstGeom>
      </xdr:spPr>
    </xdr:pic>
    <xdr:clientData/>
  </xdr:twoCellAnchor>
  <xdr:twoCellAnchor editAs="oneCell">
    <xdr:from>
      <xdr:col>0</xdr:col>
      <xdr:colOff>190500</xdr:colOff>
      <xdr:row>325</xdr:row>
      <xdr:rowOff>122465</xdr:rowOff>
    </xdr:from>
    <xdr:to>
      <xdr:col>1</xdr:col>
      <xdr:colOff>21024</xdr:colOff>
      <xdr:row>326</xdr:row>
      <xdr:rowOff>150026</xdr:rowOff>
    </xdr:to>
    <xdr:pic>
      <xdr:nvPicPr>
        <xdr:cNvPr id="9" name="Picture 8">
          <a:extLst>
            <a:ext uri="{FF2B5EF4-FFF2-40B4-BE49-F238E27FC236}">
              <a16:creationId xmlns:a16="http://schemas.microsoft.com/office/drawing/2014/main" id="{F6180FC3-32E9-47D5-BC73-B7B416E4DD5A}"/>
            </a:ext>
          </a:extLst>
        </xdr:cNvPr>
        <xdr:cNvPicPr>
          <a:picLocks noChangeAspect="1"/>
        </xdr:cNvPicPr>
      </xdr:nvPicPr>
      <xdr:blipFill>
        <a:blip xmlns:r="http://schemas.openxmlformats.org/officeDocument/2006/relationships" r:embed="rId3"/>
        <a:stretch>
          <a:fillRect/>
        </a:stretch>
      </xdr:blipFill>
      <xdr:spPr>
        <a:xfrm>
          <a:off x="190500" y="65619540"/>
          <a:ext cx="163899" cy="224411"/>
        </a:xfrm>
        <a:prstGeom prst="rect">
          <a:avLst/>
        </a:prstGeom>
      </xdr:spPr>
    </xdr:pic>
    <xdr:clientData/>
  </xdr:twoCellAnchor>
  <xdr:twoCellAnchor editAs="oneCell">
    <xdr:from>
      <xdr:col>22</xdr:col>
      <xdr:colOff>68036</xdr:colOff>
      <xdr:row>61</xdr:row>
      <xdr:rowOff>13607</xdr:rowOff>
    </xdr:from>
    <xdr:to>
      <xdr:col>22</xdr:col>
      <xdr:colOff>897164</xdr:colOff>
      <xdr:row>62</xdr:row>
      <xdr:rowOff>93878</xdr:rowOff>
    </xdr:to>
    <xdr:pic>
      <xdr:nvPicPr>
        <xdr:cNvPr id="10" name="Picture 9">
          <a:extLst>
            <a:ext uri="{FF2B5EF4-FFF2-40B4-BE49-F238E27FC236}">
              <a16:creationId xmlns:a16="http://schemas.microsoft.com/office/drawing/2014/main" id="{FC242214-0FDA-43A9-9050-574C59E9FC04}"/>
            </a:ext>
          </a:extLst>
        </xdr:cNvPr>
        <xdr:cNvPicPr>
          <a:picLocks noChangeAspect="1"/>
        </xdr:cNvPicPr>
      </xdr:nvPicPr>
      <xdr:blipFill>
        <a:blip xmlns:r="http://schemas.openxmlformats.org/officeDocument/2006/relationships" r:embed="rId4"/>
        <a:stretch>
          <a:fillRect/>
        </a:stretch>
      </xdr:blipFill>
      <xdr:spPr>
        <a:xfrm>
          <a:off x="23286811" y="12316732"/>
          <a:ext cx="832303" cy="283471"/>
        </a:xfrm>
        <a:prstGeom prst="rect">
          <a:avLst/>
        </a:prstGeom>
      </xdr:spPr>
    </xdr:pic>
    <xdr:clientData/>
  </xdr:twoCellAnchor>
  <xdr:twoCellAnchor editAs="oneCell">
    <xdr:from>
      <xdr:col>22</xdr:col>
      <xdr:colOff>68036</xdr:colOff>
      <xdr:row>139</xdr:row>
      <xdr:rowOff>68035</xdr:rowOff>
    </xdr:from>
    <xdr:to>
      <xdr:col>22</xdr:col>
      <xdr:colOff>897164</xdr:colOff>
      <xdr:row>140</xdr:row>
      <xdr:rowOff>169261</xdr:rowOff>
    </xdr:to>
    <xdr:pic>
      <xdr:nvPicPr>
        <xdr:cNvPr id="11" name="Picture 10">
          <a:extLst>
            <a:ext uri="{FF2B5EF4-FFF2-40B4-BE49-F238E27FC236}">
              <a16:creationId xmlns:a16="http://schemas.microsoft.com/office/drawing/2014/main" id="{F2295E88-39AE-449D-AFB1-D12DD045CC5D}"/>
            </a:ext>
          </a:extLst>
        </xdr:cNvPr>
        <xdr:cNvPicPr>
          <a:picLocks noChangeAspect="1"/>
        </xdr:cNvPicPr>
      </xdr:nvPicPr>
      <xdr:blipFill>
        <a:blip xmlns:r="http://schemas.openxmlformats.org/officeDocument/2006/relationships" r:embed="rId4"/>
        <a:stretch>
          <a:fillRect/>
        </a:stretch>
      </xdr:blipFill>
      <xdr:spPr>
        <a:xfrm>
          <a:off x="23286811" y="28201710"/>
          <a:ext cx="832303" cy="304426"/>
        </a:xfrm>
        <a:prstGeom prst="rect">
          <a:avLst/>
        </a:prstGeom>
      </xdr:spPr>
    </xdr:pic>
    <xdr:clientData/>
  </xdr:twoCellAnchor>
  <xdr:twoCellAnchor editAs="oneCell">
    <xdr:from>
      <xdr:col>22</xdr:col>
      <xdr:colOff>68035</xdr:colOff>
      <xdr:row>199</xdr:row>
      <xdr:rowOff>27214</xdr:rowOff>
    </xdr:from>
    <xdr:to>
      <xdr:col>22</xdr:col>
      <xdr:colOff>897163</xdr:colOff>
      <xdr:row>200</xdr:row>
      <xdr:rowOff>115740</xdr:rowOff>
    </xdr:to>
    <xdr:pic>
      <xdr:nvPicPr>
        <xdr:cNvPr id="12" name="Picture 11">
          <a:extLst>
            <a:ext uri="{FF2B5EF4-FFF2-40B4-BE49-F238E27FC236}">
              <a16:creationId xmlns:a16="http://schemas.microsoft.com/office/drawing/2014/main" id="{ED2BD0C7-9B2F-4986-80FA-BCA5CE9E411B}"/>
            </a:ext>
          </a:extLst>
        </xdr:cNvPr>
        <xdr:cNvPicPr>
          <a:picLocks noChangeAspect="1"/>
        </xdr:cNvPicPr>
      </xdr:nvPicPr>
      <xdr:blipFill>
        <a:blip xmlns:r="http://schemas.openxmlformats.org/officeDocument/2006/relationships" r:embed="rId4"/>
        <a:stretch>
          <a:fillRect/>
        </a:stretch>
      </xdr:blipFill>
      <xdr:spPr>
        <a:xfrm>
          <a:off x="23286810" y="40206839"/>
          <a:ext cx="832303" cy="285376"/>
        </a:xfrm>
        <a:prstGeom prst="rect">
          <a:avLst/>
        </a:prstGeom>
      </xdr:spPr>
    </xdr:pic>
    <xdr:clientData/>
  </xdr:twoCellAnchor>
  <xdr:twoCellAnchor editAs="oneCell">
    <xdr:from>
      <xdr:col>22</xdr:col>
      <xdr:colOff>40821</xdr:colOff>
      <xdr:row>324</xdr:row>
      <xdr:rowOff>217714</xdr:rowOff>
    </xdr:from>
    <xdr:to>
      <xdr:col>22</xdr:col>
      <xdr:colOff>864234</xdr:colOff>
      <xdr:row>326</xdr:row>
      <xdr:rowOff>56866</xdr:rowOff>
    </xdr:to>
    <xdr:pic>
      <xdr:nvPicPr>
        <xdr:cNvPr id="13" name="Picture 12">
          <a:extLst>
            <a:ext uri="{FF2B5EF4-FFF2-40B4-BE49-F238E27FC236}">
              <a16:creationId xmlns:a16="http://schemas.microsoft.com/office/drawing/2014/main" id="{B7CA1809-DC80-4322-A40C-1DBD393303B4}"/>
            </a:ext>
          </a:extLst>
        </xdr:cNvPr>
        <xdr:cNvPicPr>
          <a:picLocks noChangeAspect="1"/>
        </xdr:cNvPicPr>
      </xdr:nvPicPr>
      <xdr:blipFill>
        <a:blip xmlns:r="http://schemas.openxmlformats.org/officeDocument/2006/relationships" r:embed="rId4"/>
        <a:stretch>
          <a:fillRect/>
        </a:stretch>
      </xdr:blipFill>
      <xdr:spPr>
        <a:xfrm>
          <a:off x="23262771" y="65476664"/>
          <a:ext cx="826588" cy="2741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2753" name="Picture 1" descr="C:\WINDOWS\TEMP\Symbol.gif">
          <a:extLst>
            <a:ext uri="{FF2B5EF4-FFF2-40B4-BE49-F238E27FC236}">
              <a16:creationId xmlns:a16="http://schemas.microsoft.com/office/drawing/2014/main" id="{00000000-0008-0000-0500-0000F17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2754" name="Picture 2" descr="C:\WINDOWS\TEMP\Symbol.gif">
          <a:extLst>
            <a:ext uri="{FF2B5EF4-FFF2-40B4-BE49-F238E27FC236}">
              <a16:creationId xmlns:a16="http://schemas.microsoft.com/office/drawing/2014/main" id="{00000000-0008-0000-0500-0000F27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32755" name="Picture 3" descr="C:\WINDOWS\TEMP\Symbol.gif">
          <a:extLst>
            <a:ext uri="{FF2B5EF4-FFF2-40B4-BE49-F238E27FC236}">
              <a16:creationId xmlns:a16="http://schemas.microsoft.com/office/drawing/2014/main" id="{00000000-0008-0000-0500-0000F37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32756" name="Picture 4" descr="C:\WINDOWS\TEMP\Symbol.gif">
          <a:extLst>
            <a:ext uri="{FF2B5EF4-FFF2-40B4-BE49-F238E27FC236}">
              <a16:creationId xmlns:a16="http://schemas.microsoft.com/office/drawing/2014/main" id="{00000000-0008-0000-0500-0000F47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278</xdr:row>
      <xdr:rowOff>123825</xdr:rowOff>
    </xdr:from>
    <xdr:to>
      <xdr:col>22</xdr:col>
      <xdr:colOff>1895475</xdr:colOff>
      <xdr:row>279</xdr:row>
      <xdr:rowOff>152400</xdr:rowOff>
    </xdr:to>
    <xdr:pic>
      <xdr:nvPicPr>
        <xdr:cNvPr id="32757" name="Picture 5" descr="C:\WINDOWS\TEMP\~0003946.gif">
          <a:extLst>
            <a:ext uri="{FF2B5EF4-FFF2-40B4-BE49-F238E27FC236}">
              <a16:creationId xmlns:a16="http://schemas.microsoft.com/office/drawing/2014/main" id="{00000000-0008-0000-0500-0000F5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32758" name="Picture 6" descr="C:\WINDOWS\TEMP\~0003946.gif">
          <a:extLst>
            <a:ext uri="{FF2B5EF4-FFF2-40B4-BE49-F238E27FC236}">
              <a16:creationId xmlns:a16="http://schemas.microsoft.com/office/drawing/2014/main" id="{00000000-0008-0000-0500-0000F6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32759" name="Picture 7" descr="C:\WINDOWS\TEMP\~0003946.gif">
          <a:extLst>
            <a:ext uri="{FF2B5EF4-FFF2-40B4-BE49-F238E27FC236}">
              <a16:creationId xmlns:a16="http://schemas.microsoft.com/office/drawing/2014/main" id="{00000000-0008-0000-0500-0000F7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2760" name="Picture 8" descr="C:\WINDOWS\TEMP\~0003946.gif">
          <a:extLst>
            <a:ext uri="{FF2B5EF4-FFF2-40B4-BE49-F238E27FC236}">
              <a16:creationId xmlns:a16="http://schemas.microsoft.com/office/drawing/2014/main" id="{00000000-0008-0000-0500-0000F8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2761" name="Picture 9" descr="C:\WINDOWS\TEMP\~0003946.gif">
          <a:extLst>
            <a:ext uri="{FF2B5EF4-FFF2-40B4-BE49-F238E27FC236}">
              <a16:creationId xmlns:a16="http://schemas.microsoft.com/office/drawing/2014/main" id="{00000000-0008-0000-0500-0000F9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32762" name="Picture 10" descr="C:\WINDOWS\TEMP\~0003946.gif">
          <a:extLst>
            <a:ext uri="{FF2B5EF4-FFF2-40B4-BE49-F238E27FC236}">
              <a16:creationId xmlns:a16="http://schemas.microsoft.com/office/drawing/2014/main" id="{00000000-0008-0000-0500-0000FA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32763" name="Picture 11" descr="C:\WINDOWS\TEMP\~0003946.gif">
          <a:extLst>
            <a:ext uri="{FF2B5EF4-FFF2-40B4-BE49-F238E27FC236}">
              <a16:creationId xmlns:a16="http://schemas.microsoft.com/office/drawing/2014/main" id="{00000000-0008-0000-0500-0000FB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278</xdr:row>
      <xdr:rowOff>104775</xdr:rowOff>
    </xdr:from>
    <xdr:to>
      <xdr:col>22</xdr:col>
      <xdr:colOff>895350</xdr:colOff>
      <xdr:row>279</xdr:row>
      <xdr:rowOff>133350</xdr:rowOff>
    </xdr:to>
    <xdr:pic>
      <xdr:nvPicPr>
        <xdr:cNvPr id="32764" name="Picture 12" descr="C:\WINDOWS\TEMP\~0003946.gif">
          <a:extLst>
            <a:ext uri="{FF2B5EF4-FFF2-40B4-BE49-F238E27FC236}">
              <a16:creationId xmlns:a16="http://schemas.microsoft.com/office/drawing/2014/main" id="{00000000-0008-0000-0500-0000FC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42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2765" name="Picture 13" descr="logoMTL">
          <a:extLst>
            <a:ext uri="{FF2B5EF4-FFF2-40B4-BE49-F238E27FC236}">
              <a16:creationId xmlns:a16="http://schemas.microsoft.com/office/drawing/2014/main" id="{00000000-0008-0000-0500-0000FD7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32766" name="Picture 14" descr="logoMTL">
          <a:extLst>
            <a:ext uri="{FF2B5EF4-FFF2-40B4-BE49-F238E27FC236}">
              <a16:creationId xmlns:a16="http://schemas.microsoft.com/office/drawing/2014/main" id="{00000000-0008-0000-0500-0000FE7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32767" name="Picture 15" descr="logoMTL">
          <a:extLst>
            <a:ext uri="{FF2B5EF4-FFF2-40B4-BE49-F238E27FC236}">
              <a16:creationId xmlns:a16="http://schemas.microsoft.com/office/drawing/2014/main" id="{00000000-0008-0000-0500-0000FF7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278</xdr:row>
      <xdr:rowOff>0</xdr:rowOff>
    </xdr:from>
    <xdr:to>
      <xdr:col>21</xdr:col>
      <xdr:colOff>1228725</xdr:colOff>
      <xdr:row>279</xdr:row>
      <xdr:rowOff>123825</xdr:rowOff>
    </xdr:to>
    <xdr:pic>
      <xdr:nvPicPr>
        <xdr:cNvPr id="61440" name="Picture 16" descr="logoMTL">
          <a:extLst>
            <a:ext uri="{FF2B5EF4-FFF2-40B4-BE49-F238E27FC236}">
              <a16:creationId xmlns:a16="http://schemas.microsoft.com/office/drawing/2014/main" id="{00000000-0008-0000-0500-000000F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3777" name="Picture 1" descr="C:\WINDOWS\TEMP\Symbol.gif">
          <a:extLst>
            <a:ext uri="{FF2B5EF4-FFF2-40B4-BE49-F238E27FC236}">
              <a16:creationId xmlns:a16="http://schemas.microsoft.com/office/drawing/2014/main" id="{00000000-0008-0000-0600-0000F18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3778" name="Picture 2" descr="C:\WINDOWS\TEMP\Symbol.gif">
          <a:extLst>
            <a:ext uri="{FF2B5EF4-FFF2-40B4-BE49-F238E27FC236}">
              <a16:creationId xmlns:a16="http://schemas.microsoft.com/office/drawing/2014/main" id="{00000000-0008-0000-0600-0000F28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33779" name="Picture 3" descr="C:\WINDOWS\TEMP\Symbol.gif">
          <a:extLst>
            <a:ext uri="{FF2B5EF4-FFF2-40B4-BE49-F238E27FC236}">
              <a16:creationId xmlns:a16="http://schemas.microsoft.com/office/drawing/2014/main" id="{00000000-0008-0000-0600-0000F38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33780" name="Picture 4" descr="C:\WINDOWS\TEMP\Symbol.gif">
          <a:extLst>
            <a:ext uri="{FF2B5EF4-FFF2-40B4-BE49-F238E27FC236}">
              <a16:creationId xmlns:a16="http://schemas.microsoft.com/office/drawing/2014/main" id="{00000000-0008-0000-0600-0000F48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278</xdr:row>
      <xdr:rowOff>123825</xdr:rowOff>
    </xdr:from>
    <xdr:to>
      <xdr:col>22</xdr:col>
      <xdr:colOff>1895475</xdr:colOff>
      <xdr:row>279</xdr:row>
      <xdr:rowOff>152400</xdr:rowOff>
    </xdr:to>
    <xdr:pic>
      <xdr:nvPicPr>
        <xdr:cNvPr id="33781" name="Picture 5" descr="C:\WINDOWS\TEMP\~0003946.gif">
          <a:extLst>
            <a:ext uri="{FF2B5EF4-FFF2-40B4-BE49-F238E27FC236}">
              <a16:creationId xmlns:a16="http://schemas.microsoft.com/office/drawing/2014/main" id="{00000000-0008-0000-0600-0000F5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33782" name="Picture 6" descr="C:\WINDOWS\TEMP\~0003946.gif">
          <a:extLst>
            <a:ext uri="{FF2B5EF4-FFF2-40B4-BE49-F238E27FC236}">
              <a16:creationId xmlns:a16="http://schemas.microsoft.com/office/drawing/2014/main" id="{00000000-0008-0000-0600-0000F6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33783" name="Picture 7" descr="C:\WINDOWS\TEMP\~0003946.gif">
          <a:extLst>
            <a:ext uri="{FF2B5EF4-FFF2-40B4-BE49-F238E27FC236}">
              <a16:creationId xmlns:a16="http://schemas.microsoft.com/office/drawing/2014/main" id="{00000000-0008-0000-0600-0000F7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3784" name="Picture 8" descr="C:\WINDOWS\TEMP\~0003946.gif">
          <a:extLst>
            <a:ext uri="{FF2B5EF4-FFF2-40B4-BE49-F238E27FC236}">
              <a16:creationId xmlns:a16="http://schemas.microsoft.com/office/drawing/2014/main" id="{00000000-0008-0000-0600-0000F8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3785" name="Picture 9" descr="C:\WINDOWS\TEMP\~0003946.gif">
          <a:extLst>
            <a:ext uri="{FF2B5EF4-FFF2-40B4-BE49-F238E27FC236}">
              <a16:creationId xmlns:a16="http://schemas.microsoft.com/office/drawing/2014/main" id="{00000000-0008-0000-0600-0000F9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33786" name="Picture 10" descr="C:\WINDOWS\TEMP\~0003946.gif">
          <a:extLst>
            <a:ext uri="{FF2B5EF4-FFF2-40B4-BE49-F238E27FC236}">
              <a16:creationId xmlns:a16="http://schemas.microsoft.com/office/drawing/2014/main" id="{00000000-0008-0000-0600-0000FA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33787" name="Picture 11" descr="C:\WINDOWS\TEMP\~0003946.gif">
          <a:extLst>
            <a:ext uri="{FF2B5EF4-FFF2-40B4-BE49-F238E27FC236}">
              <a16:creationId xmlns:a16="http://schemas.microsoft.com/office/drawing/2014/main" id="{00000000-0008-0000-0600-0000FB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278</xdr:row>
      <xdr:rowOff>104775</xdr:rowOff>
    </xdr:from>
    <xdr:to>
      <xdr:col>22</xdr:col>
      <xdr:colOff>895350</xdr:colOff>
      <xdr:row>279</xdr:row>
      <xdr:rowOff>133350</xdr:rowOff>
    </xdr:to>
    <xdr:pic>
      <xdr:nvPicPr>
        <xdr:cNvPr id="33788" name="Picture 12" descr="C:\WINDOWS\TEMP\~0003946.gif">
          <a:extLst>
            <a:ext uri="{FF2B5EF4-FFF2-40B4-BE49-F238E27FC236}">
              <a16:creationId xmlns:a16="http://schemas.microsoft.com/office/drawing/2014/main" id="{00000000-0008-0000-0600-0000FC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42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3789" name="Picture 13" descr="logoMTL">
          <a:extLst>
            <a:ext uri="{FF2B5EF4-FFF2-40B4-BE49-F238E27FC236}">
              <a16:creationId xmlns:a16="http://schemas.microsoft.com/office/drawing/2014/main" id="{00000000-0008-0000-0600-0000FD8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33790" name="Picture 14" descr="logoMTL">
          <a:extLst>
            <a:ext uri="{FF2B5EF4-FFF2-40B4-BE49-F238E27FC236}">
              <a16:creationId xmlns:a16="http://schemas.microsoft.com/office/drawing/2014/main" id="{00000000-0008-0000-0600-0000FE8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33791" name="Picture 15" descr="logoMTL">
          <a:extLst>
            <a:ext uri="{FF2B5EF4-FFF2-40B4-BE49-F238E27FC236}">
              <a16:creationId xmlns:a16="http://schemas.microsoft.com/office/drawing/2014/main" id="{00000000-0008-0000-0600-0000FF8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278</xdr:row>
      <xdr:rowOff>0</xdr:rowOff>
    </xdr:from>
    <xdr:to>
      <xdr:col>21</xdr:col>
      <xdr:colOff>1228725</xdr:colOff>
      <xdr:row>279</xdr:row>
      <xdr:rowOff>123825</xdr:rowOff>
    </xdr:to>
    <xdr:pic>
      <xdr:nvPicPr>
        <xdr:cNvPr id="62464" name="Picture 16" descr="logoMTL">
          <a:extLst>
            <a:ext uri="{FF2B5EF4-FFF2-40B4-BE49-F238E27FC236}">
              <a16:creationId xmlns:a16="http://schemas.microsoft.com/office/drawing/2014/main" id="{00000000-0008-0000-0600-000000F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4801" name="Picture 1" descr="C:\WINDOWS\TEMP\Symbol.gif">
          <a:extLst>
            <a:ext uri="{FF2B5EF4-FFF2-40B4-BE49-F238E27FC236}">
              <a16:creationId xmlns:a16="http://schemas.microsoft.com/office/drawing/2014/main" id="{00000000-0008-0000-0700-0000F18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4802" name="Picture 2" descr="C:\WINDOWS\TEMP\Symbol.gif">
          <a:extLst>
            <a:ext uri="{FF2B5EF4-FFF2-40B4-BE49-F238E27FC236}">
              <a16:creationId xmlns:a16="http://schemas.microsoft.com/office/drawing/2014/main" id="{00000000-0008-0000-0700-0000F28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34803" name="Picture 3" descr="C:\WINDOWS\TEMP\Symbol.gif">
          <a:extLst>
            <a:ext uri="{FF2B5EF4-FFF2-40B4-BE49-F238E27FC236}">
              <a16:creationId xmlns:a16="http://schemas.microsoft.com/office/drawing/2014/main" id="{00000000-0008-0000-0700-0000F38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34804" name="Picture 4" descr="C:\WINDOWS\TEMP\Symbol.gif">
          <a:extLst>
            <a:ext uri="{FF2B5EF4-FFF2-40B4-BE49-F238E27FC236}">
              <a16:creationId xmlns:a16="http://schemas.microsoft.com/office/drawing/2014/main" id="{00000000-0008-0000-0700-0000F48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278</xdr:row>
      <xdr:rowOff>123825</xdr:rowOff>
    </xdr:from>
    <xdr:to>
      <xdr:col>22</xdr:col>
      <xdr:colOff>1895475</xdr:colOff>
      <xdr:row>279</xdr:row>
      <xdr:rowOff>152400</xdr:rowOff>
    </xdr:to>
    <xdr:pic>
      <xdr:nvPicPr>
        <xdr:cNvPr id="34805" name="Picture 5" descr="C:\WINDOWS\TEMP\~0003946.gif">
          <a:extLst>
            <a:ext uri="{FF2B5EF4-FFF2-40B4-BE49-F238E27FC236}">
              <a16:creationId xmlns:a16="http://schemas.microsoft.com/office/drawing/2014/main" id="{00000000-0008-0000-0700-0000F5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34806" name="Picture 6" descr="C:\WINDOWS\TEMP\~0003946.gif">
          <a:extLst>
            <a:ext uri="{FF2B5EF4-FFF2-40B4-BE49-F238E27FC236}">
              <a16:creationId xmlns:a16="http://schemas.microsoft.com/office/drawing/2014/main" id="{00000000-0008-0000-0700-0000F6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34807" name="Picture 7" descr="C:\WINDOWS\TEMP\~0003946.gif">
          <a:extLst>
            <a:ext uri="{FF2B5EF4-FFF2-40B4-BE49-F238E27FC236}">
              <a16:creationId xmlns:a16="http://schemas.microsoft.com/office/drawing/2014/main" id="{00000000-0008-0000-0700-0000F7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4808" name="Picture 8" descr="C:\WINDOWS\TEMP\~0003946.gif">
          <a:extLst>
            <a:ext uri="{FF2B5EF4-FFF2-40B4-BE49-F238E27FC236}">
              <a16:creationId xmlns:a16="http://schemas.microsoft.com/office/drawing/2014/main" id="{00000000-0008-0000-0700-0000F8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4809" name="Picture 9" descr="C:\WINDOWS\TEMP\~0003946.gif">
          <a:extLst>
            <a:ext uri="{FF2B5EF4-FFF2-40B4-BE49-F238E27FC236}">
              <a16:creationId xmlns:a16="http://schemas.microsoft.com/office/drawing/2014/main" id="{00000000-0008-0000-0700-0000F9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34810" name="Picture 10" descr="C:\WINDOWS\TEMP\~0003946.gif">
          <a:extLst>
            <a:ext uri="{FF2B5EF4-FFF2-40B4-BE49-F238E27FC236}">
              <a16:creationId xmlns:a16="http://schemas.microsoft.com/office/drawing/2014/main" id="{00000000-0008-0000-0700-0000FA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34811" name="Picture 11" descr="C:\WINDOWS\TEMP\~0003946.gif">
          <a:extLst>
            <a:ext uri="{FF2B5EF4-FFF2-40B4-BE49-F238E27FC236}">
              <a16:creationId xmlns:a16="http://schemas.microsoft.com/office/drawing/2014/main" id="{00000000-0008-0000-0700-0000FB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278</xdr:row>
      <xdr:rowOff>104775</xdr:rowOff>
    </xdr:from>
    <xdr:to>
      <xdr:col>22</xdr:col>
      <xdr:colOff>895350</xdr:colOff>
      <xdr:row>279</xdr:row>
      <xdr:rowOff>133350</xdr:rowOff>
    </xdr:to>
    <xdr:pic>
      <xdr:nvPicPr>
        <xdr:cNvPr id="34812" name="Picture 12" descr="C:\WINDOWS\TEMP\~0003946.gif">
          <a:extLst>
            <a:ext uri="{FF2B5EF4-FFF2-40B4-BE49-F238E27FC236}">
              <a16:creationId xmlns:a16="http://schemas.microsoft.com/office/drawing/2014/main" id="{00000000-0008-0000-0700-0000FC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42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4813" name="Picture 13" descr="logoMTL">
          <a:extLst>
            <a:ext uri="{FF2B5EF4-FFF2-40B4-BE49-F238E27FC236}">
              <a16:creationId xmlns:a16="http://schemas.microsoft.com/office/drawing/2014/main" id="{00000000-0008-0000-0700-0000FD8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34814" name="Picture 14" descr="logoMTL">
          <a:extLst>
            <a:ext uri="{FF2B5EF4-FFF2-40B4-BE49-F238E27FC236}">
              <a16:creationId xmlns:a16="http://schemas.microsoft.com/office/drawing/2014/main" id="{00000000-0008-0000-0700-0000FE8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34815" name="Picture 15" descr="logoMTL">
          <a:extLst>
            <a:ext uri="{FF2B5EF4-FFF2-40B4-BE49-F238E27FC236}">
              <a16:creationId xmlns:a16="http://schemas.microsoft.com/office/drawing/2014/main" id="{00000000-0008-0000-0700-0000FF8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278</xdr:row>
      <xdr:rowOff>0</xdr:rowOff>
    </xdr:from>
    <xdr:to>
      <xdr:col>21</xdr:col>
      <xdr:colOff>1228725</xdr:colOff>
      <xdr:row>279</xdr:row>
      <xdr:rowOff>123825</xdr:rowOff>
    </xdr:to>
    <xdr:pic>
      <xdr:nvPicPr>
        <xdr:cNvPr id="63488" name="Picture 16" descr="logoMTL">
          <a:extLst>
            <a:ext uri="{FF2B5EF4-FFF2-40B4-BE49-F238E27FC236}">
              <a16:creationId xmlns:a16="http://schemas.microsoft.com/office/drawing/2014/main" id="{00000000-0008-0000-0700-000000F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5825" name="Picture 1" descr="C:\WINDOWS\TEMP\Symbol.gif">
          <a:extLst>
            <a:ext uri="{FF2B5EF4-FFF2-40B4-BE49-F238E27FC236}">
              <a16:creationId xmlns:a16="http://schemas.microsoft.com/office/drawing/2014/main" id="{00000000-0008-0000-0800-0000F18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5826" name="Picture 2" descr="C:\WINDOWS\TEMP\Symbol.gif">
          <a:extLst>
            <a:ext uri="{FF2B5EF4-FFF2-40B4-BE49-F238E27FC236}">
              <a16:creationId xmlns:a16="http://schemas.microsoft.com/office/drawing/2014/main" id="{00000000-0008-0000-0800-0000F28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195</xdr:row>
      <xdr:rowOff>171450</xdr:rowOff>
    </xdr:from>
    <xdr:to>
      <xdr:col>1</xdr:col>
      <xdr:colOff>47625</xdr:colOff>
      <xdr:row>196</xdr:row>
      <xdr:rowOff>209550</xdr:rowOff>
    </xdr:to>
    <xdr:pic>
      <xdr:nvPicPr>
        <xdr:cNvPr id="35827" name="Picture 3" descr="C:\WINDOWS\TEMP\Symbol.gif">
          <a:extLst>
            <a:ext uri="{FF2B5EF4-FFF2-40B4-BE49-F238E27FC236}">
              <a16:creationId xmlns:a16="http://schemas.microsoft.com/office/drawing/2014/main" id="{00000000-0008-0000-0800-0000F38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8049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35828" name="Picture 4" descr="C:\WINDOWS\TEMP\Symbol.gif">
          <a:extLst>
            <a:ext uri="{FF2B5EF4-FFF2-40B4-BE49-F238E27FC236}">
              <a16:creationId xmlns:a16="http://schemas.microsoft.com/office/drawing/2014/main" id="{00000000-0008-0000-0800-0000F48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4832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278</xdr:row>
      <xdr:rowOff>123825</xdr:rowOff>
    </xdr:from>
    <xdr:to>
      <xdr:col>22</xdr:col>
      <xdr:colOff>1895475</xdr:colOff>
      <xdr:row>279</xdr:row>
      <xdr:rowOff>152400</xdr:rowOff>
    </xdr:to>
    <xdr:pic>
      <xdr:nvPicPr>
        <xdr:cNvPr id="35829" name="Picture 5" descr="C:\WINDOWS\TEMP\~0003946.gif">
          <a:extLst>
            <a:ext uri="{FF2B5EF4-FFF2-40B4-BE49-F238E27FC236}">
              <a16:creationId xmlns:a16="http://schemas.microsoft.com/office/drawing/2014/main" id="{00000000-0008-0000-0800-0000F5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445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195</xdr:row>
      <xdr:rowOff>152400</xdr:rowOff>
    </xdr:from>
    <xdr:to>
      <xdr:col>22</xdr:col>
      <xdr:colOff>1924050</xdr:colOff>
      <xdr:row>196</xdr:row>
      <xdr:rowOff>180975</xdr:rowOff>
    </xdr:to>
    <xdr:pic>
      <xdr:nvPicPr>
        <xdr:cNvPr id="35830" name="Picture 6" descr="C:\WINDOWS\TEMP\~0003946.gif">
          <a:extLst>
            <a:ext uri="{FF2B5EF4-FFF2-40B4-BE49-F238E27FC236}">
              <a16:creationId xmlns:a16="http://schemas.microsoft.com/office/drawing/2014/main" id="{00000000-0008-0000-0800-0000F6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785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35831" name="Picture 7" descr="C:\WINDOWS\TEMP\~0003946.gif">
          <a:extLst>
            <a:ext uri="{FF2B5EF4-FFF2-40B4-BE49-F238E27FC236}">
              <a16:creationId xmlns:a16="http://schemas.microsoft.com/office/drawing/2014/main" id="{00000000-0008-0000-0800-0000F7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5832" name="Picture 8" descr="C:\WINDOWS\TEMP\~0003946.gif">
          <a:extLst>
            <a:ext uri="{FF2B5EF4-FFF2-40B4-BE49-F238E27FC236}">
              <a16:creationId xmlns:a16="http://schemas.microsoft.com/office/drawing/2014/main" id="{00000000-0008-0000-0800-0000F8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5833" name="Picture 9" descr="C:\WINDOWS\TEMP\~0003946.gif">
          <a:extLst>
            <a:ext uri="{FF2B5EF4-FFF2-40B4-BE49-F238E27FC236}">
              <a16:creationId xmlns:a16="http://schemas.microsoft.com/office/drawing/2014/main" id="{00000000-0008-0000-0800-0000F9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35834" name="Picture 10" descr="C:\WINDOWS\TEMP\~0003946.gif">
          <a:extLst>
            <a:ext uri="{FF2B5EF4-FFF2-40B4-BE49-F238E27FC236}">
              <a16:creationId xmlns:a16="http://schemas.microsoft.com/office/drawing/2014/main" id="{00000000-0008-0000-0800-0000FA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195</xdr:row>
      <xdr:rowOff>104775</xdr:rowOff>
    </xdr:from>
    <xdr:to>
      <xdr:col>22</xdr:col>
      <xdr:colOff>809625</xdr:colOff>
      <xdr:row>196</xdr:row>
      <xdr:rowOff>133350</xdr:rowOff>
    </xdr:to>
    <xdr:pic>
      <xdr:nvPicPr>
        <xdr:cNvPr id="35835" name="Picture 11" descr="C:\WINDOWS\TEMP\~0003946.gif">
          <a:extLst>
            <a:ext uri="{FF2B5EF4-FFF2-40B4-BE49-F238E27FC236}">
              <a16:creationId xmlns:a16="http://schemas.microsoft.com/office/drawing/2014/main" id="{00000000-0008-0000-0800-0000FB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738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278</xdr:row>
      <xdr:rowOff>104775</xdr:rowOff>
    </xdr:from>
    <xdr:to>
      <xdr:col>22</xdr:col>
      <xdr:colOff>895350</xdr:colOff>
      <xdr:row>279</xdr:row>
      <xdr:rowOff>133350</xdr:rowOff>
    </xdr:to>
    <xdr:pic>
      <xdr:nvPicPr>
        <xdr:cNvPr id="35836" name="Picture 12" descr="C:\WINDOWS\TEMP\~0003946.gif">
          <a:extLst>
            <a:ext uri="{FF2B5EF4-FFF2-40B4-BE49-F238E27FC236}">
              <a16:creationId xmlns:a16="http://schemas.microsoft.com/office/drawing/2014/main" id="{00000000-0008-0000-0800-0000FC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426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5837" name="Picture 13" descr="logoMTL">
          <a:extLst>
            <a:ext uri="{FF2B5EF4-FFF2-40B4-BE49-F238E27FC236}">
              <a16:creationId xmlns:a16="http://schemas.microsoft.com/office/drawing/2014/main" id="{00000000-0008-0000-0800-0000FD8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35838" name="Picture 14" descr="logoMTL">
          <a:extLst>
            <a:ext uri="{FF2B5EF4-FFF2-40B4-BE49-F238E27FC236}">
              <a16:creationId xmlns:a16="http://schemas.microsoft.com/office/drawing/2014/main" id="{00000000-0008-0000-0800-0000FE8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195</xdr:row>
      <xdr:rowOff>28575</xdr:rowOff>
    </xdr:from>
    <xdr:to>
      <xdr:col>21</xdr:col>
      <xdr:colOff>1171575</xdr:colOff>
      <xdr:row>196</xdr:row>
      <xdr:rowOff>152400</xdr:rowOff>
    </xdr:to>
    <xdr:pic>
      <xdr:nvPicPr>
        <xdr:cNvPr id="35839" name="Picture 15" descr="logoMTL">
          <a:extLst>
            <a:ext uri="{FF2B5EF4-FFF2-40B4-BE49-F238E27FC236}">
              <a16:creationId xmlns:a16="http://schemas.microsoft.com/office/drawing/2014/main" id="{00000000-0008-0000-0800-0000FF8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6621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278</xdr:row>
      <xdr:rowOff>0</xdr:rowOff>
    </xdr:from>
    <xdr:to>
      <xdr:col>21</xdr:col>
      <xdr:colOff>1228725</xdr:colOff>
      <xdr:row>279</xdr:row>
      <xdr:rowOff>123825</xdr:rowOff>
    </xdr:to>
    <xdr:pic>
      <xdr:nvPicPr>
        <xdr:cNvPr id="64512" name="Picture 16" descr="logoMTL">
          <a:extLst>
            <a:ext uri="{FF2B5EF4-FFF2-40B4-BE49-F238E27FC236}">
              <a16:creationId xmlns:a16="http://schemas.microsoft.com/office/drawing/2014/main" id="{00000000-0008-0000-0800-000000F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3213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36.xml"/><Relationship Id="rId4"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37.xml"/><Relationship Id="rId4"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38.xml"/><Relationship Id="rId4"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39.xml"/><Relationship Id="rId4"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0.xm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1.xml"/><Relationship Id="rId4"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2.xml"/><Relationship Id="rId4"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3.xml"/><Relationship Id="rId4"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4.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5.xml"/><Relationship Id="rId4"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6.xml"/><Relationship Id="rId4"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7.xml"/><Relationship Id="rId4"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8.xml"/><Relationship Id="rId4"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9.xm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0.xml"/><Relationship Id="rId4"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1.xml"/><Relationship Id="rId4"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2.xm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3.xml"/><Relationship Id="rId4"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4.xml"/><Relationship Id="rId4"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5.xml"/><Relationship Id="rId4"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6.xml"/><Relationship Id="rId4"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7.xml"/><Relationship Id="rId4"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8.xml"/><Relationship Id="rId4"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9CB31"/>
  </sheetPr>
  <dimension ref="A1:Y280"/>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238</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239</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140</v>
      </c>
      <c r="C5" s="8"/>
      <c r="D5" s="8"/>
      <c r="E5" s="8"/>
      <c r="F5" s="8"/>
      <c r="G5" s="8"/>
      <c r="H5" s="8"/>
      <c r="I5" s="8"/>
      <c r="J5" s="8"/>
      <c r="K5" s="8"/>
      <c r="L5" s="8"/>
      <c r="M5" s="8"/>
      <c r="N5" s="8"/>
      <c r="O5" s="8"/>
      <c r="P5" s="8"/>
      <c r="Q5" s="8"/>
      <c r="R5" s="8"/>
      <c r="S5" s="8"/>
      <c r="T5" s="8"/>
      <c r="U5" s="8"/>
      <c r="V5" s="8"/>
      <c r="W5" s="8"/>
      <c r="X5" s="5"/>
    </row>
    <row r="6" spans="1:24" ht="15.6" x14ac:dyDescent="0.3">
      <c r="A6" s="6"/>
      <c r="B6" s="11" t="s">
        <v>142</v>
      </c>
      <c r="C6" s="8"/>
      <c r="D6" s="8"/>
      <c r="E6" s="8"/>
      <c r="F6" s="8"/>
      <c r="G6" s="8"/>
      <c r="H6" s="8"/>
      <c r="I6" s="8"/>
      <c r="J6" s="8"/>
      <c r="K6" s="8"/>
      <c r="L6" s="8"/>
      <c r="M6" s="8"/>
      <c r="N6" s="8"/>
      <c r="O6" s="8"/>
      <c r="P6" s="8"/>
      <c r="Q6" s="8"/>
      <c r="R6" s="8"/>
      <c r="S6" s="8"/>
      <c r="T6" s="8"/>
      <c r="U6" s="8"/>
      <c r="V6" s="8"/>
      <c r="W6" s="8"/>
      <c r="X6" s="5"/>
    </row>
    <row r="7" spans="1:24" ht="15.6" x14ac:dyDescent="0.3">
      <c r="A7" s="6"/>
      <c r="B7" s="11" t="s">
        <v>141</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169</v>
      </c>
      <c r="C9" s="8"/>
      <c r="D9" s="8"/>
      <c r="E9" s="8"/>
      <c r="F9" s="8"/>
      <c r="G9" s="8"/>
      <c r="H9" s="8"/>
      <c r="I9" s="148" t="s">
        <v>170</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240</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105</v>
      </c>
      <c r="S15" s="137">
        <v>0.57609999999999995</v>
      </c>
      <c r="T15" s="17" t="s">
        <v>143</v>
      </c>
      <c r="U15" s="137">
        <v>0.4239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105</v>
      </c>
      <c r="S16" s="137">
        <v>0.55130000000000001</v>
      </c>
      <c r="T16" s="17" t="s">
        <v>143</v>
      </c>
      <c r="U16" s="137">
        <v>0.44869999999999999</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39016</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39106</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106</v>
      </c>
      <c r="U20" s="8"/>
      <c r="V20" s="1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180</v>
      </c>
      <c r="E22" s="112"/>
      <c r="F22" s="112" t="s">
        <v>181</v>
      </c>
      <c r="G22" s="112"/>
      <c r="H22" s="112" t="s">
        <v>182</v>
      </c>
      <c r="I22" s="112"/>
      <c r="J22" s="112" t="s">
        <v>223</v>
      </c>
      <c r="K22" s="112"/>
      <c r="L22" s="112" t="s">
        <v>183</v>
      </c>
      <c r="M22" s="112"/>
      <c r="N22" s="112" t="s">
        <v>184</v>
      </c>
      <c r="O22" s="112"/>
      <c r="P22" s="112" t="s">
        <v>224</v>
      </c>
      <c r="Q22" s="112"/>
      <c r="R22" s="112" t="s">
        <v>185</v>
      </c>
      <c r="S22" s="113"/>
      <c r="T22" s="23"/>
      <c r="U22" s="12"/>
      <c r="V22" s="12"/>
      <c r="W22" s="8"/>
      <c r="X22" s="5"/>
    </row>
    <row r="23" spans="1:24" ht="15.6" x14ac:dyDescent="0.3">
      <c r="A23" s="24"/>
      <c r="B23" s="25" t="s">
        <v>7</v>
      </c>
      <c r="C23" s="26"/>
      <c r="D23" s="26" t="s">
        <v>216</v>
      </c>
      <c r="E23" s="26"/>
      <c r="F23" s="26" t="s">
        <v>144</v>
      </c>
      <c r="G23" s="26"/>
      <c r="H23" s="26" t="s">
        <v>144</v>
      </c>
      <c r="I23" s="26"/>
      <c r="J23" s="26" t="s">
        <v>144</v>
      </c>
      <c r="K23" s="26"/>
      <c r="L23" s="26" t="s">
        <v>186</v>
      </c>
      <c r="M23" s="26"/>
      <c r="N23" s="26" t="s">
        <v>186</v>
      </c>
      <c r="O23" s="26"/>
      <c r="P23" s="26" t="s">
        <v>145</v>
      </c>
      <c r="Q23" s="26"/>
      <c r="R23" s="26" t="s">
        <v>145</v>
      </c>
      <c r="S23" s="26"/>
      <c r="T23" s="26"/>
      <c r="U23" s="27"/>
      <c r="V23" s="27"/>
      <c r="W23" s="25"/>
      <c r="X23" s="5"/>
    </row>
    <row r="24" spans="1:24" ht="15.6" x14ac:dyDescent="0.3">
      <c r="A24" s="24"/>
      <c r="B24" s="25" t="s">
        <v>8</v>
      </c>
      <c r="C24" s="26"/>
      <c r="D24" s="26" t="s">
        <v>217</v>
      </c>
      <c r="E24" s="26"/>
      <c r="F24" s="26" t="s">
        <v>146</v>
      </c>
      <c r="G24" s="26"/>
      <c r="H24" s="26" t="s">
        <v>146</v>
      </c>
      <c r="I24" s="26"/>
      <c r="J24" s="26" t="s">
        <v>146</v>
      </c>
      <c r="K24" s="26"/>
      <c r="L24" s="26" t="s">
        <v>168</v>
      </c>
      <c r="M24" s="26"/>
      <c r="N24" s="26" t="s">
        <v>168</v>
      </c>
      <c r="O24" s="26"/>
      <c r="P24" s="26" t="s">
        <v>147</v>
      </c>
      <c r="Q24" s="26"/>
      <c r="R24" s="26" t="s">
        <v>147</v>
      </c>
      <c r="S24" s="26"/>
      <c r="T24" s="26"/>
      <c r="U24" s="27"/>
      <c r="V24" s="27"/>
      <c r="W24" s="25"/>
      <c r="X24" s="5"/>
    </row>
    <row r="25" spans="1:24" ht="15.6" x14ac:dyDescent="0.3">
      <c r="A25" s="28"/>
      <c r="B25" s="131" t="s">
        <v>193</v>
      </c>
      <c r="C25" s="123"/>
      <c r="D25" s="26" t="s">
        <v>218</v>
      </c>
      <c r="E25" s="26"/>
      <c r="F25" s="26" t="s">
        <v>146</v>
      </c>
      <c r="G25" s="26"/>
      <c r="H25" s="26" t="s">
        <v>146</v>
      </c>
      <c r="I25" s="26"/>
      <c r="J25" s="26" t="s">
        <v>146</v>
      </c>
      <c r="K25" s="26"/>
      <c r="L25" s="26" t="s">
        <v>168</v>
      </c>
      <c r="M25" s="26"/>
      <c r="N25" s="26" t="s">
        <v>168</v>
      </c>
      <c r="O25" s="26"/>
      <c r="P25" s="26" t="s">
        <v>147</v>
      </c>
      <c r="Q25" s="26"/>
      <c r="R25" s="26" t="s">
        <v>147</v>
      </c>
      <c r="S25" s="123"/>
      <c r="T25" s="26"/>
      <c r="U25" s="27"/>
      <c r="V25" s="27"/>
      <c r="W25" s="25"/>
      <c r="X25" s="5"/>
    </row>
    <row r="26" spans="1:24" ht="15.6" x14ac:dyDescent="0.3">
      <c r="A26" s="28"/>
      <c r="B26" s="29" t="s">
        <v>9</v>
      </c>
      <c r="C26" s="123"/>
      <c r="D26" s="123" t="s">
        <v>216</v>
      </c>
      <c r="E26" s="123"/>
      <c r="F26" s="123" t="s">
        <v>144</v>
      </c>
      <c r="G26" s="123"/>
      <c r="H26" s="123" t="s">
        <v>144</v>
      </c>
      <c r="I26" s="123"/>
      <c r="J26" s="123" t="s">
        <v>144</v>
      </c>
      <c r="K26" s="123"/>
      <c r="L26" s="123" t="s">
        <v>186</v>
      </c>
      <c r="M26" s="123"/>
      <c r="N26" s="123" t="s">
        <v>186</v>
      </c>
      <c r="O26" s="123"/>
      <c r="P26" s="123" t="s">
        <v>145</v>
      </c>
      <c r="Q26" s="123"/>
      <c r="R26" s="123" t="s">
        <v>145</v>
      </c>
      <c r="S26" s="123"/>
      <c r="T26" s="26"/>
      <c r="U26" s="27"/>
      <c r="V26" s="27"/>
      <c r="W26" s="25"/>
      <c r="X26" s="5"/>
    </row>
    <row r="27" spans="1:24" ht="15.6" x14ac:dyDescent="0.3">
      <c r="A27" s="24"/>
      <c r="B27" s="29" t="s">
        <v>194</v>
      </c>
      <c r="C27" s="26"/>
      <c r="D27" s="123" t="s">
        <v>217</v>
      </c>
      <c r="E27" s="123"/>
      <c r="F27" s="123" t="s">
        <v>146</v>
      </c>
      <c r="G27" s="123"/>
      <c r="H27" s="123" t="s">
        <v>146</v>
      </c>
      <c r="I27" s="123"/>
      <c r="J27" s="123" t="s">
        <v>146</v>
      </c>
      <c r="K27" s="123"/>
      <c r="L27" s="123" t="s">
        <v>168</v>
      </c>
      <c r="M27" s="123"/>
      <c r="N27" s="123" t="s">
        <v>168</v>
      </c>
      <c r="O27" s="123"/>
      <c r="P27" s="123" t="s">
        <v>147</v>
      </c>
      <c r="Q27" s="123"/>
      <c r="R27" s="123" t="s">
        <v>147</v>
      </c>
      <c r="S27" s="26"/>
      <c r="T27" s="30"/>
      <c r="U27" s="27"/>
      <c r="V27" s="27"/>
      <c r="W27" s="25"/>
      <c r="X27" s="5"/>
    </row>
    <row r="28" spans="1:24" ht="15.6" x14ac:dyDescent="0.3">
      <c r="A28" s="24"/>
      <c r="B28" s="153" t="s">
        <v>195</v>
      </c>
      <c r="C28" s="26"/>
      <c r="D28" s="123" t="s">
        <v>218</v>
      </c>
      <c r="E28" s="123"/>
      <c r="F28" s="123" t="s">
        <v>146</v>
      </c>
      <c r="G28" s="123"/>
      <c r="H28" s="123" t="s">
        <v>146</v>
      </c>
      <c r="I28" s="123"/>
      <c r="J28" s="123" t="s">
        <v>146</v>
      </c>
      <c r="K28" s="123"/>
      <c r="L28" s="123" t="s">
        <v>168</v>
      </c>
      <c r="M28" s="123"/>
      <c r="N28" s="123" t="s">
        <v>168</v>
      </c>
      <c r="O28" s="123"/>
      <c r="P28" s="123" t="s">
        <v>147</v>
      </c>
      <c r="Q28" s="123"/>
      <c r="R28" s="123" t="s">
        <v>147</v>
      </c>
      <c r="S28" s="26"/>
      <c r="T28" s="30"/>
      <c r="U28" s="27"/>
      <c r="V28" s="27"/>
      <c r="W28" s="25"/>
      <c r="X28" s="5"/>
    </row>
    <row r="29" spans="1:24" ht="15.6" x14ac:dyDescent="0.3">
      <c r="A29" s="24"/>
      <c r="B29" s="25" t="s">
        <v>10</v>
      </c>
      <c r="C29" s="32"/>
      <c r="D29" s="26" t="s">
        <v>348</v>
      </c>
      <c r="E29" s="26"/>
      <c r="F29" s="30" t="s">
        <v>242</v>
      </c>
      <c r="G29" s="26"/>
      <c r="H29" s="26" t="s">
        <v>243</v>
      </c>
      <c r="I29" s="26"/>
      <c r="J29" s="26" t="s">
        <v>245</v>
      </c>
      <c r="K29" s="26"/>
      <c r="L29" s="26" t="s">
        <v>246</v>
      </c>
      <c r="M29" s="26"/>
      <c r="N29" s="26" t="s">
        <v>247</v>
      </c>
      <c r="O29" s="26"/>
      <c r="P29" s="26" t="s">
        <v>248</v>
      </c>
      <c r="Q29" s="26"/>
      <c r="R29" s="26" t="s">
        <v>249</v>
      </c>
      <c r="S29" s="31"/>
      <c r="T29" s="31"/>
      <c r="U29" s="33"/>
      <c r="V29" s="31"/>
      <c r="W29" s="34"/>
      <c r="X29" s="5"/>
    </row>
    <row r="30" spans="1:24" ht="15.6" x14ac:dyDescent="0.3">
      <c r="A30" s="24"/>
      <c r="B30" s="25" t="s">
        <v>10</v>
      </c>
      <c r="C30" s="32"/>
      <c r="D30" s="26" t="s">
        <v>241</v>
      </c>
      <c r="E30" s="26"/>
      <c r="F30" s="30" t="s">
        <v>121</v>
      </c>
      <c r="G30" s="26"/>
      <c r="H30" s="26" t="s">
        <v>121</v>
      </c>
      <c r="I30" s="26"/>
      <c r="J30" s="26" t="s">
        <v>244</v>
      </c>
      <c r="K30" s="26"/>
      <c r="L30" s="26" t="s">
        <v>121</v>
      </c>
      <c r="M30" s="26"/>
      <c r="N30" s="26" t="s">
        <v>121</v>
      </c>
      <c r="O30" s="26"/>
      <c r="P30" s="26" t="s">
        <v>121</v>
      </c>
      <c r="Q30" s="26"/>
      <c r="R30" s="26" t="s">
        <v>121</v>
      </c>
      <c r="S30" s="31"/>
      <c r="T30" s="31"/>
      <c r="U30" s="33"/>
      <c r="V30" s="31"/>
      <c r="W30" s="34"/>
      <c r="X30" s="5"/>
    </row>
    <row r="31" spans="1:24" ht="15.6" x14ac:dyDescent="0.3">
      <c r="A31" s="28"/>
      <c r="B31" s="25" t="s">
        <v>136</v>
      </c>
      <c r="C31" s="36"/>
      <c r="D31" s="146">
        <v>1500000</v>
      </c>
      <c r="E31" s="32"/>
      <c r="F31" s="31">
        <v>125000</v>
      </c>
      <c r="G31" s="31"/>
      <c r="H31" s="124">
        <v>315000</v>
      </c>
      <c r="I31" s="124"/>
      <c r="J31" s="146">
        <v>350000</v>
      </c>
      <c r="K31" s="31"/>
      <c r="L31" s="31">
        <v>56000</v>
      </c>
      <c r="M31" s="31"/>
      <c r="N31" s="124">
        <v>84000</v>
      </c>
      <c r="O31" s="31"/>
      <c r="P31" s="31">
        <v>13000</v>
      </c>
      <c r="Q31" s="31"/>
      <c r="R31" s="124">
        <v>81000</v>
      </c>
      <c r="S31" s="35"/>
      <c r="T31" s="35"/>
      <c r="U31" s="37"/>
      <c r="V31" s="35"/>
      <c r="W31" s="34"/>
      <c r="X31" s="5"/>
    </row>
    <row r="32" spans="1:24" ht="15.6" x14ac:dyDescent="0.3">
      <c r="A32" s="24"/>
      <c r="B32" s="25" t="s">
        <v>135</v>
      </c>
      <c r="C32" s="32"/>
      <c r="D32" s="146">
        <v>0</v>
      </c>
      <c r="E32" s="32"/>
      <c r="F32" s="31">
        <v>0</v>
      </c>
      <c r="G32" s="31"/>
      <c r="H32" s="124">
        <v>0</v>
      </c>
      <c r="I32" s="124"/>
      <c r="J32" s="146">
        <v>0</v>
      </c>
      <c r="K32" s="31"/>
      <c r="L32" s="31">
        <v>0</v>
      </c>
      <c r="M32" s="31"/>
      <c r="N32" s="124">
        <v>0</v>
      </c>
      <c r="O32" s="31"/>
      <c r="P32" s="31">
        <v>0</v>
      </c>
      <c r="Q32" s="31"/>
      <c r="R32" s="124">
        <v>0</v>
      </c>
      <c r="S32" s="31"/>
      <c r="T32" s="31"/>
      <c r="U32" s="33"/>
      <c r="V32" s="31"/>
      <c r="W32" s="34"/>
      <c r="X32" s="5"/>
    </row>
    <row r="33" spans="1:24" ht="15.6" x14ac:dyDescent="0.3">
      <c r="A33" s="24"/>
      <c r="B33" s="29" t="s">
        <v>137</v>
      </c>
      <c r="C33" s="32"/>
      <c r="D33" s="151">
        <f>D37*D31</f>
        <v>1477113</v>
      </c>
      <c r="E33" s="36"/>
      <c r="F33" s="35">
        <f>F37*F31</f>
        <v>123092.75</v>
      </c>
      <c r="G33" s="35"/>
      <c r="H33" s="125">
        <f>H31*H37</f>
        <v>310193.73</v>
      </c>
      <c r="I33" s="125"/>
      <c r="J33" s="151">
        <f>J37*J31</f>
        <v>344659.7</v>
      </c>
      <c r="K33" s="35"/>
      <c r="L33" s="35">
        <f>L31*L37</f>
        <v>56000</v>
      </c>
      <c r="M33" s="35"/>
      <c r="N33" s="125">
        <f>N31*N37</f>
        <v>84000</v>
      </c>
      <c r="O33" s="35"/>
      <c r="P33" s="35">
        <f>P31*P37</f>
        <v>13000</v>
      </c>
      <c r="Q33" s="35"/>
      <c r="R33" s="125">
        <f>R31*R37</f>
        <v>81000</v>
      </c>
      <c r="S33" s="31"/>
      <c r="T33" s="31"/>
      <c r="U33" s="33"/>
      <c r="V33" s="31"/>
      <c r="W33" s="34"/>
      <c r="X33" s="5"/>
    </row>
    <row r="34" spans="1:24" ht="15.6" x14ac:dyDescent="0.3">
      <c r="A34" s="28"/>
      <c r="B34" s="25" t="s">
        <v>298</v>
      </c>
      <c r="C34" s="36"/>
      <c r="D34" s="31">
        <v>797872</v>
      </c>
      <c r="E34" s="32"/>
      <c r="F34" s="31">
        <v>125000</v>
      </c>
      <c r="G34" s="31"/>
      <c r="H34" s="31">
        <v>211409</v>
      </c>
      <c r="I34" s="31"/>
      <c r="J34" s="31">
        <v>186170</v>
      </c>
      <c r="K34" s="31"/>
      <c r="L34" s="31">
        <v>56000</v>
      </c>
      <c r="M34" s="31"/>
      <c r="N34" s="31">
        <v>56376</v>
      </c>
      <c r="O34" s="31"/>
      <c r="P34" s="31">
        <v>13000</v>
      </c>
      <c r="Q34" s="31"/>
      <c r="R34" s="31">
        <v>54363</v>
      </c>
      <c r="S34" s="35"/>
      <c r="T34" s="35"/>
      <c r="U34" s="37"/>
      <c r="V34" s="154">
        <f>SUM(C34:R34)</f>
        <v>1500190</v>
      </c>
      <c r="W34" s="34"/>
      <c r="X34" s="5"/>
    </row>
    <row r="35" spans="1:24" ht="15.6" x14ac:dyDescent="0.3">
      <c r="A35" s="28"/>
      <c r="B35" s="25" t="s">
        <v>299</v>
      </c>
      <c r="C35" s="126"/>
      <c r="D35" s="31">
        <v>0</v>
      </c>
      <c r="E35" s="32"/>
      <c r="F35" s="31">
        <v>0</v>
      </c>
      <c r="G35" s="31"/>
      <c r="H35" s="31">
        <v>0</v>
      </c>
      <c r="I35" s="31"/>
      <c r="J35" s="31">
        <v>0</v>
      </c>
      <c r="K35" s="31"/>
      <c r="L35" s="31">
        <v>0</v>
      </c>
      <c r="M35" s="31"/>
      <c r="N35" s="31">
        <v>0</v>
      </c>
      <c r="O35" s="31"/>
      <c r="P35" s="31">
        <v>0</v>
      </c>
      <c r="Q35" s="31"/>
      <c r="R35" s="31">
        <v>0</v>
      </c>
      <c r="S35" s="31"/>
      <c r="T35" s="31"/>
      <c r="U35" s="33"/>
      <c r="V35" s="154">
        <f>SUM(C35:R35)</f>
        <v>0</v>
      </c>
      <c r="W35" s="34"/>
      <c r="X35" s="5"/>
    </row>
    <row r="36" spans="1:24" ht="15.6" x14ac:dyDescent="0.3">
      <c r="A36" s="28"/>
      <c r="B36" s="29" t="s">
        <v>304</v>
      </c>
      <c r="C36" s="126"/>
      <c r="D36" s="35">
        <f>D34*D37</f>
        <v>785698.06902399997</v>
      </c>
      <c r="E36" s="36"/>
      <c r="F36" s="35">
        <f>F34*F37</f>
        <v>123092.75</v>
      </c>
      <c r="G36" s="35"/>
      <c r="H36" s="35">
        <f>H34*H37</f>
        <v>208183.321478</v>
      </c>
      <c r="I36" s="35"/>
      <c r="J36" s="35">
        <f>J34*J37</f>
        <v>183329.41813999999</v>
      </c>
      <c r="K36" s="35"/>
      <c r="L36" s="35">
        <v>56000</v>
      </c>
      <c r="M36" s="35"/>
      <c r="N36" s="35">
        <v>56376</v>
      </c>
      <c r="O36" s="35"/>
      <c r="P36" s="35">
        <v>13000</v>
      </c>
      <c r="Q36" s="35"/>
      <c r="R36" s="35">
        <v>54363</v>
      </c>
      <c r="S36" s="128"/>
      <c r="T36" s="128"/>
      <c r="U36" s="33"/>
      <c r="V36" s="155">
        <f>SUM(C36:R36)-1</f>
        <v>1480041.558642</v>
      </c>
      <c r="W36" s="34"/>
      <c r="X36" s="5"/>
    </row>
    <row r="37" spans="1:24" ht="15.6" x14ac:dyDescent="0.3">
      <c r="A37" s="24"/>
      <c r="B37" s="122" t="s">
        <v>133</v>
      </c>
      <c r="C37" s="25"/>
      <c r="D37" s="135">
        <v>0.98474200000000001</v>
      </c>
      <c r="E37" s="136"/>
      <c r="F37" s="135">
        <v>0.98474200000000001</v>
      </c>
      <c r="G37" s="135"/>
      <c r="H37" s="135">
        <v>0.98474200000000001</v>
      </c>
      <c r="I37" s="135"/>
      <c r="J37" s="135">
        <v>0.98474200000000001</v>
      </c>
      <c r="K37" s="135"/>
      <c r="L37" s="135">
        <v>1</v>
      </c>
      <c r="M37" s="135"/>
      <c r="N37" s="135">
        <v>1</v>
      </c>
      <c r="O37" s="135"/>
      <c r="P37" s="135">
        <v>1</v>
      </c>
      <c r="Q37" s="135"/>
      <c r="R37" s="135">
        <v>1</v>
      </c>
      <c r="S37" s="30"/>
      <c r="T37" s="30"/>
      <c r="U37" s="27"/>
      <c r="V37" s="27"/>
      <c r="W37" s="25"/>
      <c r="X37" s="5"/>
    </row>
    <row r="38" spans="1:24" ht="15.6" x14ac:dyDescent="0.3">
      <c r="A38" s="24"/>
      <c r="B38" s="122" t="s">
        <v>134</v>
      </c>
      <c r="C38" s="25"/>
      <c r="D38" s="135">
        <v>1</v>
      </c>
      <c r="E38" s="136"/>
      <c r="F38" s="135">
        <v>1</v>
      </c>
      <c r="G38" s="135"/>
      <c r="H38" s="135">
        <v>1</v>
      </c>
      <c r="I38" s="135"/>
      <c r="J38" s="135">
        <v>1</v>
      </c>
      <c r="K38" s="135"/>
      <c r="L38" s="135">
        <v>1</v>
      </c>
      <c r="M38" s="135"/>
      <c r="N38" s="135">
        <v>1</v>
      </c>
      <c r="O38" s="135"/>
      <c r="P38" s="135">
        <v>1</v>
      </c>
      <c r="Q38" s="135"/>
      <c r="R38" s="135">
        <v>1</v>
      </c>
      <c r="S38" s="39"/>
      <c r="T38" s="38"/>
      <c r="U38" s="27"/>
      <c r="V38" s="39"/>
      <c r="W38" s="25"/>
      <c r="X38" s="5"/>
    </row>
    <row r="39" spans="1:24" ht="15.6" x14ac:dyDescent="0.3">
      <c r="A39" s="24"/>
      <c r="B39" s="25" t="s">
        <v>11</v>
      </c>
      <c r="C39" s="25"/>
      <c r="D39" s="30" t="s">
        <v>250</v>
      </c>
      <c r="E39" s="25"/>
      <c r="F39" s="30" t="s">
        <v>225</v>
      </c>
      <c r="G39" s="30"/>
      <c r="H39" s="30" t="s">
        <v>225</v>
      </c>
      <c r="I39" s="30"/>
      <c r="J39" s="30" t="s">
        <v>251</v>
      </c>
      <c r="K39" s="30"/>
      <c r="L39" s="30" t="s">
        <v>252</v>
      </c>
      <c r="M39" s="30"/>
      <c r="N39" s="30" t="s">
        <v>253</v>
      </c>
      <c r="O39" s="30"/>
      <c r="P39" s="30" t="s">
        <v>254</v>
      </c>
      <c r="Q39" s="30"/>
      <c r="R39" s="30" t="s">
        <v>255</v>
      </c>
      <c r="S39" s="39"/>
      <c r="T39" s="38"/>
      <c r="U39" s="27"/>
      <c r="V39" s="27"/>
      <c r="W39" s="25"/>
      <c r="X39" s="5"/>
    </row>
    <row r="40" spans="1:24" ht="15.6" x14ac:dyDescent="0.3">
      <c r="A40" s="24"/>
      <c r="B40" s="25" t="s">
        <v>12</v>
      </c>
      <c r="C40" s="25"/>
      <c r="D40" s="38">
        <v>5.3400000000000003E-2</v>
      </c>
      <c r="E40" s="25"/>
      <c r="F40" s="38">
        <v>5.2691700000000001E-2</v>
      </c>
      <c r="G40" s="39"/>
      <c r="H40" s="38">
        <v>3.6170000000000001E-2</v>
      </c>
      <c r="I40" s="38"/>
      <c r="J40" s="38">
        <v>5.4600000000000003E-2</v>
      </c>
      <c r="K40" s="39"/>
      <c r="L40" s="38">
        <v>5.3491700000000003E-2</v>
      </c>
      <c r="M40" s="39"/>
      <c r="N40" s="38">
        <v>3.687E-2</v>
      </c>
      <c r="O40" s="39"/>
      <c r="P40" s="38">
        <v>5.5491699999999998E-2</v>
      </c>
      <c r="Q40" s="39"/>
      <c r="R40" s="38">
        <v>3.8870000000000002E-2</v>
      </c>
      <c r="S40" s="39"/>
      <c r="T40" s="38"/>
      <c r="U40" s="27"/>
      <c r="V40" s="30"/>
      <c r="W40" s="25"/>
      <c r="X40" s="5"/>
    </row>
    <row r="41" spans="1:24" ht="15.6" x14ac:dyDescent="0.3">
      <c r="A41" s="24"/>
      <c r="B41" s="25" t="s">
        <v>13</v>
      </c>
      <c r="C41" s="25"/>
      <c r="D41" s="38">
        <v>0</v>
      </c>
      <c r="E41" s="25"/>
      <c r="F41" s="38">
        <v>0</v>
      </c>
      <c r="G41" s="39"/>
      <c r="H41" s="38">
        <v>0</v>
      </c>
      <c r="I41" s="38"/>
      <c r="J41" s="38">
        <v>0</v>
      </c>
      <c r="K41" s="38"/>
      <c r="L41" s="38">
        <v>0</v>
      </c>
      <c r="M41" s="38"/>
      <c r="N41" s="38">
        <v>0</v>
      </c>
      <c r="O41" s="38"/>
      <c r="P41" s="38">
        <v>0</v>
      </c>
      <c r="Q41" s="38"/>
      <c r="R41" s="38">
        <v>0</v>
      </c>
      <c r="S41" s="39"/>
      <c r="T41" s="38"/>
      <c r="U41" s="27"/>
      <c r="V41" s="39" t="s">
        <v>196</v>
      </c>
      <c r="W41" s="25"/>
      <c r="X41" s="5"/>
    </row>
    <row r="42" spans="1:24" ht="15.6" x14ac:dyDescent="0.3">
      <c r="A42" s="24"/>
      <c r="B42" s="25" t="s">
        <v>300</v>
      </c>
      <c r="C42" s="25"/>
      <c r="D42" s="30" t="s">
        <v>286</v>
      </c>
      <c r="E42" s="25"/>
      <c r="F42" s="30" t="s">
        <v>225</v>
      </c>
      <c r="G42" s="30"/>
      <c r="H42" s="30" t="s">
        <v>263</v>
      </c>
      <c r="I42" s="30"/>
      <c r="J42" s="30" t="s">
        <v>262</v>
      </c>
      <c r="K42" s="30"/>
      <c r="L42" s="30" t="s">
        <v>252</v>
      </c>
      <c r="M42" s="30"/>
      <c r="N42" s="30" t="s">
        <v>264</v>
      </c>
      <c r="O42" s="30"/>
      <c r="P42" s="30" t="s">
        <v>254</v>
      </c>
      <c r="Q42" s="30"/>
      <c r="R42" s="30" t="s">
        <v>260</v>
      </c>
      <c r="S42" s="39"/>
      <c r="T42" s="38"/>
      <c r="U42" s="27"/>
      <c r="V42" s="27"/>
      <c r="W42" s="25"/>
      <c r="X42" s="5"/>
    </row>
    <row r="43" spans="1:24" ht="15.6" x14ac:dyDescent="0.3">
      <c r="A43" s="24"/>
      <c r="B43" s="25" t="s">
        <v>301</v>
      </c>
      <c r="C43" s="110"/>
      <c r="D43" s="38">
        <v>5.1706200000000001E-2</v>
      </c>
      <c r="E43" s="38"/>
      <c r="F43" s="38">
        <f>+F40</f>
        <v>5.2691700000000001E-2</v>
      </c>
      <c r="G43" s="38"/>
      <c r="H43" s="38">
        <v>5.2813699999999998E-2</v>
      </c>
      <c r="I43" s="38"/>
      <c r="J43" s="38">
        <v>5.2731699999999999E-2</v>
      </c>
      <c r="K43" s="38"/>
      <c r="L43" s="38">
        <f>+L40</f>
        <v>5.3491700000000003E-2</v>
      </c>
      <c r="M43" s="38"/>
      <c r="N43" s="38">
        <v>5.3581700000000003E-2</v>
      </c>
      <c r="O43" s="38"/>
      <c r="P43" s="38">
        <f>+P40</f>
        <v>5.5491699999999998E-2</v>
      </c>
      <c r="Q43" s="39"/>
      <c r="R43" s="38">
        <v>5.5691699999999997E-2</v>
      </c>
      <c r="S43" s="30"/>
      <c r="T43" s="30"/>
      <c r="U43" s="27"/>
      <c r="V43" s="39">
        <f>SUMPRODUCT(D43:R43,D34:R34)/V34</f>
        <v>5.238600504269459E-2</v>
      </c>
      <c r="W43" s="25"/>
      <c r="X43" s="5"/>
    </row>
    <row r="44" spans="1:24" ht="15.6" x14ac:dyDescent="0.3">
      <c r="A44" s="24"/>
      <c r="B44" s="25" t="s">
        <v>302</v>
      </c>
      <c r="C44" s="110"/>
      <c r="D44" s="38">
        <v>0</v>
      </c>
      <c r="E44" s="25"/>
      <c r="F44" s="38">
        <v>0</v>
      </c>
      <c r="G44" s="39"/>
      <c r="H44" s="38">
        <v>0</v>
      </c>
      <c r="I44" s="38"/>
      <c r="J44" s="38">
        <v>0</v>
      </c>
      <c r="K44" s="39"/>
      <c r="L44" s="38">
        <v>0</v>
      </c>
      <c r="M44" s="39"/>
      <c r="N44" s="38">
        <v>0</v>
      </c>
      <c r="O44" s="39"/>
      <c r="P44" s="38">
        <v>0</v>
      </c>
      <c r="Q44" s="39"/>
      <c r="R44" s="38">
        <v>0</v>
      </c>
      <c r="S44" s="30"/>
      <c r="T44" s="30"/>
      <c r="U44" s="27"/>
      <c r="V44" s="27"/>
      <c r="W44" s="25"/>
      <c r="X44" s="5"/>
    </row>
    <row r="45" spans="1:24" ht="15.6" x14ac:dyDescent="0.3">
      <c r="A45" s="24"/>
      <c r="B45" s="25" t="s">
        <v>14</v>
      </c>
      <c r="C45" s="25"/>
      <c r="D45" s="110">
        <v>40466</v>
      </c>
      <c r="E45" s="110"/>
      <c r="F45" s="110">
        <v>40466</v>
      </c>
      <c r="G45" s="110"/>
      <c r="H45" s="110">
        <v>40466</v>
      </c>
      <c r="I45" s="110"/>
      <c r="J45" s="110">
        <v>40466</v>
      </c>
      <c r="K45" s="110"/>
      <c r="L45" s="110">
        <v>40466</v>
      </c>
      <c r="M45" s="110"/>
      <c r="N45" s="110">
        <v>40466</v>
      </c>
      <c r="O45" s="110"/>
      <c r="P45" s="110">
        <v>40466</v>
      </c>
      <c r="Q45" s="110"/>
      <c r="R45" s="110">
        <v>40466</v>
      </c>
      <c r="S45" s="30"/>
      <c r="T45" s="30"/>
      <c r="U45" s="27"/>
      <c r="V45" s="27"/>
      <c r="W45" s="25"/>
      <c r="X45" s="5"/>
    </row>
    <row r="46" spans="1:24" ht="15.6" x14ac:dyDescent="0.3">
      <c r="A46" s="24"/>
      <c r="B46" s="25" t="s">
        <v>15</v>
      </c>
      <c r="C46" s="25"/>
      <c r="D46" s="110" t="s">
        <v>121</v>
      </c>
      <c r="E46" s="110"/>
      <c r="F46" s="110">
        <v>40831</v>
      </c>
      <c r="G46" s="110"/>
      <c r="H46" s="110">
        <v>40831</v>
      </c>
      <c r="I46" s="110"/>
      <c r="J46" s="110">
        <v>40831</v>
      </c>
      <c r="K46" s="30"/>
      <c r="L46" s="110">
        <v>40831</v>
      </c>
      <c r="M46" s="30"/>
      <c r="N46" s="110">
        <v>40831</v>
      </c>
      <c r="O46" s="30"/>
      <c r="P46" s="110">
        <v>40831</v>
      </c>
      <c r="Q46" s="30"/>
      <c r="R46" s="110">
        <v>40831</v>
      </c>
      <c r="S46" s="30"/>
      <c r="T46" s="30"/>
      <c r="U46" s="27"/>
      <c r="V46" s="27"/>
      <c r="W46" s="25"/>
      <c r="X46" s="5"/>
    </row>
    <row r="47" spans="1:24" ht="15.6" x14ac:dyDescent="0.3">
      <c r="A47" s="24"/>
      <c r="B47" s="25" t="s">
        <v>122</v>
      </c>
      <c r="C47" s="25"/>
      <c r="D47" s="160" t="s">
        <v>121</v>
      </c>
      <c r="E47" s="25"/>
      <c r="F47" s="30" t="s">
        <v>226</v>
      </c>
      <c r="G47" s="30"/>
      <c r="H47" s="30" t="s">
        <v>226</v>
      </c>
      <c r="I47" s="30"/>
      <c r="J47" s="30" t="s">
        <v>256</v>
      </c>
      <c r="K47" s="30"/>
      <c r="L47" s="30" t="s">
        <v>254</v>
      </c>
      <c r="M47" s="30"/>
      <c r="N47" s="30" t="s">
        <v>257</v>
      </c>
      <c r="O47" s="30"/>
      <c r="P47" s="30" t="s">
        <v>258</v>
      </c>
      <c r="Q47" s="30"/>
      <c r="R47" s="30" t="s">
        <v>259</v>
      </c>
      <c r="S47" s="40"/>
      <c r="T47" s="40"/>
      <c r="U47" s="40"/>
      <c r="V47" s="40"/>
      <c r="W47" s="25"/>
      <c r="X47" s="5"/>
    </row>
    <row r="48" spans="1:24" ht="15.6" x14ac:dyDescent="0.3">
      <c r="A48" s="24"/>
      <c r="B48" s="25" t="s">
        <v>303</v>
      </c>
      <c r="C48" s="25"/>
      <c r="D48" s="30" t="s">
        <v>203</v>
      </c>
      <c r="E48" s="25"/>
      <c r="F48" s="30" t="s">
        <v>226</v>
      </c>
      <c r="G48" s="30"/>
      <c r="H48" s="30" t="s">
        <v>227</v>
      </c>
      <c r="I48" s="30"/>
      <c r="J48" s="30" t="s">
        <v>237</v>
      </c>
      <c r="K48" s="30"/>
      <c r="L48" s="30" t="s">
        <v>254</v>
      </c>
      <c r="M48" s="30"/>
      <c r="N48" s="30" t="s">
        <v>260</v>
      </c>
      <c r="O48" s="30"/>
      <c r="P48" s="30" t="s">
        <v>258</v>
      </c>
      <c r="Q48" s="30"/>
      <c r="R48" s="30" t="s">
        <v>261</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196</v>
      </c>
      <c r="W49" s="25"/>
      <c r="X49" s="5"/>
    </row>
    <row r="50" spans="1:25" ht="15.6" x14ac:dyDescent="0.3">
      <c r="A50" s="24"/>
      <c r="B50" s="25" t="s">
        <v>172</v>
      </c>
      <c r="C50" s="25"/>
      <c r="D50" s="30"/>
      <c r="E50" s="25"/>
      <c r="F50" s="30"/>
      <c r="G50" s="30"/>
      <c r="H50" s="30"/>
      <c r="I50" s="30"/>
      <c r="J50" s="30"/>
      <c r="K50" s="30"/>
      <c r="L50" s="30"/>
      <c r="M50" s="30"/>
      <c r="N50" s="30"/>
      <c r="O50" s="30"/>
      <c r="P50" s="30"/>
      <c r="Q50" s="30"/>
      <c r="R50" s="30"/>
      <c r="S50" s="25"/>
      <c r="T50" s="25"/>
      <c r="U50" s="25"/>
      <c r="V50" s="39">
        <f>SUM(L34:R34)/SUM(D34:J34)</f>
        <v>0.13611940162868597</v>
      </c>
      <c r="W50" s="25"/>
      <c r="X50" s="5"/>
    </row>
    <row r="51" spans="1:25" ht="15.6" x14ac:dyDescent="0.3">
      <c r="A51" s="24"/>
      <c r="B51" s="25" t="s">
        <v>173</v>
      </c>
      <c r="C51" s="25"/>
      <c r="D51" s="25"/>
      <c r="E51" s="25"/>
      <c r="F51" s="41"/>
      <c r="G51" s="25"/>
      <c r="H51" s="25"/>
      <c r="I51" s="25"/>
      <c r="J51" s="25"/>
      <c r="K51" s="25"/>
      <c r="L51" s="25"/>
      <c r="M51" s="25"/>
      <c r="N51" s="25"/>
      <c r="O51" s="25"/>
      <c r="P51" s="25"/>
      <c r="Q51" s="25"/>
      <c r="R51" s="25"/>
      <c r="S51" s="25"/>
      <c r="T51" s="25"/>
      <c r="U51" s="25"/>
      <c r="V51" s="39">
        <f>SUM(L36:R36)/SUM(D36:J36)</f>
        <v>0.13822849195899634</v>
      </c>
      <c r="W51" s="25"/>
      <c r="X51" s="5"/>
    </row>
    <row r="52" spans="1:25" ht="15.6" x14ac:dyDescent="0.3">
      <c r="A52" s="24"/>
      <c r="B52" s="25" t="s">
        <v>174</v>
      </c>
      <c r="C52" s="25"/>
      <c r="D52" s="25"/>
      <c r="E52" s="25"/>
      <c r="F52" s="25"/>
      <c r="G52" s="25"/>
      <c r="H52" s="25"/>
      <c r="I52" s="25"/>
      <c r="J52" s="25"/>
      <c r="K52" s="25"/>
      <c r="L52" s="25"/>
      <c r="M52" s="25"/>
      <c r="N52" s="25"/>
      <c r="O52" s="25"/>
      <c r="P52" s="25"/>
      <c r="Q52" s="25"/>
      <c r="R52" s="25"/>
      <c r="S52" s="25"/>
      <c r="T52" s="30" t="s">
        <v>107</v>
      </c>
      <c r="U52" s="30" t="s">
        <v>112</v>
      </c>
      <c r="V52" s="31">
        <f>+V34/2-SUM(L34:R34)</f>
        <v>570356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205</v>
      </c>
      <c r="C54" s="25"/>
      <c r="D54" s="25"/>
      <c r="E54" s="25"/>
      <c r="F54" s="25"/>
      <c r="G54" s="25"/>
      <c r="H54" s="25"/>
      <c r="I54" s="25"/>
      <c r="J54" s="25"/>
      <c r="K54" s="25"/>
      <c r="L54" s="25"/>
      <c r="M54" s="25"/>
      <c r="N54" s="25"/>
      <c r="O54" s="25"/>
      <c r="P54" s="25"/>
      <c r="Q54" s="25"/>
      <c r="R54" s="25"/>
      <c r="S54" s="25"/>
      <c r="T54" s="25"/>
      <c r="U54" s="25"/>
      <c r="V54" s="156" t="s">
        <v>206</v>
      </c>
      <c r="W54" s="25"/>
      <c r="X54" s="5"/>
    </row>
    <row r="55" spans="1:25" ht="15.6" x14ac:dyDescent="0.3">
      <c r="A55" s="24"/>
      <c r="B55" s="25" t="s">
        <v>236</v>
      </c>
      <c r="C55" s="25"/>
      <c r="D55" s="25"/>
      <c r="E55" s="25"/>
      <c r="F55" s="25"/>
      <c r="G55" s="25"/>
      <c r="H55" s="25"/>
      <c r="I55" s="25"/>
      <c r="J55" s="25"/>
      <c r="K55" s="25"/>
      <c r="L55" s="25"/>
      <c r="M55" s="25"/>
      <c r="N55" s="25"/>
      <c r="O55" s="25"/>
      <c r="P55" s="25"/>
      <c r="Q55" s="25"/>
      <c r="R55" s="25"/>
      <c r="S55" s="25"/>
      <c r="T55" s="30"/>
      <c r="U55" s="30"/>
      <c r="V55" s="157" t="s">
        <v>114</v>
      </c>
      <c r="W55" s="25"/>
      <c r="X55" s="5"/>
    </row>
    <row r="56" spans="1:25" ht="15.6" x14ac:dyDescent="0.3">
      <c r="A56" s="24"/>
      <c r="B56" s="29" t="s">
        <v>204</v>
      </c>
      <c r="C56" s="29"/>
      <c r="D56" s="29"/>
      <c r="E56" s="29"/>
      <c r="F56" s="29"/>
      <c r="G56" s="29"/>
      <c r="H56" s="29"/>
      <c r="I56" s="29"/>
      <c r="J56" s="29"/>
      <c r="K56" s="29"/>
      <c r="L56" s="29"/>
      <c r="M56" s="29"/>
      <c r="N56" s="29"/>
      <c r="O56" s="29"/>
      <c r="P56" s="29"/>
      <c r="Q56" s="29"/>
      <c r="R56" s="29"/>
      <c r="S56" s="29"/>
      <c r="T56" s="43"/>
      <c r="U56" s="43"/>
      <c r="V56" s="44">
        <v>39098</v>
      </c>
      <c r="W56" s="25"/>
      <c r="X56" s="5"/>
    </row>
    <row r="57" spans="1:25" ht="15.6" x14ac:dyDescent="0.3">
      <c r="A57" s="24"/>
      <c r="B57" s="25" t="s">
        <v>124</v>
      </c>
      <c r="C57" s="25"/>
      <c r="D57" s="25"/>
      <c r="E57" s="25"/>
      <c r="F57" s="25"/>
      <c r="G57" s="25"/>
      <c r="H57" s="58"/>
      <c r="I57" s="58"/>
      <c r="J57" s="58"/>
      <c r="K57" s="58"/>
      <c r="L57" s="58"/>
      <c r="M57" s="58"/>
      <c r="N57" s="58"/>
      <c r="O57" s="58"/>
      <c r="P57" s="58"/>
      <c r="Q57" s="58"/>
      <c r="R57" s="58"/>
      <c r="S57" s="58"/>
      <c r="T57" s="45"/>
      <c r="U57" s="46"/>
      <c r="V57" s="45"/>
      <c r="W57" s="25"/>
      <c r="X57" s="5"/>
    </row>
    <row r="58" spans="1:25" ht="15.6" x14ac:dyDescent="0.3">
      <c r="A58" s="24"/>
      <c r="B58" s="25" t="s">
        <v>125</v>
      </c>
      <c r="C58" s="25"/>
      <c r="D58" s="25"/>
      <c r="E58" s="25"/>
      <c r="F58" s="25"/>
      <c r="G58" s="25"/>
      <c r="H58" s="25"/>
      <c r="I58" s="25"/>
      <c r="J58" s="25"/>
      <c r="K58" s="25"/>
      <c r="L58" s="25"/>
      <c r="M58" s="25"/>
      <c r="N58" s="25"/>
      <c r="O58" s="25"/>
      <c r="P58" s="25"/>
      <c r="Q58" s="25"/>
      <c r="R58" s="25">
        <f>+V58-T58+1</f>
        <v>82</v>
      </c>
      <c r="S58" s="25"/>
      <c r="T58" s="45">
        <v>39016</v>
      </c>
      <c r="U58" s="46"/>
      <c r="V58" s="45">
        <v>39097</v>
      </c>
      <c r="W58" s="25"/>
      <c r="X58" s="5"/>
    </row>
    <row r="59" spans="1:25" ht="15.6" x14ac:dyDescent="0.3">
      <c r="A59" s="24"/>
      <c r="B59" s="25" t="s">
        <v>235</v>
      </c>
      <c r="C59" s="25"/>
      <c r="D59" s="25"/>
      <c r="E59" s="25"/>
      <c r="F59" s="25"/>
      <c r="G59" s="25"/>
      <c r="H59" s="25"/>
      <c r="I59" s="25"/>
      <c r="J59" s="25"/>
      <c r="K59" s="25"/>
      <c r="L59" s="25"/>
      <c r="M59" s="25"/>
      <c r="N59" s="25"/>
      <c r="O59" s="25"/>
      <c r="P59" s="25"/>
      <c r="Q59" s="25"/>
      <c r="R59" s="25"/>
      <c r="S59" s="25"/>
      <c r="T59" s="45"/>
      <c r="U59" s="46"/>
      <c r="V59" s="45" t="s">
        <v>123</v>
      </c>
      <c r="W59" s="25"/>
      <c r="X59" s="5"/>
    </row>
    <row r="60" spans="1:25" ht="15.6" x14ac:dyDescent="0.3">
      <c r="A60" s="24"/>
      <c r="B60" s="25" t="s">
        <v>234</v>
      </c>
      <c r="C60" s="25"/>
      <c r="D60" s="25"/>
      <c r="E60" s="25"/>
      <c r="F60" s="25"/>
      <c r="G60" s="25"/>
      <c r="H60" s="25"/>
      <c r="I60" s="25"/>
      <c r="J60" s="25"/>
      <c r="K60" s="25"/>
      <c r="L60" s="25"/>
      <c r="M60" s="25"/>
      <c r="N60" s="25"/>
      <c r="O60" s="25"/>
      <c r="P60" s="25"/>
      <c r="Q60" s="25"/>
      <c r="R60" s="25"/>
      <c r="S60" s="25"/>
      <c r="T60" s="45"/>
      <c r="U60" s="46"/>
      <c r="V60" s="45" t="s">
        <v>157</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39084</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273</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95</v>
      </c>
      <c r="M68" s="115"/>
      <c r="N68" s="115" t="s">
        <v>97</v>
      </c>
      <c r="O68" s="115"/>
      <c r="P68" s="115" t="s">
        <v>99</v>
      </c>
      <c r="Q68" s="115"/>
      <c r="R68" s="115" t="s">
        <v>101</v>
      </c>
      <c r="S68" s="115"/>
      <c r="T68" s="115" t="s">
        <v>108</v>
      </c>
      <c r="U68" s="115"/>
      <c r="V68" s="116" t="s">
        <v>115</v>
      </c>
      <c r="W68" s="117"/>
      <c r="X68" s="5"/>
    </row>
    <row r="69" spans="1:24" ht="15.6" x14ac:dyDescent="0.3">
      <c r="A69" s="24"/>
      <c r="B69" s="25" t="s">
        <v>19</v>
      </c>
      <c r="C69" s="34"/>
      <c r="D69" s="34"/>
      <c r="E69" s="34"/>
      <c r="F69" s="34"/>
      <c r="G69" s="34"/>
      <c r="H69" s="34"/>
      <c r="I69" s="34"/>
      <c r="J69" s="34"/>
      <c r="K69" s="34"/>
      <c r="L69" s="34">
        <f>1085286</f>
        <v>1085286</v>
      </c>
      <c r="M69" s="34"/>
      <c r="N69" s="53">
        <v>1085286</v>
      </c>
      <c r="O69" s="34"/>
      <c r="P69" s="34">
        <f>20148+6274+1415-43+1</f>
        <v>27795</v>
      </c>
      <c r="Q69" s="34"/>
      <c r="R69" s="34">
        <f>6274+1415+414862</f>
        <v>422551</v>
      </c>
      <c r="S69" s="34"/>
      <c r="T69" s="34">
        <v>0</v>
      </c>
      <c r="U69" s="34"/>
      <c r="V69" s="53">
        <f>+L69-P69+R69-T69</f>
        <v>1480042</v>
      </c>
      <c r="W69" s="25"/>
      <c r="X69" s="5"/>
    </row>
    <row r="70" spans="1:24" ht="15.6" x14ac:dyDescent="0.3">
      <c r="A70" s="24"/>
      <c r="B70" s="25" t="s">
        <v>20</v>
      </c>
      <c r="C70" s="34"/>
      <c r="D70" s="34"/>
      <c r="E70" s="34"/>
      <c r="F70" s="34"/>
      <c r="G70" s="34"/>
      <c r="H70" s="34"/>
      <c r="I70" s="34"/>
      <c r="J70" s="34"/>
      <c r="K70" s="34"/>
      <c r="L70" s="34">
        <v>35</v>
      </c>
      <c r="M70" s="34"/>
      <c r="N70" s="53">
        <v>35</v>
      </c>
      <c r="O70" s="34"/>
      <c r="P70" s="34">
        <v>35</v>
      </c>
      <c r="Q70" s="34"/>
      <c r="R70" s="34">
        <v>0</v>
      </c>
      <c r="S70" s="34"/>
      <c r="T70" s="34">
        <v>0</v>
      </c>
      <c r="U70" s="34"/>
      <c r="V70" s="53">
        <f>+L70-P70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1085321</v>
      </c>
      <c r="M72" s="34"/>
      <c r="N72" s="54">
        <f>N69+N70</f>
        <v>1085321</v>
      </c>
      <c r="O72" s="34"/>
      <c r="P72" s="34">
        <f>SUM(P69:P71)</f>
        <v>27830</v>
      </c>
      <c r="Q72" s="34"/>
      <c r="R72" s="34">
        <f>SUM(R69:R71)</f>
        <v>422551</v>
      </c>
      <c r="S72" s="34"/>
      <c r="T72" s="34">
        <f>SUM(T69:T71)</f>
        <v>0</v>
      </c>
      <c r="U72" s="34"/>
      <c r="V72" s="54">
        <f>SUM(V69:V71)</f>
        <v>1480042</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120</v>
      </c>
      <c r="C82" s="34"/>
      <c r="D82" s="34"/>
      <c r="E82" s="34"/>
      <c r="F82" s="34"/>
      <c r="G82" s="34"/>
      <c r="H82" s="34"/>
      <c r="I82" s="34"/>
      <c r="J82" s="34"/>
      <c r="K82" s="34"/>
      <c r="L82" s="34">
        <f>414862+7</f>
        <v>414869</v>
      </c>
      <c r="M82" s="34"/>
      <c r="N82" s="34">
        <v>414869</v>
      </c>
      <c r="O82" s="34"/>
      <c r="P82" s="34">
        <f>-414862-7</f>
        <v>-414869</v>
      </c>
      <c r="Q82" s="34"/>
      <c r="R82" s="34"/>
      <c r="S82" s="34"/>
      <c r="T82" s="34"/>
      <c r="U82" s="34"/>
      <c r="V82" s="54">
        <f>SUM(N82:R82)</f>
        <v>0</v>
      </c>
      <c r="W82" s="25"/>
      <c r="X82" s="5"/>
    </row>
    <row r="83" spans="1:24" ht="15.6" x14ac:dyDescent="0.3">
      <c r="A83" s="24"/>
      <c r="B83" s="25" t="s">
        <v>149</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1500190</v>
      </c>
      <c r="M85" s="34"/>
      <c r="N85" s="54">
        <f>SUM(N72:N84)</f>
        <v>1500190</v>
      </c>
      <c r="O85" s="34"/>
      <c r="P85" s="34"/>
      <c r="Q85" s="34"/>
      <c r="R85" s="34"/>
      <c r="S85" s="34"/>
      <c r="T85" s="54"/>
      <c r="U85" s="34"/>
      <c r="V85" s="54">
        <f>SUM(V72:V84)</f>
        <v>1480042</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96</v>
      </c>
      <c r="M88" s="17"/>
      <c r="N88" s="158">
        <f>+T196</f>
        <v>39080</v>
      </c>
      <c r="O88" s="17"/>
      <c r="P88" s="17"/>
      <c r="Q88" s="17"/>
      <c r="R88" s="17"/>
      <c r="S88" s="17"/>
      <c r="T88" s="17" t="s">
        <v>109</v>
      </c>
      <c r="U88" s="17"/>
      <c r="V88" s="17" t="s">
        <v>116</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7</v>
      </c>
      <c r="U89" s="25"/>
      <c r="V89" s="53">
        <v>12</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v>27794</v>
      </c>
      <c r="U90" s="25"/>
      <c r="V90" s="53"/>
      <c r="W90" s="25"/>
      <c r="X90" s="5"/>
    </row>
    <row r="91" spans="1:24" ht="15.6" x14ac:dyDescent="0.3">
      <c r="A91" s="24"/>
      <c r="B91" s="25" t="s">
        <v>219</v>
      </c>
      <c r="C91" s="25"/>
      <c r="D91" s="25"/>
      <c r="E91" s="25"/>
      <c r="F91" s="25"/>
      <c r="G91" s="25"/>
      <c r="H91" s="40"/>
      <c r="I91" s="40"/>
      <c r="J91" s="40"/>
      <c r="K91" s="57"/>
      <c r="L91" s="40"/>
      <c r="M91" s="25"/>
      <c r="N91" s="127"/>
      <c r="O91" s="25"/>
      <c r="P91" s="25"/>
      <c r="Q91" s="25"/>
      <c r="R91" s="25"/>
      <c r="S91" s="25"/>
      <c r="T91" s="34"/>
      <c r="U91" s="25"/>
      <c r="V91" s="53">
        <f>9880+9332-526-3230</f>
        <v>15456</v>
      </c>
      <c r="W91" s="25"/>
      <c r="X91" s="5"/>
    </row>
    <row r="92" spans="1:24" ht="15.6" x14ac:dyDescent="0.3">
      <c r="A92" s="24"/>
      <c r="B92" s="25" t="s">
        <v>214</v>
      </c>
      <c r="C92" s="25"/>
      <c r="D92" s="25"/>
      <c r="E92" s="25"/>
      <c r="F92" s="25"/>
      <c r="G92" s="25"/>
      <c r="H92" s="40"/>
      <c r="I92" s="40"/>
      <c r="J92" s="40"/>
      <c r="K92" s="57"/>
      <c r="L92" s="40"/>
      <c r="M92" s="25"/>
      <c r="N92" s="127"/>
      <c r="O92" s="25"/>
      <c r="P92" s="25"/>
      <c r="Q92" s="25"/>
      <c r="R92" s="25"/>
      <c r="S92" s="25"/>
      <c r="T92" s="34"/>
      <c r="U92" s="25"/>
      <c r="V92" s="53">
        <f>164+41</f>
        <v>205</v>
      </c>
      <c r="W92" s="25"/>
      <c r="X92" s="5"/>
    </row>
    <row r="93" spans="1:24" ht="15.6" x14ac:dyDescent="0.3">
      <c r="A93" s="24"/>
      <c r="B93" s="25" t="s">
        <v>215</v>
      </c>
      <c r="C93" s="25"/>
      <c r="D93" s="25"/>
      <c r="E93" s="25"/>
      <c r="F93" s="25"/>
      <c r="G93" s="25"/>
      <c r="H93" s="40"/>
      <c r="I93" s="40"/>
      <c r="J93" s="40"/>
      <c r="K93" s="57"/>
      <c r="L93" s="40"/>
      <c r="M93" s="25"/>
      <c r="N93" s="127"/>
      <c r="O93" s="25"/>
      <c r="P93" s="25"/>
      <c r="Q93" s="25"/>
      <c r="R93" s="25"/>
      <c r="S93" s="25"/>
      <c r="T93" s="34"/>
      <c r="U93" s="25"/>
      <c r="V93" s="53">
        <v>3519</v>
      </c>
      <c r="W93" s="25"/>
      <c r="X93" s="5"/>
    </row>
    <row r="94" spans="1:24" ht="15.6" x14ac:dyDescent="0.3">
      <c r="A94" s="24"/>
      <c r="B94" s="25" t="s">
        <v>138</v>
      </c>
      <c r="C94" s="25"/>
      <c r="D94" s="25"/>
      <c r="E94" s="25"/>
      <c r="F94" s="25"/>
      <c r="G94" s="25"/>
      <c r="H94" s="25"/>
      <c r="I94" s="25"/>
      <c r="J94" s="25"/>
      <c r="K94" s="25"/>
      <c r="L94" s="25"/>
      <c r="M94" s="25"/>
      <c r="N94" s="25"/>
      <c r="O94" s="25"/>
      <c r="P94" s="25"/>
      <c r="Q94" s="25"/>
      <c r="R94" s="25"/>
      <c r="S94" s="25"/>
      <c r="T94" s="34"/>
      <c r="U94" s="25"/>
      <c r="V94" s="53">
        <v>3425</v>
      </c>
      <c r="W94" s="25"/>
      <c r="X94" s="5"/>
    </row>
    <row r="95" spans="1:24" ht="15.6" x14ac:dyDescent="0.3">
      <c r="A95" s="24"/>
      <c r="B95" s="25" t="s">
        <v>265</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30</v>
      </c>
      <c r="C96" s="25"/>
      <c r="D96" s="25"/>
      <c r="E96" s="25"/>
      <c r="F96" s="25"/>
      <c r="G96" s="25"/>
      <c r="H96" s="25"/>
      <c r="I96" s="25"/>
      <c r="J96" s="25"/>
      <c r="K96" s="25"/>
      <c r="L96" s="25"/>
      <c r="M96" s="25"/>
      <c r="N96" s="25"/>
      <c r="O96" s="25"/>
      <c r="P96" s="25"/>
      <c r="Q96" s="25"/>
      <c r="R96" s="25"/>
      <c r="S96" s="25"/>
      <c r="T96" s="34">
        <f>SUM(T89:T95)</f>
        <v>27801</v>
      </c>
      <c r="U96" s="25"/>
      <c r="V96" s="54">
        <f>SUM(V89:V95)</f>
        <v>22617</v>
      </c>
      <c r="W96" s="25"/>
      <c r="X96" s="5"/>
    </row>
    <row r="97" spans="1:25" ht="15.6" x14ac:dyDescent="0.3">
      <c r="A97" s="24"/>
      <c r="B97" s="25" t="s">
        <v>164</v>
      </c>
      <c r="C97" s="25"/>
      <c r="D97" s="25"/>
      <c r="E97" s="25"/>
      <c r="F97" s="25"/>
      <c r="G97" s="25"/>
      <c r="H97" s="25"/>
      <c r="I97" s="25"/>
      <c r="J97" s="25"/>
      <c r="K97" s="25"/>
      <c r="L97" s="25"/>
      <c r="M97" s="25"/>
      <c r="N97" s="25"/>
      <c r="O97" s="25"/>
      <c r="P97" s="25"/>
      <c r="Q97" s="25"/>
      <c r="R97" s="25"/>
      <c r="S97" s="25"/>
      <c r="T97" s="34">
        <f>-V97</f>
        <v>-628</v>
      </c>
      <c r="U97" s="25"/>
      <c r="V97" s="54">
        <v>628</v>
      </c>
      <c r="W97" s="25"/>
      <c r="X97" s="5"/>
    </row>
    <row r="98" spans="1:25" ht="15.6" x14ac:dyDescent="0.3">
      <c r="A98" s="24"/>
      <c r="B98" s="25" t="s">
        <v>31</v>
      </c>
      <c r="C98" s="25"/>
      <c r="D98" s="25"/>
      <c r="E98" s="25"/>
      <c r="F98" s="25"/>
      <c r="G98" s="25"/>
      <c r="H98" s="25"/>
      <c r="I98" s="25"/>
      <c r="J98" s="25"/>
      <c r="K98" s="25"/>
      <c r="L98" s="25"/>
      <c r="M98" s="25"/>
      <c r="N98" s="25"/>
      <c r="O98" s="25"/>
      <c r="P98" s="25"/>
      <c r="Q98" s="25"/>
      <c r="R98" s="25"/>
      <c r="S98" s="25"/>
      <c r="T98" s="34">
        <f>-V98</f>
        <v>35</v>
      </c>
      <c r="U98" s="25"/>
      <c r="V98" s="53">
        <v>-35</v>
      </c>
      <c r="W98" s="25"/>
      <c r="X98" s="5"/>
    </row>
    <row r="99" spans="1:25" ht="15.6" x14ac:dyDescent="0.3">
      <c r="A99" s="24"/>
      <c r="B99" s="25" t="s">
        <v>32</v>
      </c>
      <c r="C99" s="25"/>
      <c r="D99" s="25"/>
      <c r="E99" s="25"/>
      <c r="F99" s="25"/>
      <c r="G99" s="25"/>
      <c r="H99" s="25"/>
      <c r="I99" s="25"/>
      <c r="J99" s="25"/>
      <c r="K99" s="25"/>
      <c r="L99" s="25"/>
      <c r="M99" s="25"/>
      <c r="N99" s="25"/>
      <c r="O99" s="25"/>
      <c r="P99" s="25"/>
      <c r="Q99" s="25"/>
      <c r="R99" s="25"/>
      <c r="S99" s="25"/>
      <c r="T99" s="34">
        <f>T96+T98+T97</f>
        <v>27208</v>
      </c>
      <c r="U99" s="25"/>
      <c r="V99" s="54">
        <f>V96+V98+V97</f>
        <v>23210</v>
      </c>
      <c r="W99" s="25"/>
      <c r="X99" s="5"/>
    </row>
    <row r="100" spans="1:25" ht="15.6" x14ac:dyDescent="0.3">
      <c r="A100" s="24"/>
      <c r="B100" s="118" t="s">
        <v>33</v>
      </c>
      <c r="C100" s="25"/>
      <c r="D100" s="25"/>
      <c r="E100" s="25"/>
      <c r="F100" s="25"/>
      <c r="G100" s="25"/>
      <c r="H100" s="25"/>
      <c r="I100" s="25"/>
      <c r="J100" s="25"/>
      <c r="K100" s="25"/>
      <c r="L100" s="25"/>
      <c r="M100" s="25"/>
      <c r="N100" s="25"/>
      <c r="O100" s="25"/>
      <c r="P100" s="25"/>
      <c r="Q100" s="25"/>
      <c r="R100" s="25"/>
      <c r="S100" s="25"/>
      <c r="T100" s="34"/>
      <c r="U100" s="25"/>
      <c r="V100" s="53"/>
      <c r="W100" s="25"/>
      <c r="X100" s="5"/>
    </row>
    <row r="101" spans="1:25" ht="15.6" x14ac:dyDescent="0.3">
      <c r="A101" s="24">
        <v>1</v>
      </c>
      <c r="B101" s="25" t="s">
        <v>34</v>
      </c>
      <c r="C101" s="25"/>
      <c r="D101" s="25"/>
      <c r="E101" s="25"/>
      <c r="F101" s="25"/>
      <c r="G101" s="25"/>
      <c r="H101" s="25"/>
      <c r="I101" s="25"/>
      <c r="J101" s="25"/>
      <c r="K101" s="25"/>
      <c r="L101" s="25"/>
      <c r="M101" s="25"/>
      <c r="N101" s="25"/>
      <c r="O101" s="25"/>
      <c r="P101" s="25"/>
      <c r="Q101" s="25"/>
      <c r="R101" s="25"/>
      <c r="S101" s="25"/>
      <c r="T101" s="25"/>
      <c r="U101" s="25"/>
      <c r="V101" s="53">
        <f>-2864-2263</f>
        <v>-5127</v>
      </c>
      <c r="W101" s="25"/>
      <c r="X101" s="5"/>
    </row>
    <row r="102" spans="1:25" ht="15.6" x14ac:dyDescent="0.3">
      <c r="A102" s="24">
        <f>+A101+1</f>
        <v>2</v>
      </c>
      <c r="B102" s="25" t="s">
        <v>231</v>
      </c>
      <c r="C102" s="25"/>
      <c r="D102" s="25"/>
      <c r="E102" s="25"/>
      <c r="F102" s="25"/>
      <c r="G102" s="25"/>
      <c r="H102" s="25"/>
      <c r="I102" s="25"/>
      <c r="J102" s="25"/>
      <c r="K102" s="25"/>
      <c r="L102" s="25"/>
      <c r="M102" s="25"/>
      <c r="N102" s="25"/>
      <c r="O102" s="25"/>
      <c r="P102" s="25"/>
      <c r="Q102" s="25"/>
      <c r="R102" s="25"/>
      <c r="S102" s="25"/>
      <c r="T102" s="25"/>
      <c r="U102" s="25"/>
      <c r="V102" s="53">
        <f>-2</f>
        <v>-2</v>
      </c>
      <c r="W102" s="25"/>
      <c r="X102" s="5"/>
    </row>
    <row r="103" spans="1:25" ht="15.6" x14ac:dyDescent="0.3">
      <c r="A103" s="24">
        <f>+A102+1</f>
        <v>3</v>
      </c>
      <c r="B103" s="25" t="s">
        <v>207</v>
      </c>
      <c r="C103" s="25"/>
      <c r="D103" s="25"/>
      <c r="E103" s="25"/>
      <c r="F103" s="25"/>
      <c r="G103" s="25"/>
      <c r="H103" s="25"/>
      <c r="I103" s="25"/>
      <c r="J103" s="25"/>
      <c r="K103" s="25"/>
      <c r="L103" s="25"/>
      <c r="M103" s="25"/>
      <c r="N103" s="25"/>
      <c r="O103" s="25"/>
      <c r="P103" s="25"/>
      <c r="Q103" s="25"/>
      <c r="R103" s="25"/>
      <c r="S103" s="25"/>
      <c r="T103" s="25"/>
      <c r="U103" s="25"/>
      <c r="V103" s="53">
        <f>-366-11</f>
        <v>-377</v>
      </c>
      <c r="W103" s="25"/>
      <c r="X103" s="5"/>
    </row>
    <row r="104" spans="1:25" ht="15.6" x14ac:dyDescent="0.3">
      <c r="A104" s="24" t="s">
        <v>130</v>
      </c>
      <c r="B104" s="25" t="s">
        <v>119</v>
      </c>
      <c r="C104" s="25"/>
      <c r="D104" s="25"/>
      <c r="E104" s="25"/>
      <c r="F104" s="25"/>
      <c r="G104" s="25"/>
      <c r="H104" s="25"/>
      <c r="I104" s="25"/>
      <c r="J104" s="25"/>
      <c r="K104" s="25"/>
      <c r="L104" s="25"/>
      <c r="M104" s="25"/>
      <c r="N104" s="25"/>
      <c r="O104" s="25"/>
      <c r="P104" s="25"/>
      <c r="Q104" s="25"/>
      <c r="R104" s="25"/>
      <c r="S104" s="25"/>
      <c r="T104" s="25"/>
      <c r="U104" s="25"/>
      <c r="V104" s="53">
        <v>-34</v>
      </c>
      <c r="W104" s="25"/>
      <c r="X104" s="5"/>
    </row>
    <row r="105" spans="1:25" ht="15.6" x14ac:dyDescent="0.3">
      <c r="A105" s="24" t="s">
        <v>131</v>
      </c>
      <c r="B105" s="25" t="s">
        <v>228</v>
      </c>
      <c r="C105" s="25"/>
      <c r="D105" s="25"/>
      <c r="E105" s="25"/>
      <c r="F105" s="25"/>
      <c r="G105" s="25"/>
      <c r="H105" s="25"/>
      <c r="I105" s="25"/>
      <c r="J105" s="25"/>
      <c r="K105" s="25"/>
      <c r="L105" s="25"/>
      <c r="M105" s="25"/>
      <c r="N105" s="25"/>
      <c r="O105" s="25"/>
      <c r="P105" s="25"/>
      <c r="Q105" s="25"/>
      <c r="R105" s="25"/>
      <c r="S105" s="25"/>
      <c r="T105" s="25"/>
      <c r="U105" s="25"/>
      <c r="V105" s="53">
        <f>-9268-2508-2206</f>
        <v>-13982</v>
      </c>
      <c r="W105" s="25"/>
      <c r="X105" s="5"/>
      <c r="Y105" s="109"/>
    </row>
    <row r="106" spans="1:25" ht="15.6" x14ac:dyDescent="0.3">
      <c r="A106" s="24" t="s">
        <v>153</v>
      </c>
      <c r="B106" s="25" t="s">
        <v>187</v>
      </c>
      <c r="C106" s="25"/>
      <c r="D106" s="25"/>
      <c r="E106" s="25"/>
      <c r="F106" s="25"/>
      <c r="G106" s="25"/>
      <c r="H106" s="25"/>
      <c r="I106" s="25"/>
      <c r="J106" s="25"/>
      <c r="K106" s="25"/>
      <c r="L106" s="25"/>
      <c r="M106" s="25"/>
      <c r="N106" s="25"/>
      <c r="O106" s="25"/>
      <c r="P106" s="25"/>
      <c r="Q106" s="25"/>
      <c r="R106" s="25"/>
      <c r="S106" s="25"/>
      <c r="T106" s="25"/>
      <c r="U106" s="25"/>
      <c r="V106" s="53">
        <v>-1480</v>
      </c>
      <c r="W106" s="25"/>
      <c r="X106" s="5"/>
      <c r="Y106" s="109"/>
    </row>
    <row r="107" spans="1:25" ht="15.6" x14ac:dyDescent="0.3">
      <c r="A107" s="24" t="s">
        <v>266</v>
      </c>
      <c r="B107" s="25" t="s">
        <v>269</v>
      </c>
      <c r="C107" s="25"/>
      <c r="D107" s="25"/>
      <c r="E107" s="25"/>
      <c r="F107" s="25"/>
      <c r="G107" s="25"/>
      <c r="H107" s="25"/>
      <c r="I107" s="25"/>
      <c r="J107" s="25"/>
      <c r="K107" s="25"/>
      <c r="L107" s="25"/>
      <c r="M107" s="25"/>
      <c r="N107" s="25"/>
      <c r="O107" s="25"/>
      <c r="P107" s="25"/>
      <c r="Q107" s="25"/>
      <c r="R107" s="25"/>
      <c r="S107" s="25"/>
      <c r="T107" s="25"/>
      <c r="U107" s="25"/>
      <c r="V107" s="53">
        <v>-4</v>
      </c>
      <c r="W107" s="25"/>
      <c r="X107" s="5"/>
    </row>
    <row r="108" spans="1:25" ht="15.6" x14ac:dyDescent="0.3">
      <c r="A108" s="24" t="s">
        <v>208</v>
      </c>
      <c r="B108" s="25" t="s">
        <v>188</v>
      </c>
      <c r="C108" s="25"/>
      <c r="D108" s="25"/>
      <c r="E108" s="25"/>
      <c r="F108" s="25"/>
      <c r="G108" s="25"/>
      <c r="H108" s="25"/>
      <c r="I108" s="25"/>
      <c r="J108" s="25"/>
      <c r="K108" s="25"/>
      <c r="L108" s="25"/>
      <c r="M108" s="25"/>
      <c r="N108" s="25"/>
      <c r="O108" s="25"/>
      <c r="P108" s="25"/>
      <c r="Q108" s="25"/>
      <c r="R108" s="25"/>
      <c r="S108" s="25"/>
      <c r="T108" s="25"/>
      <c r="U108" s="25"/>
      <c r="V108" s="53">
        <v>-679</v>
      </c>
      <c r="W108" s="25"/>
      <c r="X108" s="5"/>
      <c r="Y108" s="109"/>
    </row>
    <row r="109" spans="1:25" ht="15.6" x14ac:dyDescent="0.3">
      <c r="A109" s="24" t="s">
        <v>209</v>
      </c>
      <c r="B109" s="25" t="s">
        <v>189</v>
      </c>
      <c r="C109" s="25"/>
      <c r="D109" s="25"/>
      <c r="E109" s="25"/>
      <c r="F109" s="25"/>
      <c r="G109" s="25"/>
      <c r="H109" s="25"/>
      <c r="I109" s="25"/>
      <c r="J109" s="25"/>
      <c r="K109" s="25"/>
      <c r="L109" s="25"/>
      <c r="M109" s="25"/>
      <c r="N109" s="25"/>
      <c r="O109" s="25"/>
      <c r="P109" s="25"/>
      <c r="Q109" s="25"/>
      <c r="R109" s="25"/>
      <c r="S109" s="25"/>
      <c r="T109" s="25"/>
      <c r="U109" s="25"/>
      <c r="V109" s="53">
        <v>-673</v>
      </c>
      <c r="W109" s="25"/>
      <c r="X109" s="5"/>
      <c r="Y109" s="109"/>
    </row>
    <row r="110" spans="1:25" ht="15.6" x14ac:dyDescent="0.3">
      <c r="A110" s="24" t="s">
        <v>210</v>
      </c>
      <c r="B110" s="25" t="s">
        <v>199</v>
      </c>
      <c r="C110" s="25"/>
      <c r="D110" s="25"/>
      <c r="E110" s="25"/>
      <c r="F110" s="25"/>
      <c r="G110" s="25"/>
      <c r="H110" s="25"/>
      <c r="I110" s="25"/>
      <c r="J110" s="25"/>
      <c r="K110" s="25"/>
      <c r="L110" s="25"/>
      <c r="M110" s="25"/>
      <c r="N110" s="25"/>
      <c r="O110" s="25"/>
      <c r="P110" s="25"/>
      <c r="Q110" s="25"/>
      <c r="R110" s="25"/>
      <c r="S110" s="25"/>
      <c r="T110" s="25"/>
      <c r="U110" s="25"/>
      <c r="V110" s="53">
        <v>-680</v>
      </c>
      <c r="W110" s="25"/>
      <c r="X110" s="5"/>
      <c r="Y110" s="109"/>
    </row>
    <row r="111" spans="1:25" ht="15.6" x14ac:dyDescent="0.3">
      <c r="A111" s="24" t="s">
        <v>230</v>
      </c>
      <c r="B111" s="25" t="s">
        <v>229</v>
      </c>
      <c r="C111" s="25"/>
      <c r="D111" s="25"/>
      <c r="E111" s="25"/>
      <c r="F111" s="25"/>
      <c r="G111" s="25"/>
      <c r="H111" s="25"/>
      <c r="I111" s="25"/>
      <c r="J111" s="25"/>
      <c r="K111" s="25"/>
      <c r="L111" s="25"/>
      <c r="M111" s="25"/>
      <c r="N111" s="25"/>
      <c r="O111" s="25"/>
      <c r="P111" s="25"/>
      <c r="Q111" s="25"/>
      <c r="R111" s="25"/>
      <c r="S111" s="25"/>
      <c r="T111" s="25"/>
      <c r="U111" s="25"/>
      <c r="V111" s="53">
        <v>-162</v>
      </c>
      <c r="W111" s="25"/>
      <c r="X111" s="5"/>
      <c r="Y111" s="109"/>
    </row>
    <row r="112" spans="1:25" ht="15.6" x14ac:dyDescent="0.3">
      <c r="A112" s="24">
        <v>7</v>
      </c>
      <c r="B112" s="25" t="s">
        <v>35</v>
      </c>
      <c r="C112" s="25"/>
      <c r="D112" s="25"/>
      <c r="E112" s="25"/>
      <c r="F112" s="25"/>
      <c r="G112" s="25"/>
      <c r="H112" s="25"/>
      <c r="I112" s="25"/>
      <c r="J112" s="25"/>
      <c r="K112" s="25"/>
      <c r="L112" s="25"/>
      <c r="M112" s="25"/>
      <c r="N112" s="25"/>
      <c r="O112" s="25"/>
      <c r="P112" s="25"/>
      <c r="Q112" s="25"/>
      <c r="R112" s="25"/>
      <c r="S112" s="25"/>
      <c r="T112" s="25"/>
      <c r="U112" s="25"/>
      <c r="V112" s="53">
        <v>-10</v>
      </c>
      <c r="W112" s="25"/>
      <c r="X112" s="5"/>
    </row>
    <row r="113" spans="1:24" ht="15.6" x14ac:dyDescent="0.3">
      <c r="A113" s="24">
        <f t="shared" ref="A113:A119" si="0">+A112+1</f>
        <v>8</v>
      </c>
      <c r="B113" s="25" t="s">
        <v>45</v>
      </c>
      <c r="C113" s="25"/>
      <c r="D113" s="25"/>
      <c r="E113" s="25"/>
      <c r="F113" s="25"/>
      <c r="G113" s="25"/>
      <c r="H113" s="25"/>
      <c r="I113" s="25"/>
      <c r="J113" s="25"/>
      <c r="K113" s="25"/>
      <c r="L113" s="25"/>
      <c r="M113" s="25"/>
      <c r="N113" s="25"/>
      <c r="O113" s="25"/>
      <c r="P113" s="25"/>
      <c r="Q113" s="25"/>
      <c r="R113" s="25"/>
      <c r="S113" s="25"/>
      <c r="T113" s="25"/>
      <c r="U113" s="25"/>
      <c r="V113" s="53">
        <v>0</v>
      </c>
      <c r="W113" s="25"/>
      <c r="X113" s="5"/>
    </row>
    <row r="114" spans="1:24" ht="15.6" x14ac:dyDescent="0.3">
      <c r="A114" s="24">
        <f t="shared" si="0"/>
        <v>9</v>
      </c>
      <c r="B114" s="25" t="s">
        <v>128</v>
      </c>
      <c r="C114" s="25"/>
      <c r="D114" s="25"/>
      <c r="E114" s="25"/>
      <c r="F114" s="25"/>
      <c r="G114" s="25"/>
      <c r="H114" s="25"/>
      <c r="I114" s="25"/>
      <c r="J114" s="25"/>
      <c r="K114" s="25"/>
      <c r="L114" s="25"/>
      <c r="M114" s="25"/>
      <c r="N114" s="25"/>
      <c r="O114" s="25"/>
      <c r="P114" s="25"/>
      <c r="Q114" s="25"/>
      <c r="R114" s="25"/>
      <c r="S114" s="25"/>
      <c r="T114" s="25"/>
      <c r="U114" s="25"/>
      <c r="V114" s="53">
        <v>0</v>
      </c>
      <c r="W114" s="25"/>
      <c r="X114" s="5"/>
    </row>
    <row r="115" spans="1:24" ht="15.6" x14ac:dyDescent="0.3">
      <c r="A115" s="24">
        <f t="shared" si="0"/>
        <v>10</v>
      </c>
      <c r="B115" s="25" t="s">
        <v>271</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11</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12</v>
      </c>
      <c r="B117" s="25" t="s">
        <v>270</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13</v>
      </c>
      <c r="B118" s="25" t="s">
        <v>152</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4" ht="15.6" x14ac:dyDescent="0.3">
      <c r="A119" s="24">
        <f t="shared" si="0"/>
        <v>14</v>
      </c>
      <c r="B119" s="25" t="s">
        <v>129</v>
      </c>
      <c r="C119" s="25"/>
      <c r="D119" s="25"/>
      <c r="E119" s="25"/>
      <c r="F119" s="25"/>
      <c r="G119" s="25"/>
      <c r="H119" s="25"/>
      <c r="I119" s="25"/>
      <c r="J119" s="25"/>
      <c r="K119" s="25"/>
      <c r="L119" s="25"/>
      <c r="M119" s="25"/>
      <c r="N119" s="25"/>
      <c r="O119" s="25"/>
      <c r="P119" s="25"/>
      <c r="Q119" s="25"/>
      <c r="R119" s="25"/>
      <c r="S119" s="25"/>
      <c r="T119" s="25"/>
      <c r="U119" s="25"/>
      <c r="V119" s="53">
        <f>-V99-SUM(V101:V118)</f>
        <v>0</v>
      </c>
      <c r="W119" s="25"/>
      <c r="X119" s="5"/>
    </row>
    <row r="120" spans="1:24" ht="15.6" x14ac:dyDescent="0.3">
      <c r="A120" s="24"/>
      <c r="B120" s="118" t="s">
        <v>37</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176</v>
      </c>
      <c r="C121" s="25"/>
      <c r="D121" s="25"/>
      <c r="E121" s="25"/>
      <c r="F121" s="25"/>
      <c r="G121" s="25"/>
      <c r="H121" s="25"/>
      <c r="I121" s="25"/>
      <c r="J121" s="25"/>
      <c r="K121" s="25"/>
      <c r="L121" s="25"/>
      <c r="M121" s="25"/>
      <c r="N121" s="25"/>
      <c r="O121" s="25"/>
      <c r="P121" s="25"/>
      <c r="Q121" s="25"/>
      <c r="R121" s="25"/>
      <c r="S121" s="25"/>
      <c r="T121" s="34">
        <f>-T180</f>
        <v>-3039</v>
      </c>
      <c r="U121" s="34"/>
      <c r="V121" s="53"/>
      <c r="W121" s="25"/>
      <c r="X121" s="5"/>
    </row>
    <row r="122" spans="1:24" ht="15.6" x14ac:dyDescent="0.3">
      <c r="A122" s="24"/>
      <c r="B122" s="25" t="s">
        <v>177</v>
      </c>
      <c r="C122" s="25"/>
      <c r="D122" s="25"/>
      <c r="E122" s="25"/>
      <c r="F122" s="25"/>
      <c r="G122" s="25"/>
      <c r="H122" s="25"/>
      <c r="I122" s="25"/>
      <c r="J122" s="25"/>
      <c r="K122" s="25"/>
      <c r="L122" s="25"/>
      <c r="M122" s="25"/>
      <c r="N122" s="25"/>
      <c r="O122" s="25"/>
      <c r="P122" s="25"/>
      <c r="Q122" s="25"/>
      <c r="R122" s="25"/>
      <c r="S122" s="25"/>
      <c r="T122" s="34">
        <v>-266</v>
      </c>
      <c r="U122" s="34"/>
      <c r="V122" s="53"/>
      <c r="W122" s="25"/>
      <c r="X122" s="5"/>
    </row>
    <row r="123" spans="1:24" ht="15.6" x14ac:dyDescent="0.3">
      <c r="A123" s="24"/>
      <c r="B123" s="25" t="s">
        <v>38</v>
      </c>
      <c r="C123" s="25"/>
      <c r="D123" s="25"/>
      <c r="E123" s="25"/>
      <c r="F123" s="25"/>
      <c r="G123" s="25"/>
      <c r="H123" s="25"/>
      <c r="I123" s="25"/>
      <c r="J123" s="25"/>
      <c r="K123" s="25"/>
      <c r="L123" s="25"/>
      <c r="M123" s="25"/>
      <c r="N123" s="25"/>
      <c r="O123" s="25"/>
      <c r="P123" s="25"/>
      <c r="Q123" s="25"/>
      <c r="R123" s="25"/>
      <c r="S123" s="25"/>
      <c r="T123" s="34">
        <f>-S180</f>
        <v>-3755</v>
      </c>
      <c r="U123" s="34"/>
      <c r="V123" s="53"/>
      <c r="W123" s="25"/>
      <c r="X123" s="5"/>
    </row>
    <row r="124" spans="1:24" ht="15.6" x14ac:dyDescent="0.3">
      <c r="A124" s="24"/>
      <c r="B124" s="25" t="s">
        <v>200</v>
      </c>
      <c r="C124" s="25"/>
      <c r="D124" s="25"/>
      <c r="E124" s="25"/>
      <c r="F124" s="25"/>
      <c r="G124" s="25"/>
      <c r="H124" s="25"/>
      <c r="I124" s="25"/>
      <c r="J124" s="25"/>
      <c r="K124" s="25"/>
      <c r="L124" s="25"/>
      <c r="M124" s="25"/>
      <c r="N124" s="25"/>
      <c r="O124" s="25"/>
      <c r="P124" s="25"/>
      <c r="Q124" s="25"/>
      <c r="R124" s="25"/>
      <c r="S124" s="25"/>
      <c r="T124" s="34">
        <v>-12174</v>
      </c>
      <c r="U124" s="34"/>
      <c r="V124" s="53"/>
      <c r="W124" s="25"/>
      <c r="X124" s="5"/>
    </row>
    <row r="125" spans="1:24" ht="15.6" x14ac:dyDescent="0.3">
      <c r="A125" s="24"/>
      <c r="B125" s="25" t="s">
        <v>198</v>
      </c>
      <c r="C125" s="25"/>
      <c r="D125" s="25"/>
      <c r="E125" s="25"/>
      <c r="F125" s="25"/>
      <c r="G125" s="25"/>
      <c r="H125" s="25"/>
      <c r="I125" s="25"/>
      <c r="J125" s="25"/>
      <c r="K125" s="25"/>
      <c r="L125" s="25"/>
      <c r="M125" s="25"/>
      <c r="N125" s="25"/>
      <c r="O125" s="25"/>
      <c r="P125" s="25"/>
      <c r="Q125" s="25"/>
      <c r="R125" s="25"/>
      <c r="S125" s="25"/>
      <c r="T125" s="34">
        <v>-1907</v>
      </c>
      <c r="U125" s="34"/>
      <c r="V125" s="53"/>
      <c r="W125" s="25"/>
      <c r="X125" s="5"/>
    </row>
    <row r="126" spans="1:24" ht="15.6" x14ac:dyDescent="0.3">
      <c r="A126" s="24"/>
      <c r="B126" s="25" t="s">
        <v>197</v>
      </c>
      <c r="C126" s="25"/>
      <c r="D126" s="25"/>
      <c r="E126" s="25"/>
      <c r="F126" s="25"/>
      <c r="G126" s="25"/>
      <c r="H126" s="25"/>
      <c r="I126" s="25"/>
      <c r="J126" s="25"/>
      <c r="K126" s="25"/>
      <c r="L126" s="25"/>
      <c r="M126" s="25"/>
      <c r="N126" s="25"/>
      <c r="O126" s="25"/>
      <c r="P126" s="25"/>
      <c r="Q126" s="25"/>
      <c r="R126" s="25"/>
      <c r="S126" s="25"/>
      <c r="T126" s="34">
        <v>-3226</v>
      </c>
      <c r="U126" s="34"/>
      <c r="V126" s="53"/>
      <c r="W126" s="25"/>
      <c r="X126" s="5"/>
    </row>
    <row r="127" spans="1:24" ht="15.6" x14ac:dyDescent="0.3">
      <c r="A127" s="24"/>
      <c r="B127" s="25" t="s">
        <v>232</v>
      </c>
      <c r="C127" s="25"/>
      <c r="D127" s="25"/>
      <c r="E127" s="25"/>
      <c r="F127" s="25"/>
      <c r="G127" s="25"/>
      <c r="H127" s="25"/>
      <c r="I127" s="25"/>
      <c r="J127" s="25"/>
      <c r="K127" s="25"/>
      <c r="L127" s="25"/>
      <c r="M127" s="25"/>
      <c r="N127" s="25"/>
      <c r="O127" s="25"/>
      <c r="P127" s="25"/>
      <c r="Q127" s="25"/>
      <c r="R127" s="25"/>
      <c r="S127" s="25"/>
      <c r="T127" s="34">
        <v>-2841</v>
      </c>
      <c r="U127" s="34"/>
      <c r="V127" s="53"/>
      <c r="W127" s="25"/>
      <c r="X127" s="5"/>
    </row>
    <row r="128" spans="1:24" ht="15.6" x14ac:dyDescent="0.3">
      <c r="A128" s="24"/>
      <c r="B128" s="25" t="s">
        <v>192</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191</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233</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190</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39</v>
      </c>
      <c r="C132" s="25"/>
      <c r="D132" s="25"/>
      <c r="E132" s="25"/>
      <c r="F132" s="25"/>
      <c r="G132" s="25"/>
      <c r="H132" s="25"/>
      <c r="I132" s="25"/>
      <c r="J132" s="25"/>
      <c r="K132" s="25"/>
      <c r="L132" s="25"/>
      <c r="M132" s="25"/>
      <c r="N132" s="25"/>
      <c r="O132" s="25"/>
      <c r="P132" s="25"/>
      <c r="Q132" s="25"/>
      <c r="R132" s="25"/>
      <c r="S132" s="25"/>
      <c r="T132" s="34">
        <f>SUM(T121:T131)</f>
        <v>-27208</v>
      </c>
      <c r="U132" s="34"/>
      <c r="V132" s="34">
        <f>SUM(V100:V129)</f>
        <v>-23210</v>
      </c>
      <c r="W132" s="25"/>
      <c r="X132" s="5"/>
    </row>
    <row r="133" spans="1:24" ht="15.6" x14ac:dyDescent="0.3">
      <c r="A133" s="24"/>
      <c r="B133" s="25" t="s">
        <v>40</v>
      </c>
      <c r="C133" s="25"/>
      <c r="D133" s="25"/>
      <c r="E133" s="25"/>
      <c r="F133" s="25"/>
      <c r="G133" s="25"/>
      <c r="H133" s="25"/>
      <c r="I133" s="25"/>
      <c r="J133" s="25"/>
      <c r="K133" s="25"/>
      <c r="L133" s="25"/>
      <c r="M133" s="25"/>
      <c r="N133" s="25"/>
      <c r="O133" s="25"/>
      <c r="P133" s="25"/>
      <c r="Q133" s="25"/>
      <c r="R133" s="25"/>
      <c r="S133" s="25"/>
      <c r="T133" s="34">
        <f>T99+T132</f>
        <v>0</v>
      </c>
      <c r="U133" s="34"/>
      <c r="V133" s="34">
        <f>V99+V132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PM13 INVESTOR REPORT QUARTER ENDING DECEMBER 2006</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41</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42</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43</v>
      </c>
      <c r="C140" s="25"/>
      <c r="D140" s="25"/>
      <c r="E140" s="25"/>
      <c r="F140" s="25"/>
      <c r="G140" s="25"/>
      <c r="H140" s="25"/>
      <c r="I140" s="25"/>
      <c r="J140" s="25"/>
      <c r="K140" s="25"/>
      <c r="L140" s="25"/>
      <c r="M140" s="25"/>
      <c r="N140" s="25"/>
      <c r="O140" s="25"/>
      <c r="P140" s="25"/>
      <c r="Q140" s="25"/>
      <c r="R140" s="25"/>
      <c r="S140" s="25"/>
      <c r="T140" s="25"/>
      <c r="U140" s="25"/>
      <c r="V140" s="53">
        <f>+V34*0.019</f>
        <v>28503.61</v>
      </c>
      <c r="W140" s="25"/>
      <c r="X140" s="5"/>
    </row>
    <row r="141" spans="1:24" ht="15.6" x14ac:dyDescent="0.3">
      <c r="A141" s="24"/>
      <c r="B141" s="25" t="s">
        <v>44</v>
      </c>
      <c r="C141" s="25"/>
      <c r="D141" s="25"/>
      <c r="E141" s="25"/>
      <c r="F141" s="25"/>
      <c r="G141" s="25"/>
      <c r="H141" s="25"/>
      <c r="I141" s="25"/>
      <c r="J141" s="25"/>
      <c r="K141" s="25"/>
      <c r="L141" s="25"/>
      <c r="M141" s="25"/>
      <c r="N141" s="25"/>
      <c r="O141" s="25"/>
      <c r="P141" s="25"/>
      <c r="Q141" s="25"/>
      <c r="R141" s="25"/>
      <c r="S141" s="25"/>
      <c r="T141" s="25"/>
      <c r="U141" s="25"/>
      <c r="V141" s="53">
        <v>0</v>
      </c>
      <c r="W141" s="25"/>
      <c r="X141" s="5"/>
    </row>
    <row r="142" spans="1:24" ht="15.6" x14ac:dyDescent="0.3">
      <c r="A142" s="24"/>
      <c r="B142" s="25" t="s">
        <v>139</v>
      </c>
      <c r="C142" s="25"/>
      <c r="D142" s="25"/>
      <c r="E142" s="25"/>
      <c r="F142" s="25"/>
      <c r="G142" s="25"/>
      <c r="H142" s="25"/>
      <c r="I142" s="25"/>
      <c r="J142" s="25"/>
      <c r="K142" s="25"/>
      <c r="L142" s="25"/>
      <c r="M142" s="25"/>
      <c r="N142" s="25"/>
      <c r="O142" s="25"/>
      <c r="P142" s="25"/>
      <c r="Q142" s="25"/>
      <c r="R142" s="25"/>
      <c r="S142" s="25"/>
      <c r="T142" s="25"/>
      <c r="U142" s="25"/>
      <c r="V142" s="53"/>
      <c r="W142" s="25"/>
      <c r="X142" s="5"/>
    </row>
    <row r="143" spans="1:24" ht="15.6" x14ac:dyDescent="0.3">
      <c r="A143" s="24"/>
      <c r="B143" s="25" t="s">
        <v>126</v>
      </c>
      <c r="C143" s="25"/>
      <c r="D143" s="25"/>
      <c r="E143" s="25"/>
      <c r="F143" s="25"/>
      <c r="G143" s="25"/>
      <c r="H143" s="25"/>
      <c r="I143" s="25"/>
      <c r="J143" s="25"/>
      <c r="K143" s="25"/>
      <c r="L143" s="25"/>
      <c r="M143" s="25"/>
      <c r="N143" s="25"/>
      <c r="O143" s="25"/>
      <c r="P143" s="25"/>
      <c r="Q143" s="25"/>
      <c r="R143" s="25"/>
      <c r="S143" s="25"/>
      <c r="T143" s="25"/>
      <c r="U143" s="25"/>
      <c r="V143" s="53">
        <v>-1231</v>
      </c>
      <c r="W143" s="25"/>
      <c r="X143" s="5"/>
    </row>
    <row r="144" spans="1:24" ht="15.6" x14ac:dyDescent="0.3">
      <c r="A144" s="24"/>
      <c r="B144" s="25" t="s">
        <v>127</v>
      </c>
      <c r="C144" s="25"/>
      <c r="D144" s="25"/>
      <c r="E144" s="25"/>
      <c r="F144" s="25"/>
      <c r="G144" s="25"/>
      <c r="H144" s="25"/>
      <c r="I144" s="25"/>
      <c r="J144" s="25"/>
      <c r="K144" s="25"/>
      <c r="L144" s="25"/>
      <c r="M144" s="25"/>
      <c r="N144" s="25"/>
      <c r="O144" s="25"/>
      <c r="P144" s="25"/>
      <c r="Q144" s="25"/>
      <c r="R144" s="25"/>
      <c r="S144" s="25"/>
      <c r="T144" s="25"/>
      <c r="U144" s="25"/>
      <c r="V144" s="53">
        <v>-1352</v>
      </c>
      <c r="W144" s="25"/>
      <c r="X144" s="5"/>
    </row>
    <row r="145" spans="1:25" ht="15.6" x14ac:dyDescent="0.3">
      <c r="A145" s="24"/>
      <c r="B145" s="25" t="s">
        <v>178</v>
      </c>
      <c r="C145" s="25"/>
      <c r="D145" s="25"/>
      <c r="E145" s="25"/>
      <c r="F145" s="25"/>
      <c r="G145" s="25"/>
      <c r="H145" s="25"/>
      <c r="I145" s="25"/>
      <c r="J145" s="25"/>
      <c r="K145" s="25"/>
      <c r="L145" s="25"/>
      <c r="M145" s="25"/>
      <c r="N145" s="25"/>
      <c r="O145" s="25"/>
      <c r="P145" s="25"/>
      <c r="Q145" s="25"/>
      <c r="R145" s="25"/>
      <c r="S145" s="25"/>
      <c r="T145" s="25"/>
      <c r="U145" s="25"/>
      <c r="V145" s="53">
        <v>-842</v>
      </c>
      <c r="W145" s="25"/>
      <c r="X145" s="5"/>
    </row>
    <row r="146" spans="1:25" ht="15.6" x14ac:dyDescent="0.3">
      <c r="A146" s="24"/>
      <c r="B146" s="25" t="s">
        <v>45</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132</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267</v>
      </c>
      <c r="C148" s="25"/>
      <c r="D148" s="25"/>
      <c r="E148" s="25"/>
      <c r="F148" s="25"/>
      <c r="G148" s="25"/>
      <c r="H148" s="25"/>
      <c r="I148" s="25"/>
      <c r="J148" s="25"/>
      <c r="K148" s="25"/>
      <c r="L148" s="25"/>
      <c r="M148" s="25"/>
      <c r="N148" s="25"/>
      <c r="O148" s="25"/>
      <c r="P148" s="25"/>
      <c r="Q148" s="25"/>
      <c r="R148" s="25"/>
      <c r="S148" s="25"/>
      <c r="T148" s="25"/>
      <c r="U148" s="25"/>
      <c r="V148" s="53">
        <v>3425</v>
      </c>
      <c r="W148" s="25"/>
      <c r="X148" s="5"/>
      <c r="Y148" s="109"/>
    </row>
    <row r="149" spans="1:25" ht="15.6" x14ac:dyDescent="0.3">
      <c r="A149" s="24"/>
      <c r="B149" s="25" t="s">
        <v>46</v>
      </c>
      <c r="C149" s="25"/>
      <c r="D149" s="25"/>
      <c r="E149" s="25"/>
      <c r="F149" s="25"/>
      <c r="G149" s="25"/>
      <c r="H149" s="25"/>
      <c r="I149" s="25"/>
      <c r="J149" s="25"/>
      <c r="K149" s="25"/>
      <c r="L149" s="25"/>
      <c r="M149" s="25"/>
      <c r="N149" s="25"/>
      <c r="O149" s="25"/>
      <c r="P149" s="25"/>
      <c r="Q149" s="25"/>
      <c r="R149" s="25"/>
      <c r="S149" s="25"/>
      <c r="T149" s="25"/>
      <c r="U149" s="25"/>
      <c r="V149" s="53">
        <f>SUM(V140:V148)</f>
        <v>28503.61</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268</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158</v>
      </c>
      <c r="C152" s="25"/>
      <c r="D152" s="25"/>
      <c r="E152" s="25"/>
      <c r="F152" s="25"/>
      <c r="G152" s="25"/>
      <c r="H152" s="25"/>
      <c r="I152" s="25"/>
      <c r="J152" s="25"/>
      <c r="K152" s="25"/>
      <c r="L152" s="25"/>
      <c r="M152" s="25"/>
      <c r="N152" s="25"/>
      <c r="O152" s="25"/>
      <c r="P152" s="25"/>
      <c r="Q152" s="25"/>
      <c r="R152" s="25"/>
      <c r="S152" s="25"/>
      <c r="T152" s="25"/>
      <c r="U152" s="25"/>
      <c r="V152" s="53">
        <v>15000</v>
      </c>
      <c r="W152" s="25"/>
      <c r="X152" s="5"/>
    </row>
    <row r="153" spans="1:25" ht="15.6" x14ac:dyDescent="0.3">
      <c r="A153" s="24"/>
      <c r="B153" s="25" t="s">
        <v>175</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272</v>
      </c>
      <c r="C154" s="25"/>
      <c r="D154" s="25"/>
      <c r="E154" s="25"/>
      <c r="F154" s="25"/>
      <c r="G154" s="25"/>
      <c r="H154" s="25"/>
      <c r="I154" s="25"/>
      <c r="J154" s="25"/>
      <c r="K154" s="25"/>
      <c r="L154" s="25"/>
      <c r="M154" s="25"/>
      <c r="N154" s="25"/>
      <c r="O154" s="25"/>
      <c r="P154" s="25"/>
      <c r="Q154" s="25"/>
      <c r="R154" s="25"/>
      <c r="S154" s="25"/>
      <c r="T154" s="25"/>
      <c r="U154" s="25"/>
      <c r="V154" s="53">
        <v>14507</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47</v>
      </c>
      <c r="C158" s="25"/>
      <c r="D158" s="25"/>
      <c r="E158" s="25"/>
      <c r="F158" s="25"/>
      <c r="G158" s="25"/>
      <c r="H158" s="25"/>
      <c r="I158" s="25"/>
      <c r="J158" s="25"/>
      <c r="K158" s="25"/>
      <c r="L158" s="25"/>
      <c r="M158" s="25"/>
      <c r="N158" s="25"/>
      <c r="O158" s="25"/>
      <c r="P158" s="25"/>
      <c r="Q158" s="25"/>
      <c r="R158" s="25"/>
      <c r="S158" s="25"/>
      <c r="T158" s="25"/>
      <c r="U158" s="25"/>
      <c r="V158" s="59" t="s">
        <v>121</v>
      </c>
      <c r="W158" s="25"/>
      <c r="X158" s="5"/>
    </row>
    <row r="159" spans="1:25" ht="15.6" x14ac:dyDescent="0.3">
      <c r="A159" s="24"/>
      <c r="B159" s="25" t="s">
        <v>48</v>
      </c>
      <c r="C159" s="27"/>
      <c r="D159" s="27"/>
      <c r="E159" s="27"/>
      <c r="F159" s="27"/>
      <c r="G159" s="27"/>
      <c r="H159" s="27"/>
      <c r="I159" s="27"/>
      <c r="J159" s="27"/>
      <c r="K159" s="27"/>
      <c r="L159" s="27"/>
      <c r="M159" s="27"/>
      <c r="N159" s="27"/>
      <c r="O159" s="27"/>
      <c r="P159" s="27"/>
      <c r="Q159" s="27"/>
      <c r="R159" s="27"/>
      <c r="S159" s="27"/>
      <c r="T159" s="27"/>
      <c r="U159" s="27"/>
      <c r="V159" s="59" t="s">
        <v>121</v>
      </c>
      <c r="W159" s="25"/>
      <c r="X159" s="5"/>
    </row>
    <row r="160" spans="1:25" ht="15.6" x14ac:dyDescent="0.3">
      <c r="A160" s="24"/>
      <c r="B160" s="25" t="s">
        <v>49</v>
      </c>
      <c r="C160" s="25"/>
      <c r="D160" s="25"/>
      <c r="E160" s="25"/>
      <c r="F160" s="25"/>
      <c r="G160" s="25"/>
      <c r="H160" s="25"/>
      <c r="I160" s="25"/>
      <c r="J160" s="25"/>
      <c r="K160" s="25"/>
      <c r="L160" s="25"/>
      <c r="M160" s="25"/>
      <c r="N160" s="25"/>
      <c r="O160" s="25"/>
      <c r="P160" s="25"/>
      <c r="Q160" s="25"/>
      <c r="R160" s="25"/>
      <c r="S160" s="25"/>
      <c r="T160" s="25"/>
      <c r="U160" s="25"/>
      <c r="V160" s="59" t="s">
        <v>121</v>
      </c>
      <c r="W160" s="25"/>
      <c r="X160" s="5"/>
    </row>
    <row r="161" spans="1:24" ht="15.6" x14ac:dyDescent="0.3">
      <c r="A161" s="24"/>
      <c r="B161" s="25" t="s">
        <v>50</v>
      </c>
      <c r="C161" s="25"/>
      <c r="D161" s="25"/>
      <c r="E161" s="25"/>
      <c r="F161" s="25"/>
      <c r="G161" s="25"/>
      <c r="H161" s="25"/>
      <c r="I161" s="25"/>
      <c r="J161" s="25"/>
      <c r="K161" s="25"/>
      <c r="L161" s="25"/>
      <c r="M161" s="25"/>
      <c r="N161" s="25"/>
      <c r="O161" s="25"/>
      <c r="P161" s="25"/>
      <c r="Q161" s="25"/>
      <c r="R161" s="25"/>
      <c r="S161" s="25"/>
      <c r="T161" s="25"/>
      <c r="U161" s="25"/>
      <c r="V161" s="59" t="s">
        <v>121</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51</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52</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53</v>
      </c>
      <c r="C165" s="25"/>
      <c r="D165" s="25"/>
      <c r="E165" s="25"/>
      <c r="F165" s="25"/>
      <c r="G165" s="25"/>
      <c r="H165" s="25"/>
      <c r="I165" s="25"/>
      <c r="J165" s="25"/>
      <c r="K165" s="25"/>
      <c r="L165" s="25"/>
      <c r="M165" s="25"/>
      <c r="N165" s="25"/>
      <c r="O165" s="25"/>
      <c r="P165" s="25"/>
      <c r="Q165" s="25"/>
      <c r="R165" s="25"/>
      <c r="S165" s="25"/>
      <c r="T165" s="25"/>
      <c r="U165" s="25"/>
      <c r="V165" s="53">
        <v>0</v>
      </c>
      <c r="W165" s="25"/>
      <c r="X165" s="5"/>
    </row>
    <row r="166" spans="1:24" ht="15.6" x14ac:dyDescent="0.3">
      <c r="A166" s="24"/>
      <c r="B166" s="25" t="s">
        <v>54</v>
      </c>
      <c r="C166" s="25"/>
      <c r="D166" s="25"/>
      <c r="E166" s="25"/>
      <c r="F166" s="25"/>
      <c r="G166" s="25"/>
      <c r="H166" s="25"/>
      <c r="I166" s="25"/>
      <c r="J166" s="25"/>
      <c r="K166" s="25"/>
      <c r="L166" s="25"/>
      <c r="M166" s="25"/>
      <c r="N166" s="25"/>
      <c r="O166" s="25"/>
      <c r="P166" s="25"/>
      <c r="Q166" s="25"/>
      <c r="R166" s="25"/>
      <c r="S166" s="25"/>
      <c r="T166" s="25"/>
      <c r="U166" s="25"/>
      <c r="V166" s="53">
        <f>V165+V164</f>
        <v>0</v>
      </c>
      <c r="W166" s="25"/>
      <c r="X166" s="5"/>
    </row>
    <row r="167" spans="1:24" ht="15.6" x14ac:dyDescent="0.3">
      <c r="A167" s="24"/>
      <c r="B167" s="391" t="s">
        <v>318</v>
      </c>
      <c r="C167" s="25"/>
      <c r="D167" s="25"/>
      <c r="E167" s="25"/>
      <c r="F167" s="25"/>
      <c r="G167" s="25"/>
      <c r="H167" s="25"/>
      <c r="I167" s="25"/>
      <c r="J167" s="25"/>
      <c r="K167" s="25"/>
      <c r="L167" s="25"/>
      <c r="M167" s="25"/>
      <c r="N167" s="25"/>
      <c r="O167" s="25"/>
      <c r="P167" s="25"/>
      <c r="Q167" s="25"/>
      <c r="R167" s="25"/>
      <c r="S167" s="25"/>
      <c r="T167" s="25"/>
      <c r="U167" s="25"/>
      <c r="V167" s="53">
        <f>V114</f>
        <v>0</v>
      </c>
      <c r="W167" s="25"/>
      <c r="X167" s="5"/>
    </row>
    <row r="168" spans="1:24" ht="15.6" x14ac:dyDescent="0.3">
      <c r="A168" s="24"/>
      <c r="B168" s="25" t="s">
        <v>55</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6.2" thickBot="1" x14ac:dyDescent="0.35">
      <c r="A169" s="24"/>
      <c r="B169" s="25"/>
      <c r="C169" s="25"/>
      <c r="D169" s="25"/>
      <c r="E169" s="25"/>
      <c r="F169" s="25"/>
      <c r="G169" s="25"/>
      <c r="H169" s="25"/>
      <c r="I169" s="25"/>
      <c r="J169" s="25"/>
      <c r="K169" s="25"/>
      <c r="L169" s="25"/>
      <c r="M169" s="25"/>
      <c r="N169" s="25"/>
      <c r="O169" s="25"/>
      <c r="P169" s="25"/>
      <c r="Q169" s="25"/>
      <c r="R169" s="25"/>
      <c r="S169" s="25"/>
      <c r="T169" s="25"/>
      <c r="U169" s="25"/>
      <c r="V169" s="61"/>
      <c r="W169" s="25"/>
      <c r="X169" s="5"/>
    </row>
    <row r="170" spans="1:24" ht="15.6" x14ac:dyDescent="0.3">
      <c r="A170" s="2"/>
      <c r="B170" s="4"/>
      <c r="C170" s="4"/>
      <c r="D170" s="4"/>
      <c r="E170" s="4"/>
      <c r="F170" s="4"/>
      <c r="G170" s="4"/>
      <c r="H170" s="4"/>
      <c r="I170" s="4"/>
      <c r="J170" s="4"/>
      <c r="K170" s="4"/>
      <c r="L170" s="4"/>
      <c r="M170" s="4"/>
      <c r="N170" s="4"/>
      <c r="O170" s="4"/>
      <c r="P170" s="4"/>
      <c r="Q170" s="4"/>
      <c r="R170" s="4"/>
      <c r="S170" s="4"/>
      <c r="T170" s="4"/>
      <c r="U170" s="4"/>
      <c r="V170" s="50"/>
      <c r="W170" s="4"/>
      <c r="X170" s="5"/>
    </row>
    <row r="171" spans="1:24" ht="15.6" x14ac:dyDescent="0.3">
      <c r="A171" s="6"/>
      <c r="B171" s="119" t="s">
        <v>56</v>
      </c>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6"/>
      <c r="B172" s="21"/>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24"/>
      <c r="B173" s="25" t="s">
        <v>57</v>
      </c>
      <c r="C173" s="25"/>
      <c r="D173" s="25"/>
      <c r="E173" s="25"/>
      <c r="F173" s="25"/>
      <c r="G173" s="25"/>
      <c r="H173" s="25"/>
      <c r="I173" s="25"/>
      <c r="J173" s="25"/>
      <c r="K173" s="25"/>
      <c r="L173" s="25"/>
      <c r="M173" s="25"/>
      <c r="N173" s="25"/>
      <c r="O173" s="25"/>
      <c r="P173" s="25"/>
      <c r="Q173" s="25"/>
      <c r="R173" s="25"/>
      <c r="S173" s="25"/>
      <c r="T173" s="25"/>
      <c r="U173" s="25"/>
      <c r="V173" s="53">
        <f>V72</f>
        <v>1480042</v>
      </c>
      <c r="W173" s="25"/>
      <c r="X173" s="5"/>
    </row>
    <row r="174" spans="1:24" ht="15.6" x14ac:dyDescent="0.3">
      <c r="A174" s="24"/>
      <c r="B174" s="25" t="s">
        <v>58</v>
      </c>
      <c r="C174" s="25"/>
      <c r="D174" s="25"/>
      <c r="E174" s="25"/>
      <c r="F174" s="25"/>
      <c r="G174" s="25"/>
      <c r="H174" s="25"/>
      <c r="I174" s="25"/>
      <c r="J174" s="25"/>
      <c r="K174" s="25"/>
      <c r="L174" s="25"/>
      <c r="M174" s="25"/>
      <c r="N174" s="25"/>
      <c r="O174" s="25"/>
      <c r="P174" s="25"/>
      <c r="Q174" s="25"/>
      <c r="R174" s="25"/>
      <c r="S174" s="25"/>
      <c r="T174" s="25"/>
      <c r="U174" s="25"/>
      <c r="V174" s="53">
        <f>V85</f>
        <v>1480042</v>
      </c>
      <c r="W174" s="25"/>
      <c r="X174" s="5"/>
    </row>
    <row r="175" spans="1:24" ht="16.2" thickBot="1" x14ac:dyDescent="0.35">
      <c r="A175" s="24"/>
      <c r="B175" s="25"/>
      <c r="C175" s="25"/>
      <c r="D175" s="25"/>
      <c r="E175" s="25"/>
      <c r="F175" s="25"/>
      <c r="G175" s="25"/>
      <c r="H175" s="25"/>
      <c r="I175" s="25"/>
      <c r="J175" s="25"/>
      <c r="K175" s="25"/>
      <c r="L175" s="25"/>
      <c r="M175" s="25"/>
      <c r="N175" s="25"/>
      <c r="O175" s="25"/>
      <c r="P175" s="25"/>
      <c r="Q175" s="25"/>
      <c r="R175" s="25"/>
      <c r="S175" s="25"/>
      <c r="T175" s="25"/>
      <c r="U175" s="25"/>
      <c r="V175" s="61"/>
      <c r="W175" s="25"/>
      <c r="X175" s="5"/>
    </row>
    <row r="176" spans="1:24" ht="15.6" x14ac:dyDescent="0.3">
      <c r="A176" s="2"/>
      <c r="B176" s="4"/>
      <c r="C176" s="4"/>
      <c r="D176" s="4"/>
      <c r="E176" s="4"/>
      <c r="F176" s="4"/>
      <c r="G176" s="4"/>
      <c r="H176" s="4"/>
      <c r="I176" s="4"/>
      <c r="J176" s="4"/>
      <c r="K176" s="4"/>
      <c r="L176" s="4"/>
      <c r="M176" s="4"/>
      <c r="N176" s="4"/>
      <c r="O176" s="4"/>
      <c r="P176" s="4"/>
      <c r="Q176" s="4"/>
      <c r="R176" s="4"/>
      <c r="S176" s="4"/>
      <c r="T176" s="4"/>
      <c r="U176" s="4"/>
      <c r="V176" s="50"/>
      <c r="W176" s="4"/>
      <c r="X176" s="5"/>
    </row>
    <row r="177" spans="1:24" ht="15.6" x14ac:dyDescent="0.3">
      <c r="A177" s="6"/>
      <c r="B177" s="119" t="s">
        <v>59</v>
      </c>
      <c r="C177" s="117"/>
      <c r="D177" s="117"/>
      <c r="E177" s="117"/>
      <c r="F177" s="117"/>
      <c r="G177" s="117"/>
      <c r="H177" s="120"/>
      <c r="I177" s="120"/>
      <c r="J177" s="120"/>
      <c r="K177" s="120"/>
      <c r="L177" s="120"/>
      <c r="M177" s="120"/>
      <c r="N177" s="120"/>
      <c r="O177" s="120"/>
      <c r="P177" s="120"/>
      <c r="Q177" s="120"/>
      <c r="R177" s="120"/>
      <c r="S177" s="120" t="s">
        <v>102</v>
      </c>
      <c r="T177" s="120" t="s">
        <v>179</v>
      </c>
      <c r="U177" s="111"/>
      <c r="V177" s="121" t="s">
        <v>117</v>
      </c>
      <c r="W177" s="10"/>
      <c r="X177" s="5"/>
    </row>
    <row r="178" spans="1:24" ht="15.6" x14ac:dyDescent="0.3">
      <c r="A178" s="24"/>
      <c r="B178" s="25" t="s">
        <v>60</v>
      </c>
      <c r="C178" s="25"/>
      <c r="D178" s="25"/>
      <c r="E178" s="25"/>
      <c r="F178" s="25"/>
      <c r="G178" s="25"/>
      <c r="H178" s="25"/>
      <c r="I178" s="25"/>
      <c r="J178" s="25"/>
      <c r="K178" s="25"/>
      <c r="L178" s="25"/>
      <c r="M178" s="25"/>
      <c r="N178" s="25"/>
      <c r="O178" s="25"/>
      <c r="P178" s="25"/>
      <c r="Q178" s="25"/>
      <c r="R178" s="25"/>
      <c r="S178" s="53">
        <f>+V34*0.16</f>
        <v>240030.4</v>
      </c>
      <c r="T178" s="40"/>
      <c r="U178" s="25"/>
      <c r="V178" s="53"/>
      <c r="W178" s="25"/>
      <c r="X178" s="5"/>
    </row>
    <row r="179" spans="1:24" ht="15.6" x14ac:dyDescent="0.3">
      <c r="A179" s="24"/>
      <c r="B179" s="25" t="s">
        <v>61</v>
      </c>
      <c r="C179" s="25"/>
      <c r="D179" s="25"/>
      <c r="E179" s="25"/>
      <c r="F179" s="25"/>
      <c r="G179" s="25"/>
      <c r="H179" s="25"/>
      <c r="I179" s="25"/>
      <c r="J179" s="25"/>
      <c r="K179" s="25"/>
      <c r="L179" s="25"/>
      <c r="M179" s="25"/>
      <c r="N179" s="25"/>
      <c r="O179" s="25"/>
      <c r="P179" s="25"/>
      <c r="Q179" s="25"/>
      <c r="R179" s="25"/>
      <c r="S179" s="53">
        <v>0</v>
      </c>
      <c r="T179" s="53">
        <v>0</v>
      </c>
      <c r="U179" s="25"/>
      <c r="V179" s="53">
        <f>S179+T179</f>
        <v>0</v>
      </c>
      <c r="W179" s="25"/>
      <c r="X179" s="5"/>
    </row>
    <row r="180" spans="1:24" ht="15.6" x14ac:dyDescent="0.3">
      <c r="A180" s="24"/>
      <c r="B180" s="25" t="s">
        <v>62</v>
      </c>
      <c r="C180" s="25"/>
      <c r="D180" s="25"/>
      <c r="E180" s="25"/>
      <c r="F180" s="25"/>
      <c r="G180" s="25"/>
      <c r="H180" s="25"/>
      <c r="I180" s="25"/>
      <c r="J180" s="25"/>
      <c r="K180" s="25"/>
      <c r="L180" s="25"/>
      <c r="M180" s="25"/>
      <c r="N180" s="25"/>
      <c r="O180" s="25"/>
      <c r="P180" s="25"/>
      <c r="Q180" s="25"/>
      <c r="R180" s="25"/>
      <c r="S180" s="34">
        <v>3755</v>
      </c>
      <c r="T180" s="34">
        <v>3039</v>
      </c>
      <c r="U180" s="25"/>
      <c r="V180" s="53">
        <f>S180+T180</f>
        <v>6794</v>
      </c>
      <c r="W180" s="25"/>
      <c r="X180" s="5"/>
    </row>
    <row r="181" spans="1:24" ht="15.6" x14ac:dyDescent="0.3">
      <c r="A181" s="24"/>
      <c r="B181" s="25" t="s">
        <v>63</v>
      </c>
      <c r="C181" s="25"/>
      <c r="D181" s="25"/>
      <c r="E181" s="25"/>
      <c r="F181" s="25"/>
      <c r="G181" s="25"/>
      <c r="H181" s="25"/>
      <c r="I181" s="25"/>
      <c r="J181" s="25"/>
      <c r="K181" s="25"/>
      <c r="L181" s="25"/>
      <c r="M181" s="25"/>
      <c r="N181" s="25"/>
      <c r="O181" s="25"/>
      <c r="P181" s="25"/>
      <c r="Q181" s="25"/>
      <c r="R181" s="25"/>
      <c r="S181" s="53">
        <f>S179+S180</f>
        <v>3755</v>
      </c>
      <c r="T181" s="53">
        <f>T180+T179</f>
        <v>3039</v>
      </c>
      <c r="U181" s="25"/>
      <c r="V181" s="53">
        <f>S181+T181</f>
        <v>6794</v>
      </c>
      <c r="W181" s="25"/>
      <c r="X181" s="5"/>
    </row>
    <row r="182" spans="1:24" ht="15.6" x14ac:dyDescent="0.3">
      <c r="A182" s="24"/>
      <c r="B182" s="25" t="s">
        <v>64</v>
      </c>
      <c r="C182" s="25"/>
      <c r="D182" s="25"/>
      <c r="E182" s="25"/>
      <c r="F182" s="25"/>
      <c r="G182" s="25"/>
      <c r="H182" s="25"/>
      <c r="I182" s="25"/>
      <c r="J182" s="25"/>
      <c r="K182" s="25"/>
      <c r="L182" s="25"/>
      <c r="M182" s="25"/>
      <c r="N182" s="25"/>
      <c r="O182" s="25"/>
      <c r="P182" s="25"/>
      <c r="Q182" s="25"/>
      <c r="R182" s="25"/>
      <c r="S182" s="53">
        <f>S178-S181-T181</f>
        <v>233236.4</v>
      </c>
      <c r="T182" s="40"/>
      <c r="U182" s="25"/>
      <c r="V182" s="53"/>
      <c r="W182" s="25"/>
      <c r="X182" s="5"/>
    </row>
    <row r="183" spans="1:24" ht="16.2" thickBot="1" x14ac:dyDescent="0.35">
      <c r="A183" s="24"/>
      <c r="B183" s="25"/>
      <c r="C183" s="25"/>
      <c r="D183" s="25"/>
      <c r="E183" s="25"/>
      <c r="F183" s="25"/>
      <c r="G183" s="25"/>
      <c r="H183" s="25"/>
      <c r="I183" s="25"/>
      <c r="J183" s="25"/>
      <c r="K183" s="25"/>
      <c r="L183" s="25"/>
      <c r="M183" s="25"/>
      <c r="N183" s="25"/>
      <c r="O183" s="25"/>
      <c r="P183" s="25"/>
      <c r="Q183" s="25"/>
      <c r="R183" s="25"/>
      <c r="S183" s="25"/>
      <c r="T183" s="25"/>
      <c r="U183" s="25"/>
      <c r="V183" s="61"/>
      <c r="W183" s="25"/>
      <c r="X183" s="5"/>
    </row>
    <row r="184" spans="1:24" ht="15.6" x14ac:dyDescent="0.3">
      <c r="A184" s="2"/>
      <c r="B184" s="4"/>
      <c r="C184" s="4"/>
      <c r="D184" s="4"/>
      <c r="E184" s="4"/>
      <c r="F184" s="4"/>
      <c r="G184" s="4"/>
      <c r="H184" s="4"/>
      <c r="I184" s="4"/>
      <c r="J184" s="4"/>
      <c r="K184" s="4"/>
      <c r="L184" s="4"/>
      <c r="M184" s="4"/>
      <c r="N184" s="4"/>
      <c r="O184" s="4"/>
      <c r="P184" s="4"/>
      <c r="Q184" s="4"/>
      <c r="R184" s="4"/>
      <c r="S184" s="4"/>
      <c r="T184" s="4"/>
      <c r="U184" s="4"/>
      <c r="V184" s="50"/>
      <c r="W184" s="4"/>
      <c r="X184" s="5"/>
    </row>
    <row r="185" spans="1:24" ht="15.6" x14ac:dyDescent="0.3">
      <c r="A185" s="6"/>
      <c r="B185" s="119" t="s">
        <v>65</v>
      </c>
      <c r="C185" s="8"/>
      <c r="D185" s="8"/>
      <c r="E185" s="8"/>
      <c r="F185" s="8"/>
      <c r="G185" s="8"/>
      <c r="H185" s="8"/>
      <c r="I185" s="8"/>
      <c r="J185" s="8"/>
      <c r="K185" s="8"/>
      <c r="L185" s="8"/>
      <c r="M185" s="8"/>
      <c r="N185" s="8"/>
      <c r="O185" s="8"/>
      <c r="P185" s="8"/>
      <c r="Q185" s="8"/>
      <c r="R185" s="8"/>
      <c r="S185" s="8"/>
      <c r="T185" s="8"/>
      <c r="U185" s="8"/>
      <c r="V185" s="65"/>
      <c r="W185" s="8"/>
      <c r="X185" s="5"/>
    </row>
    <row r="186" spans="1:24" ht="15.6" x14ac:dyDescent="0.3">
      <c r="A186" s="24"/>
      <c r="B186" s="25" t="s">
        <v>66</v>
      </c>
      <c r="C186" s="25"/>
      <c r="D186" s="25"/>
      <c r="E186" s="25"/>
      <c r="F186" s="25"/>
      <c r="G186" s="25"/>
      <c r="H186" s="25"/>
      <c r="I186" s="25"/>
      <c r="J186" s="25"/>
      <c r="K186" s="25"/>
      <c r="L186" s="25"/>
      <c r="M186" s="25"/>
      <c r="N186" s="25"/>
      <c r="O186" s="25"/>
      <c r="P186" s="25"/>
      <c r="Q186" s="25"/>
      <c r="R186" s="25"/>
      <c r="S186" s="25"/>
      <c r="T186" s="25"/>
      <c r="U186" s="25"/>
      <c r="V186" s="59">
        <f>(V99+V101+V102+V103+V104)/-(V105+V106)</f>
        <v>1.1428017074117192</v>
      </c>
      <c r="W186" s="25" t="s">
        <v>118</v>
      </c>
      <c r="X186" s="5"/>
    </row>
    <row r="187" spans="1:24" ht="15.6" x14ac:dyDescent="0.3">
      <c r="A187" s="24"/>
      <c r="B187" s="25" t="s">
        <v>67</v>
      </c>
      <c r="C187" s="25"/>
      <c r="D187" s="25"/>
      <c r="E187" s="25"/>
      <c r="F187" s="25"/>
      <c r="G187" s="25"/>
      <c r="H187" s="25"/>
      <c r="I187" s="25"/>
      <c r="J187" s="25"/>
      <c r="K187" s="25"/>
      <c r="L187" s="25"/>
      <c r="M187" s="25"/>
      <c r="N187" s="25"/>
      <c r="O187" s="25"/>
      <c r="P187" s="25"/>
      <c r="Q187" s="25"/>
      <c r="R187" s="25"/>
      <c r="S187" s="25"/>
      <c r="T187" s="25"/>
      <c r="U187" s="25"/>
      <c r="V187" s="66">
        <v>1.1399999999999999</v>
      </c>
      <c r="W187" s="25" t="s">
        <v>118</v>
      </c>
      <c r="X187" s="5"/>
    </row>
    <row r="188" spans="1:24" ht="15.6" x14ac:dyDescent="0.3">
      <c r="A188" s="24"/>
      <c r="B188" s="25" t="s">
        <v>68</v>
      </c>
      <c r="C188" s="25"/>
      <c r="D188" s="25"/>
      <c r="E188" s="25"/>
      <c r="F188" s="25"/>
      <c r="G188" s="25"/>
      <c r="H188" s="25"/>
      <c r="I188" s="25"/>
      <c r="J188" s="25"/>
      <c r="K188" s="25"/>
      <c r="L188" s="25"/>
      <c r="M188" s="25"/>
      <c r="N188" s="25"/>
      <c r="O188" s="25"/>
      <c r="P188" s="25"/>
      <c r="Q188" s="25"/>
      <c r="R188" s="25"/>
      <c r="S188" s="25"/>
      <c r="T188" s="25"/>
      <c r="U188" s="25"/>
      <c r="V188" s="59">
        <f>(V99+V101+V102+V103+V104+V105+V106)/-(V108+V109)</f>
        <v>1.6331360946745561</v>
      </c>
      <c r="W188" s="25" t="s">
        <v>118</v>
      </c>
      <c r="X188" s="5"/>
    </row>
    <row r="189" spans="1:24" ht="15.6" x14ac:dyDescent="0.3">
      <c r="A189" s="24"/>
      <c r="B189" s="25" t="s">
        <v>69</v>
      </c>
      <c r="C189" s="25"/>
      <c r="D189" s="25"/>
      <c r="E189" s="25"/>
      <c r="F189" s="25"/>
      <c r="G189" s="25"/>
      <c r="H189" s="25"/>
      <c r="I189" s="25"/>
      <c r="J189" s="25"/>
      <c r="K189" s="25"/>
      <c r="L189" s="25"/>
      <c r="M189" s="25"/>
      <c r="N189" s="25"/>
      <c r="O189" s="25"/>
      <c r="P189" s="25"/>
      <c r="Q189" s="25"/>
      <c r="R189" s="25"/>
      <c r="S189" s="25"/>
      <c r="T189" s="25"/>
      <c r="U189" s="25"/>
      <c r="V189" s="66">
        <v>1.63</v>
      </c>
      <c r="W189" s="25" t="s">
        <v>118</v>
      </c>
      <c r="X189" s="5"/>
    </row>
    <row r="190" spans="1:24" ht="15.6" x14ac:dyDescent="0.3">
      <c r="A190" s="24"/>
      <c r="B190" s="25" t="s">
        <v>201</v>
      </c>
      <c r="C190" s="25"/>
      <c r="D190" s="25"/>
      <c r="E190" s="25"/>
      <c r="F190" s="25"/>
      <c r="G190" s="25"/>
      <c r="H190" s="25"/>
      <c r="I190" s="25"/>
      <c r="J190" s="25"/>
      <c r="K190" s="25"/>
      <c r="L190" s="25"/>
      <c r="M190" s="25"/>
      <c r="N190" s="25"/>
      <c r="O190" s="25"/>
      <c r="P190" s="25"/>
      <c r="Q190" s="25"/>
      <c r="R190" s="25"/>
      <c r="S190" s="25"/>
      <c r="T190" s="25"/>
      <c r="U190" s="25"/>
      <c r="V190" s="59">
        <f>(V99+V101+V102+V103+V104+V105+V106+V108+V109)/-(V110+V111)</f>
        <v>1.0166270783847982</v>
      </c>
      <c r="W190" s="25" t="s">
        <v>118</v>
      </c>
      <c r="X190" s="5"/>
    </row>
    <row r="191" spans="1:24" ht="15.6" x14ac:dyDescent="0.3">
      <c r="A191" s="24"/>
      <c r="B191" s="25" t="s">
        <v>202</v>
      </c>
      <c r="C191" s="25"/>
      <c r="D191" s="25"/>
      <c r="E191" s="25"/>
      <c r="F191" s="25"/>
      <c r="G191" s="25"/>
      <c r="H191" s="25"/>
      <c r="I191" s="25"/>
      <c r="J191" s="25"/>
      <c r="K191" s="25"/>
      <c r="L191" s="25"/>
      <c r="M191" s="25"/>
      <c r="N191" s="25"/>
      <c r="O191" s="25"/>
      <c r="P191" s="25"/>
      <c r="Q191" s="25"/>
      <c r="R191" s="25"/>
      <c r="S191" s="25"/>
      <c r="T191" s="25"/>
      <c r="U191" s="25"/>
      <c r="V191" s="66">
        <v>1.02</v>
      </c>
      <c r="W191" s="25" t="s">
        <v>118</v>
      </c>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6"/>
      <c r="B194" s="8"/>
      <c r="C194" s="8"/>
      <c r="D194" s="8"/>
      <c r="E194" s="8"/>
      <c r="F194" s="8"/>
      <c r="G194" s="8"/>
      <c r="H194" s="8"/>
      <c r="I194" s="8"/>
      <c r="J194" s="8"/>
      <c r="K194" s="8"/>
      <c r="L194" s="8"/>
      <c r="M194" s="8"/>
      <c r="N194" s="8"/>
      <c r="O194" s="8"/>
      <c r="P194" s="8"/>
      <c r="Q194" s="8"/>
      <c r="R194" s="8"/>
      <c r="S194" s="8"/>
      <c r="T194" s="8"/>
      <c r="U194" s="8"/>
      <c r="V194" s="8"/>
      <c r="W194" s="8"/>
      <c r="X194" s="5"/>
    </row>
    <row r="195" spans="1:24" ht="18" thickBot="1" x14ac:dyDescent="0.35">
      <c r="A195" s="101"/>
      <c r="B195" s="102" t="str">
        <f>B136</f>
        <v>PM13 INVESTOR REPORT QUARTER ENDING DECEMBER 2006</v>
      </c>
      <c r="C195" s="107"/>
      <c r="D195" s="107"/>
      <c r="E195" s="107"/>
      <c r="F195" s="107"/>
      <c r="G195" s="107"/>
      <c r="H195" s="107"/>
      <c r="I195" s="107"/>
      <c r="J195" s="107"/>
      <c r="K195" s="107"/>
      <c r="L195" s="107"/>
      <c r="M195" s="107"/>
      <c r="N195" s="107"/>
      <c r="O195" s="107"/>
      <c r="P195" s="107"/>
      <c r="Q195" s="107"/>
      <c r="R195" s="107"/>
      <c r="S195" s="107"/>
      <c r="T195" s="107"/>
      <c r="U195" s="107"/>
      <c r="V195" s="107"/>
      <c r="W195" s="108"/>
      <c r="X195" s="5"/>
    </row>
    <row r="196" spans="1:24" ht="15.6" x14ac:dyDescent="0.3">
      <c r="A196" s="67"/>
      <c r="B196" s="60" t="s">
        <v>70</v>
      </c>
      <c r="C196" s="68"/>
      <c r="D196" s="68"/>
      <c r="E196" s="68"/>
      <c r="F196" s="68"/>
      <c r="G196" s="69"/>
      <c r="H196" s="69"/>
      <c r="I196" s="69"/>
      <c r="J196" s="69"/>
      <c r="K196" s="69"/>
      <c r="L196" s="69"/>
      <c r="M196" s="69"/>
      <c r="N196" s="69"/>
      <c r="O196" s="69"/>
      <c r="P196" s="69"/>
      <c r="Q196" s="69"/>
      <c r="R196" s="69"/>
      <c r="S196" s="69"/>
      <c r="T196" s="70">
        <v>39080</v>
      </c>
      <c r="U196" s="4"/>
      <c r="V196" s="4"/>
      <c r="W196" s="4"/>
      <c r="X196" s="5"/>
    </row>
    <row r="197" spans="1:24" ht="15.6" x14ac:dyDescent="0.3">
      <c r="A197" s="71"/>
      <c r="B197" s="72"/>
      <c r="C197" s="73"/>
      <c r="D197" s="73"/>
      <c r="E197" s="73"/>
      <c r="F197" s="73"/>
      <c r="G197" s="74"/>
      <c r="H197" s="74"/>
      <c r="I197" s="74"/>
      <c r="J197" s="74"/>
      <c r="K197" s="74"/>
      <c r="L197" s="74"/>
      <c r="M197" s="74"/>
      <c r="N197" s="74"/>
      <c r="O197" s="74"/>
      <c r="P197" s="74"/>
      <c r="Q197" s="74"/>
      <c r="R197" s="74"/>
      <c r="S197" s="74"/>
      <c r="T197" s="74"/>
      <c r="U197" s="8"/>
      <c r="V197" s="8"/>
      <c r="W197" s="8"/>
      <c r="X197" s="5"/>
    </row>
    <row r="198" spans="1:24" ht="15.6" x14ac:dyDescent="0.3">
      <c r="A198" s="75"/>
      <c r="B198" s="76" t="s">
        <v>71</v>
      </c>
      <c r="C198" s="77"/>
      <c r="D198" s="77"/>
      <c r="E198" s="77"/>
      <c r="F198" s="77"/>
      <c r="G198" s="64"/>
      <c r="H198" s="64"/>
      <c r="I198" s="64"/>
      <c r="J198" s="64"/>
      <c r="K198" s="64"/>
      <c r="L198" s="64"/>
      <c r="M198" s="64"/>
      <c r="N198" s="64"/>
      <c r="O198" s="64"/>
      <c r="P198" s="64"/>
      <c r="Q198" s="64"/>
      <c r="R198" s="64"/>
      <c r="S198" s="64"/>
      <c r="T198" s="78">
        <v>5.4539999999999998E-2</v>
      </c>
      <c r="U198" s="25"/>
      <c r="V198" s="25"/>
      <c r="W198" s="25"/>
      <c r="X198" s="5"/>
    </row>
    <row r="199" spans="1:24" ht="15.6" x14ac:dyDescent="0.3">
      <c r="A199" s="75"/>
      <c r="B199" s="76" t="s">
        <v>154</v>
      </c>
      <c r="C199" s="77"/>
      <c r="D199" s="77"/>
      <c r="E199" s="77"/>
      <c r="F199" s="77"/>
      <c r="G199" s="64"/>
      <c r="H199" s="64"/>
      <c r="I199" s="64"/>
      <c r="J199" s="64"/>
      <c r="K199" s="64"/>
      <c r="L199" s="64"/>
      <c r="M199" s="64"/>
      <c r="N199" s="64"/>
      <c r="O199" s="64"/>
      <c r="P199" s="64"/>
      <c r="Q199" s="64"/>
      <c r="R199" s="64"/>
      <c r="S199" s="64"/>
      <c r="T199" s="39">
        <f>+V43</f>
        <v>5.238600504269459E-2</v>
      </c>
      <c r="U199" s="25"/>
      <c r="V199" s="25"/>
      <c r="W199" s="25"/>
      <c r="X199" s="5"/>
    </row>
    <row r="200" spans="1:24" ht="15.6" x14ac:dyDescent="0.3">
      <c r="A200" s="75"/>
      <c r="B200" s="76" t="s">
        <v>72</v>
      </c>
      <c r="C200" s="77"/>
      <c r="D200" s="77"/>
      <c r="E200" s="77"/>
      <c r="F200" s="77"/>
      <c r="G200" s="64"/>
      <c r="H200" s="64"/>
      <c r="I200" s="64"/>
      <c r="J200" s="64"/>
      <c r="K200" s="64"/>
      <c r="L200" s="64"/>
      <c r="M200" s="64"/>
      <c r="N200" s="64"/>
      <c r="O200" s="64"/>
      <c r="P200" s="64"/>
      <c r="Q200" s="64"/>
      <c r="R200" s="64"/>
      <c r="S200" s="64"/>
      <c r="T200" s="78">
        <f>T198-T199</f>
        <v>2.1539949573054079E-3</v>
      </c>
      <c r="U200" s="25"/>
      <c r="V200" s="25"/>
      <c r="W200" s="25"/>
      <c r="X200" s="5"/>
    </row>
    <row r="201" spans="1:24" ht="15.6" x14ac:dyDescent="0.3">
      <c r="A201" s="75"/>
      <c r="B201" s="76" t="s">
        <v>73</v>
      </c>
      <c r="C201" s="77"/>
      <c r="D201" s="77"/>
      <c r="E201" s="77"/>
      <c r="F201" s="77"/>
      <c r="G201" s="64"/>
      <c r="H201" s="64"/>
      <c r="I201" s="64"/>
      <c r="J201" s="64"/>
      <c r="K201" s="64"/>
      <c r="L201" s="64"/>
      <c r="M201" s="64"/>
      <c r="N201" s="64"/>
      <c r="O201" s="64"/>
      <c r="P201" s="64"/>
      <c r="Q201" s="64"/>
      <c r="R201" s="64"/>
      <c r="S201" s="64"/>
      <c r="T201" s="78">
        <v>5.425E-2</v>
      </c>
      <c r="U201" s="25"/>
      <c r="V201" s="25"/>
      <c r="W201" s="25"/>
      <c r="X201" s="5"/>
    </row>
    <row r="202" spans="1:24" ht="15.6" x14ac:dyDescent="0.3">
      <c r="A202" s="75"/>
      <c r="B202" s="76" t="s">
        <v>222</v>
      </c>
      <c r="C202" s="77"/>
      <c r="D202" s="77"/>
      <c r="E202" s="77"/>
      <c r="F202" s="77"/>
      <c r="G202" s="64"/>
      <c r="H202" s="64"/>
      <c r="I202" s="64"/>
      <c r="J202" s="64"/>
      <c r="K202" s="64"/>
      <c r="L202" s="64"/>
      <c r="M202" s="64"/>
      <c r="N202" s="64"/>
      <c r="O202" s="64"/>
      <c r="P202" s="64"/>
      <c r="Q202" s="64"/>
      <c r="R202" s="64"/>
      <c r="S202" s="64"/>
      <c r="T202" s="78">
        <f>V43</f>
        <v>5.238600504269459E-2</v>
      </c>
      <c r="U202" s="25"/>
      <c r="V202" s="25"/>
      <c r="W202" s="25"/>
      <c r="X202" s="5"/>
    </row>
    <row r="203" spans="1:24" ht="15.6" x14ac:dyDescent="0.3">
      <c r="A203" s="75"/>
      <c r="B203" s="76" t="s">
        <v>74</v>
      </c>
      <c r="C203" s="77"/>
      <c r="D203" s="77"/>
      <c r="E203" s="77"/>
      <c r="F203" s="77"/>
      <c r="G203" s="64"/>
      <c r="H203" s="64"/>
      <c r="I203" s="64"/>
      <c r="J203" s="64"/>
      <c r="K203" s="64"/>
      <c r="L203" s="64"/>
      <c r="M203" s="64"/>
      <c r="N203" s="64"/>
      <c r="O203" s="64"/>
      <c r="P203" s="64"/>
      <c r="Q203" s="64"/>
      <c r="R203" s="64"/>
      <c r="S203" s="64"/>
      <c r="T203" s="78">
        <f>T201-T202</f>
        <v>1.8639949573054093E-3</v>
      </c>
      <c r="U203" s="25"/>
      <c r="V203" s="25"/>
      <c r="W203" s="25"/>
      <c r="X203" s="5"/>
    </row>
    <row r="204" spans="1:24" ht="15.6" x14ac:dyDescent="0.3">
      <c r="A204" s="75"/>
      <c r="B204" s="76" t="s">
        <v>274</v>
      </c>
      <c r="C204" s="77"/>
      <c r="D204" s="77"/>
      <c r="E204" s="77"/>
      <c r="F204" s="77"/>
      <c r="G204" s="64"/>
      <c r="H204" s="64"/>
      <c r="I204" s="64"/>
      <c r="J204" s="64"/>
      <c r="K204" s="64"/>
      <c r="L204" s="64"/>
      <c r="M204" s="64"/>
      <c r="N204" s="64"/>
      <c r="O204" s="64"/>
      <c r="P204" s="64"/>
      <c r="Q204" s="64"/>
      <c r="R204" s="64"/>
      <c r="S204" s="64"/>
      <c r="T204" s="78">
        <f>(+V99+V101)/L72</f>
        <v>1.6661430120673976E-2</v>
      </c>
      <c r="U204" s="25"/>
      <c r="V204" s="25"/>
      <c r="W204" s="25"/>
      <c r="X204" s="5"/>
    </row>
    <row r="205" spans="1:24" ht="15.6" x14ac:dyDescent="0.3">
      <c r="A205" s="75"/>
      <c r="B205" s="76" t="s">
        <v>211</v>
      </c>
      <c r="C205" s="77"/>
      <c r="D205" s="77"/>
      <c r="E205" s="77"/>
      <c r="F205" s="77"/>
      <c r="G205" s="64"/>
      <c r="H205" s="64"/>
      <c r="I205" s="64"/>
      <c r="J205" s="64"/>
      <c r="K205" s="64"/>
      <c r="L205" s="64"/>
      <c r="M205" s="64"/>
      <c r="N205" s="64"/>
      <c r="O205" s="64"/>
      <c r="P205" s="64"/>
      <c r="Q205" s="64"/>
      <c r="R205" s="64"/>
      <c r="S205" s="64"/>
      <c r="T205" s="129">
        <v>50771</v>
      </c>
      <c r="U205" s="25"/>
      <c r="V205" s="25"/>
      <c r="W205" s="25"/>
      <c r="X205" s="5"/>
    </row>
    <row r="206" spans="1:24" ht="15.6" x14ac:dyDescent="0.3">
      <c r="A206" s="75"/>
      <c r="B206" s="76" t="s">
        <v>212</v>
      </c>
      <c r="C206" s="77"/>
      <c r="D206" s="77"/>
      <c r="E206" s="77"/>
      <c r="F206" s="77"/>
      <c r="G206" s="64"/>
      <c r="H206" s="64"/>
      <c r="I206" s="64"/>
      <c r="J206" s="64"/>
      <c r="K206" s="64"/>
      <c r="L206" s="64"/>
      <c r="M206" s="64"/>
      <c r="N206" s="64"/>
      <c r="O206" s="64"/>
      <c r="P206" s="64"/>
      <c r="Q206" s="64"/>
      <c r="R206" s="64"/>
      <c r="S206" s="64"/>
      <c r="T206" s="129">
        <v>50771</v>
      </c>
      <c r="U206" s="25"/>
      <c r="V206" s="25"/>
      <c r="W206" s="25"/>
      <c r="X206" s="5"/>
    </row>
    <row r="207" spans="1:24" ht="15.6" x14ac:dyDescent="0.3">
      <c r="A207" s="75"/>
      <c r="B207" s="76" t="s">
        <v>213</v>
      </c>
      <c r="C207" s="77"/>
      <c r="D207" s="77"/>
      <c r="E207" s="77"/>
      <c r="F207" s="77"/>
      <c r="G207" s="64"/>
      <c r="H207" s="64"/>
      <c r="I207" s="64"/>
      <c r="J207" s="64"/>
      <c r="K207" s="64"/>
      <c r="L207" s="64"/>
      <c r="M207" s="64"/>
      <c r="N207" s="64"/>
      <c r="O207" s="64"/>
      <c r="P207" s="64"/>
      <c r="Q207" s="64"/>
      <c r="R207" s="64"/>
      <c r="S207" s="64"/>
      <c r="T207" s="129">
        <v>50771</v>
      </c>
      <c r="U207" s="25"/>
      <c r="V207" s="25"/>
      <c r="W207" s="25"/>
      <c r="X207" s="5"/>
    </row>
    <row r="208" spans="1:24" ht="15.6" x14ac:dyDescent="0.3">
      <c r="A208" s="75"/>
      <c r="B208" s="76" t="s">
        <v>75</v>
      </c>
      <c r="C208" s="77"/>
      <c r="D208" s="77"/>
      <c r="E208" s="77"/>
      <c r="F208" s="77"/>
      <c r="G208" s="64"/>
      <c r="H208" s="64"/>
      <c r="I208" s="64"/>
      <c r="J208" s="64"/>
      <c r="K208" s="64"/>
      <c r="L208" s="64"/>
      <c r="M208" s="64"/>
      <c r="N208" s="64"/>
      <c r="O208" s="64"/>
      <c r="P208" s="64"/>
      <c r="Q208" s="64"/>
      <c r="R208" s="64"/>
      <c r="S208" s="64"/>
      <c r="T208" s="133">
        <v>20.66</v>
      </c>
      <c r="U208" s="25" t="s">
        <v>113</v>
      </c>
      <c r="V208" s="25"/>
      <c r="W208" s="25"/>
      <c r="X208" s="5"/>
    </row>
    <row r="209" spans="1:24" ht="15.6" x14ac:dyDescent="0.3">
      <c r="A209" s="75"/>
      <c r="B209" s="76" t="s">
        <v>76</v>
      </c>
      <c r="C209" s="77"/>
      <c r="D209" s="77"/>
      <c r="E209" s="77"/>
      <c r="F209" s="77"/>
      <c r="G209" s="64"/>
      <c r="H209" s="64"/>
      <c r="I209" s="64"/>
      <c r="J209" s="64"/>
      <c r="K209" s="64"/>
      <c r="L209" s="64"/>
      <c r="M209" s="64"/>
      <c r="N209" s="64"/>
      <c r="O209" s="64"/>
      <c r="P209" s="64"/>
      <c r="Q209" s="64"/>
      <c r="R209" s="64"/>
      <c r="S209" s="64"/>
      <c r="T209" s="133">
        <v>20.56</v>
      </c>
      <c r="U209" s="25" t="s">
        <v>113</v>
      </c>
      <c r="V209" s="25"/>
      <c r="W209" s="25"/>
      <c r="X209" s="5"/>
    </row>
    <row r="210" spans="1:24" ht="15.6" x14ac:dyDescent="0.3">
      <c r="A210" s="75"/>
      <c r="B210" s="76" t="s">
        <v>77</v>
      </c>
      <c r="C210" s="77"/>
      <c r="D210" s="77"/>
      <c r="E210" s="77"/>
      <c r="F210" s="77"/>
      <c r="G210" s="64"/>
      <c r="H210" s="64"/>
      <c r="I210" s="64"/>
      <c r="J210" s="64"/>
      <c r="K210" s="64"/>
      <c r="L210" s="64"/>
      <c r="M210" s="64"/>
      <c r="N210" s="64"/>
      <c r="O210" s="64"/>
      <c r="P210" s="64"/>
      <c r="Q210" s="64"/>
      <c r="R210" s="64"/>
      <c r="S210" s="64"/>
      <c r="T210" s="78">
        <f>+P69/N69</f>
        <v>2.5610760665852134E-2</v>
      </c>
      <c r="U210" s="25"/>
      <c r="V210" s="25"/>
      <c r="W210" s="25"/>
      <c r="X210" s="5"/>
    </row>
    <row r="211" spans="1:24" ht="15.6" x14ac:dyDescent="0.3">
      <c r="A211" s="75"/>
      <c r="B211" s="76" t="s">
        <v>78</v>
      </c>
      <c r="C211" s="77"/>
      <c r="D211" s="77"/>
      <c r="E211" s="77"/>
      <c r="F211" s="77"/>
      <c r="G211" s="64"/>
      <c r="H211" s="64"/>
      <c r="I211" s="64"/>
      <c r="J211" s="64"/>
      <c r="K211" s="64"/>
      <c r="L211" s="64"/>
      <c r="M211" s="64"/>
      <c r="N211" s="64"/>
      <c r="O211" s="64"/>
      <c r="P211" s="64"/>
      <c r="Q211" s="64"/>
      <c r="R211" s="64"/>
      <c r="S211" s="64"/>
      <c r="T211" s="78">
        <v>9.6799999999999997E-2</v>
      </c>
      <c r="U211" s="25"/>
      <c r="V211" s="25"/>
      <c r="W211" s="25"/>
      <c r="X211" s="5"/>
    </row>
    <row r="212" spans="1:24" ht="15.6" x14ac:dyDescent="0.3">
      <c r="A212" s="75"/>
      <c r="B212" s="76"/>
      <c r="C212" s="76"/>
      <c r="D212" s="76"/>
      <c r="E212" s="76"/>
      <c r="F212" s="76"/>
      <c r="G212" s="25"/>
      <c r="H212" s="25"/>
      <c r="I212" s="25"/>
      <c r="J212" s="25"/>
      <c r="K212" s="25"/>
      <c r="L212" s="25"/>
      <c r="M212" s="25"/>
      <c r="N212" s="25"/>
      <c r="O212" s="25"/>
      <c r="P212" s="25"/>
      <c r="Q212" s="25"/>
      <c r="R212" s="25"/>
      <c r="S212" s="25"/>
      <c r="T212" s="61"/>
      <c r="U212" s="25"/>
      <c r="V212" s="79"/>
      <c r="W212" s="25"/>
      <c r="X212" s="5"/>
    </row>
    <row r="213" spans="1:24" ht="15.6" x14ac:dyDescent="0.3">
      <c r="A213" s="80"/>
      <c r="B213" s="14" t="s">
        <v>79</v>
      </c>
      <c r="C213" s="81"/>
      <c r="D213" s="81"/>
      <c r="E213" s="81"/>
      <c r="F213" s="82"/>
      <c r="G213" s="81"/>
      <c r="H213" s="17"/>
      <c r="I213" s="17"/>
      <c r="J213" s="17"/>
      <c r="K213" s="17"/>
      <c r="L213" s="17"/>
      <c r="M213" s="17"/>
      <c r="N213" s="17"/>
      <c r="O213" s="17"/>
      <c r="P213" s="17"/>
      <c r="Q213" s="17"/>
      <c r="R213" s="17"/>
      <c r="S213" s="17" t="s">
        <v>103</v>
      </c>
      <c r="T213" s="83" t="s">
        <v>110</v>
      </c>
      <c r="U213" s="8"/>
      <c r="V213" s="8"/>
      <c r="W213" s="8"/>
      <c r="X213" s="5"/>
    </row>
    <row r="214" spans="1:24" ht="15.6" x14ac:dyDescent="0.3">
      <c r="A214" s="84"/>
      <c r="B214" s="76" t="s">
        <v>80</v>
      </c>
      <c r="C214" s="54"/>
      <c r="D214" s="54"/>
      <c r="E214" s="54"/>
      <c r="F214" s="25"/>
      <c r="G214" s="25"/>
      <c r="H214" s="30"/>
      <c r="I214" s="30"/>
      <c r="J214" s="30"/>
      <c r="K214" s="30"/>
      <c r="L214" s="30"/>
      <c r="M214" s="30"/>
      <c r="N214" s="30"/>
      <c r="O214" s="30"/>
      <c r="P214" s="30"/>
      <c r="Q214" s="30"/>
      <c r="R214" s="30"/>
      <c r="S214" s="30">
        <v>0</v>
      </c>
      <c r="T214" s="85">
        <v>0</v>
      </c>
      <c r="U214" s="25"/>
      <c r="V214" s="79"/>
      <c r="W214" s="86"/>
      <c r="X214" s="5"/>
    </row>
    <row r="215" spans="1:24" ht="15.6" x14ac:dyDescent="0.3">
      <c r="A215" s="84"/>
      <c r="B215" s="76" t="s">
        <v>148</v>
      </c>
      <c r="C215" s="54"/>
      <c r="D215" s="54"/>
      <c r="E215" s="54"/>
      <c r="F215" s="25"/>
      <c r="G215" s="25"/>
      <c r="H215" s="30"/>
      <c r="I215" s="30"/>
      <c r="J215" s="30"/>
      <c r="K215" s="30"/>
      <c r="L215" s="30"/>
      <c r="M215" s="30"/>
      <c r="N215" s="30"/>
      <c r="O215" s="30"/>
      <c r="P215" s="30"/>
      <c r="Q215" s="30"/>
      <c r="R215" s="30"/>
      <c r="S215" s="152">
        <f>+R256</f>
        <v>4</v>
      </c>
      <c r="T215" s="85">
        <f>+T256</f>
        <v>708</v>
      </c>
      <c r="U215" s="25"/>
      <c r="V215" s="79"/>
      <c r="W215" s="86"/>
      <c r="X215" s="5"/>
    </row>
    <row r="216" spans="1:24" ht="15.6" x14ac:dyDescent="0.3">
      <c r="A216" s="84"/>
      <c r="B216" s="76" t="s">
        <v>81</v>
      </c>
      <c r="C216" s="54"/>
      <c r="D216" s="54"/>
      <c r="E216" s="54"/>
      <c r="F216" s="25"/>
      <c r="G216" s="25"/>
      <c r="H216" s="30"/>
      <c r="I216" s="30"/>
      <c r="J216" s="30"/>
      <c r="K216" s="30"/>
      <c r="L216" s="30"/>
      <c r="M216" s="30"/>
      <c r="N216" s="30"/>
      <c r="O216" s="30"/>
      <c r="P216" s="30"/>
      <c r="Q216" s="30"/>
      <c r="R216" s="30"/>
      <c r="S216" s="30">
        <v>0</v>
      </c>
      <c r="T216" s="85">
        <v>0</v>
      </c>
      <c r="U216" s="25"/>
      <c r="V216" s="79"/>
      <c r="W216" s="86"/>
      <c r="X216" s="5"/>
    </row>
    <row r="217" spans="1:24" ht="15.6" x14ac:dyDescent="0.3">
      <c r="A217" s="84"/>
      <c r="B217" s="122" t="s">
        <v>82</v>
      </c>
      <c r="C217" s="54"/>
      <c r="D217" s="54"/>
      <c r="E217" s="54"/>
      <c r="F217" s="25"/>
      <c r="G217" s="25"/>
      <c r="H217" s="25"/>
      <c r="I217" s="25"/>
      <c r="J217" s="25"/>
      <c r="K217" s="25"/>
      <c r="L217" s="25"/>
      <c r="M217" s="25"/>
      <c r="N217" s="25"/>
      <c r="O217" s="25"/>
      <c r="P217" s="25"/>
      <c r="Q217" s="25"/>
      <c r="R217" s="25"/>
      <c r="S217" s="25"/>
      <c r="T217" s="85">
        <v>0</v>
      </c>
      <c r="U217" s="25"/>
      <c r="V217" s="79"/>
      <c r="W217" s="86"/>
      <c r="X217" s="5"/>
    </row>
    <row r="218" spans="1:24" ht="15.6" x14ac:dyDescent="0.3">
      <c r="A218" s="84"/>
      <c r="B218" s="122" t="s">
        <v>275</v>
      </c>
      <c r="C218" s="54"/>
      <c r="D218" s="54"/>
      <c r="E218" s="54"/>
      <c r="F218" s="25"/>
      <c r="G218" s="25"/>
      <c r="H218" s="25"/>
      <c r="I218" s="25"/>
      <c r="J218" s="25"/>
      <c r="K218" s="25"/>
      <c r="L218" s="25"/>
      <c r="M218" s="25"/>
      <c r="N218" s="25"/>
      <c r="O218" s="25"/>
      <c r="P218" s="25"/>
      <c r="Q218" s="25"/>
      <c r="R218" s="25"/>
      <c r="S218" s="25"/>
      <c r="T218" s="85">
        <f>+N82-7</f>
        <v>414862</v>
      </c>
      <c r="U218" s="25"/>
      <c r="V218" s="79"/>
      <c r="W218" s="86"/>
      <c r="X218" s="5"/>
    </row>
    <row r="219" spans="1:24" ht="15.6" x14ac:dyDescent="0.3">
      <c r="A219" s="87"/>
      <c r="B219" s="122" t="s">
        <v>83</v>
      </c>
      <c r="C219" s="76"/>
      <c r="D219" s="76"/>
      <c r="E219" s="76"/>
      <c r="F219" s="76"/>
      <c r="G219" s="25"/>
      <c r="H219" s="25"/>
      <c r="I219" s="25"/>
      <c r="J219" s="25"/>
      <c r="K219" s="25"/>
      <c r="L219" s="25"/>
      <c r="M219" s="25"/>
      <c r="N219" s="25"/>
      <c r="O219" s="25"/>
      <c r="P219" s="25"/>
      <c r="Q219" s="25"/>
      <c r="R219" s="25"/>
      <c r="S219" s="25"/>
      <c r="T219" s="85"/>
      <c r="U219" s="25"/>
      <c r="V219" s="79"/>
      <c r="W219" s="88"/>
      <c r="X219" s="5"/>
    </row>
    <row r="220" spans="1:24" ht="15.6" x14ac:dyDescent="0.3">
      <c r="A220" s="87"/>
      <c r="B220" s="131" t="s">
        <v>84</v>
      </c>
      <c r="C220" s="76"/>
      <c r="D220" s="76"/>
      <c r="E220" s="76"/>
      <c r="F220" s="76"/>
      <c r="G220" s="25"/>
      <c r="H220" s="25"/>
      <c r="I220" s="25"/>
      <c r="J220" s="25"/>
      <c r="K220" s="25"/>
      <c r="L220" s="25"/>
      <c r="M220" s="25"/>
      <c r="N220" s="25"/>
      <c r="O220" s="25"/>
      <c r="P220" s="25"/>
      <c r="Q220" s="25"/>
      <c r="R220" s="25"/>
      <c r="S220" s="30">
        <v>0</v>
      </c>
      <c r="T220" s="85">
        <f>V165</f>
        <v>0</v>
      </c>
      <c r="U220" s="25"/>
      <c r="V220" s="79"/>
      <c r="W220" s="88"/>
      <c r="X220" s="5"/>
    </row>
    <row r="221" spans="1:24" ht="15.6" x14ac:dyDescent="0.3">
      <c r="A221" s="84"/>
      <c r="B221" s="76" t="s">
        <v>85</v>
      </c>
      <c r="C221" s="54"/>
      <c r="D221" s="54"/>
      <c r="E221" s="54"/>
      <c r="F221" s="54"/>
      <c r="G221" s="25"/>
      <c r="H221" s="25"/>
      <c r="I221" s="25"/>
      <c r="J221" s="25"/>
      <c r="K221" s="25"/>
      <c r="L221" s="25"/>
      <c r="M221" s="25"/>
      <c r="N221" s="25"/>
      <c r="O221" s="25"/>
      <c r="P221" s="25"/>
      <c r="Q221" s="25"/>
      <c r="R221" s="25"/>
      <c r="S221" s="30">
        <v>0</v>
      </c>
      <c r="T221" s="85">
        <f>+T220</f>
        <v>0</v>
      </c>
      <c r="U221" s="25"/>
      <c r="V221" s="79"/>
      <c r="W221" s="88"/>
      <c r="X221" s="5"/>
    </row>
    <row r="222" spans="1:24" ht="15.6" x14ac:dyDescent="0.3">
      <c r="A222" s="84"/>
      <c r="B222" s="76" t="s">
        <v>86</v>
      </c>
      <c r="C222" s="54"/>
      <c r="D222" s="54"/>
      <c r="E222" s="54"/>
      <c r="F222" s="54"/>
      <c r="G222" s="25"/>
      <c r="H222" s="25"/>
      <c r="I222" s="25"/>
      <c r="J222" s="25"/>
      <c r="K222" s="25"/>
      <c r="L222" s="25"/>
      <c r="M222" s="25"/>
      <c r="N222" s="25"/>
      <c r="O222" s="25"/>
      <c r="P222" s="25"/>
      <c r="Q222" s="25"/>
      <c r="R222" s="25"/>
      <c r="S222" s="30"/>
      <c r="T222" s="85">
        <v>0</v>
      </c>
      <c r="U222" s="25"/>
      <c r="V222" s="79"/>
      <c r="W222" s="88"/>
      <c r="X222" s="5"/>
    </row>
    <row r="223" spans="1:24" ht="15.6" x14ac:dyDescent="0.3">
      <c r="A223" s="87"/>
      <c r="B223" s="122" t="s">
        <v>297</v>
      </c>
      <c r="C223" s="76"/>
      <c r="D223" s="76"/>
      <c r="E223" s="76"/>
      <c r="F223" s="76"/>
      <c r="G223" s="25"/>
      <c r="H223" s="25"/>
      <c r="I223" s="25"/>
      <c r="J223" s="25"/>
      <c r="K223" s="25"/>
      <c r="L223" s="25"/>
      <c r="M223" s="25"/>
      <c r="N223" s="25"/>
      <c r="O223" s="25"/>
      <c r="P223" s="25"/>
      <c r="Q223" s="25"/>
      <c r="R223" s="25"/>
      <c r="S223" s="30"/>
      <c r="T223" s="85"/>
      <c r="U223" s="25"/>
      <c r="V223" s="79"/>
      <c r="W223" s="88"/>
      <c r="X223" s="5"/>
    </row>
    <row r="224" spans="1:24" ht="15.6" x14ac:dyDescent="0.3">
      <c r="A224" s="87"/>
      <c r="B224" s="76" t="s">
        <v>295</v>
      </c>
      <c r="C224" s="76"/>
      <c r="D224" s="76"/>
      <c r="E224" s="76"/>
      <c r="F224" s="76"/>
      <c r="G224" s="25"/>
      <c r="H224" s="25"/>
      <c r="I224" s="25"/>
      <c r="J224" s="25"/>
      <c r="K224" s="25"/>
      <c r="L224" s="25"/>
      <c r="M224" s="25"/>
      <c r="N224" s="25"/>
      <c r="O224" s="25"/>
      <c r="P224" s="25"/>
      <c r="Q224" s="25"/>
      <c r="R224" s="25"/>
      <c r="S224" s="30">
        <v>0</v>
      </c>
      <c r="T224" s="85">
        <v>0</v>
      </c>
      <c r="U224" s="25"/>
      <c r="V224" s="79"/>
      <c r="W224" s="88"/>
      <c r="X224" s="5"/>
    </row>
    <row r="225" spans="1:25" ht="15.6" x14ac:dyDescent="0.3">
      <c r="A225" s="84"/>
      <c r="B225" s="76" t="s">
        <v>87</v>
      </c>
      <c r="C225" s="89"/>
      <c r="D225" s="89"/>
      <c r="E225" s="89"/>
      <c r="F225" s="90"/>
      <c r="G225" s="25"/>
      <c r="H225" s="25"/>
      <c r="I225" s="25"/>
      <c r="J225" s="25"/>
      <c r="K225" s="25"/>
      <c r="L225" s="25"/>
      <c r="M225" s="25"/>
      <c r="N225" s="25"/>
      <c r="O225" s="25"/>
      <c r="P225" s="25"/>
      <c r="Q225" s="25"/>
      <c r="R225" s="25"/>
      <c r="S225" s="25"/>
      <c r="T225" s="62">
        <v>0</v>
      </c>
      <c r="U225" s="25"/>
      <c r="V225" s="79"/>
      <c r="W225" s="88"/>
      <c r="X225" s="5"/>
    </row>
    <row r="226" spans="1:25" ht="15.6" x14ac:dyDescent="0.3">
      <c r="A226" s="84"/>
      <c r="B226" s="76" t="s">
        <v>88</v>
      </c>
      <c r="C226" s="89"/>
      <c r="D226" s="89"/>
      <c r="E226" s="89"/>
      <c r="F226" s="90"/>
      <c r="G226" s="25"/>
      <c r="H226" s="25"/>
      <c r="I226" s="25"/>
      <c r="J226" s="25"/>
      <c r="K226" s="25"/>
      <c r="L226" s="25"/>
      <c r="M226" s="25"/>
      <c r="N226" s="25"/>
      <c r="O226" s="25"/>
      <c r="P226" s="25"/>
      <c r="Q226" s="25"/>
      <c r="R226" s="25"/>
      <c r="S226" s="25"/>
      <c r="T226" s="62">
        <v>0</v>
      </c>
      <c r="U226" s="25"/>
      <c r="V226" s="79"/>
      <c r="W226" s="88"/>
      <c r="X226" s="5"/>
    </row>
    <row r="227" spans="1:25" ht="15.6" x14ac:dyDescent="0.3">
      <c r="A227" s="84"/>
      <c r="B227" s="122" t="s">
        <v>220</v>
      </c>
      <c r="C227" s="89"/>
      <c r="D227" s="89"/>
      <c r="E227" s="89"/>
      <c r="F227" s="90"/>
      <c r="G227" s="25"/>
      <c r="H227" s="25"/>
      <c r="I227" s="25"/>
      <c r="J227" s="25"/>
      <c r="K227" s="25"/>
      <c r="L227" s="25"/>
      <c r="M227" s="25"/>
      <c r="N227" s="25"/>
      <c r="O227" s="25"/>
      <c r="P227" s="25"/>
      <c r="Q227" s="25"/>
      <c r="R227" s="25"/>
      <c r="S227" s="25"/>
      <c r="T227" s="91"/>
      <c r="U227" s="25"/>
      <c r="V227" s="79"/>
      <c r="W227" s="88"/>
      <c r="X227" s="5"/>
    </row>
    <row r="228" spans="1:25" ht="15.6" x14ac:dyDescent="0.3">
      <c r="A228" s="84"/>
      <c r="B228" s="76" t="s">
        <v>295</v>
      </c>
      <c r="C228" s="89"/>
      <c r="D228" s="89"/>
      <c r="E228" s="89"/>
      <c r="F228" s="90"/>
      <c r="G228" s="25"/>
      <c r="H228" s="25"/>
      <c r="I228" s="25"/>
      <c r="J228" s="25"/>
      <c r="K228" s="25"/>
      <c r="L228" s="25"/>
      <c r="M228" s="25"/>
      <c r="N228" s="25"/>
      <c r="O228" s="25"/>
      <c r="P228" s="25"/>
      <c r="Q228" s="25"/>
      <c r="R228" s="25"/>
      <c r="S228" s="30">
        <v>0</v>
      </c>
      <c r="T228" s="85">
        <v>0</v>
      </c>
      <c r="U228" s="25"/>
      <c r="V228" s="79"/>
      <c r="W228" s="88"/>
      <c r="X228" s="5"/>
    </row>
    <row r="229" spans="1:25" ht="15.6" x14ac:dyDescent="0.3">
      <c r="A229" s="84"/>
      <c r="B229" s="76" t="s">
        <v>221</v>
      </c>
      <c r="C229" s="89"/>
      <c r="D229" s="89"/>
      <c r="E229" s="89"/>
      <c r="F229" s="90"/>
      <c r="G229" s="25"/>
      <c r="H229" s="25"/>
      <c r="I229" s="25"/>
      <c r="J229" s="25"/>
      <c r="K229" s="25"/>
      <c r="L229" s="25"/>
      <c r="M229" s="25"/>
      <c r="N229" s="25"/>
      <c r="O229" s="25"/>
      <c r="P229" s="25"/>
      <c r="Q229" s="25"/>
      <c r="R229" s="25"/>
      <c r="S229" s="25"/>
      <c r="T229" s="62">
        <v>0</v>
      </c>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7.399999999999999" x14ac:dyDescent="0.3">
      <c r="A232" s="84"/>
      <c r="B232" s="149" t="s">
        <v>171</v>
      </c>
      <c r="C232" s="89"/>
      <c r="D232" s="89"/>
      <c r="E232" s="89"/>
      <c r="F232" s="90"/>
      <c r="G232" s="25"/>
      <c r="H232" s="25"/>
      <c r="I232" s="25"/>
      <c r="J232" s="25"/>
      <c r="K232" s="25"/>
      <c r="L232" s="25"/>
      <c r="M232" s="25"/>
      <c r="N232" s="25"/>
      <c r="O232" s="25"/>
      <c r="P232" s="150" t="s">
        <v>170</v>
      </c>
      <c r="Q232" s="25"/>
      <c r="R232" s="25"/>
      <c r="S232" s="25"/>
      <c r="T232" s="91"/>
      <c r="U232" s="25"/>
      <c r="V232" s="79"/>
      <c r="W232" s="88"/>
      <c r="X232" s="5"/>
    </row>
    <row r="233" spans="1:25" ht="15.6" x14ac:dyDescent="0.3">
      <c r="A233" s="84"/>
      <c r="B233" s="76"/>
      <c r="C233" s="89"/>
      <c r="D233" s="89"/>
      <c r="E233" s="89"/>
      <c r="F233" s="90"/>
      <c r="G233" s="25"/>
      <c r="H233" s="25"/>
      <c r="I233" s="25"/>
      <c r="J233" s="25"/>
      <c r="K233" s="25"/>
      <c r="L233" s="25"/>
      <c r="M233" s="25"/>
      <c r="N233" s="25"/>
      <c r="O233" s="25"/>
      <c r="P233" s="25"/>
      <c r="Q233" s="25"/>
      <c r="R233" s="25"/>
      <c r="S233" s="25"/>
      <c r="T233" s="91"/>
      <c r="U233" s="25"/>
      <c r="V233" s="79"/>
      <c r="W233" s="88"/>
      <c r="X233" s="5"/>
    </row>
    <row r="234" spans="1:25" ht="15.6" x14ac:dyDescent="0.3">
      <c r="A234" s="6"/>
      <c r="B234" s="14" t="s">
        <v>165</v>
      </c>
      <c r="C234" s="81"/>
      <c r="D234" s="81"/>
      <c r="E234" s="81"/>
      <c r="F234" s="82"/>
      <c r="G234" s="81"/>
      <c r="H234" s="17"/>
      <c r="I234" s="17"/>
      <c r="J234" s="17"/>
      <c r="K234" s="17"/>
      <c r="L234" s="17"/>
      <c r="M234" s="17"/>
      <c r="N234" s="17"/>
      <c r="O234" s="17"/>
      <c r="P234" s="17"/>
      <c r="Q234" s="17"/>
      <c r="R234" s="83" t="s">
        <v>103</v>
      </c>
      <c r="S234" s="17" t="s">
        <v>104</v>
      </c>
      <c r="T234" s="83" t="s">
        <v>111</v>
      </c>
      <c r="U234" s="17" t="s">
        <v>104</v>
      </c>
      <c r="V234" s="8"/>
      <c r="W234" s="92"/>
      <c r="X234" s="5"/>
    </row>
    <row r="235" spans="1:25" ht="15.6" x14ac:dyDescent="0.3">
      <c r="A235" s="24"/>
      <c r="B235" s="54" t="s">
        <v>89</v>
      </c>
      <c r="C235" s="93"/>
      <c r="D235" s="93"/>
      <c r="E235" s="93"/>
      <c r="F235" s="25"/>
      <c r="G235" s="93"/>
      <c r="H235" s="93"/>
      <c r="I235" s="93"/>
      <c r="J235" s="93"/>
      <c r="K235" s="93"/>
      <c r="L235" s="93"/>
      <c r="M235" s="93"/>
      <c r="N235" s="93"/>
      <c r="O235" s="93"/>
      <c r="P235" s="93"/>
      <c r="Q235" s="93"/>
      <c r="R235" s="54">
        <v>12037</v>
      </c>
      <c r="S235" s="94">
        <f t="shared" ref="S235:S242" si="1">R235/$R$244</f>
        <v>0.99718333195261366</v>
      </c>
      <c r="T235" s="53">
        <v>1474115</v>
      </c>
      <c r="U235" s="132">
        <f t="shared" ref="U235:U242" si="2">T235/$T$244</f>
        <v>0.99647206107613295</v>
      </c>
      <c r="V235" s="79"/>
      <c r="W235" s="88"/>
      <c r="X235" s="5"/>
    </row>
    <row r="236" spans="1:25" ht="15.6" x14ac:dyDescent="0.3">
      <c r="A236" s="24"/>
      <c r="B236" s="54" t="s">
        <v>90</v>
      </c>
      <c r="C236" s="93"/>
      <c r="D236" s="93"/>
      <c r="E236" s="93"/>
      <c r="F236" s="25"/>
      <c r="G236" s="94"/>
      <c r="H236" s="93"/>
      <c r="I236" s="93"/>
      <c r="J236" s="93"/>
      <c r="K236" s="93"/>
      <c r="L236" s="93"/>
      <c r="M236" s="93"/>
      <c r="N236" s="93"/>
      <c r="O236" s="93"/>
      <c r="P236" s="93"/>
      <c r="Q236" s="93"/>
      <c r="R236" s="54">
        <v>30</v>
      </c>
      <c r="S236" s="94">
        <f t="shared" si="1"/>
        <v>2.4852953359290864E-3</v>
      </c>
      <c r="T236" s="53">
        <v>4685</v>
      </c>
      <c r="U236" s="132">
        <f t="shared" si="2"/>
        <v>3.1669656750943332E-3</v>
      </c>
      <c r="V236" s="79"/>
      <c r="W236" s="88"/>
      <c r="X236" s="5"/>
      <c r="Y236" s="109"/>
    </row>
    <row r="237" spans="1:25" ht="15.6" x14ac:dyDescent="0.3">
      <c r="A237" s="24"/>
      <c r="B237" s="54" t="s">
        <v>91</v>
      </c>
      <c r="C237" s="93"/>
      <c r="D237" s="93"/>
      <c r="E237" s="93"/>
      <c r="F237" s="25"/>
      <c r="G237" s="94"/>
      <c r="H237" s="93"/>
      <c r="I237" s="93"/>
      <c r="J237" s="93"/>
      <c r="K237" s="93"/>
      <c r="L237" s="93"/>
      <c r="M237" s="93"/>
      <c r="N237" s="93"/>
      <c r="O237" s="93"/>
      <c r="P237" s="93"/>
      <c r="Q237" s="93"/>
      <c r="R237" s="54">
        <v>4</v>
      </c>
      <c r="S237" s="94">
        <f t="shared" si="1"/>
        <v>3.3137271145721147E-4</v>
      </c>
      <c r="T237" s="53">
        <v>534</v>
      </c>
      <c r="U237" s="132">
        <f t="shared" si="2"/>
        <v>3.6097324877275853E-4</v>
      </c>
      <c r="V237" s="79"/>
      <c r="W237" s="88"/>
      <c r="X237" s="5"/>
    </row>
    <row r="238" spans="1:25" ht="15.6" x14ac:dyDescent="0.3">
      <c r="A238" s="24"/>
      <c r="B238" s="54" t="s">
        <v>159</v>
      </c>
      <c r="C238" s="93"/>
      <c r="D238" s="93"/>
      <c r="E238" s="93"/>
      <c r="F238" s="25"/>
      <c r="G238" s="94"/>
      <c r="H238" s="93"/>
      <c r="I238" s="93"/>
      <c r="J238" s="93"/>
      <c r="K238" s="93"/>
      <c r="L238" s="93"/>
      <c r="M238" s="93"/>
      <c r="N238" s="93"/>
      <c r="O238" s="93"/>
      <c r="P238" s="93"/>
      <c r="Q238" s="93"/>
      <c r="R238" s="54">
        <v>0</v>
      </c>
      <c r="S238" s="94">
        <f t="shared" si="1"/>
        <v>0</v>
      </c>
      <c r="T238" s="53">
        <v>0</v>
      </c>
      <c r="U238" s="132">
        <f t="shared" si="2"/>
        <v>0</v>
      </c>
      <c r="V238" s="79"/>
      <c r="W238" s="88"/>
      <c r="X238" s="5"/>
      <c r="Y238" s="109"/>
    </row>
    <row r="239" spans="1:25" ht="15.6" x14ac:dyDescent="0.3">
      <c r="A239" s="24"/>
      <c r="B239" s="54" t="s">
        <v>160</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row>
    <row r="240" spans="1:25" ht="15.6" x14ac:dyDescent="0.3">
      <c r="A240" s="24"/>
      <c r="B240" s="54" t="s">
        <v>161</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c r="Y240" s="109"/>
    </row>
    <row r="241" spans="1:25" ht="15.6" x14ac:dyDescent="0.3">
      <c r="A241" s="24"/>
      <c r="B241" s="54" t="s">
        <v>162</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row>
    <row r="242" spans="1:25" ht="15.6" x14ac:dyDescent="0.3">
      <c r="A242" s="24"/>
      <c r="B242" s="54" t="s">
        <v>163</v>
      </c>
      <c r="C242" s="93"/>
      <c r="D242" s="93"/>
      <c r="E242" s="93"/>
      <c r="F242" s="25"/>
      <c r="G242" s="94"/>
      <c r="H242" s="93"/>
      <c r="I242" s="93"/>
      <c r="J242" s="93"/>
      <c r="K242" s="93"/>
      <c r="L242" s="93"/>
      <c r="M242" s="93"/>
      <c r="N242" s="93"/>
      <c r="O242" s="93"/>
      <c r="P242" s="93"/>
      <c r="Q242" s="93"/>
      <c r="R242" s="54">
        <v>0</v>
      </c>
      <c r="S242" s="94">
        <f t="shared" si="1"/>
        <v>0</v>
      </c>
      <c r="T242" s="53">
        <v>0</v>
      </c>
      <c r="U242" s="132">
        <f t="shared" si="2"/>
        <v>0</v>
      </c>
      <c r="V242" s="79"/>
      <c r="W242" s="88"/>
      <c r="X242" s="5"/>
      <c r="Y242" s="109"/>
    </row>
    <row r="243" spans="1:25" ht="15.6" x14ac:dyDescent="0.3">
      <c r="A243" s="24"/>
      <c r="B243" s="54"/>
      <c r="C243" s="93"/>
      <c r="D243" s="93"/>
      <c r="E243" s="93"/>
      <c r="F243" s="25"/>
      <c r="G243" s="94"/>
      <c r="H243" s="93"/>
      <c r="I243" s="93"/>
      <c r="J243" s="93"/>
      <c r="K243" s="93"/>
      <c r="L243" s="93"/>
      <c r="M243" s="93"/>
      <c r="N243" s="93"/>
      <c r="O243" s="93"/>
      <c r="P243" s="93"/>
      <c r="Q243" s="93"/>
      <c r="R243" s="54"/>
      <c r="S243" s="94"/>
      <c r="T243" s="53"/>
      <c r="U243" s="132"/>
      <c r="V243" s="79"/>
      <c r="W243" s="88"/>
      <c r="X243" s="5"/>
    </row>
    <row r="244" spans="1:25" ht="15.6" x14ac:dyDescent="0.3">
      <c r="A244" s="24"/>
      <c r="B244" s="25"/>
      <c r="C244" s="25"/>
      <c r="D244" s="25"/>
      <c r="E244" s="25"/>
      <c r="F244" s="25"/>
      <c r="G244" s="25"/>
      <c r="H244" s="95"/>
      <c r="I244" s="95"/>
      <c r="J244" s="95"/>
      <c r="K244" s="95"/>
      <c r="L244" s="95"/>
      <c r="M244" s="95"/>
      <c r="N244" s="95"/>
      <c r="O244" s="95"/>
      <c r="P244" s="95"/>
      <c r="Q244" s="95"/>
      <c r="R244" s="34">
        <f>SUM(R235:R243)</f>
        <v>12071</v>
      </c>
      <c r="S244" s="132">
        <f>SUM(S235:S243)</f>
        <v>1</v>
      </c>
      <c r="T244" s="53">
        <f>SUM(T235:T243)</f>
        <v>1479334</v>
      </c>
      <c r="U244" s="132">
        <f>SUM(U235:U243)</f>
        <v>1</v>
      </c>
      <c r="V244" s="25"/>
      <c r="W244" s="25"/>
      <c r="X244" s="5"/>
    </row>
    <row r="245" spans="1:25" ht="15.6" x14ac:dyDescent="0.3">
      <c r="A245" s="24"/>
      <c r="B245" s="25"/>
      <c r="C245" s="25"/>
      <c r="D245" s="25"/>
      <c r="E245" s="25"/>
      <c r="F245" s="25"/>
      <c r="G245" s="25"/>
      <c r="H245" s="95"/>
      <c r="I245" s="95"/>
      <c r="J245" s="95"/>
      <c r="K245" s="95"/>
      <c r="L245" s="95"/>
      <c r="M245" s="95"/>
      <c r="N245" s="95"/>
      <c r="O245" s="95"/>
      <c r="P245" s="95"/>
      <c r="Q245" s="95"/>
      <c r="R245" s="34"/>
      <c r="S245" s="132"/>
      <c r="T245" s="53"/>
      <c r="U245" s="132"/>
      <c r="V245" s="25"/>
      <c r="W245" s="25"/>
      <c r="X245" s="5"/>
    </row>
    <row r="246" spans="1:25" ht="15.6" x14ac:dyDescent="0.3">
      <c r="A246" s="141"/>
      <c r="B246" s="14" t="s">
        <v>279</v>
      </c>
      <c r="C246" s="81"/>
      <c r="D246" s="81"/>
      <c r="E246" s="81"/>
      <c r="F246" s="82"/>
      <c r="G246" s="81"/>
      <c r="H246" s="17"/>
      <c r="I246" s="17"/>
      <c r="J246" s="17"/>
      <c r="K246" s="17"/>
      <c r="L246" s="17"/>
      <c r="M246" s="17"/>
      <c r="N246" s="17"/>
      <c r="O246" s="17"/>
      <c r="P246" s="17"/>
      <c r="Q246" s="17"/>
      <c r="R246" s="83" t="s">
        <v>103</v>
      </c>
      <c r="S246" s="17" t="s">
        <v>104</v>
      </c>
      <c r="T246" s="83" t="s">
        <v>111</v>
      </c>
      <c r="U246" s="17" t="s">
        <v>104</v>
      </c>
      <c r="V246" s="139"/>
      <c r="W246" s="140"/>
      <c r="X246" s="5"/>
    </row>
    <row r="247" spans="1:25" ht="15.6" x14ac:dyDescent="0.3">
      <c r="A247" s="24"/>
      <c r="B247" s="54" t="s">
        <v>89</v>
      </c>
      <c r="C247" s="93"/>
      <c r="D247" s="93"/>
      <c r="E247" s="93"/>
      <c r="F247" s="25"/>
      <c r="G247" s="93"/>
      <c r="H247" s="93"/>
      <c r="I247" s="93"/>
      <c r="J247" s="93"/>
      <c r="K247" s="93"/>
      <c r="L247" s="93"/>
      <c r="M247" s="93"/>
      <c r="N247" s="93"/>
      <c r="O247" s="93"/>
      <c r="P247" s="93"/>
      <c r="Q247" s="93"/>
      <c r="R247" s="54">
        <v>0</v>
      </c>
      <c r="S247" s="94">
        <f t="shared" ref="S247:S254" si="3">R247/$R$256</f>
        <v>0</v>
      </c>
      <c r="T247" s="53">
        <v>0</v>
      </c>
      <c r="U247" s="132">
        <f t="shared" ref="U247:U254" si="4">T247/$T$256</f>
        <v>0</v>
      </c>
      <c r="V247" s="25"/>
      <c r="W247" s="25"/>
      <c r="X247" s="5"/>
    </row>
    <row r="248" spans="1:25" ht="15.6" x14ac:dyDescent="0.3">
      <c r="A248" s="24"/>
      <c r="B248" s="54" t="s">
        <v>90</v>
      </c>
      <c r="C248" s="93"/>
      <c r="D248" s="93"/>
      <c r="E248" s="93"/>
      <c r="F248" s="25"/>
      <c r="G248" s="94"/>
      <c r="H248" s="93"/>
      <c r="I248" s="93"/>
      <c r="J248" s="93"/>
      <c r="K248" s="93"/>
      <c r="L248" s="93"/>
      <c r="M248" s="93"/>
      <c r="N248" s="93"/>
      <c r="O248" s="93"/>
      <c r="P248" s="93"/>
      <c r="Q248" s="93"/>
      <c r="R248" s="54">
        <v>0</v>
      </c>
      <c r="S248" s="94">
        <f t="shared" si="3"/>
        <v>0</v>
      </c>
      <c r="T248" s="53">
        <v>0</v>
      </c>
      <c r="U248" s="132">
        <f t="shared" si="4"/>
        <v>0</v>
      </c>
      <c r="V248" s="25"/>
      <c r="W248" s="25"/>
      <c r="X248" s="5"/>
    </row>
    <row r="249" spans="1:25" ht="15.6" x14ac:dyDescent="0.3">
      <c r="A249" s="24"/>
      <c r="B249" s="54" t="s">
        <v>91</v>
      </c>
      <c r="C249" s="93"/>
      <c r="D249" s="93"/>
      <c r="E249" s="93"/>
      <c r="F249" s="25"/>
      <c r="G249" s="94"/>
      <c r="H249" s="93"/>
      <c r="I249" s="93"/>
      <c r="J249" s="93"/>
      <c r="K249" s="93"/>
      <c r="L249" s="93"/>
      <c r="M249" s="93"/>
      <c r="N249" s="93"/>
      <c r="O249" s="93"/>
      <c r="P249" s="93"/>
      <c r="Q249" s="93"/>
      <c r="R249" s="54">
        <v>0</v>
      </c>
      <c r="S249" s="94">
        <f t="shared" si="3"/>
        <v>0</v>
      </c>
      <c r="T249" s="53">
        <v>0</v>
      </c>
      <c r="U249" s="132">
        <f t="shared" si="4"/>
        <v>0</v>
      </c>
      <c r="V249" s="25"/>
      <c r="W249" s="25"/>
      <c r="X249" s="5"/>
    </row>
    <row r="250" spans="1:25" ht="15.6" x14ac:dyDescent="0.3">
      <c r="A250" s="24"/>
      <c r="B250" s="54" t="s">
        <v>159</v>
      </c>
      <c r="C250" s="93"/>
      <c r="D250" s="93"/>
      <c r="E250" s="93"/>
      <c r="F250" s="25"/>
      <c r="G250" s="94"/>
      <c r="H250" s="93"/>
      <c r="I250" s="93"/>
      <c r="J250" s="93"/>
      <c r="K250" s="93"/>
      <c r="L250" s="93"/>
      <c r="M250" s="93"/>
      <c r="N250" s="93"/>
      <c r="O250" s="93"/>
      <c r="P250" s="93"/>
      <c r="Q250" s="93"/>
      <c r="R250" s="54">
        <v>3</v>
      </c>
      <c r="S250" s="94">
        <f t="shared" si="3"/>
        <v>0.75</v>
      </c>
      <c r="T250" s="53">
        <v>469</v>
      </c>
      <c r="U250" s="132">
        <f t="shared" si="4"/>
        <v>0.66242937853107342</v>
      </c>
      <c r="V250" s="25"/>
      <c r="W250" s="25"/>
      <c r="X250" s="5"/>
    </row>
    <row r="251" spans="1:25" ht="15.6" x14ac:dyDescent="0.3">
      <c r="A251" s="24"/>
      <c r="B251" s="54" t="s">
        <v>160</v>
      </c>
      <c r="C251" s="93"/>
      <c r="D251" s="93"/>
      <c r="E251" s="93"/>
      <c r="F251" s="25"/>
      <c r="G251" s="94"/>
      <c r="H251" s="93"/>
      <c r="I251" s="93"/>
      <c r="J251" s="93"/>
      <c r="K251" s="93"/>
      <c r="L251" s="93"/>
      <c r="M251" s="93"/>
      <c r="N251" s="93"/>
      <c r="O251" s="93"/>
      <c r="P251" s="93"/>
      <c r="Q251" s="93"/>
      <c r="R251" s="54">
        <v>1</v>
      </c>
      <c r="S251" s="94">
        <f t="shared" si="3"/>
        <v>0.25</v>
      </c>
      <c r="T251" s="53">
        <v>239</v>
      </c>
      <c r="U251" s="132">
        <f t="shared" si="4"/>
        <v>0.33757062146892658</v>
      </c>
      <c r="V251" s="25"/>
      <c r="W251" s="25"/>
      <c r="X251" s="5"/>
    </row>
    <row r="252" spans="1:25" ht="15.6" x14ac:dyDescent="0.3">
      <c r="A252" s="24"/>
      <c r="B252" s="54" t="s">
        <v>161</v>
      </c>
      <c r="C252" s="93"/>
      <c r="D252" s="93"/>
      <c r="E252" s="93"/>
      <c r="F252" s="25"/>
      <c r="G252" s="94"/>
      <c r="H252" s="93"/>
      <c r="I252" s="93"/>
      <c r="J252" s="93"/>
      <c r="K252" s="93"/>
      <c r="L252" s="93"/>
      <c r="M252" s="93"/>
      <c r="N252" s="93"/>
      <c r="O252" s="93"/>
      <c r="P252" s="93"/>
      <c r="Q252" s="93"/>
      <c r="R252" s="54">
        <v>0</v>
      </c>
      <c r="S252" s="94">
        <f t="shared" si="3"/>
        <v>0</v>
      </c>
      <c r="T252" s="53">
        <v>0</v>
      </c>
      <c r="U252" s="132">
        <f t="shared" si="4"/>
        <v>0</v>
      </c>
      <c r="V252" s="25"/>
      <c r="W252" s="25"/>
      <c r="X252" s="5"/>
    </row>
    <row r="253" spans="1:25" ht="15.6" x14ac:dyDescent="0.3">
      <c r="A253" s="24"/>
      <c r="B253" s="54" t="s">
        <v>162</v>
      </c>
      <c r="C253" s="93"/>
      <c r="D253" s="93"/>
      <c r="E253" s="93"/>
      <c r="F253" s="25"/>
      <c r="G253" s="94"/>
      <c r="H253" s="93"/>
      <c r="I253" s="93"/>
      <c r="J253" s="93"/>
      <c r="K253" s="93"/>
      <c r="L253" s="93"/>
      <c r="M253" s="93"/>
      <c r="N253" s="93"/>
      <c r="O253" s="93"/>
      <c r="P253" s="93"/>
      <c r="Q253" s="93"/>
      <c r="R253" s="54">
        <v>0</v>
      </c>
      <c r="S253" s="94">
        <f t="shared" si="3"/>
        <v>0</v>
      </c>
      <c r="T253" s="53">
        <v>0</v>
      </c>
      <c r="U253" s="132">
        <f t="shared" si="4"/>
        <v>0</v>
      </c>
      <c r="V253" s="25"/>
      <c r="W253" s="25"/>
      <c r="X253" s="5"/>
    </row>
    <row r="254" spans="1:25" ht="15.6" x14ac:dyDescent="0.3">
      <c r="A254" s="24"/>
      <c r="B254" s="54" t="s">
        <v>163</v>
      </c>
      <c r="C254" s="93"/>
      <c r="D254" s="93"/>
      <c r="E254" s="93"/>
      <c r="F254" s="25"/>
      <c r="G254" s="94"/>
      <c r="H254" s="93"/>
      <c r="I254" s="93"/>
      <c r="J254" s="93"/>
      <c r="K254" s="93"/>
      <c r="L254" s="93"/>
      <c r="M254" s="93"/>
      <c r="N254" s="93"/>
      <c r="O254" s="93"/>
      <c r="P254" s="93"/>
      <c r="Q254" s="93"/>
      <c r="R254" s="54">
        <v>0</v>
      </c>
      <c r="S254" s="94">
        <f t="shared" si="3"/>
        <v>0</v>
      </c>
      <c r="T254" s="53">
        <v>0</v>
      </c>
      <c r="U254" s="132">
        <f t="shared" si="4"/>
        <v>0</v>
      </c>
      <c r="V254" s="25"/>
      <c r="W254" s="25"/>
      <c r="X254" s="5"/>
    </row>
    <row r="255" spans="1:25" ht="15.6" x14ac:dyDescent="0.3">
      <c r="A255" s="24"/>
      <c r="B255" s="54"/>
      <c r="C255" s="93"/>
      <c r="D255" s="93"/>
      <c r="E255" s="93"/>
      <c r="F255" s="25"/>
      <c r="G255" s="94"/>
      <c r="H255" s="93"/>
      <c r="I255" s="93"/>
      <c r="J255" s="93"/>
      <c r="K255" s="93"/>
      <c r="L255" s="93"/>
      <c r="M255" s="93"/>
      <c r="N255" s="93"/>
      <c r="O255" s="93"/>
      <c r="P255" s="93"/>
      <c r="Q255" s="93"/>
      <c r="R255" s="54"/>
      <c r="S255" s="94"/>
      <c r="T255" s="53"/>
      <c r="U255" s="132"/>
      <c r="V255" s="25"/>
      <c r="W255" s="25"/>
      <c r="X255" s="5"/>
    </row>
    <row r="256" spans="1:25" ht="15.6" x14ac:dyDescent="0.3">
      <c r="A256" s="24"/>
      <c r="B256" s="25"/>
      <c r="C256" s="25"/>
      <c r="D256" s="25"/>
      <c r="E256" s="25"/>
      <c r="F256" s="25"/>
      <c r="G256" s="25"/>
      <c r="H256" s="95"/>
      <c r="I256" s="95"/>
      <c r="J256" s="95"/>
      <c r="K256" s="95"/>
      <c r="L256" s="95"/>
      <c r="M256" s="95"/>
      <c r="N256" s="95"/>
      <c r="O256" s="95"/>
      <c r="P256" s="95"/>
      <c r="Q256" s="95"/>
      <c r="R256" s="34">
        <f>SUM(R247:R255)</f>
        <v>4</v>
      </c>
      <c r="S256" s="132">
        <f>SUM(S247:S255)</f>
        <v>1</v>
      </c>
      <c r="T256" s="53">
        <f>SUM(T247:T255)</f>
        <v>708</v>
      </c>
      <c r="U256" s="132">
        <f>SUM(U247:U255)</f>
        <v>1</v>
      </c>
      <c r="V256" s="25"/>
      <c r="W256" s="25"/>
      <c r="X256" s="5"/>
    </row>
    <row r="257" spans="1:24" ht="15.6" x14ac:dyDescent="0.3">
      <c r="A257" s="24"/>
      <c r="B257" s="25"/>
      <c r="C257" s="25"/>
      <c r="D257" s="25"/>
      <c r="E257" s="25"/>
      <c r="F257" s="25"/>
      <c r="G257" s="25"/>
      <c r="H257" s="95"/>
      <c r="I257" s="95"/>
      <c r="J257" s="95"/>
      <c r="K257" s="95"/>
      <c r="L257" s="95"/>
      <c r="M257" s="95"/>
      <c r="N257" s="95"/>
      <c r="O257" s="95"/>
      <c r="P257" s="95"/>
      <c r="Q257" s="95"/>
      <c r="R257" s="34"/>
      <c r="S257" s="132"/>
      <c r="T257" s="53"/>
      <c r="U257" s="132"/>
      <c r="V257" s="25"/>
      <c r="W257" s="25"/>
      <c r="X257" s="5"/>
    </row>
    <row r="258" spans="1:24" ht="15.6" x14ac:dyDescent="0.3">
      <c r="A258" s="141"/>
      <c r="B258" s="14" t="s">
        <v>166</v>
      </c>
      <c r="C258" s="139"/>
      <c r="D258" s="139"/>
      <c r="E258" s="139"/>
      <c r="F258" s="139"/>
      <c r="G258" s="139"/>
      <c r="H258" s="145"/>
      <c r="I258" s="145"/>
      <c r="J258" s="145"/>
      <c r="K258" s="145"/>
      <c r="L258" s="145"/>
      <c r="M258" s="145"/>
      <c r="N258" s="145"/>
      <c r="O258" s="145"/>
      <c r="P258" s="145"/>
      <c r="Q258" s="145"/>
      <c r="R258" s="83" t="s">
        <v>103</v>
      </c>
      <c r="S258" s="17" t="s">
        <v>104</v>
      </c>
      <c r="T258" s="83" t="s">
        <v>111</v>
      </c>
      <c r="U258" s="17" t="s">
        <v>104</v>
      </c>
      <c r="V258" s="139"/>
      <c r="W258" s="140"/>
      <c r="X258" s="5"/>
    </row>
    <row r="259" spans="1:24" ht="15.6" x14ac:dyDescent="0.3">
      <c r="A259" s="24"/>
      <c r="B259" s="54" t="s">
        <v>89</v>
      </c>
      <c r="C259" s="25"/>
      <c r="D259" s="25"/>
      <c r="E259" s="25"/>
      <c r="F259" s="25"/>
      <c r="G259" s="25"/>
      <c r="H259" s="95"/>
      <c r="I259" s="95"/>
      <c r="J259" s="95"/>
      <c r="K259" s="95"/>
      <c r="L259" s="95"/>
      <c r="M259" s="95"/>
      <c r="N259" s="95"/>
      <c r="O259" s="95"/>
      <c r="P259" s="95"/>
      <c r="Q259" s="95"/>
      <c r="R259" s="54">
        <v>0</v>
      </c>
      <c r="S259" s="94">
        <v>0</v>
      </c>
      <c r="T259" s="53">
        <v>0</v>
      </c>
      <c r="U259" s="132">
        <v>0</v>
      </c>
      <c r="V259" s="25"/>
      <c r="W259" s="25"/>
      <c r="X259" s="5"/>
    </row>
    <row r="260" spans="1:24" ht="15.6" x14ac:dyDescent="0.3">
      <c r="A260" s="24"/>
      <c r="B260" s="54" t="s">
        <v>90</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91</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159</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160</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161</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t="s">
        <v>162</v>
      </c>
      <c r="C265" s="25"/>
      <c r="D265" s="25"/>
      <c r="E265" s="25"/>
      <c r="F265" s="25"/>
      <c r="G265" s="25"/>
      <c r="H265" s="95"/>
      <c r="I265" s="95"/>
      <c r="J265" s="95"/>
      <c r="K265" s="95"/>
      <c r="L265" s="95"/>
      <c r="M265" s="95"/>
      <c r="N265" s="95"/>
      <c r="O265" s="95"/>
      <c r="P265" s="95"/>
      <c r="Q265" s="95"/>
      <c r="R265" s="54">
        <v>0</v>
      </c>
      <c r="S265" s="94">
        <v>0</v>
      </c>
      <c r="T265" s="53">
        <v>0</v>
      </c>
      <c r="U265" s="132">
        <v>0</v>
      </c>
      <c r="V265" s="25"/>
      <c r="W265" s="25"/>
      <c r="X265" s="5"/>
    </row>
    <row r="266" spans="1:24" ht="15.6" x14ac:dyDescent="0.3">
      <c r="A266" s="24"/>
      <c r="B266" s="54" t="s">
        <v>163</v>
      </c>
      <c r="C266" s="25"/>
      <c r="D266" s="25"/>
      <c r="E266" s="25"/>
      <c r="F266" s="25"/>
      <c r="G266" s="25"/>
      <c r="H266" s="95"/>
      <c r="I266" s="95"/>
      <c r="J266" s="95"/>
      <c r="K266" s="95"/>
      <c r="L266" s="95"/>
      <c r="M266" s="95"/>
      <c r="N266" s="95"/>
      <c r="O266" s="95"/>
      <c r="P266" s="95"/>
      <c r="Q266" s="95"/>
      <c r="R266" s="54">
        <v>0</v>
      </c>
      <c r="S266" s="94">
        <v>0</v>
      </c>
      <c r="T266" s="53">
        <v>0</v>
      </c>
      <c r="U266" s="132">
        <v>0</v>
      </c>
      <c r="V266" s="25"/>
      <c r="W266" s="25"/>
      <c r="X266" s="5"/>
    </row>
    <row r="267" spans="1:24" ht="15.6" x14ac:dyDescent="0.3">
      <c r="A267" s="24"/>
      <c r="B267" s="54"/>
      <c r="C267" s="25"/>
      <c r="D267" s="25"/>
      <c r="E267" s="25"/>
      <c r="F267" s="25"/>
      <c r="G267" s="25"/>
      <c r="H267" s="95"/>
      <c r="I267" s="95"/>
      <c r="J267" s="95"/>
      <c r="K267" s="95"/>
      <c r="L267" s="95"/>
      <c r="M267" s="95"/>
      <c r="N267" s="95"/>
      <c r="O267" s="95"/>
      <c r="P267" s="95"/>
      <c r="Q267" s="95"/>
      <c r="R267" s="54"/>
      <c r="S267" s="94"/>
      <c r="T267" s="53"/>
      <c r="U267" s="132"/>
      <c r="V267" s="25"/>
      <c r="W267" s="25"/>
      <c r="X267" s="5"/>
    </row>
    <row r="268" spans="1:24" ht="15.6" x14ac:dyDescent="0.3">
      <c r="A268" s="24"/>
      <c r="B268" s="25" t="s">
        <v>117</v>
      </c>
      <c r="C268" s="25"/>
      <c r="D268" s="25"/>
      <c r="E268" s="25"/>
      <c r="F268" s="25"/>
      <c r="G268" s="25"/>
      <c r="H268" s="95"/>
      <c r="I268" s="95"/>
      <c r="J268" s="95"/>
      <c r="K268" s="95"/>
      <c r="L268" s="95"/>
      <c r="M268" s="95"/>
      <c r="N268" s="95"/>
      <c r="O268" s="95"/>
      <c r="P268" s="95"/>
      <c r="Q268" s="95"/>
      <c r="R268" s="34">
        <f>SUM(R259:R266)</f>
        <v>0</v>
      </c>
      <c r="S268" s="94">
        <f>SUM(S259:S266)</f>
        <v>0</v>
      </c>
      <c r="T268" s="53">
        <f>SUM(T259:T266)</f>
        <v>0</v>
      </c>
      <c r="U268" s="132">
        <f>SUM(U259:U266)</f>
        <v>0</v>
      </c>
      <c r="V268" s="25"/>
      <c r="W268" s="25"/>
      <c r="X268" s="5"/>
    </row>
    <row r="269" spans="1:24" ht="15.6" x14ac:dyDescent="0.3">
      <c r="A269" s="24"/>
      <c r="B269" s="25"/>
      <c r="C269" s="25"/>
      <c r="D269" s="25"/>
      <c r="E269" s="25"/>
      <c r="F269" s="25"/>
      <c r="G269" s="25"/>
      <c r="H269" s="95"/>
      <c r="I269" s="95"/>
      <c r="J269" s="95"/>
      <c r="K269" s="95"/>
      <c r="L269" s="95"/>
      <c r="M269" s="95"/>
      <c r="N269" s="95"/>
      <c r="O269" s="95"/>
      <c r="P269" s="95"/>
      <c r="Q269" s="95"/>
      <c r="R269" s="34"/>
      <c r="S269" s="132"/>
      <c r="T269" s="53"/>
      <c r="U269" s="132"/>
      <c r="V269" s="25"/>
      <c r="W269" s="25"/>
      <c r="X269" s="5"/>
    </row>
    <row r="270" spans="1:24" ht="15.6" x14ac:dyDescent="0.3">
      <c r="A270" s="24"/>
      <c r="B270" s="142" t="s">
        <v>167</v>
      </c>
      <c r="C270" s="25"/>
      <c r="D270" s="25"/>
      <c r="E270" s="25"/>
      <c r="F270" s="25"/>
      <c r="G270" s="25"/>
      <c r="H270" s="95"/>
      <c r="I270" s="95"/>
      <c r="J270" s="95"/>
      <c r="K270" s="95"/>
      <c r="L270" s="95"/>
      <c r="M270" s="95"/>
      <c r="N270" s="95"/>
      <c r="O270" s="95"/>
      <c r="P270" s="95"/>
      <c r="Q270" s="95"/>
      <c r="R270" s="161">
        <f>R268+R256+R244</f>
        <v>12075</v>
      </c>
      <c r="S270" s="143"/>
      <c r="T270" s="144">
        <f>+T268+T256+T244</f>
        <v>1480042</v>
      </c>
      <c r="U270" s="143"/>
      <c r="V270" s="25"/>
      <c r="W270" s="25"/>
      <c r="X270" s="5"/>
    </row>
    <row r="271" spans="1:24" ht="15.6" x14ac:dyDescent="0.3">
      <c r="A271" s="24"/>
      <c r="B271" s="25"/>
      <c r="C271" s="25"/>
      <c r="D271" s="25"/>
      <c r="E271" s="25"/>
      <c r="F271" s="25"/>
      <c r="G271" s="25"/>
      <c r="H271" s="95"/>
      <c r="I271" s="95"/>
      <c r="J271" s="95"/>
      <c r="K271" s="95"/>
      <c r="L271" s="95"/>
      <c r="M271" s="95"/>
      <c r="N271" s="95"/>
      <c r="O271" s="95"/>
      <c r="P271" s="95"/>
      <c r="Q271" s="95"/>
      <c r="R271" s="95"/>
      <c r="S271" s="95"/>
      <c r="T271" s="53"/>
      <c r="U271" s="95"/>
      <c r="V271" s="25"/>
      <c r="W271" s="25"/>
      <c r="X271" s="5"/>
    </row>
    <row r="272" spans="1:24" ht="15.6" x14ac:dyDescent="0.3">
      <c r="A272" s="6"/>
      <c r="B272" s="8"/>
      <c r="C272" s="8"/>
      <c r="D272" s="8"/>
      <c r="E272" s="8"/>
      <c r="F272" s="8"/>
      <c r="G272" s="8"/>
      <c r="H272" s="96"/>
      <c r="I272" s="96"/>
      <c r="J272" s="96"/>
      <c r="K272" s="96"/>
      <c r="L272" s="96"/>
      <c r="M272" s="96"/>
      <c r="N272" s="96"/>
      <c r="O272" s="96"/>
      <c r="P272" s="96"/>
      <c r="Q272" s="96"/>
      <c r="R272" s="96"/>
      <c r="S272" s="96"/>
      <c r="T272" s="97"/>
      <c r="U272" s="96"/>
      <c r="V272" s="8"/>
      <c r="W272" s="8"/>
      <c r="X272" s="5"/>
    </row>
    <row r="273" spans="1:24" ht="15.6" x14ac:dyDescent="0.3">
      <c r="A273" s="98"/>
      <c r="B273" s="14" t="s">
        <v>92</v>
      </c>
      <c r="C273" s="15"/>
      <c r="D273" s="15"/>
      <c r="E273" s="15"/>
      <c r="F273" s="17" t="s">
        <v>98</v>
      </c>
      <c r="G273" s="15"/>
      <c r="H273" s="14" t="s">
        <v>100</v>
      </c>
      <c r="I273" s="14"/>
      <c r="J273" s="14"/>
      <c r="K273" s="12"/>
      <c r="L273" s="12"/>
      <c r="M273" s="12"/>
      <c r="N273" s="12"/>
      <c r="O273" s="12"/>
      <c r="P273" s="12"/>
      <c r="Q273" s="12"/>
      <c r="R273" s="12"/>
      <c r="S273" s="12"/>
      <c r="T273" s="12"/>
      <c r="U273" s="12"/>
      <c r="V273" s="12"/>
      <c r="W273" s="12"/>
      <c r="X273" s="5"/>
    </row>
    <row r="274" spans="1:24" ht="15.6" x14ac:dyDescent="0.3">
      <c r="A274" s="98"/>
      <c r="B274" s="13" t="s">
        <v>93</v>
      </c>
      <c r="C274" s="8"/>
      <c r="D274" s="8"/>
      <c r="E274" s="8"/>
      <c r="F274" s="130" t="s">
        <v>151</v>
      </c>
      <c r="G274" s="8"/>
      <c r="H274" s="13" t="s">
        <v>155</v>
      </c>
      <c r="I274" s="13"/>
      <c r="J274" s="13"/>
      <c r="K274" s="12"/>
      <c r="L274" s="12"/>
      <c r="M274" s="12"/>
      <c r="N274" s="12"/>
      <c r="O274" s="12"/>
      <c r="P274" s="12"/>
      <c r="Q274" s="12"/>
      <c r="R274" s="12"/>
      <c r="S274" s="12"/>
      <c r="T274" s="12"/>
      <c r="U274" s="12"/>
      <c r="V274" s="12"/>
      <c r="W274" s="12"/>
      <c r="X274" s="5"/>
    </row>
    <row r="275" spans="1:24" ht="15.6" x14ac:dyDescent="0.3">
      <c r="A275" s="98"/>
      <c r="B275" s="13" t="s">
        <v>281</v>
      </c>
      <c r="C275" s="13"/>
      <c r="D275" s="13"/>
      <c r="E275" s="13"/>
      <c r="F275" s="130" t="s">
        <v>282</v>
      </c>
      <c r="G275" s="13"/>
      <c r="H275" s="13" t="s">
        <v>283</v>
      </c>
      <c r="I275" s="162"/>
      <c r="J275" s="13"/>
      <c r="K275" s="12"/>
      <c r="L275" s="12"/>
      <c r="M275" s="12"/>
      <c r="N275" s="12"/>
      <c r="O275" s="12"/>
      <c r="P275" s="12"/>
      <c r="Q275" s="12"/>
      <c r="R275" s="12"/>
      <c r="S275" s="12"/>
      <c r="T275" s="12"/>
      <c r="U275" s="12"/>
      <c r="V275" s="12"/>
      <c r="W275" s="12"/>
      <c r="X275" s="5"/>
    </row>
    <row r="276" spans="1:24" ht="15.6" x14ac:dyDescent="0.3">
      <c r="A276" s="98"/>
      <c r="B276" s="13" t="s">
        <v>94</v>
      </c>
      <c r="C276" s="13"/>
      <c r="D276" s="13"/>
      <c r="E276" s="13"/>
      <c r="F276" s="130" t="s">
        <v>150</v>
      </c>
      <c r="G276" s="13"/>
      <c r="H276" s="13" t="s">
        <v>156</v>
      </c>
      <c r="I276" s="13"/>
      <c r="J276" s="13"/>
      <c r="K276" s="12"/>
      <c r="L276" s="12"/>
      <c r="M276" s="12"/>
      <c r="N276" s="12"/>
      <c r="O276" s="12"/>
      <c r="P276" s="12"/>
      <c r="Q276" s="12"/>
      <c r="R276" s="12"/>
      <c r="S276" s="12"/>
      <c r="T276" s="12"/>
      <c r="U276" s="12"/>
      <c r="V276" s="12"/>
      <c r="W276" s="12"/>
      <c r="X276" s="5"/>
    </row>
    <row r="277" spans="1:24" ht="15.6" x14ac:dyDescent="0.3">
      <c r="A277" s="98"/>
      <c r="B277" s="13"/>
      <c r="C277" s="13"/>
      <c r="D277" s="13"/>
      <c r="E277" s="13"/>
      <c r="F277" s="13"/>
      <c r="G277" s="99"/>
      <c r="H277" s="12"/>
      <c r="I277" s="12"/>
      <c r="J277" s="12"/>
      <c r="K277" s="12"/>
      <c r="L277" s="12"/>
      <c r="M277" s="12"/>
      <c r="N277" s="12"/>
      <c r="O277" s="12"/>
      <c r="P277" s="12"/>
      <c r="Q277" s="12"/>
      <c r="R277" s="12"/>
      <c r="S277" s="12"/>
      <c r="T277" s="12"/>
      <c r="U277" s="12"/>
      <c r="V277" s="12"/>
      <c r="W277" s="12"/>
      <c r="X277" s="5"/>
    </row>
    <row r="278" spans="1:24" ht="15.6" x14ac:dyDescent="0.3">
      <c r="A278" s="98"/>
      <c r="B278" s="13"/>
      <c r="C278" s="13"/>
      <c r="D278" s="13"/>
      <c r="E278" s="13"/>
      <c r="F278" s="13"/>
      <c r="G278" s="99"/>
      <c r="H278" s="12"/>
      <c r="I278" s="12"/>
      <c r="J278" s="12"/>
      <c r="K278" s="12"/>
      <c r="L278" s="12"/>
      <c r="M278" s="12"/>
      <c r="N278" s="12"/>
      <c r="O278" s="12"/>
      <c r="P278" s="12"/>
      <c r="Q278" s="12"/>
      <c r="R278" s="12"/>
      <c r="S278" s="12"/>
      <c r="T278" s="12"/>
      <c r="U278" s="12"/>
      <c r="V278" s="12"/>
      <c r="W278" s="12"/>
      <c r="X278" s="5"/>
    </row>
    <row r="279" spans="1:24" ht="18" thickBot="1" x14ac:dyDescent="0.35">
      <c r="A279" s="98"/>
      <c r="B279" s="49" t="str">
        <f>B195</f>
        <v>PM13 INVESTOR REPORT QUARTER ENDING DECEMBER 2006</v>
      </c>
      <c r="C279" s="13"/>
      <c r="D279" s="13"/>
      <c r="E279" s="13"/>
      <c r="F279" s="13"/>
      <c r="G279" s="99"/>
      <c r="H279" s="12"/>
      <c r="I279" s="12"/>
      <c r="J279" s="12"/>
      <c r="K279" s="12"/>
      <c r="L279" s="12"/>
      <c r="M279" s="12"/>
      <c r="N279" s="12"/>
      <c r="O279" s="12"/>
      <c r="P279" s="12"/>
      <c r="Q279" s="12"/>
      <c r="R279" s="12"/>
      <c r="S279" s="12"/>
      <c r="T279" s="12"/>
      <c r="U279" s="12"/>
      <c r="V279" s="12"/>
      <c r="W279" s="12"/>
      <c r="X279" s="5"/>
    </row>
    <row r="280" spans="1:24" x14ac:dyDescent="0.25">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row>
  </sheetData>
  <phoneticPr fontId="0" type="noConversion"/>
  <hyperlinks>
    <hyperlink ref="P232" r:id="rId1" xr:uid="{00000000-0004-0000-0000-000000000000}"/>
    <hyperlink ref="I9" r:id="rId2" xr:uid="{00000000-0004-0000-0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5" max="14"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D2926"/>
  </sheetPr>
  <dimension ref="A1:Z28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238</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239</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140</v>
      </c>
      <c r="C5" s="8"/>
      <c r="D5" s="8"/>
      <c r="E5" s="8"/>
      <c r="F5" s="8"/>
      <c r="G5" s="8"/>
      <c r="H5" s="8"/>
      <c r="I5" s="8"/>
      <c r="J5" s="8"/>
      <c r="K5" s="8"/>
      <c r="L5" s="8"/>
      <c r="M5" s="8"/>
      <c r="N5" s="8"/>
      <c r="O5" s="8"/>
      <c r="P5" s="8"/>
      <c r="Q5" s="8"/>
      <c r="R5" s="8"/>
      <c r="S5" s="8"/>
      <c r="T5" s="8"/>
      <c r="U5" s="8"/>
      <c r="V5" s="8"/>
      <c r="W5" s="8"/>
      <c r="X5" s="5"/>
    </row>
    <row r="6" spans="1:24" ht="15.6" x14ac:dyDescent="0.3">
      <c r="A6" s="6"/>
      <c r="B6" s="11" t="s">
        <v>142</v>
      </c>
      <c r="C6" s="8"/>
      <c r="D6" s="8"/>
      <c r="E6" s="8"/>
      <c r="F6" s="8"/>
      <c r="G6" s="8"/>
      <c r="H6" s="8"/>
      <c r="I6" s="8"/>
      <c r="J6" s="8"/>
      <c r="K6" s="8"/>
      <c r="L6" s="8"/>
      <c r="M6" s="8"/>
      <c r="N6" s="8"/>
      <c r="O6" s="8"/>
      <c r="P6" s="8"/>
      <c r="Q6" s="8"/>
      <c r="R6" s="8"/>
      <c r="S6" s="8"/>
      <c r="T6" s="8"/>
      <c r="U6" s="8"/>
      <c r="V6" s="8"/>
      <c r="W6" s="8"/>
      <c r="X6" s="5"/>
    </row>
    <row r="7" spans="1:24" ht="15.6" x14ac:dyDescent="0.3">
      <c r="A7" s="6"/>
      <c r="B7" s="11" t="s">
        <v>141</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169</v>
      </c>
      <c r="C9" s="8"/>
      <c r="D9" s="8"/>
      <c r="E9" s="8"/>
      <c r="F9" s="8"/>
      <c r="G9" s="8"/>
      <c r="H9" s="8"/>
      <c r="I9" s="148" t="s">
        <v>170</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240</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105</v>
      </c>
      <c r="S15" s="137">
        <v>0.57609999999999995</v>
      </c>
      <c r="T15" s="17" t="s">
        <v>143</v>
      </c>
      <c r="U15" s="137">
        <v>0.4239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105</v>
      </c>
      <c r="S16" s="137">
        <v>0.62429999999999997</v>
      </c>
      <c r="T16" s="17" t="s">
        <v>143</v>
      </c>
      <c r="U16" s="137">
        <v>0.37569999999999998</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39016</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39925</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106</v>
      </c>
      <c r="U20" s="8"/>
      <c r="V20" s="16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180</v>
      </c>
      <c r="E22" s="112"/>
      <c r="F22" s="112" t="s">
        <v>181</v>
      </c>
      <c r="G22" s="112"/>
      <c r="H22" s="112" t="s">
        <v>182</v>
      </c>
      <c r="I22" s="112"/>
      <c r="J22" s="112" t="s">
        <v>223</v>
      </c>
      <c r="K22" s="112"/>
      <c r="L22" s="112" t="s">
        <v>183</v>
      </c>
      <c r="M22" s="112"/>
      <c r="N22" s="112" t="s">
        <v>184</v>
      </c>
      <c r="O22" s="112"/>
      <c r="P22" s="112" t="s">
        <v>224</v>
      </c>
      <c r="Q22" s="112"/>
      <c r="R22" s="112" t="s">
        <v>185</v>
      </c>
      <c r="S22" s="113"/>
      <c r="T22" s="23"/>
      <c r="U22" s="162"/>
      <c r="V22" s="162"/>
      <c r="W22" s="8"/>
      <c r="X22" s="5"/>
    </row>
    <row r="23" spans="1:24" ht="15.6" x14ac:dyDescent="0.3">
      <c r="A23" s="24"/>
      <c r="B23" s="25" t="s">
        <v>7</v>
      </c>
      <c r="C23" s="26"/>
      <c r="D23" s="26" t="s">
        <v>216</v>
      </c>
      <c r="E23" s="26"/>
      <c r="F23" s="26" t="s">
        <v>144</v>
      </c>
      <c r="G23" s="26"/>
      <c r="H23" s="26" t="s">
        <v>144</v>
      </c>
      <c r="I23" s="26"/>
      <c r="J23" s="26" t="s">
        <v>144</v>
      </c>
      <c r="K23" s="26"/>
      <c r="L23" s="26" t="s">
        <v>186</v>
      </c>
      <c r="M23" s="26"/>
      <c r="N23" s="26" t="s">
        <v>186</v>
      </c>
      <c r="O23" s="26"/>
      <c r="P23" s="26" t="s">
        <v>145</v>
      </c>
      <c r="Q23" s="26"/>
      <c r="R23" s="26" t="s">
        <v>145</v>
      </c>
      <c r="S23" s="26"/>
      <c r="T23" s="26"/>
      <c r="U23" s="163"/>
      <c r="V23" s="163"/>
      <c r="W23" s="25"/>
      <c r="X23" s="5"/>
    </row>
    <row r="24" spans="1:24" ht="15.6" x14ac:dyDescent="0.3">
      <c r="A24" s="24"/>
      <c r="B24" s="25" t="s">
        <v>8</v>
      </c>
      <c r="C24" s="26"/>
      <c r="D24" s="26" t="s">
        <v>217</v>
      </c>
      <c r="E24" s="26"/>
      <c r="F24" s="26" t="s">
        <v>146</v>
      </c>
      <c r="G24" s="26"/>
      <c r="H24" s="26" t="s">
        <v>146</v>
      </c>
      <c r="I24" s="26"/>
      <c r="J24" s="26" t="s">
        <v>146</v>
      </c>
      <c r="K24" s="26"/>
      <c r="L24" s="26" t="s">
        <v>168</v>
      </c>
      <c r="M24" s="26"/>
      <c r="N24" s="26" t="s">
        <v>168</v>
      </c>
      <c r="O24" s="26"/>
      <c r="P24" s="26" t="s">
        <v>147</v>
      </c>
      <c r="Q24" s="26"/>
      <c r="R24" s="26" t="s">
        <v>147</v>
      </c>
      <c r="S24" s="26"/>
      <c r="T24" s="26"/>
      <c r="U24" s="163"/>
      <c r="V24" s="163"/>
      <c r="W24" s="25"/>
      <c r="X24" s="5"/>
    </row>
    <row r="25" spans="1:24" ht="15.6" x14ac:dyDescent="0.3">
      <c r="A25" s="28"/>
      <c r="B25" s="131" t="s">
        <v>193</v>
      </c>
      <c r="C25" s="123"/>
      <c r="D25" s="26" t="s">
        <v>218</v>
      </c>
      <c r="E25" s="26"/>
      <c r="F25" s="26" t="s">
        <v>146</v>
      </c>
      <c r="G25" s="26"/>
      <c r="H25" s="26" t="s">
        <v>146</v>
      </c>
      <c r="I25" s="26"/>
      <c r="J25" s="26" t="s">
        <v>146</v>
      </c>
      <c r="K25" s="26"/>
      <c r="L25" s="26" t="s">
        <v>168</v>
      </c>
      <c r="M25" s="26"/>
      <c r="N25" s="26" t="s">
        <v>168</v>
      </c>
      <c r="O25" s="26"/>
      <c r="P25" s="26" t="s">
        <v>147</v>
      </c>
      <c r="Q25" s="26"/>
      <c r="R25" s="26" t="s">
        <v>147</v>
      </c>
      <c r="S25" s="123"/>
      <c r="T25" s="26"/>
      <c r="U25" s="163"/>
      <c r="V25" s="163"/>
      <c r="W25" s="25"/>
      <c r="X25" s="5"/>
    </row>
    <row r="26" spans="1:24" ht="15.6" x14ac:dyDescent="0.3">
      <c r="A26" s="28"/>
      <c r="B26" s="29" t="s">
        <v>9</v>
      </c>
      <c r="C26" s="123"/>
      <c r="D26" s="123" t="s">
        <v>216</v>
      </c>
      <c r="E26" s="123"/>
      <c r="F26" s="123" t="s">
        <v>144</v>
      </c>
      <c r="G26" s="123"/>
      <c r="H26" s="123" t="s">
        <v>144</v>
      </c>
      <c r="I26" s="123"/>
      <c r="J26" s="123" t="s">
        <v>144</v>
      </c>
      <c r="K26" s="123"/>
      <c r="L26" s="123" t="s">
        <v>186</v>
      </c>
      <c r="M26" s="123"/>
      <c r="N26" s="123" t="s">
        <v>186</v>
      </c>
      <c r="O26" s="123"/>
      <c r="P26" s="123" t="s">
        <v>145</v>
      </c>
      <c r="Q26" s="123"/>
      <c r="R26" s="123" t="s">
        <v>145</v>
      </c>
      <c r="S26" s="123"/>
      <c r="T26" s="26"/>
      <c r="U26" s="163"/>
      <c r="V26" s="163"/>
      <c r="W26" s="25"/>
      <c r="X26" s="5"/>
    </row>
    <row r="27" spans="1:24" ht="15.6" x14ac:dyDescent="0.3">
      <c r="A27" s="24"/>
      <c r="B27" s="29" t="s">
        <v>194</v>
      </c>
      <c r="C27" s="26"/>
      <c r="D27" s="123" t="s">
        <v>217</v>
      </c>
      <c r="E27" s="123"/>
      <c r="F27" s="123" t="s">
        <v>146</v>
      </c>
      <c r="G27" s="123"/>
      <c r="H27" s="123" t="s">
        <v>146</v>
      </c>
      <c r="I27" s="123"/>
      <c r="J27" s="123" t="s">
        <v>146</v>
      </c>
      <c r="K27" s="123"/>
      <c r="L27" s="123" t="s">
        <v>168</v>
      </c>
      <c r="M27" s="123"/>
      <c r="N27" s="123" t="s">
        <v>168</v>
      </c>
      <c r="O27" s="123"/>
      <c r="P27" s="123" t="s">
        <v>147</v>
      </c>
      <c r="Q27" s="123"/>
      <c r="R27" s="123" t="s">
        <v>147</v>
      </c>
      <c r="S27" s="26"/>
      <c r="T27" s="30"/>
      <c r="U27" s="163"/>
      <c r="V27" s="163"/>
      <c r="W27" s="25"/>
      <c r="X27" s="5"/>
    </row>
    <row r="28" spans="1:24" ht="15.6" x14ac:dyDescent="0.3">
      <c r="A28" s="24"/>
      <c r="B28" s="153" t="s">
        <v>195</v>
      </c>
      <c r="C28" s="26"/>
      <c r="D28" s="123" t="s">
        <v>218</v>
      </c>
      <c r="E28" s="123"/>
      <c r="F28" s="123" t="s">
        <v>146</v>
      </c>
      <c r="G28" s="123"/>
      <c r="H28" s="123" t="s">
        <v>146</v>
      </c>
      <c r="I28" s="123"/>
      <c r="J28" s="123" t="s">
        <v>146</v>
      </c>
      <c r="K28" s="123"/>
      <c r="L28" s="123" t="s">
        <v>168</v>
      </c>
      <c r="M28" s="123"/>
      <c r="N28" s="123" t="s">
        <v>168</v>
      </c>
      <c r="O28" s="123"/>
      <c r="P28" s="123" t="s">
        <v>147</v>
      </c>
      <c r="Q28" s="123"/>
      <c r="R28" s="123" t="s">
        <v>147</v>
      </c>
      <c r="S28" s="26"/>
      <c r="T28" s="30"/>
      <c r="U28" s="163"/>
      <c r="V28" s="163"/>
      <c r="W28" s="25"/>
      <c r="X28" s="5"/>
    </row>
    <row r="29" spans="1:24" ht="15.6" x14ac:dyDescent="0.3">
      <c r="A29" s="24"/>
      <c r="B29" s="25" t="s">
        <v>10</v>
      </c>
      <c r="C29" s="32"/>
      <c r="D29" s="26" t="s">
        <v>348</v>
      </c>
      <c r="E29" s="26"/>
      <c r="F29" s="30" t="s">
        <v>242</v>
      </c>
      <c r="G29" s="26"/>
      <c r="H29" s="26" t="s">
        <v>243</v>
      </c>
      <c r="I29" s="26"/>
      <c r="J29" s="26" t="s">
        <v>245</v>
      </c>
      <c r="K29" s="26"/>
      <c r="L29" s="26" t="s">
        <v>246</v>
      </c>
      <c r="M29" s="26"/>
      <c r="N29" s="26" t="s">
        <v>247</v>
      </c>
      <c r="O29" s="26"/>
      <c r="P29" s="26" t="s">
        <v>248</v>
      </c>
      <c r="Q29" s="26"/>
      <c r="R29" s="26" t="s">
        <v>249</v>
      </c>
      <c r="S29" s="31"/>
      <c r="T29" s="31"/>
      <c r="U29" s="164"/>
      <c r="V29" s="31"/>
      <c r="W29" s="34"/>
      <c r="X29" s="5"/>
    </row>
    <row r="30" spans="1:24" ht="15.6" x14ac:dyDescent="0.3">
      <c r="A30" s="24"/>
      <c r="B30" s="25" t="s">
        <v>10</v>
      </c>
      <c r="C30" s="32"/>
      <c r="D30" s="26" t="s">
        <v>241</v>
      </c>
      <c r="E30" s="26"/>
      <c r="F30" s="30" t="s">
        <v>121</v>
      </c>
      <c r="G30" s="26"/>
      <c r="H30" s="26" t="s">
        <v>121</v>
      </c>
      <c r="I30" s="26"/>
      <c r="J30" s="26" t="s">
        <v>244</v>
      </c>
      <c r="K30" s="26"/>
      <c r="L30" s="26" t="s">
        <v>121</v>
      </c>
      <c r="M30" s="26"/>
      <c r="N30" s="26" t="s">
        <v>121</v>
      </c>
      <c r="O30" s="26"/>
      <c r="P30" s="26" t="s">
        <v>121</v>
      </c>
      <c r="Q30" s="26"/>
      <c r="R30" s="26" t="s">
        <v>121</v>
      </c>
      <c r="S30" s="31"/>
      <c r="T30" s="31"/>
      <c r="U30" s="164"/>
      <c r="V30" s="31"/>
      <c r="W30" s="34"/>
      <c r="X30" s="5"/>
    </row>
    <row r="31" spans="1:24" ht="15.6" x14ac:dyDescent="0.3">
      <c r="A31" s="28"/>
      <c r="B31" s="25" t="s">
        <v>136</v>
      </c>
      <c r="C31" s="36"/>
      <c r="D31" s="146">
        <v>1500000</v>
      </c>
      <c r="E31" s="32"/>
      <c r="F31" s="31">
        <v>125000</v>
      </c>
      <c r="G31" s="31"/>
      <c r="H31" s="124">
        <v>315000</v>
      </c>
      <c r="I31" s="124"/>
      <c r="J31" s="146">
        <v>350000</v>
      </c>
      <c r="K31" s="31"/>
      <c r="L31" s="31">
        <v>56000</v>
      </c>
      <c r="M31" s="31"/>
      <c r="N31" s="124">
        <v>84000</v>
      </c>
      <c r="O31" s="31"/>
      <c r="P31" s="31">
        <v>13000</v>
      </c>
      <c r="Q31" s="31"/>
      <c r="R31" s="124">
        <v>81000</v>
      </c>
      <c r="S31" s="35"/>
      <c r="T31" s="35"/>
      <c r="U31" s="37"/>
      <c r="V31" s="35"/>
      <c r="W31" s="34"/>
      <c r="X31" s="5"/>
    </row>
    <row r="32" spans="1:24" ht="15.6" x14ac:dyDescent="0.3">
      <c r="A32" s="24"/>
      <c r="B32" s="25" t="s">
        <v>135</v>
      </c>
      <c r="C32" s="32"/>
      <c r="D32" s="146">
        <f>D31*D38</f>
        <v>1042613.5499999999</v>
      </c>
      <c r="E32" s="32"/>
      <c r="F32" s="31">
        <f>F31*F38</f>
        <v>86884.55</v>
      </c>
      <c r="G32" s="31"/>
      <c r="H32" s="124">
        <f>H31*H38</f>
        <v>218949.06600000002</v>
      </c>
      <c r="I32" s="124"/>
      <c r="J32" s="146">
        <f>J31*J38</f>
        <v>243276.495</v>
      </c>
      <c r="K32" s="31"/>
      <c r="L32" s="31">
        <f>L31*L38</f>
        <v>56000</v>
      </c>
      <c r="M32" s="31"/>
      <c r="N32" s="124">
        <f>N31*N38</f>
        <v>84000</v>
      </c>
      <c r="O32" s="31"/>
      <c r="P32" s="31">
        <f>P31*P38</f>
        <v>13000</v>
      </c>
      <c r="Q32" s="31"/>
      <c r="R32" s="124">
        <f>R31*R38</f>
        <v>81000</v>
      </c>
      <c r="S32" s="31"/>
      <c r="T32" s="31"/>
      <c r="U32" s="164"/>
      <c r="V32" s="31"/>
      <c r="W32" s="34"/>
      <c r="X32" s="5"/>
    </row>
    <row r="33" spans="1:24" ht="15.6" x14ac:dyDescent="0.3">
      <c r="A33" s="24"/>
      <c r="B33" s="29" t="s">
        <v>137</v>
      </c>
      <c r="C33" s="32"/>
      <c r="D33" s="151">
        <f>D37*D31</f>
        <v>1023424.05</v>
      </c>
      <c r="E33" s="36"/>
      <c r="F33" s="35">
        <f>F37*F31</f>
        <v>85285.425000000003</v>
      </c>
      <c r="G33" s="35"/>
      <c r="H33" s="125">
        <f>H31*H37</f>
        <v>214919.27100000001</v>
      </c>
      <c r="I33" s="125"/>
      <c r="J33" s="151">
        <f>J37*J31</f>
        <v>238798.94500000001</v>
      </c>
      <c r="K33" s="35"/>
      <c r="L33" s="35">
        <f>L31*L37</f>
        <v>56000</v>
      </c>
      <c r="M33" s="35"/>
      <c r="N33" s="125">
        <f>N31*N37</f>
        <v>84000</v>
      </c>
      <c r="O33" s="35"/>
      <c r="P33" s="35">
        <f>P31*P37</f>
        <v>13000</v>
      </c>
      <c r="Q33" s="35"/>
      <c r="R33" s="125">
        <f>R31*R37</f>
        <v>81000</v>
      </c>
      <c r="S33" s="31"/>
      <c r="T33" s="31"/>
      <c r="U33" s="164"/>
      <c r="V33" s="31"/>
      <c r="W33" s="34"/>
      <c r="X33" s="5"/>
    </row>
    <row r="34" spans="1:24" ht="15.6" x14ac:dyDescent="0.3">
      <c r="A34" s="28"/>
      <c r="B34" s="25" t="s">
        <v>298</v>
      </c>
      <c r="C34" s="36"/>
      <c r="D34" s="31">
        <v>797872</v>
      </c>
      <c r="E34" s="32"/>
      <c r="F34" s="31">
        <v>125000</v>
      </c>
      <c r="G34" s="31"/>
      <c r="H34" s="31">
        <v>211409</v>
      </c>
      <c r="I34" s="31"/>
      <c r="J34" s="31">
        <v>186170</v>
      </c>
      <c r="K34" s="31"/>
      <c r="L34" s="31">
        <v>56000</v>
      </c>
      <c r="M34" s="31"/>
      <c r="N34" s="31">
        <v>56376</v>
      </c>
      <c r="O34" s="31"/>
      <c r="P34" s="31">
        <v>13000</v>
      </c>
      <c r="Q34" s="31"/>
      <c r="R34" s="31">
        <v>54363</v>
      </c>
      <c r="S34" s="35"/>
      <c r="T34" s="35"/>
      <c r="U34" s="37"/>
      <c r="V34" s="154">
        <f>SUM(C34:R34)</f>
        <v>1500190</v>
      </c>
      <c r="W34" s="34"/>
      <c r="X34" s="5"/>
    </row>
    <row r="35" spans="1:24" ht="15.6" x14ac:dyDescent="0.3">
      <c r="A35" s="28"/>
      <c r="B35" s="25" t="s">
        <v>299</v>
      </c>
      <c r="C35" s="126"/>
      <c r="D35" s="31">
        <f>D34*D38</f>
        <v>554581.43891039991</v>
      </c>
      <c r="E35" s="32"/>
      <c r="F35" s="31">
        <f>F34*F38</f>
        <v>86884.55</v>
      </c>
      <c r="G35" s="31"/>
      <c r="H35" s="31">
        <f>H34*H38</f>
        <v>146945.4066476</v>
      </c>
      <c r="I35" s="31"/>
      <c r="J35" s="31">
        <f>J34*J38</f>
        <v>129402.24306899999</v>
      </c>
      <c r="K35" s="31"/>
      <c r="L35" s="31">
        <f>L34*L38</f>
        <v>56000</v>
      </c>
      <c r="M35" s="31"/>
      <c r="N35" s="31">
        <f>N34*N38</f>
        <v>56376</v>
      </c>
      <c r="O35" s="31"/>
      <c r="P35" s="31">
        <f>P34*P38</f>
        <v>13000</v>
      </c>
      <c r="Q35" s="31"/>
      <c r="R35" s="31">
        <f>R34*R38</f>
        <v>54363</v>
      </c>
      <c r="S35" s="31"/>
      <c r="T35" s="31"/>
      <c r="U35" s="164"/>
      <c r="V35" s="154">
        <f>SUM(C35:R35)</f>
        <v>1097552.6386269999</v>
      </c>
      <c r="W35" s="34"/>
      <c r="X35" s="5"/>
    </row>
    <row r="36" spans="1:24" ht="15.6" x14ac:dyDescent="0.3">
      <c r="A36" s="28"/>
      <c r="B36" s="29" t="s">
        <v>304</v>
      </c>
      <c r="C36" s="126"/>
      <c r="D36" s="35">
        <f>D34*D37</f>
        <v>544374.2624144</v>
      </c>
      <c r="E36" s="36"/>
      <c r="F36" s="35">
        <f>F34*F37</f>
        <v>85285.425000000003</v>
      </c>
      <c r="G36" s="35"/>
      <c r="H36" s="35">
        <f>H34*H37</f>
        <v>144240.8513106</v>
      </c>
      <c r="I36" s="35"/>
      <c r="J36" s="35">
        <f>J34*J37</f>
        <v>127020.570259</v>
      </c>
      <c r="K36" s="35"/>
      <c r="L36" s="35">
        <v>56000</v>
      </c>
      <c r="M36" s="35"/>
      <c r="N36" s="35">
        <v>56376</v>
      </c>
      <c r="O36" s="35"/>
      <c r="P36" s="35">
        <v>13000</v>
      </c>
      <c r="Q36" s="35"/>
      <c r="R36" s="35">
        <v>54363</v>
      </c>
      <c r="S36" s="128"/>
      <c r="T36" s="128"/>
      <c r="U36" s="164"/>
      <c r="V36" s="155">
        <f>SUM(C36:R36)</f>
        <v>1080660.108984</v>
      </c>
      <c r="W36" s="34"/>
      <c r="X36" s="5"/>
    </row>
    <row r="37" spans="1:24" ht="15.6" x14ac:dyDescent="0.3">
      <c r="A37" s="24"/>
      <c r="B37" s="122" t="s">
        <v>133</v>
      </c>
      <c r="C37" s="25"/>
      <c r="D37" s="168">
        <v>0.68228270000000002</v>
      </c>
      <c r="E37" s="136"/>
      <c r="F37" s="168">
        <v>0.68228339999999998</v>
      </c>
      <c r="G37" s="135"/>
      <c r="H37" s="168">
        <v>0.68228339999999998</v>
      </c>
      <c r="I37" s="135"/>
      <c r="J37" s="168">
        <v>0.68228270000000002</v>
      </c>
      <c r="K37" s="135"/>
      <c r="L37" s="168">
        <v>1</v>
      </c>
      <c r="M37" s="135"/>
      <c r="N37" s="168">
        <v>1</v>
      </c>
      <c r="O37" s="135"/>
      <c r="P37" s="168">
        <v>1</v>
      </c>
      <c r="Q37" s="135"/>
      <c r="R37" s="168">
        <v>1</v>
      </c>
      <c r="S37" s="30"/>
      <c r="T37" s="30"/>
      <c r="U37" s="163"/>
      <c r="V37" s="163"/>
      <c r="W37" s="25"/>
      <c r="X37" s="5"/>
    </row>
    <row r="38" spans="1:24" ht="15.6" x14ac:dyDescent="0.3">
      <c r="A38" s="24"/>
      <c r="B38" s="122" t="s">
        <v>134</v>
      </c>
      <c r="C38" s="25"/>
      <c r="D38" s="168">
        <v>0.69507569999999996</v>
      </c>
      <c r="E38" s="136"/>
      <c r="F38" s="168">
        <v>0.69507640000000004</v>
      </c>
      <c r="G38" s="135"/>
      <c r="H38" s="168">
        <v>0.69507640000000004</v>
      </c>
      <c r="I38" s="135"/>
      <c r="J38" s="168">
        <v>0.69507569999999996</v>
      </c>
      <c r="K38" s="135"/>
      <c r="L38" s="135">
        <v>1</v>
      </c>
      <c r="M38" s="135"/>
      <c r="N38" s="135">
        <v>1</v>
      </c>
      <c r="O38" s="135"/>
      <c r="P38" s="135">
        <v>1</v>
      </c>
      <c r="Q38" s="135"/>
      <c r="R38" s="135">
        <v>1</v>
      </c>
      <c r="S38" s="39"/>
      <c r="T38" s="38"/>
      <c r="U38" s="163"/>
      <c r="V38" s="39"/>
      <c r="W38" s="25"/>
      <c r="X38" s="5"/>
    </row>
    <row r="39" spans="1:24" ht="15.6" x14ac:dyDescent="0.3">
      <c r="A39" s="24"/>
      <c r="B39" s="25" t="s">
        <v>11</v>
      </c>
      <c r="C39" s="25"/>
      <c r="D39" s="30" t="s">
        <v>225</v>
      </c>
      <c r="E39" s="25"/>
      <c r="F39" s="30" t="s">
        <v>225</v>
      </c>
      <c r="G39" s="30"/>
      <c r="H39" s="30" t="s">
        <v>225</v>
      </c>
      <c r="I39" s="30"/>
      <c r="J39" s="30" t="s">
        <v>251</v>
      </c>
      <c r="K39" s="30"/>
      <c r="L39" s="30" t="s">
        <v>252</v>
      </c>
      <c r="M39" s="30"/>
      <c r="N39" s="30" t="s">
        <v>253</v>
      </c>
      <c r="O39" s="30"/>
      <c r="P39" s="30" t="s">
        <v>254</v>
      </c>
      <c r="Q39" s="30"/>
      <c r="R39" s="30" t="s">
        <v>255</v>
      </c>
      <c r="S39" s="39"/>
      <c r="T39" s="38"/>
      <c r="U39" s="163"/>
      <c r="V39" s="163"/>
      <c r="W39" s="25"/>
      <c r="X39" s="5"/>
    </row>
    <row r="40" spans="1:24" ht="15.6" x14ac:dyDescent="0.3">
      <c r="A40" s="24"/>
      <c r="B40" s="25" t="s">
        <v>12</v>
      </c>
      <c r="C40" s="25"/>
      <c r="D40" s="38">
        <v>6.7625000000000003E-3</v>
      </c>
      <c r="E40" s="25"/>
      <c r="F40" s="38">
        <v>2.3862499999999998E-2</v>
      </c>
      <c r="G40" s="39"/>
      <c r="H40" s="38">
        <v>2.7320000000000001E-2</v>
      </c>
      <c r="I40" s="38"/>
      <c r="J40" s="38">
        <v>1.18438E-2</v>
      </c>
      <c r="K40" s="39"/>
      <c r="L40" s="38">
        <v>2.46625E-2</v>
      </c>
      <c r="M40" s="39"/>
      <c r="N40" s="38">
        <v>2.802E-2</v>
      </c>
      <c r="O40" s="39"/>
      <c r="P40" s="38">
        <v>2.6662499999999999E-2</v>
      </c>
      <c r="Q40" s="39"/>
      <c r="R40" s="38">
        <v>3.0020000000000002E-2</v>
      </c>
      <c r="S40" s="39"/>
      <c r="T40" s="38"/>
      <c r="U40" s="163"/>
      <c r="V40" s="30"/>
      <c r="W40" s="25"/>
      <c r="X40" s="5"/>
    </row>
    <row r="41" spans="1:24" ht="15.6" x14ac:dyDescent="0.3">
      <c r="A41" s="24"/>
      <c r="B41" s="25" t="s">
        <v>13</v>
      </c>
      <c r="C41" s="25"/>
      <c r="D41" s="38">
        <v>1.315E-2</v>
      </c>
      <c r="E41" s="25"/>
      <c r="F41" s="38">
        <v>6.3299999999999995E-2</v>
      </c>
      <c r="G41" s="39"/>
      <c r="H41" s="38">
        <v>5.4379999999999998E-2</v>
      </c>
      <c r="I41" s="38"/>
      <c r="J41" s="38">
        <v>4.8425000000000003E-2</v>
      </c>
      <c r="K41" s="39"/>
      <c r="L41" s="38">
        <v>6.4100000000000004E-2</v>
      </c>
      <c r="M41" s="39"/>
      <c r="N41" s="38">
        <v>5.5079999999999997E-2</v>
      </c>
      <c r="O41" s="39"/>
      <c r="P41" s="38">
        <v>6.6100000000000006E-2</v>
      </c>
      <c r="Q41" s="39"/>
      <c r="R41" s="38">
        <v>5.7079999999999999E-2</v>
      </c>
      <c r="S41" s="39"/>
      <c r="T41" s="38"/>
      <c r="U41" s="163"/>
      <c r="V41" s="39" t="s">
        <v>196</v>
      </c>
      <c r="W41" s="25"/>
      <c r="X41" s="5"/>
    </row>
    <row r="42" spans="1:24" ht="15.6" x14ac:dyDescent="0.3">
      <c r="A42" s="24"/>
      <c r="B42" s="25" t="s">
        <v>300</v>
      </c>
      <c r="C42" s="25"/>
      <c r="D42" s="30" t="s">
        <v>292</v>
      </c>
      <c r="E42" s="25"/>
      <c r="F42" s="30" t="s">
        <v>225</v>
      </c>
      <c r="G42" s="30"/>
      <c r="H42" s="30" t="s">
        <v>263</v>
      </c>
      <c r="I42" s="30"/>
      <c r="J42" s="30" t="s">
        <v>262</v>
      </c>
      <c r="K42" s="30"/>
      <c r="L42" s="30" t="s">
        <v>252</v>
      </c>
      <c r="M42" s="30"/>
      <c r="N42" s="30" t="s">
        <v>264</v>
      </c>
      <c r="O42" s="30"/>
      <c r="P42" s="30" t="s">
        <v>254</v>
      </c>
      <c r="Q42" s="30"/>
      <c r="R42" s="30" t="s">
        <v>260</v>
      </c>
      <c r="S42" s="39"/>
      <c r="T42" s="38"/>
      <c r="U42" s="163"/>
      <c r="V42" s="163"/>
      <c r="W42" s="25"/>
      <c r="X42" s="5"/>
    </row>
    <row r="43" spans="1:24" ht="15.6" x14ac:dyDescent="0.3">
      <c r="A43" s="24"/>
      <c r="B43" s="25" t="s">
        <v>301</v>
      </c>
      <c r="C43" s="110"/>
      <c r="D43" s="38">
        <v>2.42017E-2</v>
      </c>
      <c r="E43" s="38"/>
      <c r="F43" s="38">
        <f>+F40</f>
        <v>2.3862499999999998E-2</v>
      </c>
      <c r="G43" s="38"/>
      <c r="H43" s="38">
        <v>2.3984499999999999E-2</v>
      </c>
      <c r="I43" s="38"/>
      <c r="J43" s="38">
        <v>2.39025E-2</v>
      </c>
      <c r="K43" s="38"/>
      <c r="L43" s="38">
        <f>+L40</f>
        <v>2.46625E-2</v>
      </c>
      <c r="M43" s="38"/>
      <c r="N43" s="38">
        <v>2.47525E-2</v>
      </c>
      <c r="O43" s="38"/>
      <c r="P43" s="38">
        <f>+P40</f>
        <v>2.6662499999999999E-2</v>
      </c>
      <c r="Q43" s="39"/>
      <c r="R43" s="38">
        <v>2.6862500000000001E-2</v>
      </c>
      <c r="S43" s="30"/>
      <c r="T43" s="30"/>
      <c r="U43" s="163"/>
      <c r="V43" s="39">
        <f>SUMPRODUCT(D43:R43,D35:R35)/V35</f>
        <v>2.4323235162592986E-2</v>
      </c>
      <c r="W43" s="25"/>
      <c r="X43" s="5"/>
    </row>
    <row r="44" spans="1:24" ht="15.6" x14ac:dyDescent="0.3">
      <c r="A44" s="24"/>
      <c r="B44" s="25" t="s">
        <v>302</v>
      </c>
      <c r="C44" s="110"/>
      <c r="D44" s="38">
        <v>6.3639200000000007E-2</v>
      </c>
      <c r="E44" s="38"/>
      <c r="F44" s="38">
        <f>+F41</f>
        <v>6.3299999999999995E-2</v>
      </c>
      <c r="G44" s="38"/>
      <c r="H44" s="38">
        <v>6.3422000000000006E-2</v>
      </c>
      <c r="I44" s="38"/>
      <c r="J44" s="38">
        <v>6.3339999999999994E-2</v>
      </c>
      <c r="K44" s="38"/>
      <c r="L44" s="38">
        <f>+L41</f>
        <v>6.4100000000000004E-2</v>
      </c>
      <c r="M44" s="38"/>
      <c r="N44" s="38">
        <v>6.4189999999999997E-2</v>
      </c>
      <c r="O44" s="38"/>
      <c r="P44" s="38">
        <f>+P41</f>
        <v>6.6100000000000006E-2</v>
      </c>
      <c r="Q44" s="39"/>
      <c r="R44" s="38">
        <v>6.6299999999999998E-2</v>
      </c>
      <c r="S44" s="30"/>
      <c r="T44" s="30"/>
      <c r="U44" s="163"/>
      <c r="V44" s="163"/>
      <c r="W44" s="25"/>
      <c r="X44" s="5"/>
    </row>
    <row r="45" spans="1:24" ht="15.6" x14ac:dyDescent="0.3">
      <c r="A45" s="24"/>
      <c r="B45" s="25" t="s">
        <v>14</v>
      </c>
      <c r="C45" s="25"/>
      <c r="D45" s="110">
        <v>40466</v>
      </c>
      <c r="E45" s="110"/>
      <c r="F45" s="110">
        <v>40466</v>
      </c>
      <c r="G45" s="110"/>
      <c r="H45" s="110">
        <v>40466</v>
      </c>
      <c r="I45" s="110"/>
      <c r="J45" s="110">
        <v>40466</v>
      </c>
      <c r="K45" s="110"/>
      <c r="L45" s="110">
        <v>40466</v>
      </c>
      <c r="M45" s="110"/>
      <c r="N45" s="110">
        <v>40466</v>
      </c>
      <c r="O45" s="110"/>
      <c r="P45" s="110">
        <v>40466</v>
      </c>
      <c r="Q45" s="110"/>
      <c r="R45" s="110">
        <v>40466</v>
      </c>
      <c r="S45" s="30"/>
      <c r="T45" s="30"/>
      <c r="U45" s="163"/>
      <c r="V45" s="163"/>
      <c r="W45" s="25"/>
      <c r="X45" s="5"/>
    </row>
    <row r="46" spans="1:24" ht="15.6" x14ac:dyDescent="0.3">
      <c r="A46" s="24"/>
      <c r="B46" s="25" t="s">
        <v>15</v>
      </c>
      <c r="C46" s="25"/>
      <c r="D46" s="110" t="s">
        <v>121</v>
      </c>
      <c r="E46" s="110"/>
      <c r="F46" s="110">
        <v>40831</v>
      </c>
      <c r="G46" s="110"/>
      <c r="H46" s="110">
        <v>40831</v>
      </c>
      <c r="I46" s="110"/>
      <c r="J46" s="110">
        <v>40831</v>
      </c>
      <c r="K46" s="30"/>
      <c r="L46" s="110">
        <v>40831</v>
      </c>
      <c r="M46" s="30"/>
      <c r="N46" s="110">
        <v>40831</v>
      </c>
      <c r="O46" s="30"/>
      <c r="P46" s="110">
        <v>40831</v>
      </c>
      <c r="Q46" s="30"/>
      <c r="R46" s="110">
        <v>40831</v>
      </c>
      <c r="S46" s="30"/>
      <c r="T46" s="30"/>
      <c r="U46" s="163"/>
      <c r="V46" s="163"/>
      <c r="W46" s="25"/>
      <c r="X46" s="5"/>
    </row>
    <row r="47" spans="1:24" ht="15.6" x14ac:dyDescent="0.3">
      <c r="A47" s="24"/>
      <c r="B47" s="25" t="s">
        <v>122</v>
      </c>
      <c r="C47" s="25"/>
      <c r="D47" s="160" t="s">
        <v>121</v>
      </c>
      <c r="E47" s="25"/>
      <c r="F47" s="30" t="s">
        <v>226</v>
      </c>
      <c r="G47" s="30"/>
      <c r="H47" s="30" t="s">
        <v>226</v>
      </c>
      <c r="I47" s="30"/>
      <c r="J47" s="30" t="s">
        <v>256</v>
      </c>
      <c r="K47" s="30"/>
      <c r="L47" s="30" t="s">
        <v>254</v>
      </c>
      <c r="M47" s="30"/>
      <c r="N47" s="30" t="s">
        <v>257</v>
      </c>
      <c r="O47" s="30"/>
      <c r="P47" s="30" t="s">
        <v>258</v>
      </c>
      <c r="Q47" s="30"/>
      <c r="R47" s="30" t="s">
        <v>259</v>
      </c>
      <c r="S47" s="40"/>
      <c r="T47" s="40"/>
      <c r="U47" s="40"/>
      <c r="V47" s="40"/>
      <c r="W47" s="25"/>
      <c r="X47" s="5"/>
    </row>
    <row r="48" spans="1:24" ht="15.6" x14ac:dyDescent="0.3">
      <c r="A48" s="24"/>
      <c r="B48" s="25" t="s">
        <v>303</v>
      </c>
      <c r="C48" s="25"/>
      <c r="D48" s="30" t="s">
        <v>203</v>
      </c>
      <c r="E48" s="25"/>
      <c r="F48" s="30" t="s">
        <v>226</v>
      </c>
      <c r="G48" s="30"/>
      <c r="H48" s="30" t="s">
        <v>227</v>
      </c>
      <c r="I48" s="30"/>
      <c r="J48" s="30" t="s">
        <v>237</v>
      </c>
      <c r="K48" s="30"/>
      <c r="L48" s="30" t="s">
        <v>254</v>
      </c>
      <c r="M48" s="30"/>
      <c r="N48" s="30" t="s">
        <v>260</v>
      </c>
      <c r="O48" s="30"/>
      <c r="P48" s="30" t="s">
        <v>258</v>
      </c>
      <c r="Q48" s="30"/>
      <c r="R48" s="30" t="s">
        <v>261</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196</v>
      </c>
      <c r="W49" s="25"/>
      <c r="X49" s="5"/>
    </row>
    <row r="50" spans="1:25" ht="15.6" x14ac:dyDescent="0.3">
      <c r="A50" s="24"/>
      <c r="B50" s="25" t="s">
        <v>172</v>
      </c>
      <c r="C50" s="25"/>
      <c r="D50" s="30"/>
      <c r="E50" s="25"/>
      <c r="F50" s="30"/>
      <c r="G50" s="30"/>
      <c r="H50" s="30"/>
      <c r="I50" s="30"/>
      <c r="J50" s="30"/>
      <c r="K50" s="30"/>
      <c r="L50" s="30"/>
      <c r="M50" s="30"/>
      <c r="N50" s="30"/>
      <c r="O50" s="30"/>
      <c r="P50" s="30"/>
      <c r="Q50" s="30"/>
      <c r="R50" s="30"/>
      <c r="S50" s="25"/>
      <c r="T50" s="25"/>
      <c r="U50" s="25"/>
      <c r="V50" s="39">
        <f>SUM(L34:R34)/SUM(D34:J34)</f>
        <v>0.13611940162868597</v>
      </c>
      <c r="W50" s="25"/>
      <c r="X50" s="5"/>
    </row>
    <row r="51" spans="1:25" ht="15.6" x14ac:dyDescent="0.3">
      <c r="A51" s="24"/>
      <c r="B51" s="25" t="s">
        <v>173</v>
      </c>
      <c r="C51" s="25"/>
      <c r="D51" s="25"/>
      <c r="E51" s="25"/>
      <c r="F51" s="41"/>
      <c r="G51" s="25"/>
      <c r="H51" s="25"/>
      <c r="I51" s="25"/>
      <c r="J51" s="25"/>
      <c r="K51" s="25"/>
      <c r="L51" s="25"/>
      <c r="M51" s="25"/>
      <c r="N51" s="25"/>
      <c r="O51" s="25"/>
      <c r="P51" s="25"/>
      <c r="Q51" s="25"/>
      <c r="R51" s="25"/>
      <c r="S51" s="25"/>
      <c r="T51" s="25"/>
      <c r="U51" s="25"/>
      <c r="V51" s="39">
        <f>SUM(L36:R36)/SUM(D36:J36)</f>
        <v>0.19950581489060445</v>
      </c>
      <c r="W51" s="25"/>
      <c r="X51" s="5"/>
    </row>
    <row r="52" spans="1:25" ht="15.6" x14ac:dyDescent="0.3">
      <c r="A52" s="24"/>
      <c r="B52" s="25" t="s">
        <v>174</v>
      </c>
      <c r="C52" s="25"/>
      <c r="D52" s="25"/>
      <c r="E52" s="25"/>
      <c r="F52" s="25"/>
      <c r="G52" s="25"/>
      <c r="H52" s="25"/>
      <c r="I52" s="25"/>
      <c r="J52" s="25"/>
      <c r="K52" s="25"/>
      <c r="L52" s="25"/>
      <c r="M52" s="25"/>
      <c r="N52" s="25"/>
      <c r="O52" s="25"/>
      <c r="P52" s="25"/>
      <c r="Q52" s="25"/>
      <c r="R52" s="25"/>
      <c r="S52" s="25"/>
      <c r="T52" s="30" t="s">
        <v>107</v>
      </c>
      <c r="U52" s="30" t="s">
        <v>112</v>
      </c>
      <c r="V52" s="31">
        <f>+V34/2-SUM(L34:R34)</f>
        <v>570356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205</v>
      </c>
      <c r="C54" s="25"/>
      <c r="D54" s="25"/>
      <c r="E54" s="25"/>
      <c r="F54" s="25"/>
      <c r="G54" s="25"/>
      <c r="H54" s="25"/>
      <c r="I54" s="25"/>
      <c r="J54" s="25"/>
      <c r="K54" s="25"/>
      <c r="L54" s="25"/>
      <c r="M54" s="25"/>
      <c r="N54" s="25"/>
      <c r="O54" s="25"/>
      <c r="P54" s="25"/>
      <c r="Q54" s="25"/>
      <c r="R54" s="25"/>
      <c r="S54" s="25"/>
      <c r="T54" s="25"/>
      <c r="U54" s="25"/>
      <c r="V54" s="156" t="s">
        <v>206</v>
      </c>
      <c r="W54" s="25"/>
      <c r="X54" s="5"/>
    </row>
    <row r="55" spans="1:25" ht="15.6" x14ac:dyDescent="0.3">
      <c r="A55" s="24"/>
      <c r="B55" s="25" t="s">
        <v>236</v>
      </c>
      <c r="C55" s="25"/>
      <c r="D55" s="25"/>
      <c r="E55" s="25"/>
      <c r="F55" s="25"/>
      <c r="G55" s="25"/>
      <c r="H55" s="25"/>
      <c r="I55" s="25"/>
      <c r="J55" s="25"/>
      <c r="K55" s="25"/>
      <c r="L55" s="25"/>
      <c r="M55" s="25"/>
      <c r="N55" s="25"/>
      <c r="O55" s="25"/>
      <c r="P55" s="25"/>
      <c r="Q55" s="25"/>
      <c r="R55" s="25"/>
      <c r="S55" s="25"/>
      <c r="T55" s="30"/>
      <c r="U55" s="30"/>
      <c r="V55" s="157" t="s">
        <v>114</v>
      </c>
      <c r="W55" s="25"/>
      <c r="X55" s="5"/>
    </row>
    <row r="56" spans="1:25" ht="15.6" x14ac:dyDescent="0.3">
      <c r="A56" s="24"/>
      <c r="B56" s="29" t="s">
        <v>204</v>
      </c>
      <c r="C56" s="29"/>
      <c r="D56" s="29"/>
      <c r="E56" s="29"/>
      <c r="F56" s="29"/>
      <c r="G56" s="29"/>
      <c r="H56" s="29"/>
      <c r="I56" s="29"/>
      <c r="J56" s="29"/>
      <c r="K56" s="29"/>
      <c r="L56" s="29"/>
      <c r="M56" s="29"/>
      <c r="N56" s="29"/>
      <c r="O56" s="29"/>
      <c r="P56" s="29"/>
      <c r="Q56" s="29"/>
      <c r="R56" s="29"/>
      <c r="S56" s="29"/>
      <c r="T56" s="43"/>
      <c r="U56" s="43"/>
      <c r="V56" s="44">
        <v>39918</v>
      </c>
      <c r="W56" s="25"/>
      <c r="X56" s="5"/>
    </row>
    <row r="57" spans="1:25" ht="15.6" x14ac:dyDescent="0.3">
      <c r="A57" s="24"/>
      <c r="B57" s="25" t="s">
        <v>124</v>
      </c>
      <c r="C57" s="25"/>
      <c r="D57" s="25"/>
      <c r="E57" s="25"/>
      <c r="F57" s="25"/>
      <c r="G57" s="25"/>
      <c r="H57" s="58"/>
      <c r="I57" s="58"/>
      <c r="J57" s="58"/>
      <c r="K57" s="58"/>
      <c r="L57" s="58"/>
      <c r="M57" s="58"/>
      <c r="N57" s="58"/>
      <c r="O57" s="58"/>
      <c r="P57" s="58"/>
      <c r="Q57" s="58"/>
      <c r="R57" s="25">
        <f>+V57-T57+1</f>
        <v>92</v>
      </c>
      <c r="S57" s="58"/>
      <c r="T57" s="45">
        <v>39736</v>
      </c>
      <c r="U57" s="46"/>
      <c r="V57" s="45">
        <v>39827</v>
      </c>
      <c r="W57" s="25"/>
      <c r="X57" s="5"/>
    </row>
    <row r="58" spans="1:25" ht="15.6" x14ac:dyDescent="0.3">
      <c r="A58" s="24"/>
      <c r="B58" s="25" t="s">
        <v>125</v>
      </c>
      <c r="C58" s="25"/>
      <c r="D58" s="25"/>
      <c r="E58" s="25"/>
      <c r="F58" s="25"/>
      <c r="G58" s="25"/>
      <c r="H58" s="25"/>
      <c r="I58" s="25"/>
      <c r="J58" s="25"/>
      <c r="K58" s="25"/>
      <c r="L58" s="25"/>
      <c r="M58" s="25"/>
      <c r="N58" s="25"/>
      <c r="O58" s="25"/>
      <c r="P58" s="25"/>
      <c r="Q58" s="25"/>
      <c r="R58" s="25">
        <f>+V58-T58+1</f>
        <v>90</v>
      </c>
      <c r="S58" s="25"/>
      <c r="T58" s="45">
        <v>39828</v>
      </c>
      <c r="U58" s="46"/>
      <c r="V58" s="45">
        <v>39917</v>
      </c>
      <c r="W58" s="25"/>
      <c r="X58" s="5"/>
    </row>
    <row r="59" spans="1:25" ht="15.6" x14ac:dyDescent="0.3">
      <c r="A59" s="24"/>
      <c r="B59" s="25" t="s">
        <v>235</v>
      </c>
      <c r="C59" s="25"/>
      <c r="D59" s="25"/>
      <c r="E59" s="25"/>
      <c r="F59" s="25"/>
      <c r="G59" s="25"/>
      <c r="H59" s="25"/>
      <c r="I59" s="25"/>
      <c r="J59" s="25"/>
      <c r="K59" s="25"/>
      <c r="L59" s="25"/>
      <c r="M59" s="25"/>
      <c r="N59" s="25"/>
      <c r="O59" s="25"/>
      <c r="P59" s="25"/>
      <c r="Q59" s="25"/>
      <c r="R59" s="25"/>
      <c r="S59" s="25"/>
      <c r="T59" s="45"/>
      <c r="U59" s="46"/>
      <c r="V59" s="45" t="s">
        <v>123</v>
      </c>
      <c r="W59" s="25"/>
      <c r="X59" s="5"/>
    </row>
    <row r="60" spans="1:25" ht="15.6" x14ac:dyDescent="0.3">
      <c r="A60" s="24"/>
      <c r="B60" s="25" t="s">
        <v>234</v>
      </c>
      <c r="C60" s="25"/>
      <c r="D60" s="25"/>
      <c r="E60" s="25"/>
      <c r="F60" s="25"/>
      <c r="G60" s="25"/>
      <c r="H60" s="25"/>
      <c r="I60" s="25"/>
      <c r="J60" s="25"/>
      <c r="K60" s="25"/>
      <c r="L60" s="25"/>
      <c r="M60" s="25"/>
      <c r="N60" s="25"/>
      <c r="O60" s="25"/>
      <c r="P60" s="25"/>
      <c r="Q60" s="25"/>
      <c r="R60" s="25"/>
      <c r="S60" s="25"/>
      <c r="T60" s="45"/>
      <c r="U60" s="46"/>
      <c r="V60" s="45" t="s">
        <v>157</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39904</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294</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95</v>
      </c>
      <c r="M68" s="115"/>
      <c r="N68" s="115" t="s">
        <v>97</v>
      </c>
      <c r="O68" s="115"/>
      <c r="P68" s="115" t="s">
        <v>99</v>
      </c>
      <c r="Q68" s="115"/>
      <c r="R68" s="115" t="s">
        <v>101</v>
      </c>
      <c r="S68" s="115"/>
      <c r="T68" s="115" t="s">
        <v>108</v>
      </c>
      <c r="U68" s="115"/>
      <c r="V68" s="116" t="s">
        <v>115</v>
      </c>
      <c r="W68" s="117"/>
      <c r="X68" s="5"/>
    </row>
    <row r="69" spans="1:24" ht="15.6" x14ac:dyDescent="0.3">
      <c r="A69" s="24"/>
      <c r="B69" s="25" t="s">
        <v>19</v>
      </c>
      <c r="C69" s="34"/>
      <c r="D69" s="34"/>
      <c r="E69" s="34"/>
      <c r="F69" s="34"/>
      <c r="G69" s="34"/>
      <c r="H69" s="34"/>
      <c r="I69" s="34"/>
      <c r="J69" s="34"/>
      <c r="K69" s="34"/>
      <c r="L69" s="34">
        <f>1085286</f>
        <v>1085286</v>
      </c>
      <c r="M69" s="34"/>
      <c r="N69" s="53">
        <v>1097553</v>
      </c>
      <c r="O69" s="34"/>
      <c r="P69" s="34">
        <f>16893+385+1204</f>
        <v>18482</v>
      </c>
      <c r="Q69" s="34"/>
      <c r="R69" s="34">
        <f>385+1204</f>
        <v>1589</v>
      </c>
      <c r="S69" s="34"/>
      <c r="T69" s="34">
        <v>0</v>
      </c>
      <c r="U69" s="34"/>
      <c r="V69" s="53">
        <f>+N69-P69+R69-T69</f>
        <v>1080660</v>
      </c>
      <c r="W69" s="25"/>
      <c r="X69" s="5"/>
    </row>
    <row r="70" spans="1:24" ht="15.6" x14ac:dyDescent="0.3">
      <c r="A70" s="24"/>
      <c r="B70" s="25" t="s">
        <v>20</v>
      </c>
      <c r="C70" s="34"/>
      <c r="D70" s="34"/>
      <c r="E70" s="34"/>
      <c r="F70" s="34"/>
      <c r="G70" s="34"/>
      <c r="H70" s="34"/>
      <c r="I70" s="34"/>
      <c r="J70" s="34"/>
      <c r="K70" s="34"/>
      <c r="L70" s="34">
        <v>35</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1085321</v>
      </c>
      <c r="M72" s="34"/>
      <c r="N72" s="54">
        <f>N69+N70</f>
        <v>1097553</v>
      </c>
      <c r="O72" s="34"/>
      <c r="P72" s="34">
        <f>SUM(P69:P71)</f>
        <v>18482</v>
      </c>
      <c r="Q72" s="34"/>
      <c r="R72" s="34">
        <f>SUM(R69:R71)</f>
        <v>1589</v>
      </c>
      <c r="S72" s="34"/>
      <c r="T72" s="34">
        <f>SUM(T69:T71)</f>
        <v>0</v>
      </c>
      <c r="U72" s="34"/>
      <c r="V72" s="54">
        <f>SUM(V69:V71)</f>
        <v>1080660</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120</v>
      </c>
      <c r="C82" s="34"/>
      <c r="D82" s="34"/>
      <c r="E82" s="34"/>
      <c r="F82" s="34"/>
      <c r="G82" s="34"/>
      <c r="H82" s="34"/>
      <c r="I82" s="34"/>
      <c r="J82" s="34"/>
      <c r="K82" s="34"/>
      <c r="L82" s="34">
        <f>414862+7</f>
        <v>414869</v>
      </c>
      <c r="M82" s="34"/>
      <c r="N82" s="34">
        <v>0</v>
      </c>
      <c r="O82" s="34"/>
      <c r="P82" s="34">
        <v>0</v>
      </c>
      <c r="Q82" s="34"/>
      <c r="R82" s="34"/>
      <c r="S82" s="34"/>
      <c r="T82" s="34"/>
      <c r="U82" s="34"/>
      <c r="V82" s="54">
        <f>SUM(N82:R82)</f>
        <v>0</v>
      </c>
      <c r="W82" s="25"/>
      <c r="X82" s="5"/>
    </row>
    <row r="83" spans="1:24" ht="15.6" x14ac:dyDescent="0.3">
      <c r="A83" s="24"/>
      <c r="B83" s="25" t="s">
        <v>149</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1500190</v>
      </c>
      <c r="M85" s="34"/>
      <c r="N85" s="54">
        <f>SUM(N72:N84)</f>
        <v>1097553</v>
      </c>
      <c r="O85" s="34"/>
      <c r="P85" s="34"/>
      <c r="Q85" s="34"/>
      <c r="R85" s="34"/>
      <c r="S85" s="34"/>
      <c r="T85" s="54"/>
      <c r="U85" s="34"/>
      <c r="V85" s="54">
        <f>SUM(V72:V84)</f>
        <v>1080660</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96</v>
      </c>
      <c r="M88" s="17"/>
      <c r="N88" s="158">
        <f>+T198</f>
        <v>39903</v>
      </c>
      <c r="O88" s="17"/>
      <c r="P88" s="17"/>
      <c r="Q88" s="17"/>
      <c r="R88" s="17"/>
      <c r="S88" s="17"/>
      <c r="T88" s="17" t="s">
        <v>109</v>
      </c>
      <c r="U88" s="17"/>
      <c r="V88" s="17" t="s">
        <v>116</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18482-172</f>
        <v>18310</v>
      </c>
      <c r="U90" s="25"/>
      <c r="V90" s="53"/>
      <c r="W90" s="25"/>
      <c r="X90" s="5"/>
    </row>
    <row r="91" spans="1:24" ht="15.6" x14ac:dyDescent="0.3">
      <c r="A91" s="24"/>
      <c r="B91" s="25" t="s">
        <v>219</v>
      </c>
      <c r="C91" s="25"/>
      <c r="D91" s="25"/>
      <c r="E91" s="25"/>
      <c r="F91" s="25"/>
      <c r="G91" s="25"/>
      <c r="H91" s="40"/>
      <c r="I91" s="40"/>
      <c r="J91" s="40"/>
      <c r="K91" s="57"/>
      <c r="L91" s="40"/>
      <c r="M91" s="25"/>
      <c r="N91" s="127"/>
      <c r="O91" s="25"/>
      <c r="P91" s="25"/>
      <c r="Q91" s="25"/>
      <c r="R91" s="25"/>
      <c r="S91" s="25"/>
      <c r="T91" s="34"/>
      <c r="U91" s="25"/>
      <c r="V91" s="53">
        <f>7889+7198-477-2346+61-22</f>
        <v>12303</v>
      </c>
      <c r="W91" s="25"/>
      <c r="X91" s="5"/>
    </row>
    <row r="92" spans="1:24" ht="15.6" x14ac:dyDescent="0.3">
      <c r="A92" s="24"/>
      <c r="B92" s="25" t="s">
        <v>214</v>
      </c>
      <c r="C92" s="25"/>
      <c r="D92" s="25"/>
      <c r="E92" s="25"/>
      <c r="F92" s="25"/>
      <c r="G92" s="25"/>
      <c r="H92" s="40"/>
      <c r="I92" s="40"/>
      <c r="J92" s="40"/>
      <c r="K92" s="57"/>
      <c r="L92" s="40"/>
      <c r="M92" s="25"/>
      <c r="N92" s="127"/>
      <c r="O92" s="25"/>
      <c r="P92" s="25"/>
      <c r="Q92" s="25"/>
      <c r="R92" s="25"/>
      <c r="S92" s="25"/>
      <c r="T92" s="34"/>
      <c r="U92" s="25"/>
      <c r="V92" s="53">
        <f>92+48</f>
        <v>140</v>
      </c>
      <c r="W92" s="25"/>
      <c r="X92" s="5"/>
    </row>
    <row r="93" spans="1:24" ht="15.6" x14ac:dyDescent="0.3">
      <c r="A93" s="24"/>
      <c r="B93" s="25" t="s">
        <v>215</v>
      </c>
      <c r="C93" s="25"/>
      <c r="D93" s="25"/>
      <c r="E93" s="25"/>
      <c r="F93" s="25"/>
      <c r="G93" s="25"/>
      <c r="H93" s="40"/>
      <c r="I93" s="40"/>
      <c r="J93" s="40"/>
      <c r="K93" s="57"/>
      <c r="L93" s="40"/>
      <c r="M93" s="25"/>
      <c r="N93" s="127"/>
      <c r="O93" s="25"/>
      <c r="P93" s="25"/>
      <c r="Q93" s="25"/>
      <c r="R93" s="25"/>
      <c r="S93" s="25"/>
      <c r="T93" s="34"/>
      <c r="U93" s="25"/>
      <c r="V93" s="53">
        <v>983</v>
      </c>
      <c r="W93" s="25"/>
      <c r="X93" s="5"/>
    </row>
    <row r="94" spans="1:24" ht="15.6" x14ac:dyDescent="0.3">
      <c r="A94" s="24"/>
      <c r="B94" s="25" t="s">
        <v>277</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138</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265</v>
      </c>
      <c r="C96" s="25"/>
      <c r="D96" s="25"/>
      <c r="E96" s="25"/>
      <c r="F96" s="25"/>
      <c r="G96" s="25"/>
      <c r="H96" s="25"/>
      <c r="I96" s="25"/>
      <c r="J96" s="25"/>
      <c r="K96" s="25"/>
      <c r="L96" s="25"/>
      <c r="M96" s="25"/>
      <c r="N96" s="25"/>
      <c r="O96" s="25"/>
      <c r="P96" s="25"/>
      <c r="Q96" s="25"/>
      <c r="R96" s="25"/>
      <c r="S96" s="25"/>
      <c r="T96" s="34"/>
      <c r="U96" s="25"/>
      <c r="V96" s="53">
        <v>0</v>
      </c>
      <c r="W96" s="25"/>
      <c r="X96" s="5"/>
    </row>
    <row r="97" spans="1:26" ht="15.6" x14ac:dyDescent="0.3">
      <c r="A97" s="24"/>
      <c r="B97" s="25" t="s">
        <v>30</v>
      </c>
      <c r="C97" s="25"/>
      <c r="D97" s="25"/>
      <c r="E97" s="25"/>
      <c r="F97" s="25"/>
      <c r="G97" s="25"/>
      <c r="H97" s="25"/>
      <c r="I97" s="25"/>
      <c r="J97" s="25"/>
      <c r="K97" s="25"/>
      <c r="L97" s="25"/>
      <c r="M97" s="25"/>
      <c r="N97" s="25"/>
      <c r="O97" s="25"/>
      <c r="P97" s="25"/>
      <c r="Q97" s="25"/>
      <c r="R97" s="25"/>
      <c r="S97" s="25"/>
      <c r="T97" s="34">
        <f>SUM(T89:T96)</f>
        <v>18310</v>
      </c>
      <c r="U97" s="25"/>
      <c r="V97" s="54">
        <f>SUM(V89:V96)</f>
        <v>13426</v>
      </c>
      <c r="W97" s="25"/>
      <c r="X97" s="5"/>
    </row>
    <row r="98" spans="1:26" ht="15.6" x14ac:dyDescent="0.3">
      <c r="A98" s="24"/>
      <c r="B98" s="25" t="s">
        <v>164</v>
      </c>
      <c r="C98" s="25"/>
      <c r="D98" s="25"/>
      <c r="E98" s="25"/>
      <c r="F98" s="25"/>
      <c r="G98" s="25"/>
      <c r="H98" s="25"/>
      <c r="I98" s="25"/>
      <c r="J98" s="25"/>
      <c r="K98" s="25"/>
      <c r="L98" s="25"/>
      <c r="M98" s="25"/>
      <c r="N98" s="25"/>
      <c r="O98" s="25"/>
      <c r="P98" s="25"/>
      <c r="Q98" s="25"/>
      <c r="R98" s="25"/>
      <c r="S98" s="25"/>
      <c r="T98" s="34">
        <f>-V98</f>
        <v>-463</v>
      </c>
      <c r="U98" s="25"/>
      <c r="V98" s="54">
        <v>463</v>
      </c>
      <c r="W98" s="25"/>
      <c r="X98" s="5"/>
    </row>
    <row r="99" spans="1:26"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6" ht="15.6" x14ac:dyDescent="0.3">
      <c r="A100" s="24"/>
      <c r="B100" s="25" t="s">
        <v>288</v>
      </c>
      <c r="C100" s="25"/>
      <c r="D100" s="25"/>
      <c r="E100" s="25"/>
      <c r="F100" s="25"/>
      <c r="G100" s="25"/>
      <c r="H100" s="25"/>
      <c r="I100" s="25"/>
      <c r="J100" s="25"/>
      <c r="K100" s="25"/>
      <c r="L100" s="25"/>
      <c r="M100" s="25"/>
      <c r="N100" s="25"/>
      <c r="O100" s="25"/>
      <c r="P100" s="25"/>
      <c r="Q100" s="25"/>
      <c r="R100" s="25"/>
      <c r="S100" s="25"/>
      <c r="T100" s="34"/>
      <c r="U100" s="25"/>
      <c r="V100" s="53">
        <v>56</v>
      </c>
      <c r="W100" s="25"/>
      <c r="X100" s="5"/>
    </row>
    <row r="101" spans="1:26"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17847</v>
      </c>
      <c r="U101" s="25"/>
      <c r="V101" s="54">
        <f>V97+V99+V98+V100</f>
        <v>13945</v>
      </c>
      <c r="W101" s="25"/>
      <c r="X101" s="5"/>
    </row>
    <row r="102" spans="1:26"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6"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6" ht="15.6" x14ac:dyDescent="0.3">
      <c r="A104" s="24">
        <f>+A103+1</f>
        <v>2</v>
      </c>
      <c r="B104" s="25" t="s">
        <v>231</v>
      </c>
      <c r="C104" s="25"/>
      <c r="D104" s="25"/>
      <c r="E104" s="25"/>
      <c r="F104" s="25"/>
      <c r="G104" s="25"/>
      <c r="H104" s="25"/>
      <c r="I104" s="25"/>
      <c r="J104" s="25"/>
      <c r="K104" s="25"/>
      <c r="L104" s="25"/>
      <c r="M104" s="25"/>
      <c r="N104" s="25"/>
      <c r="O104" s="25"/>
      <c r="P104" s="25"/>
      <c r="Q104" s="25"/>
      <c r="R104" s="25"/>
      <c r="S104" s="25"/>
      <c r="T104" s="25"/>
      <c r="U104" s="25"/>
      <c r="V104" s="53">
        <f>-2</f>
        <v>-2</v>
      </c>
      <c r="W104" s="25"/>
      <c r="X104" s="5"/>
    </row>
    <row r="105" spans="1:26" ht="15.6" x14ac:dyDescent="0.3">
      <c r="A105" s="24">
        <f>+A104+1</f>
        <v>3</v>
      </c>
      <c r="B105" s="25" t="s">
        <v>207</v>
      </c>
      <c r="C105" s="25"/>
      <c r="D105" s="25"/>
      <c r="E105" s="25"/>
      <c r="F105" s="25"/>
      <c r="G105" s="25"/>
      <c r="H105" s="25"/>
      <c r="I105" s="25"/>
      <c r="J105" s="25"/>
      <c r="K105" s="25"/>
      <c r="L105" s="25"/>
      <c r="M105" s="25"/>
      <c r="N105" s="25"/>
      <c r="O105" s="25"/>
      <c r="P105" s="25"/>
      <c r="Q105" s="25"/>
      <c r="R105" s="25"/>
      <c r="S105" s="25"/>
      <c r="T105" s="25"/>
      <c r="U105" s="25"/>
      <c r="V105" s="53">
        <f>-407-265-12</f>
        <v>-684</v>
      </c>
      <c r="W105" s="25"/>
      <c r="X105" s="5"/>
    </row>
    <row r="106" spans="1:26" ht="15.6" x14ac:dyDescent="0.3">
      <c r="A106" s="24" t="s">
        <v>130</v>
      </c>
      <c r="B106" s="25" t="s">
        <v>119</v>
      </c>
      <c r="C106" s="25"/>
      <c r="D106" s="25"/>
      <c r="E106" s="25"/>
      <c r="F106" s="25"/>
      <c r="G106" s="25"/>
      <c r="H106" s="25"/>
      <c r="I106" s="25"/>
      <c r="J106" s="25"/>
      <c r="K106" s="25"/>
      <c r="L106" s="25"/>
      <c r="M106" s="25"/>
      <c r="N106" s="25"/>
      <c r="O106" s="25"/>
      <c r="P106" s="25"/>
      <c r="Q106" s="25"/>
      <c r="R106" s="25"/>
      <c r="S106" s="25"/>
      <c r="T106" s="25"/>
      <c r="U106" s="25"/>
      <c r="V106" s="53">
        <v>-2390</v>
      </c>
      <c r="W106" s="25"/>
      <c r="X106" s="5"/>
    </row>
    <row r="107" spans="1:26" ht="15.6" x14ac:dyDescent="0.3">
      <c r="A107" s="24" t="s">
        <v>131</v>
      </c>
      <c r="B107" s="25" t="s">
        <v>228</v>
      </c>
      <c r="C107" s="25"/>
      <c r="D107" s="25"/>
      <c r="E107" s="25"/>
      <c r="F107" s="25"/>
      <c r="G107" s="25"/>
      <c r="H107" s="25"/>
      <c r="I107" s="25"/>
      <c r="J107" s="25"/>
      <c r="K107" s="25"/>
      <c r="L107" s="25"/>
      <c r="M107" s="25"/>
      <c r="N107" s="25"/>
      <c r="O107" s="25"/>
      <c r="P107" s="25"/>
      <c r="Q107" s="25"/>
      <c r="R107" s="25"/>
      <c r="S107" s="25"/>
      <c r="T107" s="25"/>
      <c r="U107" s="25"/>
      <c r="V107" s="53">
        <f>-5452+511</f>
        <v>-4941</v>
      </c>
      <c r="W107" s="25"/>
      <c r="X107" s="5"/>
      <c r="Y107" s="109"/>
      <c r="Z107" s="109"/>
    </row>
    <row r="108" spans="1:26" ht="15.6" x14ac:dyDescent="0.3">
      <c r="A108" s="24" t="s">
        <v>153</v>
      </c>
      <c r="B108" s="25" t="s">
        <v>187</v>
      </c>
      <c r="C108" s="25"/>
      <c r="D108" s="25"/>
      <c r="E108" s="25"/>
      <c r="F108" s="25"/>
      <c r="G108" s="25"/>
      <c r="H108" s="25"/>
      <c r="I108" s="25"/>
      <c r="J108" s="25"/>
      <c r="K108" s="25"/>
      <c r="L108" s="25"/>
      <c r="M108" s="25"/>
      <c r="N108" s="25"/>
      <c r="O108" s="25"/>
      <c r="P108" s="25"/>
      <c r="Q108" s="25"/>
      <c r="R108" s="25"/>
      <c r="S108" s="25"/>
      <c r="T108" s="25"/>
      <c r="U108" s="25"/>
      <c r="V108" s="53">
        <v>-511</v>
      </c>
      <c r="W108" s="25"/>
      <c r="X108" s="5"/>
      <c r="Y108" s="109"/>
    </row>
    <row r="109" spans="1:26" ht="15.6" x14ac:dyDescent="0.3">
      <c r="A109" s="24" t="s">
        <v>266</v>
      </c>
      <c r="B109" s="25" t="s">
        <v>269</v>
      </c>
      <c r="C109" s="25"/>
      <c r="D109" s="25"/>
      <c r="E109" s="25"/>
      <c r="F109" s="25"/>
      <c r="G109" s="25"/>
      <c r="H109" s="25"/>
      <c r="I109" s="25"/>
      <c r="J109" s="25"/>
      <c r="K109" s="25"/>
      <c r="L109" s="25"/>
      <c r="M109" s="25"/>
      <c r="N109" s="25"/>
      <c r="O109" s="25"/>
      <c r="P109" s="25"/>
      <c r="Q109" s="25"/>
      <c r="R109" s="25"/>
      <c r="S109" s="25"/>
      <c r="T109" s="25"/>
      <c r="U109" s="25"/>
      <c r="V109" s="53">
        <v>-2</v>
      </c>
      <c r="W109" s="25"/>
      <c r="X109" s="5"/>
    </row>
    <row r="110" spans="1:26" ht="15.6" x14ac:dyDescent="0.3">
      <c r="A110" s="24" t="s">
        <v>208</v>
      </c>
      <c r="B110" s="25" t="s">
        <v>188</v>
      </c>
      <c r="C110" s="25"/>
      <c r="D110" s="25"/>
      <c r="E110" s="25"/>
      <c r="F110" s="25"/>
      <c r="G110" s="25"/>
      <c r="H110" s="25"/>
      <c r="I110" s="25"/>
      <c r="J110" s="25"/>
      <c r="K110" s="25"/>
      <c r="L110" s="25"/>
      <c r="M110" s="25"/>
      <c r="N110" s="25"/>
      <c r="O110" s="25"/>
      <c r="P110" s="25"/>
      <c r="Q110" s="25"/>
      <c r="R110" s="25"/>
      <c r="S110" s="25"/>
      <c r="T110" s="25"/>
      <c r="U110" s="25"/>
      <c r="V110" s="53">
        <v>-344</v>
      </c>
      <c r="W110" s="25"/>
      <c r="X110" s="5"/>
      <c r="Y110" s="109"/>
    </row>
    <row r="111" spans="1:26" ht="15.6" x14ac:dyDescent="0.3">
      <c r="A111" s="24" t="s">
        <v>209</v>
      </c>
      <c r="B111" s="25" t="s">
        <v>189</v>
      </c>
      <c r="C111" s="25"/>
      <c r="D111" s="25"/>
      <c r="E111" s="25"/>
      <c r="F111" s="25"/>
      <c r="G111" s="25"/>
      <c r="H111" s="25"/>
      <c r="I111" s="25"/>
      <c r="J111" s="25"/>
      <c r="K111" s="25"/>
      <c r="L111" s="25"/>
      <c r="M111" s="25"/>
      <c r="N111" s="25"/>
      <c r="O111" s="25"/>
      <c r="P111" s="25"/>
      <c r="Q111" s="25"/>
      <c r="R111" s="25"/>
      <c r="S111" s="25"/>
      <c r="T111" s="25"/>
      <c r="U111" s="25"/>
      <c r="V111" s="53">
        <v>-341</v>
      </c>
      <c r="W111" s="25"/>
      <c r="X111" s="5"/>
      <c r="Y111" s="109"/>
    </row>
    <row r="112" spans="1:26" ht="15.6" x14ac:dyDescent="0.3">
      <c r="A112" s="24" t="s">
        <v>210</v>
      </c>
      <c r="B112" s="25" t="s">
        <v>199</v>
      </c>
      <c r="C112" s="25"/>
      <c r="D112" s="25"/>
      <c r="E112" s="25"/>
      <c r="F112" s="25"/>
      <c r="G112" s="25"/>
      <c r="H112" s="25"/>
      <c r="I112" s="25"/>
      <c r="J112" s="25"/>
      <c r="K112" s="25"/>
      <c r="L112" s="25"/>
      <c r="M112" s="25"/>
      <c r="N112" s="25"/>
      <c r="O112" s="25"/>
      <c r="P112" s="25"/>
      <c r="Q112" s="25"/>
      <c r="R112" s="25"/>
      <c r="S112" s="25"/>
      <c r="T112" s="25"/>
      <c r="U112" s="25"/>
      <c r="V112" s="53">
        <v>-360</v>
      </c>
      <c r="W112" s="25"/>
      <c r="X112" s="5"/>
      <c r="Y112" s="109"/>
    </row>
    <row r="113" spans="1:25" ht="15.6" x14ac:dyDescent="0.3">
      <c r="A113" s="24" t="s">
        <v>230</v>
      </c>
      <c r="B113" s="25" t="s">
        <v>229</v>
      </c>
      <c r="C113" s="25"/>
      <c r="D113" s="25"/>
      <c r="E113" s="25"/>
      <c r="F113" s="25"/>
      <c r="G113" s="25"/>
      <c r="H113" s="25"/>
      <c r="I113" s="25"/>
      <c r="J113" s="25"/>
      <c r="K113" s="25"/>
      <c r="L113" s="25"/>
      <c r="M113" s="25"/>
      <c r="N113" s="25"/>
      <c r="O113" s="25"/>
      <c r="P113" s="25"/>
      <c r="Q113" s="25"/>
      <c r="R113" s="25"/>
      <c r="S113" s="25"/>
      <c r="T113" s="25"/>
      <c r="U113" s="25"/>
      <c r="V113" s="53">
        <v>-85</v>
      </c>
      <c r="W113" s="25"/>
      <c r="X113" s="5"/>
      <c r="Y113" s="109"/>
    </row>
    <row r="114" spans="1:25" ht="15.6" x14ac:dyDescent="0.3">
      <c r="A114" s="24">
        <v>7</v>
      </c>
      <c r="B114" s="25" t="s">
        <v>35</v>
      </c>
      <c r="C114" s="25"/>
      <c r="D114" s="25"/>
      <c r="E114" s="25"/>
      <c r="F114" s="25"/>
      <c r="G114" s="25"/>
      <c r="H114" s="25"/>
      <c r="I114" s="25"/>
      <c r="J114" s="25"/>
      <c r="K114" s="25"/>
      <c r="L114" s="25"/>
      <c r="M114" s="25"/>
      <c r="N114" s="25"/>
      <c r="O114" s="25"/>
      <c r="P114" s="25"/>
      <c r="Q114" s="25"/>
      <c r="R114" s="25"/>
      <c r="S114" s="25"/>
      <c r="T114" s="25"/>
      <c r="U114" s="25"/>
      <c r="V114" s="53">
        <v>-10</v>
      </c>
      <c r="W114" s="25"/>
      <c r="X114" s="5"/>
    </row>
    <row r="115" spans="1:25" ht="15.6" x14ac:dyDescent="0.3">
      <c r="A115" s="24">
        <f t="shared" ref="A115:A121" si="0">+A114+1</f>
        <v>8</v>
      </c>
      <c r="B115" s="25" t="s">
        <v>45</v>
      </c>
      <c r="C115" s="25"/>
      <c r="D115" s="25"/>
      <c r="E115" s="25"/>
      <c r="F115" s="25"/>
      <c r="G115" s="25"/>
      <c r="H115" s="25"/>
      <c r="I115" s="25"/>
      <c r="J115" s="25"/>
      <c r="K115" s="25"/>
      <c r="L115" s="25"/>
      <c r="M115" s="25"/>
      <c r="N115" s="25"/>
      <c r="O115" s="25"/>
      <c r="P115" s="25"/>
      <c r="Q115" s="25"/>
      <c r="R115" s="25"/>
      <c r="S115" s="25"/>
      <c r="T115" s="34">
        <f>-V115</f>
        <v>172</v>
      </c>
      <c r="U115" s="25"/>
      <c r="V115" s="53">
        <v>-172</v>
      </c>
      <c r="W115" s="25"/>
      <c r="X115" s="5"/>
    </row>
    <row r="116" spans="1:25" ht="15.6" x14ac:dyDescent="0.3">
      <c r="A116" s="24">
        <f t="shared" si="0"/>
        <v>9</v>
      </c>
      <c r="B116" s="25" t="s">
        <v>128</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5" ht="15.6" x14ac:dyDescent="0.3">
      <c r="A117" s="24">
        <f t="shared" si="0"/>
        <v>10</v>
      </c>
      <c r="B117" s="25" t="s">
        <v>271</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11</v>
      </c>
      <c r="B118" s="25" t="s">
        <v>36</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12</v>
      </c>
      <c r="B119" s="25" t="s">
        <v>270</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13</v>
      </c>
      <c r="B120" s="25" t="s">
        <v>152</v>
      </c>
      <c r="C120" s="25"/>
      <c r="D120" s="25"/>
      <c r="E120" s="25"/>
      <c r="F120" s="25"/>
      <c r="G120" s="25"/>
      <c r="H120" s="25"/>
      <c r="I120" s="25"/>
      <c r="J120" s="25"/>
      <c r="K120" s="25"/>
      <c r="L120" s="25"/>
      <c r="M120" s="25"/>
      <c r="N120" s="25"/>
      <c r="O120" s="25"/>
      <c r="P120" s="25"/>
      <c r="Q120" s="25"/>
      <c r="R120" s="25"/>
      <c r="S120" s="25"/>
      <c r="T120" s="25"/>
      <c r="U120" s="25"/>
      <c r="V120" s="53">
        <v>-407</v>
      </c>
      <c r="W120" s="25"/>
      <c r="X120" s="5"/>
    </row>
    <row r="121" spans="1:25" ht="15.6" x14ac:dyDescent="0.3">
      <c r="A121" s="24">
        <f t="shared" si="0"/>
        <v>14</v>
      </c>
      <c r="B121" s="25" t="s">
        <v>129</v>
      </c>
      <c r="C121" s="25"/>
      <c r="D121" s="25"/>
      <c r="E121" s="25"/>
      <c r="F121" s="25"/>
      <c r="G121" s="25"/>
      <c r="H121" s="25"/>
      <c r="I121" s="25"/>
      <c r="J121" s="25"/>
      <c r="K121" s="25"/>
      <c r="L121" s="25"/>
      <c r="M121" s="25"/>
      <c r="N121" s="25"/>
      <c r="O121" s="25"/>
      <c r="P121" s="25"/>
      <c r="Q121" s="25"/>
      <c r="R121" s="25"/>
      <c r="S121" s="25"/>
      <c r="T121" s="25"/>
      <c r="U121" s="25"/>
      <c r="V121" s="53">
        <f>-V101-SUM(V103:V120)</f>
        <v>-3696</v>
      </c>
      <c r="W121" s="25"/>
      <c r="X121" s="5"/>
    </row>
    <row r="122" spans="1:25" ht="15.6" x14ac:dyDescent="0.3">
      <c r="A122" s="24"/>
      <c r="B122" s="118" t="s">
        <v>37</v>
      </c>
      <c r="C122" s="25"/>
      <c r="D122" s="25"/>
      <c r="E122" s="25"/>
      <c r="F122" s="25"/>
      <c r="G122" s="25"/>
      <c r="H122" s="25"/>
      <c r="I122" s="25"/>
      <c r="J122" s="25"/>
      <c r="K122" s="25"/>
      <c r="L122" s="25"/>
      <c r="M122" s="25"/>
      <c r="N122" s="25"/>
      <c r="O122" s="25"/>
      <c r="P122" s="25"/>
      <c r="Q122" s="25"/>
      <c r="R122" s="25"/>
      <c r="S122" s="25"/>
      <c r="T122" s="25"/>
      <c r="U122" s="25"/>
      <c r="V122" s="59"/>
      <c r="W122" s="25"/>
      <c r="X122" s="5"/>
    </row>
    <row r="123" spans="1:25" ht="15.6" x14ac:dyDescent="0.3">
      <c r="A123" s="24"/>
      <c r="B123" s="25" t="s">
        <v>176</v>
      </c>
      <c r="C123" s="25"/>
      <c r="D123" s="25"/>
      <c r="E123" s="25"/>
      <c r="F123" s="25"/>
      <c r="G123" s="25"/>
      <c r="H123" s="25"/>
      <c r="I123" s="25"/>
      <c r="J123" s="25"/>
      <c r="K123" s="25"/>
      <c r="L123" s="25"/>
      <c r="M123" s="25"/>
      <c r="N123" s="25"/>
      <c r="O123" s="25"/>
      <c r="P123" s="25"/>
      <c r="Q123" s="25"/>
      <c r="R123" s="25"/>
      <c r="S123" s="25"/>
      <c r="T123" s="34">
        <f>-T182</f>
        <v>-42</v>
      </c>
      <c r="U123" s="34"/>
      <c r="V123" s="53"/>
      <c r="W123" s="25"/>
      <c r="X123" s="5"/>
    </row>
    <row r="124" spans="1:25" ht="15.6" x14ac:dyDescent="0.3">
      <c r="A124" s="24"/>
      <c r="B124" s="25" t="s">
        <v>177</v>
      </c>
      <c r="C124" s="25"/>
      <c r="D124" s="25"/>
      <c r="E124" s="25"/>
      <c r="F124" s="25"/>
      <c r="G124" s="25"/>
      <c r="H124" s="25"/>
      <c r="I124" s="25"/>
      <c r="J124" s="25"/>
      <c r="K124" s="25"/>
      <c r="L124" s="25"/>
      <c r="M124" s="25"/>
      <c r="N124" s="25"/>
      <c r="O124" s="25"/>
      <c r="P124" s="25"/>
      <c r="Q124" s="25"/>
      <c r="R124" s="25"/>
      <c r="S124" s="25"/>
      <c r="T124" s="34">
        <v>-585</v>
      </c>
      <c r="U124" s="34"/>
      <c r="V124" s="53"/>
      <c r="W124" s="25"/>
      <c r="X124" s="5"/>
    </row>
    <row r="125" spans="1:25" ht="15.6" x14ac:dyDescent="0.3">
      <c r="A125" s="24"/>
      <c r="B125" s="25" t="s">
        <v>38</v>
      </c>
      <c r="C125" s="25"/>
      <c r="D125" s="25"/>
      <c r="E125" s="25"/>
      <c r="F125" s="25"/>
      <c r="G125" s="25"/>
      <c r="H125" s="25"/>
      <c r="I125" s="25"/>
      <c r="J125" s="25"/>
      <c r="K125" s="25"/>
      <c r="L125" s="25"/>
      <c r="M125" s="25"/>
      <c r="N125" s="25"/>
      <c r="O125" s="25"/>
      <c r="P125" s="25"/>
      <c r="Q125" s="25"/>
      <c r="R125" s="25"/>
      <c r="S125" s="25"/>
      <c r="T125" s="34">
        <f>-S182</f>
        <v>-499</v>
      </c>
      <c r="U125" s="34"/>
      <c r="V125" s="53"/>
      <c r="W125" s="25"/>
      <c r="X125" s="5"/>
    </row>
    <row r="126" spans="1:25" ht="15.6" x14ac:dyDescent="0.3">
      <c r="A126" s="24"/>
      <c r="B126" s="25" t="s">
        <v>200</v>
      </c>
      <c r="C126" s="25"/>
      <c r="D126" s="25"/>
      <c r="E126" s="25"/>
      <c r="F126" s="25"/>
      <c r="G126" s="25"/>
      <c r="H126" s="25"/>
      <c r="I126" s="25"/>
      <c r="J126" s="25"/>
      <c r="K126" s="25"/>
      <c r="L126" s="25"/>
      <c r="M126" s="25"/>
      <c r="N126" s="25"/>
      <c r="O126" s="25"/>
      <c r="P126" s="25"/>
      <c r="Q126" s="25"/>
      <c r="R126" s="25"/>
      <c r="S126" s="25"/>
      <c r="T126" s="34">
        <v>-10207</v>
      </c>
      <c r="U126" s="34"/>
      <c r="V126" s="53"/>
      <c r="W126" s="25"/>
      <c r="X126" s="5"/>
    </row>
    <row r="127" spans="1:25" ht="15.6" x14ac:dyDescent="0.3">
      <c r="A127" s="24"/>
      <c r="B127" s="25" t="s">
        <v>198</v>
      </c>
      <c r="C127" s="25"/>
      <c r="D127" s="25"/>
      <c r="E127" s="25"/>
      <c r="F127" s="25"/>
      <c r="G127" s="25"/>
      <c r="H127" s="25"/>
      <c r="I127" s="25"/>
      <c r="J127" s="25"/>
      <c r="K127" s="25"/>
      <c r="L127" s="25"/>
      <c r="M127" s="25"/>
      <c r="N127" s="25"/>
      <c r="O127" s="25"/>
      <c r="P127" s="25"/>
      <c r="Q127" s="25"/>
      <c r="R127" s="25"/>
      <c r="S127" s="25"/>
      <c r="T127" s="34">
        <v>-1599</v>
      </c>
      <c r="U127" s="34"/>
      <c r="V127" s="53"/>
      <c r="W127" s="25"/>
      <c r="X127" s="5"/>
    </row>
    <row r="128" spans="1:25" ht="15.6" x14ac:dyDescent="0.3">
      <c r="A128" s="24"/>
      <c r="B128" s="25" t="s">
        <v>197</v>
      </c>
      <c r="C128" s="25"/>
      <c r="D128" s="25"/>
      <c r="E128" s="25"/>
      <c r="F128" s="25"/>
      <c r="G128" s="25"/>
      <c r="H128" s="25"/>
      <c r="I128" s="25"/>
      <c r="J128" s="25"/>
      <c r="K128" s="25"/>
      <c r="L128" s="25"/>
      <c r="M128" s="25"/>
      <c r="N128" s="25"/>
      <c r="O128" s="25"/>
      <c r="P128" s="25"/>
      <c r="Q128" s="25"/>
      <c r="R128" s="25"/>
      <c r="S128" s="25"/>
      <c r="T128" s="34">
        <v>-2705</v>
      </c>
      <c r="U128" s="34"/>
      <c r="V128" s="53"/>
      <c r="W128" s="25"/>
      <c r="X128" s="5"/>
    </row>
    <row r="129" spans="1:24" ht="15.6" x14ac:dyDescent="0.3">
      <c r="A129" s="24"/>
      <c r="B129" s="25" t="s">
        <v>232</v>
      </c>
      <c r="C129" s="25"/>
      <c r="D129" s="25"/>
      <c r="E129" s="25"/>
      <c r="F129" s="25"/>
      <c r="G129" s="25"/>
      <c r="H129" s="25"/>
      <c r="I129" s="25"/>
      <c r="J129" s="25"/>
      <c r="K129" s="25"/>
      <c r="L129" s="25"/>
      <c r="M129" s="25"/>
      <c r="N129" s="25"/>
      <c r="O129" s="25"/>
      <c r="P129" s="25"/>
      <c r="Q129" s="25"/>
      <c r="R129" s="25"/>
      <c r="S129" s="25"/>
      <c r="T129" s="34">
        <v>-2382</v>
      </c>
      <c r="U129" s="34"/>
      <c r="V129" s="53"/>
      <c r="W129" s="25"/>
      <c r="X129" s="5"/>
    </row>
    <row r="130" spans="1:24" ht="15.6" x14ac:dyDescent="0.3">
      <c r="A130" s="24"/>
      <c r="B130" s="25" t="s">
        <v>192</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191</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233</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190</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39</v>
      </c>
      <c r="C134" s="25"/>
      <c r="D134" s="25"/>
      <c r="E134" s="25"/>
      <c r="F134" s="25"/>
      <c r="G134" s="25"/>
      <c r="H134" s="25"/>
      <c r="I134" s="25"/>
      <c r="J134" s="25"/>
      <c r="K134" s="25"/>
      <c r="L134" s="25"/>
      <c r="M134" s="25"/>
      <c r="N134" s="25"/>
      <c r="O134" s="25"/>
      <c r="P134" s="25"/>
      <c r="Q134" s="25"/>
      <c r="R134" s="25"/>
      <c r="S134" s="25"/>
      <c r="T134" s="34">
        <f>SUM(T123:T133)</f>
        <v>-18019</v>
      </c>
      <c r="U134" s="34"/>
      <c r="V134" s="34">
        <f>SUM(V102:V131)</f>
        <v>-13945</v>
      </c>
      <c r="W134" s="25"/>
      <c r="X134" s="5"/>
    </row>
    <row r="135" spans="1:24" ht="15.6" x14ac:dyDescent="0.3">
      <c r="A135" s="24"/>
      <c r="B135" s="25" t="s">
        <v>40</v>
      </c>
      <c r="C135" s="25"/>
      <c r="D135" s="25"/>
      <c r="E135" s="25"/>
      <c r="F135" s="25"/>
      <c r="G135" s="25"/>
      <c r="H135" s="25"/>
      <c r="I135" s="25"/>
      <c r="J135" s="25"/>
      <c r="K135" s="25"/>
      <c r="L135" s="25"/>
      <c r="M135" s="25"/>
      <c r="N135" s="25"/>
      <c r="O135" s="25"/>
      <c r="P135" s="25"/>
      <c r="Q135" s="25"/>
      <c r="R135" s="25"/>
      <c r="S135" s="25"/>
      <c r="T135" s="34">
        <f>T101+T134+T115</f>
        <v>0</v>
      </c>
      <c r="U135" s="34"/>
      <c r="V135" s="34">
        <f>V101+V134</f>
        <v>0</v>
      </c>
      <c r="W135" s="25"/>
      <c r="X135" s="5"/>
    </row>
    <row r="136" spans="1:24" ht="15.6" x14ac:dyDescent="0.3">
      <c r="A136" s="24"/>
      <c r="B136" s="25"/>
      <c r="C136" s="25"/>
      <c r="D136" s="25"/>
      <c r="E136" s="25"/>
      <c r="F136" s="25"/>
      <c r="G136" s="25"/>
      <c r="H136" s="25"/>
      <c r="I136" s="25"/>
      <c r="J136" s="25"/>
      <c r="K136" s="25"/>
      <c r="L136" s="25"/>
      <c r="M136" s="25"/>
      <c r="N136" s="25"/>
      <c r="O136" s="25"/>
      <c r="P136" s="25"/>
      <c r="Q136" s="25"/>
      <c r="R136" s="25"/>
      <c r="S136" s="25"/>
      <c r="T136" s="34"/>
      <c r="U136" s="34"/>
      <c r="V136" s="34"/>
      <c r="W136" s="25"/>
      <c r="X136" s="5"/>
    </row>
    <row r="137" spans="1:24" ht="15.6" x14ac:dyDescent="0.3">
      <c r="A137" s="6"/>
      <c r="B137" s="8"/>
      <c r="C137" s="8"/>
      <c r="D137" s="8"/>
      <c r="E137" s="8"/>
      <c r="F137" s="8"/>
      <c r="G137" s="8"/>
      <c r="H137" s="8"/>
      <c r="I137" s="8"/>
      <c r="J137" s="8"/>
      <c r="K137" s="8"/>
      <c r="L137" s="8"/>
      <c r="M137" s="8"/>
      <c r="N137" s="8"/>
      <c r="O137" s="8"/>
      <c r="P137" s="8"/>
      <c r="Q137" s="8"/>
      <c r="R137" s="8"/>
      <c r="S137" s="8"/>
      <c r="T137" s="8"/>
      <c r="U137" s="8"/>
      <c r="V137" s="52"/>
      <c r="W137" s="8"/>
      <c r="X137" s="5"/>
    </row>
    <row r="138" spans="1:24" ht="18" thickBot="1" x14ac:dyDescent="0.35">
      <c r="A138" s="101"/>
      <c r="B138" s="102" t="str">
        <f>B64</f>
        <v>PM13 INVESTOR REPORT QUARTER ENDING MARCH 2009</v>
      </c>
      <c r="C138" s="103"/>
      <c r="D138" s="103"/>
      <c r="E138" s="103"/>
      <c r="F138" s="103"/>
      <c r="G138" s="103"/>
      <c r="H138" s="103"/>
      <c r="I138" s="103"/>
      <c r="J138" s="103"/>
      <c r="K138" s="103"/>
      <c r="L138" s="103"/>
      <c r="M138" s="103"/>
      <c r="N138" s="103"/>
      <c r="O138" s="103"/>
      <c r="P138" s="103"/>
      <c r="Q138" s="103"/>
      <c r="R138" s="103"/>
      <c r="S138" s="103"/>
      <c r="T138" s="103"/>
      <c r="U138" s="103"/>
      <c r="V138" s="106"/>
      <c r="W138" s="105"/>
      <c r="X138" s="5"/>
    </row>
    <row r="139" spans="1:24" ht="15.6" x14ac:dyDescent="0.3">
      <c r="A139" s="2"/>
      <c r="B139" s="60" t="s">
        <v>41</v>
      </c>
      <c r="C139" s="4"/>
      <c r="D139" s="4"/>
      <c r="E139" s="4"/>
      <c r="F139" s="4"/>
      <c r="G139" s="4"/>
      <c r="H139" s="4"/>
      <c r="I139" s="4"/>
      <c r="J139" s="4"/>
      <c r="K139" s="4"/>
      <c r="L139" s="4"/>
      <c r="M139" s="4"/>
      <c r="N139" s="4"/>
      <c r="O139" s="4"/>
      <c r="P139" s="4"/>
      <c r="Q139" s="4"/>
      <c r="R139" s="4"/>
      <c r="S139" s="4"/>
      <c r="T139" s="4"/>
      <c r="U139" s="4"/>
      <c r="V139" s="50"/>
      <c r="W139" s="4"/>
      <c r="X139" s="5"/>
    </row>
    <row r="140" spans="1:24" ht="15.6" x14ac:dyDescent="0.3">
      <c r="A140" s="6"/>
      <c r="B140" s="21"/>
      <c r="C140" s="8"/>
      <c r="D140" s="8"/>
      <c r="E140" s="8"/>
      <c r="F140" s="8"/>
      <c r="G140" s="8"/>
      <c r="H140" s="8"/>
      <c r="I140" s="8"/>
      <c r="J140" s="8"/>
      <c r="K140" s="8"/>
      <c r="L140" s="8"/>
      <c r="M140" s="8"/>
      <c r="N140" s="8"/>
      <c r="O140" s="8"/>
      <c r="P140" s="8"/>
      <c r="Q140" s="8"/>
      <c r="R140" s="8"/>
      <c r="S140" s="8"/>
      <c r="T140" s="8"/>
      <c r="U140" s="8"/>
      <c r="V140" s="52"/>
      <c r="W140" s="8"/>
      <c r="X140" s="5"/>
    </row>
    <row r="141" spans="1:24" ht="15.6" x14ac:dyDescent="0.3">
      <c r="A141" s="6"/>
      <c r="B141" s="119" t="s">
        <v>42</v>
      </c>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24"/>
      <c r="B142" s="25" t="s">
        <v>43</v>
      </c>
      <c r="C142" s="25"/>
      <c r="D142" s="25"/>
      <c r="E142" s="25"/>
      <c r="F142" s="25"/>
      <c r="G142" s="25"/>
      <c r="H142" s="25"/>
      <c r="I142" s="25"/>
      <c r="J142" s="25"/>
      <c r="K142" s="25"/>
      <c r="L142" s="25"/>
      <c r="M142" s="25"/>
      <c r="N142" s="25"/>
      <c r="O142" s="25"/>
      <c r="P142" s="25"/>
      <c r="Q142" s="25"/>
      <c r="R142" s="25"/>
      <c r="S142" s="25"/>
      <c r="T142" s="25"/>
      <c r="U142" s="25"/>
      <c r="V142" s="53">
        <f>+V34*0.019</f>
        <v>28503.61</v>
      </c>
      <c r="W142" s="25"/>
      <c r="X142" s="5"/>
    </row>
    <row r="143" spans="1:24" ht="15.6" x14ac:dyDescent="0.3">
      <c r="A143" s="24"/>
      <c r="B143" s="25" t="s">
        <v>44</v>
      </c>
      <c r="C143" s="25"/>
      <c r="D143" s="25"/>
      <c r="E143" s="25"/>
      <c r="F143" s="25"/>
      <c r="G143" s="25"/>
      <c r="H143" s="25"/>
      <c r="I143" s="25"/>
      <c r="J143" s="25"/>
      <c r="K143" s="25"/>
      <c r="L143" s="25"/>
      <c r="M143" s="25"/>
      <c r="N143" s="25"/>
      <c r="O143" s="25"/>
      <c r="P143" s="25"/>
      <c r="Q143" s="25"/>
      <c r="R143" s="25"/>
      <c r="S143" s="25"/>
      <c r="T143" s="25"/>
      <c r="U143" s="25"/>
      <c r="V143" s="53">
        <v>28504</v>
      </c>
      <c r="W143" s="25"/>
      <c r="X143" s="5"/>
    </row>
    <row r="144" spans="1:24" ht="15.6" x14ac:dyDescent="0.3">
      <c r="A144" s="24"/>
      <c r="B144" s="25" t="s">
        <v>139</v>
      </c>
      <c r="C144" s="25"/>
      <c r="D144" s="25"/>
      <c r="E144" s="25"/>
      <c r="F144" s="25"/>
      <c r="G144" s="25"/>
      <c r="H144" s="25"/>
      <c r="I144" s="25"/>
      <c r="J144" s="25"/>
      <c r="K144" s="25"/>
      <c r="L144" s="25"/>
      <c r="M144" s="25"/>
      <c r="N144" s="25"/>
      <c r="O144" s="25"/>
      <c r="P144" s="25"/>
      <c r="Q144" s="25"/>
      <c r="R144" s="25"/>
      <c r="S144" s="25"/>
      <c r="T144" s="25"/>
      <c r="U144" s="25"/>
      <c r="V144" s="53"/>
      <c r="W144" s="25"/>
      <c r="X144" s="5"/>
    </row>
    <row r="145" spans="1:25" ht="15.6" x14ac:dyDescent="0.3">
      <c r="A145" s="24"/>
      <c r="B145" s="25" t="s">
        <v>126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127</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178</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45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132</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267</v>
      </c>
      <c r="C150" s="25"/>
      <c r="D150" s="25"/>
      <c r="E150" s="25"/>
      <c r="F150" s="25"/>
      <c r="G150" s="25"/>
      <c r="H150" s="25"/>
      <c r="I150" s="25"/>
      <c r="J150" s="25"/>
      <c r="K150" s="25"/>
      <c r="L150" s="25"/>
      <c r="M150" s="25"/>
      <c r="N150" s="25"/>
      <c r="O150" s="25"/>
      <c r="P150" s="25"/>
      <c r="Q150" s="25"/>
      <c r="R150" s="25"/>
      <c r="S150" s="25"/>
      <c r="T150" s="25"/>
      <c r="U150" s="25"/>
      <c r="V150" s="53">
        <v>0</v>
      </c>
      <c r="W150" s="25"/>
      <c r="X150" s="5"/>
      <c r="Y150" s="109"/>
    </row>
    <row r="151" spans="1:25" ht="15.6" x14ac:dyDescent="0.3">
      <c r="A151" s="24"/>
      <c r="B151" s="25" t="s">
        <v>46</v>
      </c>
      <c r="C151" s="25"/>
      <c r="D151" s="25"/>
      <c r="E151" s="25"/>
      <c r="F151" s="25"/>
      <c r="G151" s="25"/>
      <c r="H151" s="25"/>
      <c r="I151" s="25"/>
      <c r="J151" s="25"/>
      <c r="K151" s="25"/>
      <c r="L151" s="25"/>
      <c r="M151" s="25"/>
      <c r="N151" s="25"/>
      <c r="O151" s="25"/>
      <c r="P151" s="25"/>
      <c r="Q151" s="25"/>
      <c r="R151" s="25"/>
      <c r="S151" s="25"/>
      <c r="T151" s="25"/>
      <c r="U151" s="25"/>
      <c r="V151" s="53">
        <f>SUM(V143:V150)</f>
        <v>28504</v>
      </c>
      <c r="W151" s="25"/>
      <c r="X151" s="5"/>
    </row>
    <row r="152" spans="1:25" ht="15.6" x14ac:dyDescent="0.3">
      <c r="A152" s="24"/>
      <c r="B152" s="25"/>
      <c r="C152" s="25"/>
      <c r="D152" s="25"/>
      <c r="E152" s="25"/>
      <c r="F152" s="25"/>
      <c r="G152" s="25"/>
      <c r="H152" s="25"/>
      <c r="I152" s="25"/>
      <c r="J152" s="25"/>
      <c r="K152" s="25"/>
      <c r="L152" s="25"/>
      <c r="M152" s="25"/>
      <c r="N152" s="25"/>
      <c r="O152" s="25"/>
      <c r="P152" s="25"/>
      <c r="Q152" s="25"/>
      <c r="R152" s="25"/>
      <c r="S152" s="25"/>
      <c r="T152" s="25"/>
      <c r="U152" s="25"/>
      <c r="V152" s="53"/>
      <c r="W152" s="25"/>
      <c r="X152" s="5"/>
    </row>
    <row r="153" spans="1:25" ht="15.6" x14ac:dyDescent="0.3">
      <c r="A153" s="24"/>
      <c r="B153" s="138" t="s">
        <v>268</v>
      </c>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25" t="s">
        <v>158</v>
      </c>
      <c r="C154" s="25"/>
      <c r="D154" s="25"/>
      <c r="E154" s="25"/>
      <c r="F154" s="25"/>
      <c r="G154" s="25"/>
      <c r="H154" s="25"/>
      <c r="I154" s="25"/>
      <c r="J154" s="25"/>
      <c r="K154" s="25"/>
      <c r="L154" s="25"/>
      <c r="M154" s="25"/>
      <c r="N154" s="25"/>
      <c r="O154" s="25"/>
      <c r="P154" s="25"/>
      <c r="Q154" s="25"/>
      <c r="R154" s="25"/>
      <c r="S154" s="25"/>
      <c r="T154" s="25"/>
      <c r="U154" s="25"/>
      <c r="V154" s="53">
        <v>15000</v>
      </c>
      <c r="W154" s="25"/>
      <c r="X154" s="5"/>
    </row>
    <row r="155" spans="1:25" ht="15.6" x14ac:dyDescent="0.3">
      <c r="A155" s="24"/>
      <c r="B155" s="25" t="s">
        <v>175</v>
      </c>
      <c r="C155" s="25"/>
      <c r="D155" s="25"/>
      <c r="E155" s="25"/>
      <c r="F155" s="25"/>
      <c r="G155" s="25"/>
      <c r="H155" s="25"/>
      <c r="I155" s="25"/>
      <c r="J155" s="25"/>
      <c r="K155" s="25"/>
      <c r="L155" s="25"/>
      <c r="M155" s="25"/>
      <c r="N155" s="25"/>
      <c r="O155" s="25"/>
      <c r="P155" s="25"/>
      <c r="Q155" s="25"/>
      <c r="R155" s="25"/>
      <c r="S155" s="25"/>
      <c r="T155" s="25"/>
      <c r="U155" s="25"/>
      <c r="V155" s="53">
        <v>0</v>
      </c>
      <c r="W155" s="25"/>
      <c r="X155" s="5"/>
    </row>
    <row r="156" spans="1:25" ht="15.6" x14ac:dyDescent="0.3">
      <c r="A156" s="24"/>
      <c r="B156" s="25" t="s">
        <v>272</v>
      </c>
      <c r="C156" s="25"/>
      <c r="D156" s="25"/>
      <c r="E156" s="25"/>
      <c r="F156" s="25"/>
      <c r="G156" s="25"/>
      <c r="H156" s="25"/>
      <c r="I156" s="25"/>
      <c r="J156" s="25"/>
      <c r="K156" s="25"/>
      <c r="L156" s="25"/>
      <c r="M156" s="25"/>
      <c r="N156" s="25"/>
      <c r="O156" s="25"/>
      <c r="P156" s="25"/>
      <c r="Q156" s="25"/>
      <c r="R156" s="25"/>
      <c r="S156" s="25"/>
      <c r="T156" s="25"/>
      <c r="U156" s="25"/>
      <c r="V156" s="53">
        <v>6000</v>
      </c>
      <c r="W156" s="25"/>
      <c r="X156" s="5"/>
    </row>
    <row r="157" spans="1:25" ht="15.6" x14ac:dyDescent="0.3">
      <c r="A157" s="24"/>
      <c r="B157" s="25"/>
      <c r="C157" s="25"/>
      <c r="D157" s="25"/>
      <c r="E157" s="25"/>
      <c r="F157" s="25"/>
      <c r="G157" s="25"/>
      <c r="H157" s="25"/>
      <c r="I157" s="25"/>
      <c r="J157" s="25"/>
      <c r="K157" s="25"/>
      <c r="L157" s="25"/>
      <c r="M157" s="25"/>
      <c r="N157" s="25"/>
      <c r="O157" s="25"/>
      <c r="P157" s="25"/>
      <c r="Q157" s="25"/>
      <c r="R157" s="25"/>
      <c r="S157" s="25"/>
      <c r="T157" s="25"/>
      <c r="U157" s="25"/>
      <c r="V157" s="53"/>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61"/>
      <c r="W158" s="25"/>
      <c r="X158" s="5"/>
    </row>
    <row r="159" spans="1:25" ht="15.6" x14ac:dyDescent="0.3">
      <c r="A159" s="6"/>
      <c r="B159" s="119" t="s">
        <v>24</v>
      </c>
      <c r="C159" s="8"/>
      <c r="D159" s="8"/>
      <c r="E159" s="8"/>
      <c r="F159" s="8"/>
      <c r="G159" s="8"/>
      <c r="H159" s="8"/>
      <c r="I159" s="8"/>
      <c r="J159" s="8"/>
      <c r="K159" s="8"/>
      <c r="L159" s="8"/>
      <c r="M159" s="8"/>
      <c r="N159" s="8"/>
      <c r="O159" s="8"/>
      <c r="P159" s="8"/>
      <c r="Q159" s="8"/>
      <c r="R159" s="8"/>
      <c r="S159" s="8"/>
      <c r="T159" s="8"/>
      <c r="U159" s="8"/>
      <c r="V159" s="52"/>
      <c r="W159" s="8"/>
      <c r="X159" s="5"/>
    </row>
    <row r="160" spans="1:25" ht="15.6" x14ac:dyDescent="0.3">
      <c r="A160" s="24"/>
      <c r="B160" s="25" t="s">
        <v>47</v>
      </c>
      <c r="C160" s="25"/>
      <c r="D160" s="25"/>
      <c r="E160" s="25"/>
      <c r="F160" s="25"/>
      <c r="G160" s="25"/>
      <c r="H160" s="25"/>
      <c r="I160" s="25"/>
      <c r="J160" s="25"/>
      <c r="K160" s="25"/>
      <c r="L160" s="25"/>
      <c r="M160" s="25"/>
      <c r="N160" s="25"/>
      <c r="O160" s="25"/>
      <c r="P160" s="25"/>
      <c r="Q160" s="25"/>
      <c r="R160" s="25"/>
      <c r="S160" s="25"/>
      <c r="T160" s="25"/>
      <c r="U160" s="25"/>
      <c r="V160" s="59" t="s">
        <v>121</v>
      </c>
      <c r="W160" s="25"/>
      <c r="X160" s="5"/>
    </row>
    <row r="161" spans="1:24" ht="15.6" x14ac:dyDescent="0.3">
      <c r="A161" s="24"/>
      <c r="B161" s="25" t="s">
        <v>48</v>
      </c>
      <c r="C161" s="163"/>
      <c r="D161" s="163"/>
      <c r="E161" s="163"/>
      <c r="F161" s="163"/>
      <c r="G161" s="163"/>
      <c r="H161" s="163"/>
      <c r="I161" s="163"/>
      <c r="J161" s="163"/>
      <c r="K161" s="163"/>
      <c r="L161" s="163"/>
      <c r="M161" s="163"/>
      <c r="N161" s="163"/>
      <c r="O161" s="163"/>
      <c r="P161" s="163"/>
      <c r="Q161" s="163"/>
      <c r="R161" s="163"/>
      <c r="S161" s="163"/>
      <c r="T161" s="163"/>
      <c r="U161" s="163"/>
      <c r="V161" s="59" t="s">
        <v>121</v>
      </c>
      <c r="W161" s="25"/>
      <c r="X161" s="5"/>
    </row>
    <row r="162" spans="1:24" ht="15.6" x14ac:dyDescent="0.3">
      <c r="A162" s="24"/>
      <c r="B162" s="25" t="s">
        <v>49</v>
      </c>
      <c r="C162" s="25"/>
      <c r="D162" s="25"/>
      <c r="E162" s="25"/>
      <c r="F162" s="25"/>
      <c r="G162" s="25"/>
      <c r="H162" s="25"/>
      <c r="I162" s="25"/>
      <c r="J162" s="25"/>
      <c r="K162" s="25"/>
      <c r="L162" s="25"/>
      <c r="M162" s="25"/>
      <c r="N162" s="25"/>
      <c r="O162" s="25"/>
      <c r="P162" s="25"/>
      <c r="Q162" s="25"/>
      <c r="R162" s="25"/>
      <c r="S162" s="25"/>
      <c r="T162" s="25"/>
      <c r="U162" s="25"/>
      <c r="V162" s="59" t="s">
        <v>121</v>
      </c>
      <c r="W162" s="25"/>
      <c r="X162" s="5"/>
    </row>
    <row r="163" spans="1:24" ht="15.6" x14ac:dyDescent="0.3">
      <c r="A163" s="24"/>
      <c r="B163" s="25" t="s">
        <v>50</v>
      </c>
      <c r="C163" s="25"/>
      <c r="D163" s="25"/>
      <c r="E163" s="25"/>
      <c r="F163" s="25"/>
      <c r="G163" s="25"/>
      <c r="H163" s="25"/>
      <c r="I163" s="25"/>
      <c r="J163" s="25"/>
      <c r="K163" s="25"/>
      <c r="L163" s="25"/>
      <c r="M163" s="25"/>
      <c r="N163" s="25"/>
      <c r="O163" s="25"/>
      <c r="P163" s="25"/>
      <c r="Q163" s="25"/>
      <c r="R163" s="25"/>
      <c r="S163" s="25"/>
      <c r="T163" s="25"/>
      <c r="U163" s="25"/>
      <c r="V163" s="59" t="s">
        <v>121</v>
      </c>
      <c r="W163" s="25"/>
      <c r="X163" s="5"/>
    </row>
    <row r="164" spans="1:24" ht="15.6" x14ac:dyDescent="0.3">
      <c r="A164" s="24"/>
      <c r="B164" s="25"/>
      <c r="C164" s="25"/>
      <c r="D164" s="25"/>
      <c r="E164" s="25"/>
      <c r="F164" s="25"/>
      <c r="G164" s="25"/>
      <c r="H164" s="25"/>
      <c r="I164" s="25"/>
      <c r="J164" s="25"/>
      <c r="K164" s="25"/>
      <c r="L164" s="25"/>
      <c r="M164" s="25"/>
      <c r="N164" s="25"/>
      <c r="O164" s="25"/>
      <c r="P164" s="25"/>
      <c r="Q164" s="25"/>
      <c r="R164" s="25"/>
      <c r="S164" s="25"/>
      <c r="T164" s="25"/>
      <c r="U164" s="25"/>
      <c r="V164" s="61"/>
      <c r="W164" s="25"/>
      <c r="X164" s="5"/>
    </row>
    <row r="165" spans="1:24" ht="15.6" x14ac:dyDescent="0.3">
      <c r="A165" s="6"/>
      <c r="B165" s="119" t="s">
        <v>51</v>
      </c>
      <c r="C165" s="8"/>
      <c r="D165" s="8"/>
      <c r="E165" s="8"/>
      <c r="F165" s="8"/>
      <c r="G165" s="8"/>
      <c r="H165" s="8"/>
      <c r="I165" s="8"/>
      <c r="J165" s="8"/>
      <c r="K165" s="8"/>
      <c r="L165" s="8"/>
      <c r="M165" s="8"/>
      <c r="N165" s="8"/>
      <c r="O165" s="8"/>
      <c r="P165" s="8"/>
      <c r="Q165" s="8"/>
      <c r="R165" s="8"/>
      <c r="S165" s="8"/>
      <c r="T165" s="8"/>
      <c r="U165" s="8"/>
      <c r="V165" s="63"/>
      <c r="W165" s="8"/>
      <c r="X165" s="5"/>
    </row>
    <row r="166" spans="1:24" ht="15.6" x14ac:dyDescent="0.3">
      <c r="A166" s="24"/>
      <c r="B166" s="25" t="s">
        <v>52</v>
      </c>
      <c r="C166" s="25"/>
      <c r="D166" s="25"/>
      <c r="E166" s="25"/>
      <c r="F166" s="25"/>
      <c r="G166" s="25"/>
      <c r="H166" s="25"/>
      <c r="I166" s="25"/>
      <c r="J166" s="25"/>
      <c r="K166" s="25"/>
      <c r="L166" s="25"/>
      <c r="M166" s="25"/>
      <c r="N166" s="25"/>
      <c r="O166" s="25"/>
      <c r="P166" s="25"/>
      <c r="Q166" s="25"/>
      <c r="R166" s="25"/>
      <c r="S166" s="25"/>
      <c r="T166" s="25"/>
      <c r="U166" s="25"/>
      <c r="V166" s="53">
        <v>0</v>
      </c>
      <c r="W166" s="25"/>
      <c r="X166" s="5"/>
    </row>
    <row r="167" spans="1:24" ht="15.6" x14ac:dyDescent="0.3">
      <c r="A167" s="24"/>
      <c r="B167" s="25" t="s">
        <v>53</v>
      </c>
      <c r="C167" s="25"/>
      <c r="D167" s="25"/>
      <c r="E167" s="25"/>
      <c r="F167" s="25"/>
      <c r="G167" s="25"/>
      <c r="H167" s="25"/>
      <c r="I167" s="25"/>
      <c r="J167" s="25"/>
      <c r="K167" s="25"/>
      <c r="L167" s="25"/>
      <c r="M167" s="25"/>
      <c r="N167" s="25"/>
      <c r="O167" s="25"/>
      <c r="P167" s="25"/>
      <c r="Q167" s="25"/>
      <c r="R167" s="25"/>
      <c r="S167" s="25"/>
      <c r="T167" s="25"/>
      <c r="U167" s="25"/>
      <c r="V167" s="53">
        <v>172</v>
      </c>
      <c r="W167" s="25"/>
      <c r="X167" s="5"/>
    </row>
    <row r="168" spans="1:24" ht="15.6" x14ac:dyDescent="0.3">
      <c r="A168" s="24"/>
      <c r="B168" s="25" t="s">
        <v>54</v>
      </c>
      <c r="C168" s="25"/>
      <c r="D168" s="25"/>
      <c r="E168" s="25"/>
      <c r="F168" s="25"/>
      <c r="G168" s="25"/>
      <c r="H168" s="25"/>
      <c r="I168" s="25"/>
      <c r="J168" s="25"/>
      <c r="K168" s="25"/>
      <c r="L168" s="25"/>
      <c r="M168" s="25"/>
      <c r="N168" s="25"/>
      <c r="O168" s="25"/>
      <c r="P168" s="25"/>
      <c r="Q168" s="25"/>
      <c r="R168" s="25"/>
      <c r="S168" s="25"/>
      <c r="T168" s="25"/>
      <c r="U168" s="25"/>
      <c r="V168" s="53">
        <f>V167+V166</f>
        <v>172</v>
      </c>
      <c r="W168" s="25"/>
      <c r="X168" s="5"/>
    </row>
    <row r="169" spans="1:24" ht="15.6" x14ac:dyDescent="0.3">
      <c r="A169" s="24"/>
      <c r="B169" s="391" t="s">
        <v>318</v>
      </c>
      <c r="C169" s="25"/>
      <c r="D169" s="25"/>
      <c r="E169" s="25"/>
      <c r="F169" s="25"/>
      <c r="G169" s="25"/>
      <c r="H169" s="25"/>
      <c r="I169" s="25"/>
      <c r="J169" s="25"/>
      <c r="K169" s="25"/>
      <c r="L169" s="25"/>
      <c r="M169" s="25"/>
      <c r="N169" s="25"/>
      <c r="O169" s="25"/>
      <c r="P169" s="25"/>
      <c r="Q169" s="25"/>
      <c r="R169" s="25"/>
      <c r="S169" s="25"/>
      <c r="T169" s="25"/>
      <c r="U169" s="25"/>
      <c r="V169" s="53">
        <f>V115</f>
        <v>-172</v>
      </c>
      <c r="W169" s="25"/>
      <c r="X169" s="5"/>
    </row>
    <row r="170" spans="1:24" ht="15.6" x14ac:dyDescent="0.3">
      <c r="A170" s="24"/>
      <c r="B170" s="25" t="s">
        <v>55</v>
      </c>
      <c r="C170" s="25"/>
      <c r="D170" s="25"/>
      <c r="E170" s="25"/>
      <c r="F170" s="25"/>
      <c r="G170" s="25"/>
      <c r="H170" s="25"/>
      <c r="I170" s="25"/>
      <c r="J170" s="25"/>
      <c r="K170" s="25"/>
      <c r="L170" s="25"/>
      <c r="M170" s="25"/>
      <c r="N170" s="25"/>
      <c r="O170" s="25"/>
      <c r="P170" s="25"/>
      <c r="Q170" s="25"/>
      <c r="R170" s="25"/>
      <c r="S170" s="25"/>
      <c r="T170" s="25"/>
      <c r="U170" s="25"/>
      <c r="V170" s="53">
        <f>V168+V169</f>
        <v>0</v>
      </c>
      <c r="W170" s="25"/>
      <c r="X170" s="5"/>
    </row>
    <row r="171" spans="1:24" ht="16.2" thickBot="1" x14ac:dyDescent="0.35">
      <c r="A171" s="24"/>
      <c r="B171" s="25"/>
      <c r="C171" s="25"/>
      <c r="D171" s="25"/>
      <c r="E171" s="25"/>
      <c r="F171" s="25"/>
      <c r="G171" s="25"/>
      <c r="H171" s="25"/>
      <c r="I171" s="25"/>
      <c r="J171" s="25"/>
      <c r="K171" s="25"/>
      <c r="L171" s="25"/>
      <c r="M171" s="25"/>
      <c r="N171" s="25"/>
      <c r="O171" s="25"/>
      <c r="P171" s="25"/>
      <c r="Q171" s="25"/>
      <c r="R171" s="25"/>
      <c r="S171" s="25"/>
      <c r="T171" s="25"/>
      <c r="U171" s="25"/>
      <c r="V171" s="61"/>
      <c r="W171" s="25"/>
      <c r="X171" s="5"/>
    </row>
    <row r="172" spans="1:24" ht="15.6" x14ac:dyDescent="0.3">
      <c r="A172" s="2"/>
      <c r="B172" s="4"/>
      <c r="C172" s="4"/>
      <c r="D172" s="4"/>
      <c r="E172" s="4"/>
      <c r="F172" s="4"/>
      <c r="G172" s="4"/>
      <c r="H172" s="4"/>
      <c r="I172" s="4"/>
      <c r="J172" s="4"/>
      <c r="K172" s="4"/>
      <c r="L172" s="4"/>
      <c r="M172" s="4"/>
      <c r="N172" s="4"/>
      <c r="O172" s="4"/>
      <c r="P172" s="4"/>
      <c r="Q172" s="4"/>
      <c r="R172" s="4"/>
      <c r="S172" s="4"/>
      <c r="T172" s="4"/>
      <c r="U172" s="4"/>
      <c r="V172" s="50"/>
      <c r="W172" s="4"/>
      <c r="X172" s="5"/>
    </row>
    <row r="173" spans="1:24" ht="15.6" x14ac:dyDescent="0.3">
      <c r="A173" s="6"/>
      <c r="B173" s="119" t="s">
        <v>56</v>
      </c>
      <c r="C173" s="8"/>
      <c r="D173" s="8"/>
      <c r="E173" s="8"/>
      <c r="F173" s="8"/>
      <c r="G173" s="8"/>
      <c r="H173" s="8"/>
      <c r="I173" s="8"/>
      <c r="J173" s="8"/>
      <c r="K173" s="8"/>
      <c r="L173" s="8"/>
      <c r="M173" s="8"/>
      <c r="N173" s="8"/>
      <c r="O173" s="8"/>
      <c r="P173" s="8"/>
      <c r="Q173" s="8"/>
      <c r="R173" s="8"/>
      <c r="S173" s="8"/>
      <c r="T173" s="8"/>
      <c r="U173" s="8"/>
      <c r="V173" s="52"/>
      <c r="W173" s="8"/>
      <c r="X173" s="5"/>
    </row>
    <row r="174" spans="1:24" ht="15.6" x14ac:dyDescent="0.3">
      <c r="A174" s="6"/>
      <c r="B174" s="21"/>
      <c r="C174" s="8"/>
      <c r="D174" s="8"/>
      <c r="E174" s="8"/>
      <c r="F174" s="8"/>
      <c r="G174" s="8"/>
      <c r="H174" s="8"/>
      <c r="I174" s="8"/>
      <c r="J174" s="8"/>
      <c r="K174" s="8"/>
      <c r="L174" s="8"/>
      <c r="M174" s="8"/>
      <c r="N174" s="8"/>
      <c r="O174" s="8"/>
      <c r="P174" s="8"/>
      <c r="Q174" s="8"/>
      <c r="R174" s="8"/>
      <c r="S174" s="8"/>
      <c r="T174" s="8"/>
      <c r="U174" s="8"/>
      <c r="V174" s="52"/>
      <c r="W174" s="8"/>
      <c r="X174" s="5"/>
    </row>
    <row r="175" spans="1:24" ht="15.6" x14ac:dyDescent="0.3">
      <c r="A175" s="24"/>
      <c r="B175" s="25" t="s">
        <v>57</v>
      </c>
      <c r="C175" s="25"/>
      <c r="D175" s="25"/>
      <c r="E175" s="25"/>
      <c r="F175" s="25"/>
      <c r="G175" s="25"/>
      <c r="H175" s="25"/>
      <c r="I175" s="25"/>
      <c r="J175" s="25"/>
      <c r="K175" s="25"/>
      <c r="L175" s="25"/>
      <c r="M175" s="25"/>
      <c r="N175" s="25"/>
      <c r="O175" s="25"/>
      <c r="P175" s="25"/>
      <c r="Q175" s="25"/>
      <c r="R175" s="25"/>
      <c r="S175" s="25"/>
      <c r="T175" s="25"/>
      <c r="U175" s="25"/>
      <c r="V175" s="53">
        <f>V72</f>
        <v>1080660</v>
      </c>
      <c r="W175" s="25"/>
      <c r="X175" s="5"/>
    </row>
    <row r="176" spans="1:24" ht="15.6" x14ac:dyDescent="0.3">
      <c r="A176" s="24"/>
      <c r="B176" s="25" t="s">
        <v>58</v>
      </c>
      <c r="C176" s="25"/>
      <c r="D176" s="25"/>
      <c r="E176" s="25"/>
      <c r="F176" s="25"/>
      <c r="G176" s="25"/>
      <c r="H176" s="25"/>
      <c r="I176" s="25"/>
      <c r="J176" s="25"/>
      <c r="K176" s="25"/>
      <c r="L176" s="25"/>
      <c r="M176" s="25"/>
      <c r="N176" s="25"/>
      <c r="O176" s="25"/>
      <c r="P176" s="25"/>
      <c r="Q176" s="25"/>
      <c r="R176" s="25"/>
      <c r="S176" s="25"/>
      <c r="T176" s="25"/>
      <c r="U176" s="25"/>
      <c r="V176" s="53">
        <f>V85</f>
        <v>1080660</v>
      </c>
      <c r="W176" s="25"/>
      <c r="X176" s="5"/>
    </row>
    <row r="177" spans="1:24" ht="16.2" thickBot="1" x14ac:dyDescent="0.35">
      <c r="A177" s="24"/>
      <c r="B177" s="25"/>
      <c r="C177" s="25"/>
      <c r="D177" s="25"/>
      <c r="E177" s="25"/>
      <c r="F177" s="25"/>
      <c r="G177" s="25"/>
      <c r="H177" s="25"/>
      <c r="I177" s="25"/>
      <c r="J177" s="25"/>
      <c r="K177" s="25"/>
      <c r="L177" s="25"/>
      <c r="M177" s="25"/>
      <c r="N177" s="25"/>
      <c r="O177" s="25"/>
      <c r="P177" s="25"/>
      <c r="Q177" s="25"/>
      <c r="R177" s="25"/>
      <c r="S177" s="25"/>
      <c r="T177" s="25"/>
      <c r="U177" s="25"/>
      <c r="V177" s="61"/>
      <c r="W177" s="25"/>
      <c r="X177" s="5"/>
    </row>
    <row r="178" spans="1:24" ht="15.6" x14ac:dyDescent="0.3">
      <c r="A178" s="2"/>
      <c r="B178" s="4"/>
      <c r="C178" s="4"/>
      <c r="D178" s="4"/>
      <c r="E178" s="4"/>
      <c r="F178" s="4"/>
      <c r="G178" s="4"/>
      <c r="H178" s="4"/>
      <c r="I178" s="4"/>
      <c r="J178" s="4"/>
      <c r="K178" s="4"/>
      <c r="L178" s="4"/>
      <c r="M178" s="4"/>
      <c r="N178" s="4"/>
      <c r="O178" s="4"/>
      <c r="P178" s="4"/>
      <c r="Q178" s="4"/>
      <c r="R178" s="4"/>
      <c r="S178" s="4"/>
      <c r="T178" s="4"/>
      <c r="U178" s="4"/>
      <c r="V178" s="50"/>
      <c r="W178" s="4"/>
      <c r="X178" s="5"/>
    </row>
    <row r="179" spans="1:24" ht="15.6" x14ac:dyDescent="0.3">
      <c r="A179" s="6"/>
      <c r="B179" s="119" t="s">
        <v>59</v>
      </c>
      <c r="C179" s="117"/>
      <c r="D179" s="117"/>
      <c r="E179" s="117"/>
      <c r="F179" s="117"/>
      <c r="G179" s="117"/>
      <c r="H179" s="120"/>
      <c r="I179" s="120"/>
      <c r="J179" s="120"/>
      <c r="K179" s="120"/>
      <c r="L179" s="120"/>
      <c r="M179" s="120"/>
      <c r="N179" s="120"/>
      <c r="O179" s="120"/>
      <c r="P179" s="120"/>
      <c r="Q179" s="120"/>
      <c r="R179" s="120"/>
      <c r="S179" s="120" t="s">
        <v>102</v>
      </c>
      <c r="T179" s="120" t="s">
        <v>179</v>
      </c>
      <c r="U179" s="111"/>
      <c r="V179" s="121" t="s">
        <v>117</v>
      </c>
      <c r="W179" s="10"/>
      <c r="X179" s="5"/>
    </row>
    <row r="180" spans="1:24" ht="15.6" x14ac:dyDescent="0.3">
      <c r="A180" s="24"/>
      <c r="B180" s="25" t="s">
        <v>60</v>
      </c>
      <c r="C180" s="25"/>
      <c r="D180" s="25"/>
      <c r="E180" s="25"/>
      <c r="F180" s="25"/>
      <c r="G180" s="25"/>
      <c r="H180" s="25"/>
      <c r="I180" s="25"/>
      <c r="J180" s="25"/>
      <c r="K180" s="25"/>
      <c r="L180" s="25"/>
      <c r="M180" s="25"/>
      <c r="N180" s="25"/>
      <c r="O180" s="25"/>
      <c r="P180" s="25"/>
      <c r="Q180" s="25"/>
      <c r="R180" s="25"/>
      <c r="S180" s="53">
        <f>+V34*0.16</f>
        <v>240030.4</v>
      </c>
      <c r="T180" s="40"/>
      <c r="U180" s="25"/>
      <c r="V180" s="53"/>
      <c r="W180" s="25"/>
      <c r="X180" s="5"/>
    </row>
    <row r="181" spans="1:24" ht="15.6" x14ac:dyDescent="0.3">
      <c r="A181" s="24"/>
      <c r="B181" s="25" t="s">
        <v>61</v>
      </c>
      <c r="C181" s="25"/>
      <c r="D181" s="25"/>
      <c r="E181" s="25"/>
      <c r="F181" s="25"/>
      <c r="G181" s="25"/>
      <c r="H181" s="25"/>
      <c r="I181" s="25"/>
      <c r="J181" s="25"/>
      <c r="K181" s="25"/>
      <c r="L181" s="25"/>
      <c r="M181" s="25"/>
      <c r="N181" s="25"/>
      <c r="O181" s="25"/>
      <c r="P181" s="25"/>
      <c r="Q181" s="25"/>
      <c r="R181" s="25"/>
      <c r="S181" s="53">
        <f>+'Dec 08'!S183</f>
        <v>39341</v>
      </c>
      <c r="T181" s="53">
        <f>+'Dec 08'!T183</f>
        <v>8195</v>
      </c>
      <c r="U181" s="25"/>
      <c r="V181" s="53">
        <f>S181+T181</f>
        <v>47536</v>
      </c>
      <c r="W181" s="25"/>
      <c r="X181" s="5"/>
    </row>
    <row r="182" spans="1:24" ht="15.6" x14ac:dyDescent="0.3">
      <c r="A182" s="24"/>
      <c r="B182" s="25" t="s">
        <v>62</v>
      </c>
      <c r="C182" s="25"/>
      <c r="D182" s="25"/>
      <c r="E182" s="25"/>
      <c r="F182" s="25"/>
      <c r="G182" s="25"/>
      <c r="H182" s="25"/>
      <c r="I182" s="25"/>
      <c r="J182" s="25"/>
      <c r="K182" s="25"/>
      <c r="L182" s="25"/>
      <c r="M182" s="25"/>
      <c r="N182" s="25"/>
      <c r="O182" s="25"/>
      <c r="P182" s="25"/>
      <c r="Q182" s="25"/>
      <c r="R182" s="25"/>
      <c r="S182" s="34">
        <f>343+156</f>
        <v>499</v>
      </c>
      <c r="T182" s="34">
        <v>42</v>
      </c>
      <c r="U182" s="25"/>
      <c r="V182" s="53">
        <f>S182+T182</f>
        <v>541</v>
      </c>
      <c r="W182" s="25"/>
      <c r="X182" s="5"/>
    </row>
    <row r="183" spans="1:24" ht="15.6" x14ac:dyDescent="0.3">
      <c r="A183" s="24"/>
      <c r="B183" s="25" t="s">
        <v>63</v>
      </c>
      <c r="C183" s="25"/>
      <c r="D183" s="25"/>
      <c r="E183" s="25"/>
      <c r="F183" s="25"/>
      <c r="G183" s="25"/>
      <c r="H183" s="25"/>
      <c r="I183" s="25"/>
      <c r="J183" s="25"/>
      <c r="K183" s="25"/>
      <c r="L183" s="25"/>
      <c r="M183" s="25"/>
      <c r="N183" s="25"/>
      <c r="O183" s="25"/>
      <c r="P183" s="25"/>
      <c r="Q183" s="25"/>
      <c r="R183" s="25"/>
      <c r="S183" s="53">
        <f>S181+S182</f>
        <v>39840</v>
      </c>
      <c r="T183" s="53">
        <f>T182+T181</f>
        <v>8237</v>
      </c>
      <c r="U183" s="25"/>
      <c r="V183" s="53">
        <f>S183+T183</f>
        <v>48077</v>
      </c>
      <c r="W183" s="25"/>
      <c r="X183" s="5"/>
    </row>
    <row r="184" spans="1:24" ht="15.6" x14ac:dyDescent="0.3">
      <c r="A184" s="24"/>
      <c r="B184" s="25" t="s">
        <v>64</v>
      </c>
      <c r="C184" s="25"/>
      <c r="D184" s="25"/>
      <c r="E184" s="25"/>
      <c r="F184" s="25"/>
      <c r="G184" s="25"/>
      <c r="H184" s="25"/>
      <c r="I184" s="25"/>
      <c r="J184" s="25"/>
      <c r="K184" s="25"/>
      <c r="L184" s="25"/>
      <c r="M184" s="25"/>
      <c r="N184" s="25"/>
      <c r="O184" s="25"/>
      <c r="P184" s="25"/>
      <c r="Q184" s="25"/>
      <c r="R184" s="25"/>
      <c r="S184" s="53">
        <f>S180-S183-T183</f>
        <v>191953.4</v>
      </c>
      <c r="T184" s="40"/>
      <c r="U184" s="25"/>
      <c r="V184" s="53"/>
      <c r="W184" s="25"/>
      <c r="X184" s="5"/>
    </row>
    <row r="185" spans="1:24" ht="16.2" thickBot="1" x14ac:dyDescent="0.35">
      <c r="A185" s="24"/>
      <c r="B185" s="25"/>
      <c r="C185" s="25"/>
      <c r="D185" s="25"/>
      <c r="E185" s="25"/>
      <c r="F185" s="25"/>
      <c r="G185" s="25"/>
      <c r="H185" s="25"/>
      <c r="I185" s="25"/>
      <c r="J185" s="25"/>
      <c r="K185" s="25"/>
      <c r="L185" s="25"/>
      <c r="M185" s="25"/>
      <c r="N185" s="25"/>
      <c r="O185" s="25"/>
      <c r="P185" s="25"/>
      <c r="Q185" s="25"/>
      <c r="R185" s="25"/>
      <c r="S185" s="25"/>
      <c r="T185" s="25"/>
      <c r="U185" s="25"/>
      <c r="V185" s="61"/>
      <c r="W185" s="25"/>
      <c r="X185" s="5"/>
    </row>
    <row r="186" spans="1:24" ht="15.6" x14ac:dyDescent="0.3">
      <c r="A186" s="2"/>
      <c r="B186" s="4"/>
      <c r="C186" s="4"/>
      <c r="D186" s="4"/>
      <c r="E186" s="4"/>
      <c r="F186" s="4"/>
      <c r="G186" s="4"/>
      <c r="H186" s="4"/>
      <c r="I186" s="4"/>
      <c r="J186" s="4"/>
      <c r="K186" s="4"/>
      <c r="L186" s="4"/>
      <c r="M186" s="4"/>
      <c r="N186" s="4"/>
      <c r="O186" s="4"/>
      <c r="P186" s="4"/>
      <c r="Q186" s="4"/>
      <c r="R186" s="4"/>
      <c r="S186" s="4"/>
      <c r="T186" s="4"/>
      <c r="U186" s="4"/>
      <c r="V186" s="50"/>
      <c r="W186" s="4"/>
      <c r="X186" s="5"/>
    </row>
    <row r="187" spans="1:24" ht="15.6" x14ac:dyDescent="0.3">
      <c r="A187" s="6"/>
      <c r="B187" s="119" t="s">
        <v>65</v>
      </c>
      <c r="C187" s="8"/>
      <c r="D187" s="8"/>
      <c r="E187" s="8"/>
      <c r="F187" s="8"/>
      <c r="G187" s="8"/>
      <c r="H187" s="8"/>
      <c r="I187" s="8"/>
      <c r="J187" s="8"/>
      <c r="K187" s="8"/>
      <c r="L187" s="8"/>
      <c r="M187" s="8"/>
      <c r="N187" s="8"/>
      <c r="O187" s="8"/>
      <c r="P187" s="8"/>
      <c r="Q187" s="8"/>
      <c r="R187" s="8"/>
      <c r="S187" s="8"/>
      <c r="T187" s="8"/>
      <c r="U187" s="8"/>
      <c r="V187" s="65"/>
      <c r="W187" s="8"/>
      <c r="X187" s="5"/>
    </row>
    <row r="188" spans="1:24" ht="15.6" x14ac:dyDescent="0.3">
      <c r="A188" s="24"/>
      <c r="B188" s="25" t="s">
        <v>66</v>
      </c>
      <c r="C188" s="25"/>
      <c r="D188" s="25"/>
      <c r="E188" s="25"/>
      <c r="F188" s="25"/>
      <c r="G188" s="25"/>
      <c r="H188" s="25"/>
      <c r="I188" s="25"/>
      <c r="J188" s="25"/>
      <c r="K188" s="25"/>
      <c r="L188" s="25"/>
      <c r="M188" s="25"/>
      <c r="N188" s="25"/>
      <c r="O188" s="25"/>
      <c r="P188" s="25"/>
      <c r="Q188" s="25"/>
      <c r="R188" s="25"/>
      <c r="S188" s="25"/>
      <c r="T188" s="25"/>
      <c r="U188" s="25"/>
      <c r="V188" s="59">
        <f>(V101+V103+V104+V105+V106)/-(V107+V108)</f>
        <v>1.993580337490829</v>
      </c>
      <c r="W188" s="25" t="s">
        <v>118</v>
      </c>
      <c r="X188" s="5"/>
    </row>
    <row r="189" spans="1:24" ht="15.6" x14ac:dyDescent="0.3">
      <c r="A189" s="24"/>
      <c r="B189" s="25" t="s">
        <v>67</v>
      </c>
      <c r="C189" s="25"/>
      <c r="D189" s="25"/>
      <c r="E189" s="25"/>
      <c r="F189" s="25"/>
      <c r="G189" s="25"/>
      <c r="H189" s="25"/>
      <c r="I189" s="25"/>
      <c r="J189" s="25"/>
      <c r="K189" s="25"/>
      <c r="L189" s="25"/>
      <c r="M189" s="25"/>
      <c r="N189" s="25"/>
      <c r="O189" s="25"/>
      <c r="P189" s="25"/>
      <c r="Q189" s="25"/>
      <c r="R189" s="25"/>
      <c r="S189" s="25"/>
      <c r="T189" s="25"/>
      <c r="U189" s="25"/>
      <c r="V189" s="66">
        <v>1.39</v>
      </c>
      <c r="W189" s="25" t="s">
        <v>118</v>
      </c>
      <c r="X189" s="5"/>
    </row>
    <row r="190" spans="1:24" ht="15.6" x14ac:dyDescent="0.3">
      <c r="A190" s="24"/>
      <c r="B190" s="25" t="s">
        <v>68</v>
      </c>
      <c r="C190" s="25"/>
      <c r="D190" s="25"/>
      <c r="E190" s="25"/>
      <c r="F190" s="25"/>
      <c r="G190" s="25"/>
      <c r="H190" s="25"/>
      <c r="I190" s="25"/>
      <c r="J190" s="25"/>
      <c r="K190" s="25"/>
      <c r="L190" s="25"/>
      <c r="M190" s="25"/>
      <c r="N190" s="25"/>
      <c r="O190" s="25"/>
      <c r="P190" s="25"/>
      <c r="Q190" s="25"/>
      <c r="R190" s="25"/>
      <c r="S190" s="25"/>
      <c r="T190" s="25"/>
      <c r="U190" s="25"/>
      <c r="V190" s="59">
        <f>(V101+V103+V104+V105+V106+V107+V108)/-(V110+V111)</f>
        <v>7.9080291970802916</v>
      </c>
      <c r="W190" s="25" t="s">
        <v>118</v>
      </c>
      <c r="X190" s="5"/>
    </row>
    <row r="191" spans="1:24" ht="15.6" x14ac:dyDescent="0.3">
      <c r="A191" s="24"/>
      <c r="B191" s="25" t="s">
        <v>69</v>
      </c>
      <c r="C191" s="25"/>
      <c r="D191" s="25"/>
      <c r="E191" s="25"/>
      <c r="F191" s="25"/>
      <c r="G191" s="25"/>
      <c r="H191" s="25"/>
      <c r="I191" s="25"/>
      <c r="J191" s="25"/>
      <c r="K191" s="25"/>
      <c r="L191" s="25"/>
      <c r="M191" s="25"/>
      <c r="N191" s="25"/>
      <c r="O191" s="25"/>
      <c r="P191" s="25"/>
      <c r="Q191" s="25"/>
      <c r="R191" s="25"/>
      <c r="S191" s="25"/>
      <c r="T191" s="25"/>
      <c r="U191" s="25"/>
      <c r="V191" s="66">
        <v>4.0199999999999996</v>
      </c>
      <c r="W191" s="25" t="s">
        <v>118</v>
      </c>
      <c r="X191" s="5"/>
    </row>
    <row r="192" spans="1:24" ht="15.6" x14ac:dyDescent="0.3">
      <c r="A192" s="24"/>
      <c r="B192" s="25" t="s">
        <v>201</v>
      </c>
      <c r="C192" s="25"/>
      <c r="D192" s="25"/>
      <c r="E192" s="25"/>
      <c r="F192" s="25"/>
      <c r="G192" s="25"/>
      <c r="H192" s="25"/>
      <c r="I192" s="25"/>
      <c r="J192" s="25"/>
      <c r="K192" s="25"/>
      <c r="L192" s="25"/>
      <c r="M192" s="25"/>
      <c r="N192" s="25"/>
      <c r="O192" s="25"/>
      <c r="P192" s="25"/>
      <c r="Q192" s="25"/>
      <c r="R192" s="25"/>
      <c r="S192" s="25"/>
      <c r="T192" s="25"/>
      <c r="U192" s="25"/>
      <c r="V192" s="59">
        <f>(V101+V103+V104+V105+V106+V107+V108+V110+V111)/-(V112+V113)</f>
        <v>10.633707865168539</v>
      </c>
      <c r="W192" s="25" t="s">
        <v>118</v>
      </c>
      <c r="X192" s="5"/>
    </row>
    <row r="193" spans="1:24" ht="15.6" x14ac:dyDescent="0.3">
      <c r="A193" s="24"/>
      <c r="B193" s="25" t="s">
        <v>202</v>
      </c>
      <c r="C193" s="25"/>
      <c r="D193" s="25"/>
      <c r="E193" s="25"/>
      <c r="F193" s="25"/>
      <c r="G193" s="25"/>
      <c r="H193" s="25"/>
      <c r="I193" s="25"/>
      <c r="J193" s="25"/>
      <c r="K193" s="25"/>
      <c r="L193" s="25"/>
      <c r="M193" s="25"/>
      <c r="N193" s="25"/>
      <c r="O193" s="25"/>
      <c r="P193" s="25"/>
      <c r="Q193" s="25"/>
      <c r="R193" s="25"/>
      <c r="S193" s="25"/>
      <c r="T193" s="25"/>
      <c r="U193" s="25"/>
      <c r="V193" s="66">
        <v>4.8600000000000003</v>
      </c>
      <c r="W193" s="25" t="s">
        <v>118</v>
      </c>
      <c r="X193" s="5"/>
    </row>
    <row r="194" spans="1:24" ht="15.6" x14ac:dyDescent="0.3">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5"/>
    </row>
    <row r="195" spans="1:24" ht="15.6" x14ac:dyDescent="0.3">
      <c r="A195" s="24"/>
      <c r="B195" s="25"/>
      <c r="C195" s="25"/>
      <c r="D195" s="25"/>
      <c r="E195" s="25"/>
      <c r="F195" s="25"/>
      <c r="G195" s="25"/>
      <c r="H195" s="25"/>
      <c r="I195" s="25"/>
      <c r="J195" s="25"/>
      <c r="K195" s="25"/>
      <c r="L195" s="25"/>
      <c r="M195" s="25"/>
      <c r="N195" s="25"/>
      <c r="O195" s="25"/>
      <c r="P195" s="25"/>
      <c r="Q195" s="25"/>
      <c r="R195" s="25"/>
      <c r="S195" s="25"/>
      <c r="T195" s="25"/>
      <c r="U195" s="25"/>
      <c r="V195" s="25"/>
      <c r="W195" s="25"/>
      <c r="X195" s="5"/>
    </row>
    <row r="196" spans="1:24" ht="15.6" x14ac:dyDescent="0.3">
      <c r="A196" s="6"/>
      <c r="B196" s="8"/>
      <c r="C196" s="8"/>
      <c r="D196" s="8"/>
      <c r="E196" s="8"/>
      <c r="F196" s="8"/>
      <c r="G196" s="8"/>
      <c r="H196" s="8"/>
      <c r="I196" s="8"/>
      <c r="J196" s="8"/>
      <c r="K196" s="8"/>
      <c r="L196" s="8"/>
      <c r="M196" s="8"/>
      <c r="N196" s="8"/>
      <c r="O196" s="8"/>
      <c r="P196" s="8"/>
      <c r="Q196" s="8"/>
      <c r="R196" s="8"/>
      <c r="S196" s="8"/>
      <c r="T196" s="8"/>
      <c r="U196" s="8"/>
      <c r="V196" s="8"/>
      <c r="W196" s="8"/>
      <c r="X196" s="5"/>
    </row>
    <row r="197" spans="1:24" ht="18" thickBot="1" x14ac:dyDescent="0.35">
      <c r="A197" s="101"/>
      <c r="B197" s="102" t="str">
        <f>B138</f>
        <v>PM13 INVESTOR REPORT QUARTER ENDING MARCH 2009</v>
      </c>
      <c r="C197" s="165"/>
      <c r="D197" s="165"/>
      <c r="E197" s="165"/>
      <c r="F197" s="165"/>
      <c r="G197" s="165"/>
      <c r="H197" s="165"/>
      <c r="I197" s="165"/>
      <c r="J197" s="165"/>
      <c r="K197" s="165"/>
      <c r="L197" s="165"/>
      <c r="M197" s="165"/>
      <c r="N197" s="165"/>
      <c r="O197" s="165"/>
      <c r="P197" s="165"/>
      <c r="Q197" s="165"/>
      <c r="R197" s="165"/>
      <c r="S197" s="165"/>
      <c r="T197" s="165"/>
      <c r="U197" s="165"/>
      <c r="V197" s="165"/>
      <c r="W197" s="166"/>
      <c r="X197" s="5"/>
    </row>
    <row r="198" spans="1:24" ht="15.6" x14ac:dyDescent="0.3">
      <c r="A198" s="67"/>
      <c r="B198" s="60" t="s">
        <v>70</v>
      </c>
      <c r="C198" s="68"/>
      <c r="D198" s="68"/>
      <c r="E198" s="68"/>
      <c r="F198" s="68"/>
      <c r="G198" s="69"/>
      <c r="H198" s="69"/>
      <c r="I198" s="69"/>
      <c r="J198" s="69"/>
      <c r="K198" s="69"/>
      <c r="L198" s="69"/>
      <c r="M198" s="69"/>
      <c r="N198" s="69"/>
      <c r="O198" s="69"/>
      <c r="P198" s="69"/>
      <c r="Q198" s="69"/>
      <c r="R198" s="69"/>
      <c r="S198" s="69"/>
      <c r="T198" s="70">
        <v>39903</v>
      </c>
      <c r="U198" s="4"/>
      <c r="V198" s="4"/>
      <c r="W198" s="4"/>
      <c r="X198" s="5"/>
    </row>
    <row r="199" spans="1:24" ht="15.6" x14ac:dyDescent="0.3">
      <c r="A199" s="71"/>
      <c r="B199" s="72"/>
      <c r="C199" s="73"/>
      <c r="D199" s="73"/>
      <c r="E199" s="73"/>
      <c r="F199" s="73"/>
      <c r="G199" s="74"/>
      <c r="H199" s="74"/>
      <c r="I199" s="74"/>
      <c r="J199" s="74"/>
      <c r="K199" s="74"/>
      <c r="L199" s="74"/>
      <c r="M199" s="74"/>
      <c r="N199" s="74"/>
      <c r="O199" s="74"/>
      <c r="P199" s="74"/>
      <c r="Q199" s="74"/>
      <c r="R199" s="74"/>
      <c r="S199" s="74"/>
      <c r="T199" s="74"/>
      <c r="U199" s="8"/>
      <c r="V199" s="8"/>
      <c r="W199" s="8"/>
      <c r="X199" s="5"/>
    </row>
    <row r="200" spans="1:24" ht="15.6" x14ac:dyDescent="0.3">
      <c r="A200" s="75"/>
      <c r="B200" s="76" t="s">
        <v>71</v>
      </c>
      <c r="C200" s="77"/>
      <c r="D200" s="77"/>
      <c r="E200" s="77"/>
      <c r="F200" s="77"/>
      <c r="G200" s="64"/>
      <c r="H200" s="64"/>
      <c r="I200" s="64"/>
      <c r="J200" s="64"/>
      <c r="K200" s="64"/>
      <c r="L200" s="64"/>
      <c r="M200" s="64"/>
      <c r="N200" s="64"/>
      <c r="O200" s="64"/>
      <c r="P200" s="64"/>
      <c r="Q200" s="64"/>
      <c r="R200" s="64"/>
      <c r="S200" s="64"/>
      <c r="T200" s="78">
        <v>5.4539999999999998E-2</v>
      </c>
      <c r="U200" s="25"/>
      <c r="V200" s="25"/>
      <c r="W200" s="25"/>
      <c r="X200" s="5"/>
    </row>
    <row r="201" spans="1:24" ht="15.6" x14ac:dyDescent="0.3">
      <c r="A201" s="75"/>
      <c r="B201" s="76" t="s">
        <v>154</v>
      </c>
      <c r="C201" s="77"/>
      <c r="D201" s="77"/>
      <c r="E201" s="77"/>
      <c r="F201" s="77"/>
      <c r="G201" s="64"/>
      <c r="H201" s="64"/>
      <c r="I201" s="64"/>
      <c r="J201" s="64"/>
      <c r="K201" s="64"/>
      <c r="L201" s="64"/>
      <c r="M201" s="64"/>
      <c r="N201" s="64"/>
      <c r="O201" s="64"/>
      <c r="P201" s="64"/>
      <c r="Q201" s="64"/>
      <c r="R201" s="64"/>
      <c r="S201" s="64"/>
      <c r="T201" s="39">
        <f>'Dec 06'!T199</f>
        <v>5.238600504269459E-2</v>
      </c>
      <c r="U201" s="25"/>
      <c r="V201" s="25"/>
      <c r="W201" s="25"/>
      <c r="X201" s="5"/>
    </row>
    <row r="202" spans="1:24" ht="15.6" x14ac:dyDescent="0.3">
      <c r="A202" s="75"/>
      <c r="B202" s="76" t="s">
        <v>72</v>
      </c>
      <c r="C202" s="77"/>
      <c r="D202" s="77"/>
      <c r="E202" s="77"/>
      <c r="F202" s="77"/>
      <c r="G202" s="64"/>
      <c r="H202" s="64"/>
      <c r="I202" s="64"/>
      <c r="J202" s="64"/>
      <c r="K202" s="64"/>
      <c r="L202" s="64"/>
      <c r="M202" s="64"/>
      <c r="N202" s="64"/>
      <c r="O202" s="64"/>
      <c r="P202" s="64"/>
      <c r="Q202" s="64"/>
      <c r="R202" s="64"/>
      <c r="S202" s="64"/>
      <c r="T202" s="78">
        <f>+T200-T201</f>
        <v>2.1539949573054079E-3</v>
      </c>
      <c r="U202" s="25"/>
      <c r="V202" s="25"/>
      <c r="W202" s="25"/>
      <c r="X202" s="5"/>
    </row>
    <row r="203" spans="1:24" ht="15.6" x14ac:dyDescent="0.3">
      <c r="A203" s="75"/>
      <c r="B203" s="76" t="s">
        <v>73</v>
      </c>
      <c r="C203" s="77"/>
      <c r="D203" s="77"/>
      <c r="E203" s="77"/>
      <c r="F203" s="77"/>
      <c r="G203" s="64"/>
      <c r="H203" s="64"/>
      <c r="I203" s="64"/>
      <c r="J203" s="64"/>
      <c r="K203" s="64"/>
      <c r="L203" s="64"/>
      <c r="M203" s="64"/>
      <c r="N203" s="64"/>
      <c r="O203" s="64"/>
      <c r="P203" s="64"/>
      <c r="Q203" s="64"/>
      <c r="R203" s="64"/>
      <c r="S203" s="64"/>
      <c r="T203" s="78">
        <v>4.2119999999999998E-2</v>
      </c>
      <c r="U203" s="25"/>
      <c r="V203" s="25"/>
      <c r="W203" s="25"/>
      <c r="X203" s="5"/>
    </row>
    <row r="204" spans="1:24" ht="15.6" x14ac:dyDescent="0.3">
      <c r="A204" s="75"/>
      <c r="B204" s="76" t="s">
        <v>222</v>
      </c>
      <c r="C204" s="77"/>
      <c r="D204" s="77"/>
      <c r="E204" s="77"/>
      <c r="F204" s="77"/>
      <c r="G204" s="64"/>
      <c r="H204" s="64"/>
      <c r="I204" s="64"/>
      <c r="J204" s="64"/>
      <c r="K204" s="64"/>
      <c r="L204" s="64"/>
      <c r="M204" s="64"/>
      <c r="N204" s="64"/>
      <c r="O204" s="64"/>
      <c r="P204" s="64"/>
      <c r="Q204" s="64"/>
      <c r="R204" s="64"/>
      <c r="S204" s="64"/>
      <c r="T204" s="78">
        <f>V43</f>
        <v>2.4323235162592986E-2</v>
      </c>
      <c r="U204" s="25"/>
      <c r="V204" s="25"/>
      <c r="W204" s="25"/>
      <c r="X204" s="5"/>
    </row>
    <row r="205" spans="1:24" ht="15.6" x14ac:dyDescent="0.3">
      <c r="A205" s="75"/>
      <c r="B205" s="76" t="s">
        <v>74</v>
      </c>
      <c r="C205" s="77"/>
      <c r="D205" s="77"/>
      <c r="E205" s="77"/>
      <c r="F205" s="77"/>
      <c r="G205" s="64"/>
      <c r="H205" s="64"/>
      <c r="I205" s="64"/>
      <c r="J205" s="64"/>
      <c r="K205" s="64"/>
      <c r="L205" s="64"/>
      <c r="M205" s="64"/>
      <c r="N205" s="64"/>
      <c r="O205" s="64"/>
      <c r="P205" s="64"/>
      <c r="Q205" s="64"/>
      <c r="R205" s="64"/>
      <c r="S205" s="64"/>
      <c r="T205" s="78">
        <f>T203-T204</f>
        <v>1.7796764837407011E-2</v>
      </c>
      <c r="U205" s="25"/>
      <c r="V205" s="25"/>
      <c r="W205" s="25"/>
      <c r="X205" s="5"/>
    </row>
    <row r="206" spans="1:24" ht="15.6" x14ac:dyDescent="0.3">
      <c r="A206" s="75"/>
      <c r="B206" s="76" t="s">
        <v>274</v>
      </c>
      <c r="C206" s="77"/>
      <c r="D206" s="77"/>
      <c r="E206" s="77"/>
      <c r="F206" s="77"/>
      <c r="G206" s="64"/>
      <c r="H206" s="64"/>
      <c r="I206" s="64"/>
      <c r="J206" s="64"/>
      <c r="K206" s="64"/>
      <c r="L206" s="64"/>
      <c r="M206" s="64"/>
      <c r="N206" s="64"/>
      <c r="O206" s="64"/>
      <c r="P206" s="64"/>
      <c r="Q206" s="64"/>
      <c r="R206" s="64"/>
      <c r="S206" s="64"/>
      <c r="T206" s="78">
        <f>+V101/N72</f>
        <v>1.2705536771344983E-2</v>
      </c>
      <c r="U206" s="25"/>
      <c r="V206" s="25"/>
      <c r="W206" s="25"/>
      <c r="X206" s="5"/>
    </row>
    <row r="207" spans="1:24" ht="15.6" x14ac:dyDescent="0.3">
      <c r="A207" s="75"/>
      <c r="B207" s="76" t="s">
        <v>211</v>
      </c>
      <c r="C207" s="77"/>
      <c r="D207" s="77"/>
      <c r="E207" s="77"/>
      <c r="F207" s="77"/>
      <c r="G207" s="64"/>
      <c r="H207" s="64"/>
      <c r="I207" s="64"/>
      <c r="J207" s="64"/>
      <c r="K207" s="64"/>
      <c r="L207" s="64"/>
      <c r="M207" s="64"/>
      <c r="N207" s="64"/>
      <c r="O207" s="64"/>
      <c r="P207" s="64"/>
      <c r="Q207" s="64"/>
      <c r="R207" s="64"/>
      <c r="S207" s="64"/>
      <c r="T207" s="129">
        <v>50771</v>
      </c>
      <c r="U207" s="25"/>
      <c r="V207" s="25"/>
      <c r="W207" s="25"/>
      <c r="X207" s="5"/>
    </row>
    <row r="208" spans="1:24" ht="15.6" x14ac:dyDescent="0.3">
      <c r="A208" s="75"/>
      <c r="B208" s="76" t="s">
        <v>212</v>
      </c>
      <c r="C208" s="77"/>
      <c r="D208" s="77"/>
      <c r="E208" s="77"/>
      <c r="F208" s="77"/>
      <c r="G208" s="64"/>
      <c r="H208" s="64"/>
      <c r="I208" s="64"/>
      <c r="J208" s="64"/>
      <c r="K208" s="64"/>
      <c r="L208" s="64"/>
      <c r="M208" s="64"/>
      <c r="N208" s="64"/>
      <c r="O208" s="64"/>
      <c r="P208" s="64"/>
      <c r="Q208" s="64"/>
      <c r="R208" s="64"/>
      <c r="S208" s="64"/>
      <c r="T208" s="129">
        <v>50771</v>
      </c>
      <c r="U208" s="25"/>
      <c r="V208" s="25"/>
      <c r="W208" s="25"/>
      <c r="X208" s="5"/>
    </row>
    <row r="209" spans="1:24" ht="15.6" x14ac:dyDescent="0.3">
      <c r="A209" s="75"/>
      <c r="B209" s="76" t="s">
        <v>213</v>
      </c>
      <c r="C209" s="77"/>
      <c r="D209" s="77"/>
      <c r="E209" s="77"/>
      <c r="F209" s="77"/>
      <c r="G209" s="64"/>
      <c r="H209" s="64"/>
      <c r="I209" s="64"/>
      <c r="J209" s="64"/>
      <c r="K209" s="64"/>
      <c r="L209" s="64"/>
      <c r="M209" s="64"/>
      <c r="N209" s="64"/>
      <c r="O209" s="64"/>
      <c r="P209" s="64"/>
      <c r="Q209" s="64"/>
      <c r="R209" s="64"/>
      <c r="S209" s="64"/>
      <c r="T209" s="129">
        <v>50771</v>
      </c>
      <c r="U209" s="25"/>
      <c r="V209" s="25"/>
      <c r="W209" s="25"/>
      <c r="X209" s="5"/>
    </row>
    <row r="210" spans="1:24" ht="15.6" x14ac:dyDescent="0.3">
      <c r="A210" s="75"/>
      <c r="B210" s="76" t="s">
        <v>75</v>
      </c>
      <c r="C210" s="77"/>
      <c r="D210" s="77"/>
      <c r="E210" s="77"/>
      <c r="F210" s="77"/>
      <c r="G210" s="64"/>
      <c r="H210" s="64"/>
      <c r="I210" s="64"/>
      <c r="J210" s="64"/>
      <c r="K210" s="64"/>
      <c r="L210" s="64"/>
      <c r="M210" s="64"/>
      <c r="N210" s="64"/>
      <c r="O210" s="64"/>
      <c r="P210" s="64"/>
      <c r="Q210" s="64"/>
      <c r="R210" s="64"/>
      <c r="S210" s="64"/>
      <c r="T210" s="133">
        <v>20.66</v>
      </c>
      <c r="U210" s="25" t="s">
        <v>113</v>
      </c>
      <c r="V210" s="25"/>
      <c r="W210" s="25"/>
      <c r="X210" s="5"/>
    </row>
    <row r="211" spans="1:24" ht="15.6" x14ac:dyDescent="0.3">
      <c r="A211" s="75"/>
      <c r="B211" s="76" t="s">
        <v>76</v>
      </c>
      <c r="C211" s="77"/>
      <c r="D211" s="77"/>
      <c r="E211" s="77"/>
      <c r="F211" s="77"/>
      <c r="G211" s="64"/>
      <c r="H211" s="64"/>
      <c r="I211" s="64"/>
      <c r="J211" s="64"/>
      <c r="K211" s="64"/>
      <c r="L211" s="64"/>
      <c r="M211" s="64"/>
      <c r="N211" s="64"/>
      <c r="O211" s="64"/>
      <c r="P211" s="64"/>
      <c r="Q211" s="64"/>
      <c r="R211" s="64"/>
      <c r="S211" s="64"/>
      <c r="T211" s="133">
        <v>18.489999999999998</v>
      </c>
      <c r="U211" s="25" t="s">
        <v>113</v>
      </c>
      <c r="V211" s="25"/>
      <c r="W211" s="25"/>
      <c r="X211" s="5"/>
    </row>
    <row r="212" spans="1:24" ht="15.6" x14ac:dyDescent="0.3">
      <c r="A212" s="75"/>
      <c r="B212" s="76" t="s">
        <v>77</v>
      </c>
      <c r="C212" s="77"/>
      <c r="D212" s="77"/>
      <c r="E212" s="77"/>
      <c r="F212" s="77"/>
      <c r="G212" s="64"/>
      <c r="H212" s="64"/>
      <c r="I212" s="64"/>
      <c r="J212" s="64"/>
      <c r="K212" s="64"/>
      <c r="L212" s="64"/>
      <c r="M212" s="64"/>
      <c r="N212" s="64"/>
      <c r="O212" s="64"/>
      <c r="P212" s="64"/>
      <c r="Q212" s="64"/>
      <c r="R212" s="64"/>
      <c r="S212" s="64"/>
      <c r="T212" s="78">
        <f>+P69/N69</f>
        <v>1.6839277920975115E-2</v>
      </c>
      <c r="U212" s="25"/>
      <c r="V212" s="25"/>
      <c r="W212" s="25"/>
      <c r="X212" s="5"/>
    </row>
    <row r="213" spans="1:24" ht="15.6" x14ac:dyDescent="0.3">
      <c r="A213" s="75"/>
      <c r="B213" s="76" t="s">
        <v>78</v>
      </c>
      <c r="C213" s="77"/>
      <c r="D213" s="77"/>
      <c r="E213" s="77"/>
      <c r="F213" s="77"/>
      <c r="G213" s="64"/>
      <c r="H213" s="64"/>
      <c r="I213" s="64"/>
      <c r="J213" s="64"/>
      <c r="K213" s="64"/>
      <c r="L213" s="64"/>
      <c r="M213" s="64"/>
      <c r="N213" s="64"/>
      <c r="O213" s="64"/>
      <c r="P213" s="64"/>
      <c r="Q213" s="64"/>
      <c r="R213" s="64"/>
      <c r="S213" s="64"/>
      <c r="T213" s="78">
        <v>0.14349999999999999</v>
      </c>
      <c r="U213" s="25"/>
      <c r="V213" s="25"/>
      <c r="W213" s="25"/>
      <c r="X213" s="5"/>
    </row>
    <row r="214" spans="1:24" ht="15.6" x14ac:dyDescent="0.3">
      <c r="A214" s="75"/>
      <c r="B214" s="76"/>
      <c r="C214" s="76"/>
      <c r="D214" s="76"/>
      <c r="E214" s="76"/>
      <c r="F214" s="76"/>
      <c r="G214" s="25"/>
      <c r="H214" s="25"/>
      <c r="I214" s="25"/>
      <c r="J214" s="25"/>
      <c r="K214" s="25"/>
      <c r="L214" s="25"/>
      <c r="M214" s="25"/>
      <c r="N214" s="25"/>
      <c r="O214" s="25"/>
      <c r="P214" s="25"/>
      <c r="Q214" s="25"/>
      <c r="R214" s="25"/>
      <c r="S214" s="25"/>
      <c r="T214" s="61"/>
      <c r="U214" s="25"/>
      <c r="V214" s="79"/>
      <c r="W214" s="25"/>
      <c r="X214" s="5"/>
    </row>
    <row r="215" spans="1:24" ht="15.6" x14ac:dyDescent="0.3">
      <c r="A215" s="80"/>
      <c r="B215" s="14" t="s">
        <v>79</v>
      </c>
      <c r="C215" s="81"/>
      <c r="D215" s="81"/>
      <c r="E215" s="81"/>
      <c r="F215" s="82"/>
      <c r="G215" s="81"/>
      <c r="H215" s="17"/>
      <c r="I215" s="17"/>
      <c r="J215" s="17"/>
      <c r="K215" s="17"/>
      <c r="L215" s="17"/>
      <c r="M215" s="17"/>
      <c r="N215" s="17"/>
      <c r="O215" s="17"/>
      <c r="P215" s="17"/>
      <c r="Q215" s="17"/>
      <c r="R215" s="17"/>
      <c r="S215" s="17" t="s">
        <v>103</v>
      </c>
      <c r="T215" s="83" t="s">
        <v>110</v>
      </c>
      <c r="U215" s="8"/>
      <c r="V215" s="8"/>
      <c r="W215" s="8"/>
      <c r="X215" s="5"/>
    </row>
    <row r="216" spans="1:24" ht="15.6" x14ac:dyDescent="0.3">
      <c r="A216" s="84"/>
      <c r="B216" s="76" t="s">
        <v>80</v>
      </c>
      <c r="C216" s="54"/>
      <c r="D216" s="54"/>
      <c r="E216" s="54"/>
      <c r="F216" s="25"/>
      <c r="G216" s="25"/>
      <c r="H216" s="30"/>
      <c r="I216" s="30"/>
      <c r="J216" s="30"/>
      <c r="K216" s="30"/>
      <c r="L216" s="30"/>
      <c r="M216" s="30"/>
      <c r="N216" s="30"/>
      <c r="O216" s="30"/>
      <c r="P216" s="30"/>
      <c r="Q216" s="30"/>
      <c r="R216" s="30"/>
      <c r="S216" s="30">
        <v>1</v>
      </c>
      <c r="T216" s="85">
        <v>127</v>
      </c>
      <c r="U216" s="25"/>
      <c r="V216" s="79"/>
      <c r="W216" s="86"/>
      <c r="X216" s="5"/>
    </row>
    <row r="217" spans="1:24" ht="15.6" x14ac:dyDescent="0.3">
      <c r="A217" s="84"/>
      <c r="B217" s="76" t="s">
        <v>148</v>
      </c>
      <c r="C217" s="54"/>
      <c r="D217" s="54"/>
      <c r="E217" s="54"/>
      <c r="F217" s="25"/>
      <c r="G217" s="25"/>
      <c r="H217" s="30"/>
      <c r="I217" s="30"/>
      <c r="J217" s="30"/>
      <c r="K217" s="30"/>
      <c r="L217" s="30"/>
      <c r="M217" s="30"/>
      <c r="N217" s="30"/>
      <c r="O217" s="30"/>
      <c r="P217" s="30"/>
      <c r="Q217" s="30"/>
      <c r="R217" s="30"/>
      <c r="S217" s="152">
        <f>+R257</f>
        <v>271</v>
      </c>
      <c r="T217" s="85">
        <f>+T257</f>
        <v>36346</v>
      </c>
      <c r="U217" s="25"/>
      <c r="V217" s="79"/>
      <c r="W217" s="86"/>
      <c r="X217" s="5"/>
    </row>
    <row r="218" spans="1:24" ht="15.6" x14ac:dyDescent="0.3">
      <c r="A218" s="84"/>
      <c r="B218" s="76" t="s">
        <v>81</v>
      </c>
      <c r="C218" s="54"/>
      <c r="D218" s="54"/>
      <c r="E218" s="54"/>
      <c r="F218" s="25"/>
      <c r="G218" s="25"/>
      <c r="H218" s="30"/>
      <c r="I218" s="30"/>
      <c r="J218" s="30"/>
      <c r="K218" s="30"/>
      <c r="L218" s="30"/>
      <c r="M218" s="30"/>
      <c r="N218" s="30"/>
      <c r="O218" s="30"/>
      <c r="P218" s="30"/>
      <c r="Q218" s="30"/>
      <c r="R218" s="30"/>
      <c r="S218" s="152">
        <f>+R269</f>
        <v>1</v>
      </c>
      <c r="T218" s="85">
        <f>+T269</f>
        <v>162</v>
      </c>
      <c r="U218" s="25"/>
      <c r="V218" s="79"/>
      <c r="W218" s="86"/>
      <c r="X218" s="5"/>
    </row>
    <row r="219" spans="1:24" ht="15.6" x14ac:dyDescent="0.3">
      <c r="A219" s="84"/>
      <c r="B219" s="122" t="s">
        <v>82</v>
      </c>
      <c r="C219" s="54"/>
      <c r="D219" s="54"/>
      <c r="E219" s="54"/>
      <c r="F219" s="25"/>
      <c r="G219" s="25"/>
      <c r="H219" s="25"/>
      <c r="I219" s="25"/>
      <c r="J219" s="25"/>
      <c r="K219" s="25"/>
      <c r="L219" s="25"/>
      <c r="M219" s="25"/>
      <c r="N219" s="25"/>
      <c r="O219" s="25"/>
      <c r="P219" s="25"/>
      <c r="Q219" s="25"/>
      <c r="R219" s="25"/>
      <c r="S219" s="25"/>
      <c r="T219" s="85">
        <v>0</v>
      </c>
      <c r="U219" s="25"/>
      <c r="V219" s="79"/>
      <c r="W219" s="86"/>
      <c r="X219" s="5"/>
    </row>
    <row r="220" spans="1:24" ht="15.6" x14ac:dyDescent="0.3">
      <c r="A220" s="84"/>
      <c r="B220" s="122" t="s">
        <v>275</v>
      </c>
      <c r="C220" s="54"/>
      <c r="D220" s="54"/>
      <c r="E220" s="54"/>
      <c r="F220" s="25"/>
      <c r="G220" s="25"/>
      <c r="H220" s="25"/>
      <c r="I220" s="25"/>
      <c r="J220" s="25"/>
      <c r="K220" s="25"/>
      <c r="L220" s="25"/>
      <c r="M220" s="25"/>
      <c r="N220" s="25"/>
      <c r="O220" s="25"/>
      <c r="P220" s="25"/>
      <c r="Q220" s="25"/>
      <c r="R220" s="25"/>
      <c r="S220" s="25"/>
      <c r="T220" s="85">
        <f>+N82</f>
        <v>0</v>
      </c>
      <c r="U220" s="25"/>
      <c r="V220" s="79"/>
      <c r="W220" s="86"/>
      <c r="X220" s="5"/>
    </row>
    <row r="221" spans="1:24" ht="15.6" x14ac:dyDescent="0.3">
      <c r="A221" s="87"/>
      <c r="B221" s="122" t="s">
        <v>83</v>
      </c>
      <c r="C221" s="76"/>
      <c r="D221" s="76"/>
      <c r="E221" s="76"/>
      <c r="F221" s="76"/>
      <c r="G221" s="25"/>
      <c r="H221" s="25"/>
      <c r="I221" s="25"/>
      <c r="J221" s="25"/>
      <c r="K221" s="25"/>
      <c r="L221" s="25"/>
      <c r="M221" s="25"/>
      <c r="N221" s="25"/>
      <c r="O221" s="25"/>
      <c r="P221" s="25"/>
      <c r="Q221" s="25"/>
      <c r="R221" s="25"/>
      <c r="S221" s="25"/>
      <c r="T221" s="85"/>
      <c r="U221" s="25"/>
      <c r="V221" s="79"/>
      <c r="W221" s="88"/>
      <c r="X221" s="5"/>
    </row>
    <row r="222" spans="1:24" ht="15.6" x14ac:dyDescent="0.3">
      <c r="A222" s="87"/>
      <c r="B222" s="131" t="s">
        <v>84</v>
      </c>
      <c r="C222" s="76"/>
      <c r="D222" s="76"/>
      <c r="E222" s="76"/>
      <c r="F222" s="76"/>
      <c r="G222" s="25"/>
      <c r="H222" s="25"/>
      <c r="I222" s="25"/>
      <c r="J222" s="25"/>
      <c r="K222" s="25"/>
      <c r="L222" s="25"/>
      <c r="M222" s="25"/>
      <c r="N222" s="25"/>
      <c r="O222" s="25"/>
      <c r="P222" s="25"/>
      <c r="Q222" s="25"/>
      <c r="R222" s="25"/>
      <c r="S222" s="30"/>
      <c r="T222" s="85">
        <f>V167</f>
        <v>172</v>
      </c>
      <c r="U222" s="25"/>
      <c r="V222" s="79"/>
      <c r="W222" s="88"/>
      <c r="X222" s="5"/>
    </row>
    <row r="223" spans="1:24" ht="15.6" x14ac:dyDescent="0.3">
      <c r="A223" s="84"/>
      <c r="B223" s="76" t="s">
        <v>85</v>
      </c>
      <c r="C223" s="54"/>
      <c r="D223" s="54"/>
      <c r="E223" s="54"/>
      <c r="F223" s="54"/>
      <c r="G223" s="25"/>
      <c r="H223" s="25"/>
      <c r="I223" s="25"/>
      <c r="J223" s="25"/>
      <c r="K223" s="25"/>
      <c r="L223" s="25"/>
      <c r="M223" s="25"/>
      <c r="N223" s="25"/>
      <c r="O223" s="25"/>
      <c r="P223" s="25"/>
      <c r="Q223" s="25"/>
      <c r="R223" s="25"/>
      <c r="S223" s="30"/>
      <c r="T223" s="85">
        <f>'Dec 08'!T223+T222</f>
        <v>175</v>
      </c>
      <c r="U223" s="25"/>
      <c r="V223" s="79"/>
      <c r="W223" s="88"/>
      <c r="X223" s="5"/>
    </row>
    <row r="224" spans="1:24" ht="15.6" x14ac:dyDescent="0.3">
      <c r="A224" s="87"/>
      <c r="B224" s="122" t="s">
        <v>297</v>
      </c>
      <c r="C224" s="76"/>
      <c r="D224" s="76"/>
      <c r="E224" s="76"/>
      <c r="F224" s="76"/>
      <c r="G224" s="25"/>
      <c r="H224" s="25"/>
      <c r="I224" s="25"/>
      <c r="J224" s="25"/>
      <c r="K224" s="25"/>
      <c r="L224" s="25"/>
      <c r="M224" s="25"/>
      <c r="N224" s="25"/>
      <c r="O224" s="25"/>
      <c r="P224" s="25"/>
      <c r="Q224" s="25"/>
      <c r="R224" s="25"/>
      <c r="S224" s="30"/>
      <c r="T224" s="85"/>
      <c r="U224" s="25"/>
      <c r="V224" s="79"/>
      <c r="W224" s="88"/>
      <c r="X224" s="5"/>
    </row>
    <row r="225" spans="1:25" ht="15.6" x14ac:dyDescent="0.3">
      <c r="A225" s="87"/>
      <c r="B225" s="76" t="s">
        <v>295</v>
      </c>
      <c r="C225" s="76"/>
      <c r="D225" s="76"/>
      <c r="E225" s="76"/>
      <c r="F225" s="76"/>
      <c r="G225" s="25"/>
      <c r="H225" s="25"/>
      <c r="I225" s="25"/>
      <c r="J225" s="25"/>
      <c r="K225" s="25"/>
      <c r="L225" s="25"/>
      <c r="M225" s="25"/>
      <c r="N225" s="25"/>
      <c r="O225" s="25"/>
      <c r="P225" s="25"/>
      <c r="Q225" s="25"/>
      <c r="R225" s="25"/>
      <c r="S225" s="30">
        <v>0</v>
      </c>
      <c r="T225" s="85">
        <v>0</v>
      </c>
      <c r="U225" s="25"/>
      <c r="V225" s="79"/>
      <c r="W225" s="88"/>
      <c r="X225" s="5"/>
    </row>
    <row r="226" spans="1:25" ht="15.6" x14ac:dyDescent="0.3">
      <c r="A226" s="84"/>
      <c r="B226" s="76" t="s">
        <v>87</v>
      </c>
      <c r="C226" s="89"/>
      <c r="D226" s="89"/>
      <c r="E226" s="89"/>
      <c r="F226" s="90"/>
      <c r="G226" s="25"/>
      <c r="H226" s="25"/>
      <c r="I226" s="25"/>
      <c r="J226" s="25"/>
      <c r="K226" s="25"/>
      <c r="L226" s="25"/>
      <c r="M226" s="25"/>
      <c r="N226" s="25"/>
      <c r="O226" s="25"/>
      <c r="P226" s="25"/>
      <c r="Q226" s="25"/>
      <c r="R226" s="25"/>
      <c r="S226" s="25"/>
      <c r="T226" s="62">
        <v>0</v>
      </c>
      <c r="U226" s="25"/>
      <c r="V226" s="79"/>
      <c r="W226" s="88"/>
      <c r="X226" s="5"/>
    </row>
    <row r="227" spans="1:25" ht="15.6" x14ac:dyDescent="0.3">
      <c r="A227" s="84"/>
      <c r="B227" s="76" t="s">
        <v>88</v>
      </c>
      <c r="C227" s="89"/>
      <c r="D227" s="89"/>
      <c r="E227" s="89"/>
      <c r="F227" s="90"/>
      <c r="G227" s="25"/>
      <c r="H227" s="25"/>
      <c r="I227" s="25"/>
      <c r="J227" s="25"/>
      <c r="K227" s="25"/>
      <c r="L227" s="25"/>
      <c r="M227" s="25"/>
      <c r="N227" s="25"/>
      <c r="O227" s="25"/>
      <c r="P227" s="25"/>
      <c r="Q227" s="25"/>
      <c r="R227" s="25"/>
      <c r="S227" s="25"/>
      <c r="T227" s="62">
        <v>0</v>
      </c>
      <c r="U227" s="25"/>
      <c r="V227" s="79"/>
      <c r="W227" s="88"/>
      <c r="X227" s="5"/>
    </row>
    <row r="228" spans="1:25" ht="15.6" x14ac:dyDescent="0.3">
      <c r="A228" s="84"/>
      <c r="B228" s="122" t="s">
        <v>220</v>
      </c>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5.6" x14ac:dyDescent="0.3">
      <c r="A229" s="84"/>
      <c r="B229" s="76" t="s">
        <v>295</v>
      </c>
      <c r="C229" s="89"/>
      <c r="D229" s="89"/>
      <c r="E229" s="89"/>
      <c r="F229" s="90"/>
      <c r="G229" s="25"/>
      <c r="H229" s="25"/>
      <c r="I229" s="25"/>
      <c r="J229" s="25"/>
      <c r="K229" s="25"/>
      <c r="L229" s="25"/>
      <c r="M229" s="25"/>
      <c r="N229" s="25"/>
      <c r="O229" s="25"/>
      <c r="P229" s="25"/>
      <c r="Q229" s="25"/>
      <c r="R229" s="25"/>
      <c r="S229" s="30">
        <v>6</v>
      </c>
      <c r="T229" s="85">
        <v>686</v>
      </c>
      <c r="U229" s="25"/>
      <c r="V229" s="79"/>
      <c r="W229" s="88"/>
      <c r="X229" s="5"/>
    </row>
    <row r="230" spans="1:25" ht="15.6" x14ac:dyDescent="0.3">
      <c r="A230" s="84"/>
      <c r="B230" s="76" t="s">
        <v>221</v>
      </c>
      <c r="C230" s="89"/>
      <c r="D230" s="89"/>
      <c r="E230" s="89"/>
      <c r="F230" s="90"/>
      <c r="G230" s="25"/>
      <c r="H230" s="25"/>
      <c r="I230" s="25"/>
      <c r="J230" s="25"/>
      <c r="K230" s="25"/>
      <c r="L230" s="25"/>
      <c r="M230" s="25"/>
      <c r="N230" s="25"/>
      <c r="O230" s="25"/>
      <c r="P230" s="25"/>
      <c r="Q230" s="25"/>
      <c r="R230" s="25"/>
      <c r="S230" s="25"/>
      <c r="T230" s="62">
        <v>7.42</v>
      </c>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7.399999999999999" x14ac:dyDescent="0.3">
      <c r="A233" s="84"/>
      <c r="B233" s="149" t="s">
        <v>171</v>
      </c>
      <c r="C233" s="89"/>
      <c r="D233" s="89"/>
      <c r="E233" s="89"/>
      <c r="F233" s="90"/>
      <c r="G233" s="25"/>
      <c r="H233" s="25"/>
      <c r="I233" s="25"/>
      <c r="J233" s="25"/>
      <c r="K233" s="25"/>
      <c r="L233" s="25"/>
      <c r="M233" s="25"/>
      <c r="N233" s="25"/>
      <c r="O233" s="25"/>
      <c r="P233" s="150" t="s">
        <v>170</v>
      </c>
      <c r="Q233" s="25"/>
      <c r="R233" s="25"/>
      <c r="S233" s="25"/>
      <c r="T233" s="91"/>
      <c r="U233" s="25"/>
      <c r="V233" s="79"/>
      <c r="W233" s="88"/>
      <c r="X233" s="5"/>
    </row>
    <row r="234" spans="1:25" ht="15.6" x14ac:dyDescent="0.3">
      <c r="A234" s="84"/>
      <c r="B234" s="76"/>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5" ht="15.6" x14ac:dyDescent="0.3">
      <c r="A235" s="6"/>
      <c r="B235" s="14" t="s">
        <v>165</v>
      </c>
      <c r="C235" s="81"/>
      <c r="D235" s="81"/>
      <c r="E235" s="81"/>
      <c r="F235" s="82"/>
      <c r="G235" s="81"/>
      <c r="H235" s="17"/>
      <c r="I235" s="17"/>
      <c r="J235" s="17"/>
      <c r="K235" s="17"/>
      <c r="L235" s="17"/>
      <c r="M235" s="17"/>
      <c r="N235" s="17"/>
      <c r="O235" s="17"/>
      <c r="P235" s="17"/>
      <c r="Q235" s="17"/>
      <c r="R235" s="83" t="s">
        <v>103</v>
      </c>
      <c r="S235" s="17" t="s">
        <v>104</v>
      </c>
      <c r="T235" s="83" t="s">
        <v>111</v>
      </c>
      <c r="U235" s="17" t="s">
        <v>104</v>
      </c>
      <c r="V235" s="8"/>
      <c r="W235" s="92"/>
      <c r="X235" s="5"/>
    </row>
    <row r="236" spans="1:25" ht="15.6" x14ac:dyDescent="0.3">
      <c r="A236" s="24"/>
      <c r="B236" s="54" t="s">
        <v>89</v>
      </c>
      <c r="C236" s="93"/>
      <c r="D236" s="93"/>
      <c r="E236" s="93"/>
      <c r="F236" s="25"/>
      <c r="G236" s="93"/>
      <c r="H236" s="93"/>
      <c r="I236" s="93"/>
      <c r="J236" s="93"/>
      <c r="K236" s="93"/>
      <c r="L236" s="93"/>
      <c r="M236" s="93"/>
      <c r="N236" s="93"/>
      <c r="O236" s="93"/>
      <c r="P236" s="93"/>
      <c r="Q236" s="93"/>
      <c r="R236" s="54">
        <v>8076</v>
      </c>
      <c r="S236" s="94">
        <f t="shared" ref="S236:S243" si="1">R236/$R$245</f>
        <v>0.9804540488041763</v>
      </c>
      <c r="T236" s="53">
        <v>1019362</v>
      </c>
      <c r="U236" s="132">
        <f t="shared" ref="U236:U243" si="2">T236/$T$245</f>
        <v>0.97625824592588051</v>
      </c>
      <c r="V236" s="79"/>
      <c r="W236" s="88"/>
      <c r="X236" s="5"/>
    </row>
    <row r="237" spans="1:25" ht="15.6" x14ac:dyDescent="0.3">
      <c r="A237" s="24"/>
      <c r="B237" s="54" t="s">
        <v>90</v>
      </c>
      <c r="C237" s="93"/>
      <c r="D237" s="93"/>
      <c r="E237" s="93"/>
      <c r="F237" s="25"/>
      <c r="G237" s="94"/>
      <c r="H237" s="93"/>
      <c r="I237" s="93"/>
      <c r="J237" s="93"/>
      <c r="K237" s="93"/>
      <c r="L237" s="93"/>
      <c r="M237" s="93"/>
      <c r="N237" s="93"/>
      <c r="O237" s="93"/>
      <c r="P237" s="93"/>
      <c r="Q237" s="93"/>
      <c r="R237" s="54">
        <v>98</v>
      </c>
      <c r="S237" s="94">
        <f t="shared" si="1"/>
        <v>1.1897535510501395E-2</v>
      </c>
      <c r="T237" s="53">
        <v>14608</v>
      </c>
      <c r="U237" s="132">
        <f t="shared" si="2"/>
        <v>1.3990300262796988E-2</v>
      </c>
      <c r="V237" s="79"/>
      <c r="W237" s="88"/>
      <c r="X237" s="5"/>
      <c r="Y237" s="109"/>
    </row>
    <row r="238" spans="1:25" ht="15.6" x14ac:dyDescent="0.3">
      <c r="A238" s="24"/>
      <c r="B238" s="54" t="s">
        <v>91</v>
      </c>
      <c r="C238" s="93"/>
      <c r="D238" s="93"/>
      <c r="E238" s="93"/>
      <c r="F238" s="25"/>
      <c r="G238" s="94"/>
      <c r="H238" s="93"/>
      <c r="I238" s="93"/>
      <c r="J238" s="93"/>
      <c r="K238" s="93"/>
      <c r="L238" s="93"/>
      <c r="M238" s="93"/>
      <c r="N238" s="93"/>
      <c r="O238" s="93"/>
      <c r="P238" s="93"/>
      <c r="Q238" s="93"/>
      <c r="R238" s="54">
        <v>25</v>
      </c>
      <c r="S238" s="94">
        <f t="shared" si="1"/>
        <v>3.0350855894136215E-3</v>
      </c>
      <c r="T238" s="53">
        <v>4738</v>
      </c>
      <c r="U238" s="132">
        <f t="shared" si="2"/>
        <v>4.5376535217094829E-3</v>
      </c>
      <c r="V238" s="79"/>
      <c r="W238" s="88"/>
      <c r="X238" s="5"/>
    </row>
    <row r="239" spans="1:25" ht="15.6" x14ac:dyDescent="0.3">
      <c r="A239" s="24"/>
      <c r="B239" s="54" t="s">
        <v>159</v>
      </c>
      <c r="C239" s="93"/>
      <c r="D239" s="93"/>
      <c r="E239" s="93"/>
      <c r="F239" s="25"/>
      <c r="G239" s="94"/>
      <c r="H239" s="93"/>
      <c r="I239" s="93"/>
      <c r="J239" s="93"/>
      <c r="K239" s="93"/>
      <c r="L239" s="93"/>
      <c r="M239" s="93"/>
      <c r="N239" s="93"/>
      <c r="O239" s="93"/>
      <c r="P239" s="93"/>
      <c r="Q239" s="93"/>
      <c r="R239" s="54">
        <v>14</v>
      </c>
      <c r="S239" s="94">
        <f t="shared" si="1"/>
        <v>1.6996479300716281E-3</v>
      </c>
      <c r="T239" s="53">
        <v>2020</v>
      </c>
      <c r="U239" s="132">
        <f t="shared" si="2"/>
        <v>1.9345842367777871E-3</v>
      </c>
      <c r="V239" s="79"/>
      <c r="W239" s="88"/>
      <c r="X239" s="5"/>
      <c r="Y239" s="109"/>
    </row>
    <row r="240" spans="1:25" ht="15.6" x14ac:dyDescent="0.3">
      <c r="A240" s="24"/>
      <c r="B240" s="54" t="s">
        <v>160</v>
      </c>
      <c r="C240" s="93"/>
      <c r="D240" s="93"/>
      <c r="E240" s="93"/>
      <c r="F240" s="25"/>
      <c r="G240" s="94"/>
      <c r="H240" s="93"/>
      <c r="I240" s="93"/>
      <c r="J240" s="93"/>
      <c r="K240" s="93"/>
      <c r="L240" s="93"/>
      <c r="M240" s="93"/>
      <c r="N240" s="93"/>
      <c r="O240" s="93"/>
      <c r="P240" s="93"/>
      <c r="Q240" s="93"/>
      <c r="R240" s="54">
        <v>7</v>
      </c>
      <c r="S240" s="94">
        <f t="shared" si="1"/>
        <v>8.4982396503581405E-4</v>
      </c>
      <c r="T240" s="53">
        <v>779</v>
      </c>
      <c r="U240" s="132">
        <f t="shared" si="2"/>
        <v>7.4605996061876052E-4</v>
      </c>
      <c r="V240" s="79"/>
      <c r="W240" s="88"/>
      <c r="X240" s="5"/>
    </row>
    <row r="241" spans="1:25" ht="15.6" x14ac:dyDescent="0.3">
      <c r="A241" s="24"/>
      <c r="B241" s="54" t="s">
        <v>161</v>
      </c>
      <c r="C241" s="93"/>
      <c r="D241" s="93"/>
      <c r="E241" s="93"/>
      <c r="F241" s="25"/>
      <c r="G241" s="94"/>
      <c r="H241" s="93"/>
      <c r="I241" s="93"/>
      <c r="J241" s="93"/>
      <c r="K241" s="93"/>
      <c r="L241" s="93"/>
      <c r="M241" s="93"/>
      <c r="N241" s="93"/>
      <c r="O241" s="93"/>
      <c r="P241" s="93"/>
      <c r="Q241" s="93"/>
      <c r="R241" s="54">
        <v>5</v>
      </c>
      <c r="S241" s="94">
        <f t="shared" si="1"/>
        <v>6.0701711788272426E-4</v>
      </c>
      <c r="T241" s="53">
        <v>749</v>
      </c>
      <c r="U241" s="132">
        <f t="shared" si="2"/>
        <v>7.1732851155770422E-4</v>
      </c>
      <c r="V241" s="79"/>
      <c r="W241" s="88"/>
      <c r="X241" s="5"/>
      <c r="Y241" s="109"/>
    </row>
    <row r="242" spans="1:25" ht="15.6" x14ac:dyDescent="0.3">
      <c r="A242" s="24"/>
      <c r="B242" s="54" t="s">
        <v>162</v>
      </c>
      <c r="C242" s="93"/>
      <c r="D242" s="93"/>
      <c r="E242" s="93"/>
      <c r="F242" s="25"/>
      <c r="G242" s="94"/>
      <c r="H242" s="93"/>
      <c r="I242" s="93"/>
      <c r="J242" s="93"/>
      <c r="K242" s="93"/>
      <c r="L242" s="93"/>
      <c r="M242" s="93"/>
      <c r="N242" s="93"/>
      <c r="O242" s="93"/>
      <c r="P242" s="93"/>
      <c r="Q242" s="93"/>
      <c r="R242" s="54">
        <v>11</v>
      </c>
      <c r="S242" s="94">
        <f t="shared" si="1"/>
        <v>1.3354376593419934E-3</v>
      </c>
      <c r="T242" s="53">
        <v>1769</v>
      </c>
      <c r="U242" s="132">
        <f t="shared" si="2"/>
        <v>1.6941977796336165E-3</v>
      </c>
      <c r="V242" s="79"/>
      <c r="W242" s="88"/>
      <c r="X242" s="5"/>
    </row>
    <row r="243" spans="1:25" ht="15.6" x14ac:dyDescent="0.3">
      <c r="A243" s="24"/>
      <c r="B243" s="54" t="s">
        <v>163</v>
      </c>
      <c r="C243" s="93"/>
      <c r="D243" s="93"/>
      <c r="E243" s="93"/>
      <c r="F243" s="25"/>
      <c r="G243" s="94"/>
      <c r="H243" s="93"/>
      <c r="I243" s="93"/>
      <c r="J243" s="93"/>
      <c r="K243" s="93"/>
      <c r="L243" s="93"/>
      <c r="M243" s="93"/>
      <c r="N243" s="93"/>
      <c r="O243" s="93"/>
      <c r="P243" s="93"/>
      <c r="Q243" s="93"/>
      <c r="R243" s="54">
        <v>1</v>
      </c>
      <c r="S243" s="94">
        <f t="shared" si="1"/>
        <v>1.2140342357654485E-4</v>
      </c>
      <c r="T243" s="53">
        <v>127</v>
      </c>
      <c r="U243" s="132">
        <f t="shared" si="2"/>
        <v>1.216298010251381E-4</v>
      </c>
      <c r="V243" s="79"/>
      <c r="W243" s="88"/>
      <c r="X243" s="5"/>
      <c r="Y243" s="109"/>
    </row>
    <row r="244" spans="1:25" ht="15.6" x14ac:dyDescent="0.3">
      <c r="A244" s="24"/>
      <c r="B244" s="54"/>
      <c r="C244" s="93"/>
      <c r="D244" s="93"/>
      <c r="E244" s="93"/>
      <c r="F244" s="25"/>
      <c r="G244" s="94"/>
      <c r="H244" s="93"/>
      <c r="I244" s="93"/>
      <c r="J244" s="93"/>
      <c r="K244" s="93"/>
      <c r="L244" s="93"/>
      <c r="M244" s="93"/>
      <c r="N244" s="93"/>
      <c r="O244" s="93"/>
      <c r="P244" s="93"/>
      <c r="Q244" s="93"/>
      <c r="R244" s="54"/>
      <c r="S244" s="94"/>
      <c r="T244" s="53"/>
      <c r="U244" s="132"/>
      <c r="V244" s="79"/>
      <c r="W244" s="88"/>
      <c r="X244" s="5"/>
    </row>
    <row r="245" spans="1:25" ht="15.6" x14ac:dyDescent="0.3">
      <c r="A245" s="24"/>
      <c r="B245" s="25" t="s">
        <v>117</v>
      </c>
      <c r="C245" s="25"/>
      <c r="D245" s="25"/>
      <c r="E245" s="25"/>
      <c r="F245" s="25"/>
      <c r="G245" s="25"/>
      <c r="H245" s="95"/>
      <c r="I245" s="95"/>
      <c r="J245" s="95"/>
      <c r="K245" s="95"/>
      <c r="L245" s="95"/>
      <c r="M245" s="95"/>
      <c r="N245" s="95"/>
      <c r="O245" s="95"/>
      <c r="P245" s="95"/>
      <c r="Q245" s="95"/>
      <c r="R245" s="34">
        <f>SUM(R236:R244)</f>
        <v>8237</v>
      </c>
      <c r="S245" s="132">
        <f>SUM(S236:S244)</f>
        <v>1</v>
      </c>
      <c r="T245" s="53">
        <f>SUM(T236:T244)</f>
        <v>1044152</v>
      </c>
      <c r="U245" s="132">
        <f>SUM(U236:U244)</f>
        <v>1</v>
      </c>
      <c r="V245" s="25"/>
      <c r="W245" s="25"/>
      <c r="X245" s="5"/>
    </row>
    <row r="246" spans="1:25" ht="15.6" x14ac:dyDescent="0.3">
      <c r="A246" s="24"/>
      <c r="B246" s="25"/>
      <c r="C246" s="25"/>
      <c r="D246" s="25"/>
      <c r="E246" s="25"/>
      <c r="F246" s="25"/>
      <c r="G246" s="25"/>
      <c r="H246" s="95"/>
      <c r="I246" s="95"/>
      <c r="J246" s="95"/>
      <c r="K246" s="95"/>
      <c r="L246" s="95"/>
      <c r="M246" s="95"/>
      <c r="N246" s="95"/>
      <c r="O246" s="95"/>
      <c r="P246" s="95"/>
      <c r="Q246" s="95"/>
      <c r="R246" s="34"/>
      <c r="S246" s="132"/>
      <c r="T246" s="53"/>
      <c r="U246" s="132"/>
      <c r="V246" s="25"/>
      <c r="W246" s="25"/>
      <c r="X246" s="5"/>
    </row>
    <row r="247" spans="1:25" ht="15.6" x14ac:dyDescent="0.3">
      <c r="A247" s="141"/>
      <c r="B247" s="14" t="s">
        <v>279</v>
      </c>
      <c r="C247" s="81"/>
      <c r="D247" s="81"/>
      <c r="E247" s="81"/>
      <c r="F247" s="82"/>
      <c r="G247" s="81"/>
      <c r="H247" s="17"/>
      <c r="I247" s="17"/>
      <c r="J247" s="17"/>
      <c r="K247" s="17"/>
      <c r="L247" s="17"/>
      <c r="M247" s="17"/>
      <c r="N247" s="17"/>
      <c r="O247" s="17"/>
      <c r="P247" s="17"/>
      <c r="Q247" s="17"/>
      <c r="R247" s="83" t="s">
        <v>103</v>
      </c>
      <c r="S247" s="17" t="s">
        <v>104</v>
      </c>
      <c r="T247" s="83" t="s">
        <v>111</v>
      </c>
      <c r="U247" s="17" t="s">
        <v>104</v>
      </c>
      <c r="V247" s="139"/>
      <c r="W247" s="140"/>
      <c r="X247" s="5"/>
    </row>
    <row r="248" spans="1:25" ht="15.6" x14ac:dyDescent="0.3">
      <c r="A248" s="24"/>
      <c r="B248" s="54" t="s">
        <v>89</v>
      </c>
      <c r="C248" s="93"/>
      <c r="D248" s="93"/>
      <c r="E248" s="93"/>
      <c r="F248" s="25"/>
      <c r="G248" s="93"/>
      <c r="H248" s="93"/>
      <c r="I248" s="93"/>
      <c r="J248" s="93"/>
      <c r="K248" s="93"/>
      <c r="L248" s="93"/>
      <c r="M248" s="93"/>
      <c r="N248" s="93"/>
      <c r="O248" s="93"/>
      <c r="P248" s="93"/>
      <c r="Q248" s="93"/>
      <c r="R248" s="54">
        <v>87</v>
      </c>
      <c r="S248" s="94">
        <f t="shared" ref="S248:S255" si="3">R248/$R$257</f>
        <v>0.3210332103321033</v>
      </c>
      <c r="T248" s="53">
        <v>7504</v>
      </c>
      <c r="U248" s="132">
        <f t="shared" ref="U248:U255" si="4">T248/$T$257</f>
        <v>0.20646013316458484</v>
      </c>
      <c r="V248" s="25"/>
      <c r="W248" s="25"/>
      <c r="X248" s="5"/>
    </row>
    <row r="249" spans="1:25" ht="15.6" x14ac:dyDescent="0.3">
      <c r="A249" s="24"/>
      <c r="B249" s="54" t="s">
        <v>90</v>
      </c>
      <c r="C249" s="93"/>
      <c r="D249" s="93"/>
      <c r="E249" s="93"/>
      <c r="F249" s="25"/>
      <c r="G249" s="94"/>
      <c r="H249" s="93"/>
      <c r="I249" s="93"/>
      <c r="J249" s="93"/>
      <c r="K249" s="93"/>
      <c r="L249" s="93"/>
      <c r="M249" s="93"/>
      <c r="N249" s="93"/>
      <c r="O249" s="93"/>
      <c r="P249" s="93"/>
      <c r="Q249" s="93"/>
      <c r="R249" s="54">
        <v>83</v>
      </c>
      <c r="S249" s="94">
        <f t="shared" si="3"/>
        <v>0.30627306273062732</v>
      </c>
      <c r="T249" s="53">
        <v>14493</v>
      </c>
      <c r="U249" s="132">
        <f t="shared" si="4"/>
        <v>0.39875089418367909</v>
      </c>
      <c r="V249" s="25"/>
      <c r="W249" s="25"/>
      <c r="X249" s="5"/>
    </row>
    <row r="250" spans="1:25" ht="15.6" x14ac:dyDescent="0.3">
      <c r="A250" s="24"/>
      <c r="B250" s="54" t="s">
        <v>91</v>
      </c>
      <c r="C250" s="93"/>
      <c r="D250" s="93"/>
      <c r="E250" s="93"/>
      <c r="F250" s="25"/>
      <c r="G250" s="94"/>
      <c r="H250" s="93"/>
      <c r="I250" s="93"/>
      <c r="J250" s="93"/>
      <c r="K250" s="93"/>
      <c r="L250" s="93"/>
      <c r="M250" s="93"/>
      <c r="N250" s="93"/>
      <c r="O250" s="93"/>
      <c r="P250" s="93"/>
      <c r="Q250" s="93"/>
      <c r="R250" s="54">
        <v>9</v>
      </c>
      <c r="S250" s="94">
        <f t="shared" si="3"/>
        <v>3.3210332103321034E-2</v>
      </c>
      <c r="T250" s="53">
        <v>1004</v>
      </c>
      <c r="U250" s="132">
        <f t="shared" si="4"/>
        <v>2.762339734771364E-2</v>
      </c>
      <c r="V250" s="25"/>
      <c r="W250" s="25"/>
      <c r="X250" s="5"/>
    </row>
    <row r="251" spans="1:25" ht="15.6" x14ac:dyDescent="0.3">
      <c r="A251" s="24"/>
      <c r="B251" s="54" t="s">
        <v>159</v>
      </c>
      <c r="C251" s="93"/>
      <c r="D251" s="93"/>
      <c r="E251" s="93"/>
      <c r="F251" s="25"/>
      <c r="G251" s="94"/>
      <c r="H251" s="93"/>
      <c r="I251" s="93"/>
      <c r="J251" s="93"/>
      <c r="K251" s="93"/>
      <c r="L251" s="93"/>
      <c r="M251" s="93"/>
      <c r="N251" s="93"/>
      <c r="O251" s="93"/>
      <c r="P251" s="93"/>
      <c r="Q251" s="93"/>
      <c r="R251" s="54">
        <v>16</v>
      </c>
      <c r="S251" s="94">
        <f t="shared" si="3"/>
        <v>5.9040590405904057E-2</v>
      </c>
      <c r="T251" s="53">
        <v>2579</v>
      </c>
      <c r="U251" s="132">
        <f t="shared" si="4"/>
        <v>7.0956914103340124E-2</v>
      </c>
      <c r="V251" s="25"/>
      <c r="W251" s="25"/>
      <c r="X251" s="5"/>
    </row>
    <row r="252" spans="1:25" ht="15.6" x14ac:dyDescent="0.3">
      <c r="A252" s="24"/>
      <c r="B252" s="54" t="s">
        <v>160</v>
      </c>
      <c r="C252" s="93"/>
      <c r="D252" s="93"/>
      <c r="E252" s="93"/>
      <c r="F252" s="25"/>
      <c r="G252" s="94"/>
      <c r="H252" s="93"/>
      <c r="I252" s="93"/>
      <c r="J252" s="93"/>
      <c r="K252" s="93"/>
      <c r="L252" s="93"/>
      <c r="M252" s="93"/>
      <c r="N252" s="93"/>
      <c r="O252" s="93"/>
      <c r="P252" s="93"/>
      <c r="Q252" s="93"/>
      <c r="R252" s="54">
        <v>19</v>
      </c>
      <c r="S252" s="94">
        <f t="shared" si="3"/>
        <v>7.0110701107011064E-2</v>
      </c>
      <c r="T252" s="53">
        <v>2380</v>
      </c>
      <c r="U252" s="132">
        <f t="shared" si="4"/>
        <v>6.5481758652946684E-2</v>
      </c>
      <c r="V252" s="25"/>
      <c r="W252" s="25"/>
      <c r="X252" s="5"/>
    </row>
    <row r="253" spans="1:25" ht="15.6" x14ac:dyDescent="0.3">
      <c r="A253" s="24"/>
      <c r="B253" s="54" t="s">
        <v>161</v>
      </c>
      <c r="C253" s="93"/>
      <c r="D253" s="93"/>
      <c r="E253" s="93"/>
      <c r="F253" s="25"/>
      <c r="G253" s="94"/>
      <c r="H253" s="93"/>
      <c r="I253" s="93"/>
      <c r="J253" s="93"/>
      <c r="K253" s="93"/>
      <c r="L253" s="93"/>
      <c r="M253" s="93"/>
      <c r="N253" s="93"/>
      <c r="O253" s="93"/>
      <c r="P253" s="93"/>
      <c r="Q253" s="93"/>
      <c r="R253" s="54">
        <v>8</v>
      </c>
      <c r="S253" s="94">
        <f t="shared" si="3"/>
        <v>2.9520295202952029E-2</v>
      </c>
      <c r="T253" s="53">
        <v>1427</v>
      </c>
      <c r="U253" s="132">
        <f t="shared" si="4"/>
        <v>3.9261541847796184E-2</v>
      </c>
      <c r="V253" s="25"/>
      <c r="W253" s="25"/>
      <c r="X253" s="5"/>
    </row>
    <row r="254" spans="1:25" ht="15.6" x14ac:dyDescent="0.3">
      <c r="A254" s="24"/>
      <c r="B254" s="54" t="s">
        <v>162</v>
      </c>
      <c r="C254" s="93"/>
      <c r="D254" s="93"/>
      <c r="E254" s="93"/>
      <c r="F254" s="25"/>
      <c r="G254" s="94"/>
      <c r="H254" s="93"/>
      <c r="I254" s="93"/>
      <c r="J254" s="93"/>
      <c r="K254" s="93"/>
      <c r="L254" s="93"/>
      <c r="M254" s="93"/>
      <c r="N254" s="93"/>
      <c r="O254" s="93"/>
      <c r="P254" s="93"/>
      <c r="Q254" s="93"/>
      <c r="R254" s="54">
        <v>29</v>
      </c>
      <c r="S254" s="94">
        <f t="shared" si="3"/>
        <v>0.1070110701107011</v>
      </c>
      <c r="T254" s="53">
        <v>4618</v>
      </c>
      <c r="U254" s="132">
        <f t="shared" si="4"/>
        <v>0.12705662246189403</v>
      </c>
      <c r="V254" s="25"/>
      <c r="W254" s="25"/>
      <c r="X254" s="5"/>
    </row>
    <row r="255" spans="1:25" ht="15.6" x14ac:dyDescent="0.3">
      <c r="A255" s="24"/>
      <c r="B255" s="54" t="s">
        <v>163</v>
      </c>
      <c r="C255" s="93"/>
      <c r="D255" s="93"/>
      <c r="E255" s="93"/>
      <c r="F255" s="25"/>
      <c r="G255" s="94"/>
      <c r="H255" s="93"/>
      <c r="I255" s="93"/>
      <c r="J255" s="93"/>
      <c r="K255" s="93"/>
      <c r="L255" s="93"/>
      <c r="M255" s="93"/>
      <c r="N255" s="93"/>
      <c r="O255" s="93"/>
      <c r="P255" s="93"/>
      <c r="Q255" s="93"/>
      <c r="R255" s="54">
        <v>20</v>
      </c>
      <c r="S255" s="94">
        <f t="shared" si="3"/>
        <v>7.3800738007380073E-2</v>
      </c>
      <c r="T255" s="53">
        <v>2341</v>
      </c>
      <c r="U255" s="132">
        <f t="shared" si="4"/>
        <v>6.4408738238045452E-2</v>
      </c>
      <c r="V255" s="25"/>
      <c r="W255" s="25"/>
      <c r="X255" s="5"/>
    </row>
    <row r="256" spans="1:25" ht="15.6" x14ac:dyDescent="0.3">
      <c r="A256" s="24"/>
      <c r="B256" s="54"/>
      <c r="C256" s="93"/>
      <c r="D256" s="93"/>
      <c r="E256" s="93"/>
      <c r="F256" s="25"/>
      <c r="G256" s="94"/>
      <c r="H256" s="93"/>
      <c r="I256" s="93"/>
      <c r="J256" s="93"/>
      <c r="K256" s="93"/>
      <c r="L256" s="93"/>
      <c r="M256" s="93"/>
      <c r="N256" s="93"/>
      <c r="O256" s="93"/>
      <c r="P256" s="93"/>
      <c r="Q256" s="93"/>
      <c r="R256" s="54"/>
      <c r="S256" s="94"/>
      <c r="T256" s="53"/>
      <c r="U256" s="132"/>
      <c r="V256" s="25"/>
      <c r="W256" s="25"/>
      <c r="X256" s="5"/>
    </row>
    <row r="257" spans="1:24" ht="15.6" x14ac:dyDescent="0.3">
      <c r="A257" s="24"/>
      <c r="B257" s="25" t="s">
        <v>117</v>
      </c>
      <c r="C257" s="25"/>
      <c r="D257" s="25"/>
      <c r="E257" s="25"/>
      <c r="F257" s="25"/>
      <c r="G257" s="25"/>
      <c r="H257" s="95"/>
      <c r="I257" s="95"/>
      <c r="J257" s="95"/>
      <c r="K257" s="95"/>
      <c r="L257" s="95"/>
      <c r="M257" s="95"/>
      <c r="N257" s="95"/>
      <c r="O257" s="95"/>
      <c r="P257" s="95"/>
      <c r="Q257" s="95"/>
      <c r="R257" s="34">
        <f>SUM(R248:R256)</f>
        <v>271</v>
      </c>
      <c r="S257" s="132">
        <f>SUM(S248:S256)</f>
        <v>1</v>
      </c>
      <c r="T257" s="53">
        <f>SUM(T248:T256)</f>
        <v>36346</v>
      </c>
      <c r="U257" s="132">
        <f>SUM(U248:U256)</f>
        <v>1</v>
      </c>
      <c r="V257" s="25"/>
      <c r="W257" s="25"/>
      <c r="X257" s="5"/>
    </row>
    <row r="258" spans="1:24" ht="15.6" x14ac:dyDescent="0.3">
      <c r="A258" s="24"/>
      <c r="B258" s="25"/>
      <c r="C258" s="25"/>
      <c r="D258" s="25"/>
      <c r="E258" s="25"/>
      <c r="F258" s="25"/>
      <c r="G258" s="25"/>
      <c r="H258" s="95"/>
      <c r="I258" s="95"/>
      <c r="J258" s="95"/>
      <c r="K258" s="95"/>
      <c r="L258" s="95"/>
      <c r="M258" s="95"/>
      <c r="N258" s="95"/>
      <c r="O258" s="95"/>
      <c r="P258" s="95"/>
      <c r="Q258" s="95"/>
      <c r="R258" s="34"/>
      <c r="S258" s="132"/>
      <c r="T258" s="53"/>
      <c r="U258" s="132"/>
      <c r="V258" s="25"/>
      <c r="W258" s="25"/>
      <c r="X258" s="5"/>
    </row>
    <row r="259" spans="1:24" ht="15.6" x14ac:dyDescent="0.3">
      <c r="A259" s="141"/>
      <c r="B259" s="14" t="s">
        <v>166</v>
      </c>
      <c r="C259" s="139"/>
      <c r="D259" s="139"/>
      <c r="E259" s="139"/>
      <c r="F259" s="139"/>
      <c r="G259" s="139"/>
      <c r="H259" s="145"/>
      <c r="I259" s="145"/>
      <c r="J259" s="145"/>
      <c r="K259" s="145"/>
      <c r="L259" s="145"/>
      <c r="M259" s="145"/>
      <c r="N259" s="145"/>
      <c r="O259" s="145"/>
      <c r="P259" s="145"/>
      <c r="Q259" s="145"/>
      <c r="R259" s="83" t="s">
        <v>103</v>
      </c>
      <c r="S259" s="17" t="s">
        <v>104</v>
      </c>
      <c r="T259" s="83" t="s">
        <v>111</v>
      </c>
      <c r="U259" s="17" t="s">
        <v>104</v>
      </c>
      <c r="V259" s="139"/>
      <c r="W259" s="140"/>
      <c r="X259" s="5"/>
    </row>
    <row r="260" spans="1:24" ht="15.6" x14ac:dyDescent="0.3">
      <c r="A260" s="24"/>
      <c r="B260" s="54" t="s">
        <v>89</v>
      </c>
      <c r="C260" s="25"/>
      <c r="D260" s="25"/>
      <c r="E260" s="25"/>
      <c r="F260" s="25"/>
      <c r="G260" s="25"/>
      <c r="H260" s="95"/>
      <c r="I260" s="95"/>
      <c r="J260" s="95"/>
      <c r="K260" s="95"/>
      <c r="L260" s="95"/>
      <c r="M260" s="95"/>
      <c r="N260" s="95"/>
      <c r="O260" s="95"/>
      <c r="P260" s="95"/>
      <c r="Q260" s="95"/>
      <c r="R260" s="54">
        <v>0</v>
      </c>
      <c r="S260" s="94">
        <f t="shared" ref="S260:S267" si="5">R260/$R$269</f>
        <v>0</v>
      </c>
      <c r="T260" s="53">
        <v>0</v>
      </c>
      <c r="U260" s="94">
        <f t="shared" ref="U260:U267" si="6">T260/$T$269</f>
        <v>0</v>
      </c>
      <c r="V260" s="25"/>
      <c r="W260" s="25"/>
      <c r="X260" s="5"/>
    </row>
    <row r="261" spans="1:24" ht="15.6" x14ac:dyDescent="0.3">
      <c r="A261" s="24"/>
      <c r="B261" s="54" t="s">
        <v>90</v>
      </c>
      <c r="C261" s="25"/>
      <c r="D261" s="25"/>
      <c r="E261" s="25"/>
      <c r="F261" s="25"/>
      <c r="G261" s="25"/>
      <c r="H261" s="95"/>
      <c r="I261" s="95"/>
      <c r="J261" s="95"/>
      <c r="K261" s="95"/>
      <c r="L261" s="95"/>
      <c r="M261" s="95"/>
      <c r="N261" s="95"/>
      <c r="O261" s="95"/>
      <c r="P261" s="95"/>
      <c r="Q261" s="95"/>
      <c r="R261" s="54">
        <v>0</v>
      </c>
      <c r="S261" s="94">
        <f t="shared" si="5"/>
        <v>0</v>
      </c>
      <c r="T261" s="53">
        <v>0</v>
      </c>
      <c r="U261" s="94">
        <f t="shared" si="6"/>
        <v>0</v>
      </c>
      <c r="V261" s="25"/>
      <c r="W261" s="25"/>
      <c r="X261" s="5"/>
    </row>
    <row r="262" spans="1:24" ht="15.6" x14ac:dyDescent="0.3">
      <c r="A262" s="24"/>
      <c r="B262" s="54" t="s">
        <v>91</v>
      </c>
      <c r="C262" s="25"/>
      <c r="D262" s="25"/>
      <c r="E262" s="25"/>
      <c r="F262" s="25"/>
      <c r="G262" s="25"/>
      <c r="H262" s="95"/>
      <c r="I262" s="95"/>
      <c r="J262" s="95"/>
      <c r="K262" s="95"/>
      <c r="L262" s="95"/>
      <c r="M262" s="95"/>
      <c r="N262" s="95"/>
      <c r="O262" s="95"/>
      <c r="P262" s="95"/>
      <c r="Q262" s="95"/>
      <c r="R262" s="54">
        <v>0</v>
      </c>
      <c r="S262" s="94">
        <f t="shared" si="5"/>
        <v>0</v>
      </c>
      <c r="T262" s="53">
        <v>0</v>
      </c>
      <c r="U262" s="94">
        <f t="shared" si="6"/>
        <v>0</v>
      </c>
      <c r="V262" s="25"/>
      <c r="W262" s="25"/>
      <c r="X262" s="5"/>
    </row>
    <row r="263" spans="1:24" ht="15.6" x14ac:dyDescent="0.3">
      <c r="A263" s="24"/>
      <c r="B263" s="54" t="s">
        <v>159</v>
      </c>
      <c r="C263" s="25"/>
      <c r="D263" s="25"/>
      <c r="E263" s="25"/>
      <c r="F263" s="25"/>
      <c r="G263" s="25"/>
      <c r="H263" s="95"/>
      <c r="I263" s="95"/>
      <c r="J263" s="95"/>
      <c r="K263" s="95"/>
      <c r="L263" s="95"/>
      <c r="M263" s="95"/>
      <c r="N263" s="95"/>
      <c r="O263" s="95"/>
      <c r="P263" s="95"/>
      <c r="Q263" s="95"/>
      <c r="R263" s="54">
        <v>0</v>
      </c>
      <c r="S263" s="94">
        <f t="shared" si="5"/>
        <v>0</v>
      </c>
      <c r="T263" s="53">
        <v>0</v>
      </c>
      <c r="U263" s="94">
        <f t="shared" si="6"/>
        <v>0</v>
      </c>
      <c r="V263" s="25"/>
      <c r="W263" s="25"/>
      <c r="X263" s="5"/>
    </row>
    <row r="264" spans="1:24" ht="15.6" x14ac:dyDescent="0.3">
      <c r="A264" s="24"/>
      <c r="B264" s="54" t="s">
        <v>160</v>
      </c>
      <c r="C264" s="25"/>
      <c r="D264" s="25"/>
      <c r="E264" s="25"/>
      <c r="F264" s="25"/>
      <c r="G264" s="25"/>
      <c r="H264" s="95"/>
      <c r="I264" s="95"/>
      <c r="J264" s="95"/>
      <c r="K264" s="95"/>
      <c r="L264" s="95"/>
      <c r="M264" s="95"/>
      <c r="N264" s="95"/>
      <c r="O264" s="95"/>
      <c r="P264" s="95"/>
      <c r="Q264" s="95"/>
      <c r="R264" s="54">
        <v>0</v>
      </c>
      <c r="S264" s="94">
        <f t="shared" si="5"/>
        <v>0</v>
      </c>
      <c r="T264" s="53">
        <v>0</v>
      </c>
      <c r="U264" s="94">
        <f t="shared" si="6"/>
        <v>0</v>
      </c>
      <c r="V264" s="25"/>
      <c r="W264" s="25"/>
      <c r="X264" s="5"/>
    </row>
    <row r="265" spans="1:24" ht="15.6" x14ac:dyDescent="0.3">
      <c r="A265" s="24"/>
      <c r="B265" s="54" t="s">
        <v>161</v>
      </c>
      <c r="C265" s="25"/>
      <c r="D265" s="25"/>
      <c r="E265" s="25"/>
      <c r="F265" s="25"/>
      <c r="G265" s="25"/>
      <c r="H265" s="95"/>
      <c r="I265" s="95"/>
      <c r="J265" s="95"/>
      <c r="K265" s="95"/>
      <c r="L265" s="95"/>
      <c r="M265" s="95"/>
      <c r="N265" s="95"/>
      <c r="O265" s="95"/>
      <c r="P265" s="95"/>
      <c r="Q265" s="95"/>
      <c r="R265" s="54">
        <v>0</v>
      </c>
      <c r="S265" s="94">
        <f t="shared" si="5"/>
        <v>0</v>
      </c>
      <c r="T265" s="53">
        <v>0</v>
      </c>
      <c r="U265" s="94">
        <f t="shared" si="6"/>
        <v>0</v>
      </c>
      <c r="V265" s="25"/>
      <c r="W265" s="25"/>
      <c r="X265" s="5"/>
    </row>
    <row r="266" spans="1:24" ht="15.6" x14ac:dyDescent="0.3">
      <c r="A266" s="24"/>
      <c r="B266" s="54" t="s">
        <v>162</v>
      </c>
      <c r="C266" s="25"/>
      <c r="D266" s="25"/>
      <c r="E266" s="25"/>
      <c r="F266" s="25"/>
      <c r="G266" s="25"/>
      <c r="H266" s="95"/>
      <c r="I266" s="95"/>
      <c r="J266" s="95"/>
      <c r="K266" s="95"/>
      <c r="L266" s="95"/>
      <c r="M266" s="95"/>
      <c r="N266" s="95"/>
      <c r="O266" s="95"/>
      <c r="P266" s="95"/>
      <c r="Q266" s="95"/>
      <c r="R266" s="54">
        <v>0</v>
      </c>
      <c r="S266" s="94">
        <f t="shared" si="5"/>
        <v>0</v>
      </c>
      <c r="T266" s="53">
        <v>0</v>
      </c>
      <c r="U266" s="94">
        <f t="shared" si="6"/>
        <v>0</v>
      </c>
      <c r="V266" s="25"/>
      <c r="W266" s="25"/>
      <c r="X266" s="5"/>
    </row>
    <row r="267" spans="1:24" ht="15.6" x14ac:dyDescent="0.3">
      <c r="A267" s="24"/>
      <c r="B267" s="54" t="s">
        <v>163</v>
      </c>
      <c r="C267" s="25"/>
      <c r="D267" s="25"/>
      <c r="E267" s="25"/>
      <c r="F267" s="25"/>
      <c r="G267" s="25"/>
      <c r="H267" s="95"/>
      <c r="I267" s="95"/>
      <c r="J267" s="95"/>
      <c r="K267" s="95"/>
      <c r="L267" s="95"/>
      <c r="M267" s="95"/>
      <c r="N267" s="95"/>
      <c r="O267" s="95"/>
      <c r="P267" s="95"/>
      <c r="Q267" s="95"/>
      <c r="R267" s="54">
        <v>1</v>
      </c>
      <c r="S267" s="94">
        <f t="shared" si="5"/>
        <v>1</v>
      </c>
      <c r="T267" s="53">
        <v>162</v>
      </c>
      <c r="U267" s="94">
        <f t="shared" si="6"/>
        <v>1</v>
      </c>
      <c r="V267" s="25"/>
      <c r="W267" s="25"/>
      <c r="X267" s="5"/>
    </row>
    <row r="268" spans="1:24" ht="15.6" x14ac:dyDescent="0.3">
      <c r="A268" s="24"/>
      <c r="B268" s="54"/>
      <c r="C268" s="25"/>
      <c r="D268" s="25"/>
      <c r="E268" s="25"/>
      <c r="F268" s="25"/>
      <c r="G268" s="25"/>
      <c r="H268" s="95"/>
      <c r="I268" s="95"/>
      <c r="J268" s="95"/>
      <c r="K268" s="95"/>
      <c r="L268" s="95"/>
      <c r="M268" s="95"/>
      <c r="N268" s="95"/>
      <c r="O268" s="95"/>
      <c r="P268" s="95"/>
      <c r="Q268" s="95"/>
      <c r="R268" s="54"/>
      <c r="S268" s="94"/>
      <c r="T268" s="53"/>
      <c r="U268" s="132"/>
      <c r="V268" s="25"/>
      <c r="W268" s="25"/>
      <c r="X268" s="5"/>
    </row>
    <row r="269" spans="1:24" ht="15.6" x14ac:dyDescent="0.3">
      <c r="A269" s="24"/>
      <c r="B269" s="25" t="s">
        <v>117</v>
      </c>
      <c r="C269" s="25"/>
      <c r="D269" s="25"/>
      <c r="E269" s="25"/>
      <c r="F269" s="25"/>
      <c r="G269" s="25"/>
      <c r="H269" s="95"/>
      <c r="I269" s="95"/>
      <c r="J269" s="95"/>
      <c r="K269" s="95"/>
      <c r="L269" s="95"/>
      <c r="M269" s="95"/>
      <c r="N269" s="95"/>
      <c r="O269" s="95"/>
      <c r="P269" s="95"/>
      <c r="Q269" s="95"/>
      <c r="R269" s="34">
        <f>SUM(R260:R267)</f>
        <v>1</v>
      </c>
      <c r="S269" s="94">
        <f>SUM(S260:S267)</f>
        <v>1</v>
      </c>
      <c r="T269" s="53">
        <f>SUM(T260:T267)</f>
        <v>162</v>
      </c>
      <c r="U269" s="132">
        <f>SUM(U260:U267)</f>
        <v>1</v>
      </c>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34"/>
      <c r="S270" s="132"/>
      <c r="T270" s="53"/>
      <c r="U270" s="132"/>
      <c r="V270" s="25"/>
      <c r="W270" s="25"/>
      <c r="X270" s="5"/>
    </row>
    <row r="271" spans="1:24" ht="15.6" x14ac:dyDescent="0.3">
      <c r="A271" s="24"/>
      <c r="B271" s="142" t="s">
        <v>167</v>
      </c>
      <c r="C271" s="25"/>
      <c r="D271" s="25"/>
      <c r="E271" s="25"/>
      <c r="F271" s="25"/>
      <c r="G271" s="25"/>
      <c r="H271" s="95"/>
      <c r="I271" s="95"/>
      <c r="J271" s="95"/>
      <c r="K271" s="95"/>
      <c r="L271" s="95"/>
      <c r="M271" s="95"/>
      <c r="N271" s="95"/>
      <c r="O271" s="95"/>
      <c r="P271" s="95"/>
      <c r="Q271" s="95"/>
      <c r="R271" s="161">
        <f>R269+R257+R245</f>
        <v>8509</v>
      </c>
      <c r="S271" s="143"/>
      <c r="T271" s="144">
        <f>+T269+T257+T245</f>
        <v>1080660</v>
      </c>
      <c r="U271" s="143"/>
      <c r="V271" s="25"/>
      <c r="W271" s="25"/>
      <c r="X271" s="5"/>
    </row>
    <row r="272" spans="1:24" ht="15.6" x14ac:dyDescent="0.3">
      <c r="A272" s="24"/>
      <c r="B272" s="25"/>
      <c r="C272" s="25"/>
      <c r="D272" s="25"/>
      <c r="E272" s="25"/>
      <c r="F272" s="25"/>
      <c r="G272" s="25"/>
      <c r="H272" s="95"/>
      <c r="I272" s="95"/>
      <c r="J272" s="95"/>
      <c r="K272" s="95"/>
      <c r="L272" s="95"/>
      <c r="M272" s="95"/>
      <c r="N272" s="95"/>
      <c r="O272" s="95"/>
      <c r="P272" s="95"/>
      <c r="Q272" s="95"/>
      <c r="R272" s="95"/>
      <c r="S272" s="95"/>
      <c r="T272" s="53"/>
      <c r="U272" s="95"/>
      <c r="V272" s="25"/>
      <c r="W272" s="25"/>
      <c r="X272" s="5"/>
    </row>
    <row r="273" spans="1:24" ht="15.6" x14ac:dyDescent="0.3">
      <c r="A273" s="6"/>
      <c r="B273" s="8"/>
      <c r="C273" s="8"/>
      <c r="D273" s="8"/>
      <c r="E273" s="8"/>
      <c r="F273" s="8"/>
      <c r="G273" s="8"/>
      <c r="H273" s="96"/>
      <c r="I273" s="96"/>
      <c r="J273" s="96"/>
      <c r="K273" s="96"/>
      <c r="L273" s="96"/>
      <c r="M273" s="96"/>
      <c r="N273" s="96"/>
      <c r="O273" s="96"/>
      <c r="P273" s="96"/>
      <c r="Q273" s="96"/>
      <c r="R273" s="96"/>
      <c r="S273" s="96"/>
      <c r="T273" s="97"/>
      <c r="U273" s="96"/>
      <c r="V273" s="8"/>
      <c r="W273" s="8"/>
      <c r="X273" s="5"/>
    </row>
    <row r="274" spans="1:24" ht="15.6" x14ac:dyDescent="0.3">
      <c r="A274" s="167"/>
      <c r="B274" s="14" t="s">
        <v>92</v>
      </c>
      <c r="C274" s="15"/>
      <c r="D274" s="15"/>
      <c r="E274" s="15"/>
      <c r="F274" s="17" t="s">
        <v>98</v>
      </c>
      <c r="G274" s="15"/>
      <c r="H274" s="14" t="s">
        <v>100</v>
      </c>
      <c r="I274" s="14"/>
      <c r="J274" s="14"/>
      <c r="K274" s="162"/>
      <c r="L274" s="162"/>
      <c r="M274" s="162"/>
      <c r="N274" s="162"/>
      <c r="O274" s="162"/>
      <c r="P274" s="162"/>
      <c r="Q274" s="162"/>
      <c r="R274" s="162"/>
      <c r="S274" s="162"/>
      <c r="T274" s="162"/>
      <c r="U274" s="162"/>
      <c r="V274" s="162"/>
      <c r="W274" s="162"/>
      <c r="X274" s="5"/>
    </row>
    <row r="275" spans="1:24" ht="15.6" x14ac:dyDescent="0.3">
      <c r="A275" s="167"/>
      <c r="B275" s="13" t="s">
        <v>93</v>
      </c>
      <c r="C275" s="8"/>
      <c r="D275" s="8"/>
      <c r="E275" s="8"/>
      <c r="F275" s="130" t="s">
        <v>151</v>
      </c>
      <c r="G275" s="8"/>
      <c r="H275" s="13" t="s">
        <v>155</v>
      </c>
      <c r="I275" s="13"/>
      <c r="J275" s="13"/>
      <c r="K275" s="162"/>
      <c r="L275" s="162"/>
      <c r="M275" s="162"/>
      <c r="N275" s="162"/>
      <c r="O275" s="162"/>
      <c r="P275" s="162"/>
      <c r="Q275" s="162"/>
      <c r="R275" s="162"/>
      <c r="S275" s="162"/>
      <c r="T275" s="162"/>
      <c r="U275" s="162"/>
      <c r="V275" s="162"/>
      <c r="W275" s="162"/>
      <c r="X275" s="5"/>
    </row>
    <row r="276" spans="1:24" ht="15.6" x14ac:dyDescent="0.3">
      <c r="A276" s="167"/>
      <c r="B276" s="13" t="s">
        <v>281</v>
      </c>
      <c r="C276" s="13"/>
      <c r="D276" s="13"/>
      <c r="E276" s="13"/>
      <c r="F276" s="130" t="s">
        <v>282</v>
      </c>
      <c r="G276" s="13"/>
      <c r="H276" s="13" t="s">
        <v>283</v>
      </c>
      <c r="I276" s="162"/>
      <c r="J276" s="13"/>
      <c r="K276" s="162"/>
      <c r="L276" s="162"/>
      <c r="M276" s="162"/>
      <c r="N276" s="162"/>
      <c r="O276" s="162"/>
      <c r="P276" s="162"/>
      <c r="Q276" s="162"/>
      <c r="R276" s="162"/>
      <c r="S276" s="162"/>
      <c r="T276" s="162"/>
      <c r="U276" s="162"/>
      <c r="V276" s="162"/>
      <c r="W276" s="162"/>
      <c r="X276" s="5"/>
    </row>
    <row r="277" spans="1:24" ht="15.6" x14ac:dyDescent="0.3">
      <c r="A277" s="167"/>
      <c r="B277" s="13" t="s">
        <v>94</v>
      </c>
      <c r="C277" s="13"/>
      <c r="D277" s="13"/>
      <c r="E277" s="13"/>
      <c r="F277" s="130" t="s">
        <v>150</v>
      </c>
      <c r="G277" s="13"/>
      <c r="H277" s="13" t="s">
        <v>156</v>
      </c>
      <c r="I277" s="13"/>
      <c r="J277" s="13"/>
      <c r="K277" s="162"/>
      <c r="L277" s="162"/>
      <c r="M277" s="162"/>
      <c r="N277" s="162"/>
      <c r="O277" s="162"/>
      <c r="P277" s="162"/>
      <c r="Q277" s="162"/>
      <c r="R277" s="162"/>
      <c r="S277" s="162"/>
      <c r="T277" s="162"/>
      <c r="U277" s="162"/>
      <c r="V277" s="162"/>
      <c r="W277" s="162"/>
      <c r="X277" s="5"/>
    </row>
    <row r="278" spans="1:24" ht="15.6" x14ac:dyDescent="0.3">
      <c r="A278" s="167"/>
      <c r="B278" s="13"/>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ht="15.6" x14ac:dyDescent="0.3">
      <c r="A279" s="167"/>
      <c r="B279" s="13"/>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ht="18" thickBot="1" x14ac:dyDescent="0.35">
      <c r="A280" s="167"/>
      <c r="B280" s="49" t="str">
        <f>B197</f>
        <v>PM13 INVESTOR REPORT QUARTER ENDING MARCH 2009</v>
      </c>
      <c r="C280" s="13"/>
      <c r="D280" s="13"/>
      <c r="E280" s="13"/>
      <c r="F280" s="13"/>
      <c r="G280" s="99"/>
      <c r="H280" s="162"/>
      <c r="I280" s="162"/>
      <c r="J280" s="162"/>
      <c r="K280" s="162"/>
      <c r="L280" s="162"/>
      <c r="M280" s="162"/>
      <c r="N280" s="162"/>
      <c r="O280" s="162"/>
      <c r="P280" s="162"/>
      <c r="Q280" s="162"/>
      <c r="R280" s="162"/>
      <c r="S280" s="162"/>
      <c r="T280" s="162"/>
      <c r="U280" s="162"/>
      <c r="V280" s="162"/>
      <c r="W280" s="162"/>
      <c r="X280" s="5"/>
    </row>
    <row r="281" spans="1:24" x14ac:dyDescent="0.25">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row>
  </sheetData>
  <phoneticPr fontId="0" type="noConversion"/>
  <hyperlinks>
    <hyperlink ref="P233" r:id="rId1" xr:uid="{00000000-0004-0000-0900-000000000000}"/>
    <hyperlink ref="I9" r:id="rId2" xr:uid="{00000000-0004-0000-09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8" max="14" man="1"/>
    <brk id="197" max="14"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9CB31"/>
  </sheetPr>
  <dimension ref="A1:Z28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238</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239</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140</v>
      </c>
      <c r="C5" s="8"/>
      <c r="D5" s="8"/>
      <c r="E5" s="8"/>
      <c r="F5" s="8"/>
      <c r="G5" s="8"/>
      <c r="H5" s="8"/>
      <c r="I5" s="8"/>
      <c r="J5" s="8"/>
      <c r="K5" s="8"/>
      <c r="L5" s="8"/>
      <c r="M5" s="8"/>
      <c r="N5" s="8"/>
      <c r="O5" s="8"/>
      <c r="P5" s="8"/>
      <c r="Q5" s="8"/>
      <c r="R5" s="8"/>
      <c r="S5" s="8"/>
      <c r="T5" s="8"/>
      <c r="U5" s="8"/>
      <c r="V5" s="8"/>
      <c r="W5" s="8"/>
      <c r="X5" s="5"/>
    </row>
    <row r="6" spans="1:24" ht="15.6" x14ac:dyDescent="0.3">
      <c r="A6" s="6"/>
      <c r="B6" s="11" t="s">
        <v>142</v>
      </c>
      <c r="C6" s="8"/>
      <c r="D6" s="8"/>
      <c r="E6" s="8"/>
      <c r="F6" s="8"/>
      <c r="G6" s="8"/>
      <c r="H6" s="8"/>
      <c r="I6" s="8"/>
      <c r="J6" s="8"/>
      <c r="K6" s="8"/>
      <c r="L6" s="8"/>
      <c r="M6" s="8"/>
      <c r="N6" s="8"/>
      <c r="O6" s="8"/>
      <c r="P6" s="8"/>
      <c r="Q6" s="8"/>
      <c r="R6" s="8"/>
      <c r="S6" s="8"/>
      <c r="T6" s="8"/>
      <c r="U6" s="8"/>
      <c r="V6" s="8"/>
      <c r="W6" s="8"/>
      <c r="X6" s="5"/>
    </row>
    <row r="7" spans="1:24" ht="15.6" x14ac:dyDescent="0.3">
      <c r="A7" s="6"/>
      <c r="B7" s="11" t="s">
        <v>141</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169</v>
      </c>
      <c r="C9" s="8"/>
      <c r="D9" s="8"/>
      <c r="E9" s="8"/>
      <c r="F9" s="8"/>
      <c r="G9" s="8"/>
      <c r="H9" s="8"/>
      <c r="I9" s="148" t="s">
        <v>170</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240</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105</v>
      </c>
      <c r="S15" s="137">
        <v>0.57609999999999995</v>
      </c>
      <c r="T15" s="17" t="s">
        <v>143</v>
      </c>
      <c r="U15" s="137">
        <v>0.4239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105</v>
      </c>
      <c r="S16" s="137">
        <v>0.62560000000000004</v>
      </c>
      <c r="T16" s="17" t="s">
        <v>143</v>
      </c>
      <c r="U16" s="137">
        <v>0.37440000000000001</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39016</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40016</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106</v>
      </c>
      <c r="U20" s="8"/>
      <c r="V20" s="16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180</v>
      </c>
      <c r="E22" s="112"/>
      <c r="F22" s="112" t="s">
        <v>181</v>
      </c>
      <c r="G22" s="112"/>
      <c r="H22" s="112" t="s">
        <v>182</v>
      </c>
      <c r="I22" s="112"/>
      <c r="J22" s="112" t="s">
        <v>223</v>
      </c>
      <c r="K22" s="112"/>
      <c r="L22" s="112" t="s">
        <v>183</v>
      </c>
      <c r="M22" s="112"/>
      <c r="N22" s="112" t="s">
        <v>184</v>
      </c>
      <c r="O22" s="112"/>
      <c r="P22" s="112" t="s">
        <v>224</v>
      </c>
      <c r="Q22" s="112"/>
      <c r="R22" s="112" t="s">
        <v>185</v>
      </c>
      <c r="S22" s="113"/>
      <c r="T22" s="23"/>
      <c r="U22" s="162"/>
      <c r="V22" s="162"/>
      <c r="W22" s="8"/>
      <c r="X22" s="5"/>
    </row>
    <row r="23" spans="1:24" ht="15.6" x14ac:dyDescent="0.3">
      <c r="A23" s="24"/>
      <c r="B23" s="25" t="s">
        <v>7</v>
      </c>
      <c r="C23" s="26"/>
      <c r="D23" s="26" t="s">
        <v>216</v>
      </c>
      <c r="E23" s="26"/>
      <c r="F23" s="26" t="s">
        <v>144</v>
      </c>
      <c r="G23" s="26"/>
      <c r="H23" s="26" t="s">
        <v>144</v>
      </c>
      <c r="I23" s="26"/>
      <c r="J23" s="26" t="s">
        <v>144</v>
      </c>
      <c r="K23" s="26"/>
      <c r="L23" s="26" t="s">
        <v>186</v>
      </c>
      <c r="M23" s="26"/>
      <c r="N23" s="26" t="s">
        <v>186</v>
      </c>
      <c r="O23" s="26"/>
      <c r="P23" s="26" t="s">
        <v>145</v>
      </c>
      <c r="Q23" s="26"/>
      <c r="R23" s="26" t="s">
        <v>145</v>
      </c>
      <c r="S23" s="26"/>
      <c r="T23" s="26"/>
      <c r="U23" s="163"/>
      <c r="V23" s="163"/>
      <c r="W23" s="25"/>
      <c r="X23" s="5"/>
    </row>
    <row r="24" spans="1:24" ht="15.6" x14ac:dyDescent="0.3">
      <c r="A24" s="24"/>
      <c r="B24" s="25" t="s">
        <v>8</v>
      </c>
      <c r="C24" s="26"/>
      <c r="D24" s="26" t="s">
        <v>217</v>
      </c>
      <c r="E24" s="26"/>
      <c r="F24" s="26" t="s">
        <v>146</v>
      </c>
      <c r="G24" s="26"/>
      <c r="H24" s="26" t="s">
        <v>146</v>
      </c>
      <c r="I24" s="26"/>
      <c r="J24" s="26" t="s">
        <v>146</v>
      </c>
      <c r="K24" s="26"/>
      <c r="L24" s="26" t="s">
        <v>168</v>
      </c>
      <c r="M24" s="26"/>
      <c r="N24" s="26" t="s">
        <v>168</v>
      </c>
      <c r="O24" s="26"/>
      <c r="P24" s="26" t="s">
        <v>147</v>
      </c>
      <c r="Q24" s="26"/>
      <c r="R24" s="26" t="s">
        <v>147</v>
      </c>
      <c r="S24" s="26"/>
      <c r="T24" s="26"/>
      <c r="U24" s="163"/>
      <c r="V24" s="163"/>
      <c r="W24" s="25"/>
      <c r="X24" s="5"/>
    </row>
    <row r="25" spans="1:24" ht="15.6" x14ac:dyDescent="0.3">
      <c r="A25" s="28"/>
      <c r="B25" s="131" t="s">
        <v>193</v>
      </c>
      <c r="C25" s="123"/>
      <c r="D25" s="26" t="s">
        <v>218</v>
      </c>
      <c r="E25" s="26"/>
      <c r="F25" s="26" t="s">
        <v>146</v>
      </c>
      <c r="G25" s="26"/>
      <c r="H25" s="26" t="s">
        <v>146</v>
      </c>
      <c r="I25" s="26"/>
      <c r="J25" s="26" t="s">
        <v>146</v>
      </c>
      <c r="K25" s="26"/>
      <c r="L25" s="26" t="s">
        <v>168</v>
      </c>
      <c r="M25" s="26"/>
      <c r="N25" s="26" t="s">
        <v>168</v>
      </c>
      <c r="O25" s="26"/>
      <c r="P25" s="26" t="s">
        <v>147</v>
      </c>
      <c r="Q25" s="26"/>
      <c r="R25" s="26" t="s">
        <v>147</v>
      </c>
      <c r="S25" s="123"/>
      <c r="T25" s="26"/>
      <c r="U25" s="163"/>
      <c r="V25" s="163"/>
      <c r="W25" s="25"/>
      <c r="X25" s="5"/>
    </row>
    <row r="26" spans="1:24" ht="15.6" x14ac:dyDescent="0.3">
      <c r="A26" s="28"/>
      <c r="B26" s="29" t="s">
        <v>9</v>
      </c>
      <c r="C26" s="123"/>
      <c r="D26" s="123" t="s">
        <v>216</v>
      </c>
      <c r="E26" s="123"/>
      <c r="F26" s="123" t="s">
        <v>144</v>
      </c>
      <c r="G26" s="123"/>
      <c r="H26" s="123" t="s">
        <v>144</v>
      </c>
      <c r="I26" s="123"/>
      <c r="J26" s="123" t="s">
        <v>144</v>
      </c>
      <c r="K26" s="123"/>
      <c r="L26" s="123" t="s">
        <v>186</v>
      </c>
      <c r="M26" s="123"/>
      <c r="N26" s="123" t="s">
        <v>186</v>
      </c>
      <c r="O26" s="123"/>
      <c r="P26" s="123" t="s">
        <v>145</v>
      </c>
      <c r="Q26" s="123"/>
      <c r="R26" s="123" t="s">
        <v>145</v>
      </c>
      <c r="S26" s="123"/>
      <c r="T26" s="26"/>
      <c r="U26" s="163"/>
      <c r="V26" s="163"/>
      <c r="W26" s="25"/>
      <c r="X26" s="5"/>
    </row>
    <row r="27" spans="1:24" ht="15.6" x14ac:dyDescent="0.3">
      <c r="A27" s="24"/>
      <c r="B27" s="29" t="s">
        <v>194</v>
      </c>
      <c r="C27" s="26"/>
      <c r="D27" s="123" t="s">
        <v>217</v>
      </c>
      <c r="E27" s="123"/>
      <c r="F27" s="123" t="s">
        <v>146</v>
      </c>
      <c r="G27" s="123"/>
      <c r="H27" s="123" t="s">
        <v>146</v>
      </c>
      <c r="I27" s="123"/>
      <c r="J27" s="123" t="s">
        <v>146</v>
      </c>
      <c r="K27" s="123"/>
      <c r="L27" s="123" t="s">
        <v>168</v>
      </c>
      <c r="M27" s="123"/>
      <c r="N27" s="123" t="s">
        <v>168</v>
      </c>
      <c r="O27" s="123"/>
      <c r="P27" s="123" t="s">
        <v>147</v>
      </c>
      <c r="Q27" s="123"/>
      <c r="R27" s="123" t="s">
        <v>147</v>
      </c>
      <c r="S27" s="26"/>
      <c r="T27" s="30"/>
      <c r="U27" s="163"/>
      <c r="V27" s="163"/>
      <c r="W27" s="25"/>
      <c r="X27" s="5"/>
    </row>
    <row r="28" spans="1:24" ht="15.6" x14ac:dyDescent="0.3">
      <c r="A28" s="24"/>
      <c r="B28" s="153" t="s">
        <v>195</v>
      </c>
      <c r="C28" s="26"/>
      <c r="D28" s="123" t="s">
        <v>218</v>
      </c>
      <c r="E28" s="123"/>
      <c r="F28" s="123" t="s">
        <v>146</v>
      </c>
      <c r="G28" s="123"/>
      <c r="H28" s="123" t="s">
        <v>146</v>
      </c>
      <c r="I28" s="123"/>
      <c r="J28" s="123" t="s">
        <v>146</v>
      </c>
      <c r="K28" s="123"/>
      <c r="L28" s="123" t="s">
        <v>168</v>
      </c>
      <c r="M28" s="123"/>
      <c r="N28" s="123" t="s">
        <v>168</v>
      </c>
      <c r="O28" s="123"/>
      <c r="P28" s="123" t="s">
        <v>147</v>
      </c>
      <c r="Q28" s="123"/>
      <c r="R28" s="123" t="s">
        <v>147</v>
      </c>
      <c r="S28" s="26"/>
      <c r="T28" s="30"/>
      <c r="U28" s="163"/>
      <c r="V28" s="163"/>
      <c r="W28" s="25"/>
      <c r="X28" s="5"/>
    </row>
    <row r="29" spans="1:24" ht="15.6" x14ac:dyDescent="0.3">
      <c r="A29" s="24"/>
      <c r="B29" s="25" t="s">
        <v>10</v>
      </c>
      <c r="C29" s="32"/>
      <c r="D29" s="26" t="s">
        <v>348</v>
      </c>
      <c r="E29" s="26"/>
      <c r="F29" s="30" t="s">
        <v>242</v>
      </c>
      <c r="G29" s="26"/>
      <c r="H29" s="26" t="s">
        <v>243</v>
      </c>
      <c r="I29" s="26"/>
      <c r="J29" s="26" t="s">
        <v>245</v>
      </c>
      <c r="K29" s="26"/>
      <c r="L29" s="26" t="s">
        <v>246</v>
      </c>
      <c r="M29" s="26"/>
      <c r="N29" s="26" t="s">
        <v>247</v>
      </c>
      <c r="O29" s="26"/>
      <c r="P29" s="26" t="s">
        <v>248</v>
      </c>
      <c r="Q29" s="26"/>
      <c r="R29" s="26" t="s">
        <v>249</v>
      </c>
      <c r="S29" s="31"/>
      <c r="T29" s="31"/>
      <c r="U29" s="164"/>
      <c r="V29" s="31"/>
      <c r="W29" s="34"/>
      <c r="X29" s="5"/>
    </row>
    <row r="30" spans="1:24" ht="15.6" x14ac:dyDescent="0.3">
      <c r="A30" s="24"/>
      <c r="B30" s="25" t="s">
        <v>10</v>
      </c>
      <c r="C30" s="32"/>
      <c r="D30" s="26" t="s">
        <v>241</v>
      </c>
      <c r="E30" s="26"/>
      <c r="F30" s="30" t="s">
        <v>121</v>
      </c>
      <c r="G30" s="26"/>
      <c r="H30" s="26" t="s">
        <v>121</v>
      </c>
      <c r="I30" s="26"/>
      <c r="J30" s="26" t="s">
        <v>244</v>
      </c>
      <c r="K30" s="26"/>
      <c r="L30" s="26" t="s">
        <v>121</v>
      </c>
      <c r="M30" s="26"/>
      <c r="N30" s="26" t="s">
        <v>121</v>
      </c>
      <c r="O30" s="26"/>
      <c r="P30" s="26" t="s">
        <v>121</v>
      </c>
      <c r="Q30" s="26"/>
      <c r="R30" s="26" t="s">
        <v>121</v>
      </c>
      <c r="S30" s="31"/>
      <c r="T30" s="31"/>
      <c r="U30" s="164"/>
      <c r="V30" s="31"/>
      <c r="W30" s="34"/>
      <c r="X30" s="5"/>
    </row>
    <row r="31" spans="1:24" ht="15.6" x14ac:dyDescent="0.3">
      <c r="A31" s="28"/>
      <c r="B31" s="25" t="s">
        <v>136</v>
      </c>
      <c r="C31" s="36"/>
      <c r="D31" s="146">
        <v>1500000</v>
      </c>
      <c r="E31" s="32"/>
      <c r="F31" s="31">
        <v>125000</v>
      </c>
      <c r="G31" s="31"/>
      <c r="H31" s="124">
        <v>315000</v>
      </c>
      <c r="I31" s="124"/>
      <c r="J31" s="146">
        <v>350000</v>
      </c>
      <c r="K31" s="31"/>
      <c r="L31" s="31">
        <v>56000</v>
      </c>
      <c r="M31" s="31"/>
      <c r="N31" s="124">
        <v>84000</v>
      </c>
      <c r="O31" s="31"/>
      <c r="P31" s="31">
        <v>13000</v>
      </c>
      <c r="Q31" s="31"/>
      <c r="R31" s="124">
        <v>81000</v>
      </c>
      <c r="S31" s="35"/>
      <c r="T31" s="35"/>
      <c r="U31" s="37"/>
      <c r="V31" s="35"/>
      <c r="W31" s="34"/>
      <c r="X31" s="5"/>
    </row>
    <row r="32" spans="1:24" ht="15.6" x14ac:dyDescent="0.3">
      <c r="A32" s="24"/>
      <c r="B32" s="25" t="s">
        <v>135</v>
      </c>
      <c r="C32" s="32"/>
      <c r="D32" s="146">
        <f>D31*D38</f>
        <v>1023424.05</v>
      </c>
      <c r="E32" s="32"/>
      <c r="F32" s="31">
        <f>F31*F38</f>
        <v>85285.425000000003</v>
      </c>
      <c r="G32" s="31"/>
      <c r="H32" s="124">
        <f>H31*H38</f>
        <v>214919.27100000001</v>
      </c>
      <c r="I32" s="124"/>
      <c r="J32" s="146">
        <f>J31*J38</f>
        <v>238798.94500000001</v>
      </c>
      <c r="K32" s="31"/>
      <c r="L32" s="31">
        <f>L31*L38</f>
        <v>56000</v>
      </c>
      <c r="M32" s="31"/>
      <c r="N32" s="124">
        <f>N31*N38</f>
        <v>84000</v>
      </c>
      <c r="O32" s="31"/>
      <c r="P32" s="31">
        <f>P31*P38</f>
        <v>13000</v>
      </c>
      <c r="Q32" s="31"/>
      <c r="R32" s="124">
        <f>R31*R38</f>
        <v>81000</v>
      </c>
      <c r="S32" s="31"/>
      <c r="T32" s="31"/>
      <c r="U32" s="164"/>
      <c r="V32" s="31"/>
      <c r="W32" s="34"/>
      <c r="X32" s="5"/>
    </row>
    <row r="33" spans="1:24" ht="15.6" x14ac:dyDescent="0.3">
      <c r="A33" s="24"/>
      <c r="B33" s="29" t="s">
        <v>137</v>
      </c>
      <c r="C33" s="32"/>
      <c r="D33" s="151">
        <f>D37*D31</f>
        <v>1016166.15</v>
      </c>
      <c r="E33" s="36"/>
      <c r="F33" s="35">
        <f>F37*F31</f>
        <v>84680.599999999991</v>
      </c>
      <c r="G33" s="35"/>
      <c r="H33" s="125">
        <f>H31*H37</f>
        <v>213395.11199999999</v>
      </c>
      <c r="I33" s="125"/>
      <c r="J33" s="151">
        <f>J37*J31</f>
        <v>237105.435</v>
      </c>
      <c r="K33" s="35"/>
      <c r="L33" s="35">
        <f>L31*L37</f>
        <v>56000</v>
      </c>
      <c r="M33" s="35"/>
      <c r="N33" s="125">
        <f>N31*N37</f>
        <v>84000</v>
      </c>
      <c r="O33" s="35"/>
      <c r="P33" s="35">
        <f>P31*P37</f>
        <v>13000</v>
      </c>
      <c r="Q33" s="35"/>
      <c r="R33" s="125">
        <f>R31*R37</f>
        <v>81000</v>
      </c>
      <c r="S33" s="31"/>
      <c r="T33" s="31"/>
      <c r="U33" s="164"/>
      <c r="V33" s="31"/>
      <c r="W33" s="34"/>
      <c r="X33" s="5"/>
    </row>
    <row r="34" spans="1:24" ht="15.6" x14ac:dyDescent="0.3">
      <c r="A34" s="28"/>
      <c r="B34" s="25" t="s">
        <v>298</v>
      </c>
      <c r="C34" s="36"/>
      <c r="D34" s="31">
        <v>797872</v>
      </c>
      <c r="E34" s="32"/>
      <c r="F34" s="31">
        <v>125000</v>
      </c>
      <c r="G34" s="31"/>
      <c r="H34" s="31">
        <v>211409</v>
      </c>
      <c r="I34" s="31"/>
      <c r="J34" s="31">
        <v>186170</v>
      </c>
      <c r="K34" s="31"/>
      <c r="L34" s="31">
        <v>56000</v>
      </c>
      <c r="M34" s="31"/>
      <c r="N34" s="31">
        <v>56376</v>
      </c>
      <c r="O34" s="31"/>
      <c r="P34" s="31">
        <v>13000</v>
      </c>
      <c r="Q34" s="31"/>
      <c r="R34" s="31">
        <v>54363</v>
      </c>
      <c r="S34" s="35"/>
      <c r="T34" s="35"/>
      <c r="U34" s="37"/>
      <c r="V34" s="154">
        <f>SUM(C34:R34)</f>
        <v>1500190</v>
      </c>
      <c r="W34" s="34"/>
      <c r="X34" s="5"/>
    </row>
    <row r="35" spans="1:24" ht="15.6" x14ac:dyDescent="0.3">
      <c r="A35" s="28"/>
      <c r="B35" s="25" t="s">
        <v>299</v>
      </c>
      <c r="C35" s="126"/>
      <c r="D35" s="31">
        <f>D34*D38</f>
        <v>544374.2624144</v>
      </c>
      <c r="E35" s="32"/>
      <c r="F35" s="31">
        <f>F34*F38</f>
        <v>85285.425000000003</v>
      </c>
      <c r="G35" s="31"/>
      <c r="H35" s="31">
        <f>H34*H38</f>
        <v>144240.8513106</v>
      </c>
      <c r="I35" s="31"/>
      <c r="J35" s="31">
        <f>J34*J38</f>
        <v>127020.570259</v>
      </c>
      <c r="K35" s="31"/>
      <c r="L35" s="31">
        <f>L34*L38</f>
        <v>56000</v>
      </c>
      <c r="M35" s="31"/>
      <c r="N35" s="31">
        <f>N34*N38</f>
        <v>56376</v>
      </c>
      <c r="O35" s="31"/>
      <c r="P35" s="31">
        <f>P34*P38</f>
        <v>13000</v>
      </c>
      <c r="Q35" s="31"/>
      <c r="R35" s="31">
        <f>R34*R38</f>
        <v>54363</v>
      </c>
      <c r="S35" s="31"/>
      <c r="T35" s="31"/>
      <c r="U35" s="164"/>
      <c r="V35" s="154">
        <f>SUM(C35:R35)</f>
        <v>1080660.108984</v>
      </c>
      <c r="W35" s="34"/>
      <c r="X35" s="5"/>
    </row>
    <row r="36" spans="1:24" ht="15.6" x14ac:dyDescent="0.3">
      <c r="A36" s="28"/>
      <c r="B36" s="29" t="s">
        <v>304</v>
      </c>
      <c r="C36" s="126"/>
      <c r="D36" s="35">
        <f>D34*D37</f>
        <v>540513.67895520001</v>
      </c>
      <c r="E36" s="36"/>
      <c r="F36" s="35">
        <f>F34*F37</f>
        <v>84680.599999999991</v>
      </c>
      <c r="G36" s="35"/>
      <c r="H36" s="35">
        <f>H34*H37</f>
        <v>143217.9277232</v>
      </c>
      <c r="I36" s="35"/>
      <c r="J36" s="35">
        <f>J34*J37</f>
        <v>126119.76809699999</v>
      </c>
      <c r="K36" s="35"/>
      <c r="L36" s="35">
        <v>56000</v>
      </c>
      <c r="M36" s="35"/>
      <c r="N36" s="35">
        <v>56376</v>
      </c>
      <c r="O36" s="35"/>
      <c r="P36" s="35">
        <v>13000</v>
      </c>
      <c r="Q36" s="35"/>
      <c r="R36" s="35">
        <v>54363</v>
      </c>
      <c r="S36" s="128"/>
      <c r="T36" s="128"/>
      <c r="U36" s="164"/>
      <c r="V36" s="155">
        <f>SUM(C36:R36)</f>
        <v>1074270.9747754</v>
      </c>
      <c r="W36" s="34"/>
      <c r="X36" s="5"/>
    </row>
    <row r="37" spans="1:24" ht="15.6" x14ac:dyDescent="0.3">
      <c r="A37" s="24"/>
      <c r="B37" s="122" t="s">
        <v>133</v>
      </c>
      <c r="C37" s="25"/>
      <c r="D37" s="168">
        <v>0.67744409999999999</v>
      </c>
      <c r="E37" s="136"/>
      <c r="F37" s="168">
        <v>0.67744479999999996</v>
      </c>
      <c r="G37" s="135"/>
      <c r="H37" s="168">
        <v>0.67744479999999996</v>
      </c>
      <c r="I37" s="135"/>
      <c r="J37" s="168">
        <v>0.67744409999999999</v>
      </c>
      <c r="K37" s="135"/>
      <c r="L37" s="168">
        <v>1</v>
      </c>
      <c r="M37" s="135"/>
      <c r="N37" s="168">
        <v>1</v>
      </c>
      <c r="O37" s="135"/>
      <c r="P37" s="168">
        <v>1</v>
      </c>
      <c r="Q37" s="135"/>
      <c r="R37" s="168">
        <v>1</v>
      </c>
      <c r="S37" s="30"/>
      <c r="T37" s="30"/>
      <c r="U37" s="163"/>
      <c r="V37" s="163"/>
      <c r="W37" s="25"/>
      <c r="X37" s="5"/>
    </row>
    <row r="38" spans="1:24" ht="15.6" x14ac:dyDescent="0.3">
      <c r="A38" s="24"/>
      <c r="B38" s="122" t="s">
        <v>134</v>
      </c>
      <c r="C38" s="25"/>
      <c r="D38" s="168">
        <v>0.68228270000000002</v>
      </c>
      <c r="E38" s="136"/>
      <c r="F38" s="168">
        <v>0.68228339999999998</v>
      </c>
      <c r="G38" s="135"/>
      <c r="H38" s="168">
        <v>0.68228339999999998</v>
      </c>
      <c r="I38" s="135"/>
      <c r="J38" s="168">
        <v>0.68228270000000002</v>
      </c>
      <c r="K38" s="135"/>
      <c r="L38" s="135">
        <v>1</v>
      </c>
      <c r="M38" s="135"/>
      <c r="N38" s="135">
        <v>1</v>
      </c>
      <c r="O38" s="135"/>
      <c r="P38" s="135">
        <v>1</v>
      </c>
      <c r="Q38" s="135"/>
      <c r="R38" s="135">
        <v>1</v>
      </c>
      <c r="S38" s="39"/>
      <c r="T38" s="38"/>
      <c r="U38" s="163"/>
      <c r="V38" s="39"/>
      <c r="W38" s="25"/>
      <c r="X38" s="5"/>
    </row>
    <row r="39" spans="1:24" ht="15.6" x14ac:dyDescent="0.3">
      <c r="A39" s="24"/>
      <c r="B39" s="25" t="s">
        <v>11</v>
      </c>
      <c r="C39" s="25"/>
      <c r="D39" s="30" t="s">
        <v>225</v>
      </c>
      <c r="E39" s="25"/>
      <c r="F39" s="30" t="s">
        <v>225</v>
      </c>
      <c r="G39" s="30"/>
      <c r="H39" s="30" t="s">
        <v>225</v>
      </c>
      <c r="I39" s="30"/>
      <c r="J39" s="30" t="s">
        <v>251</v>
      </c>
      <c r="K39" s="30"/>
      <c r="L39" s="30" t="s">
        <v>252</v>
      </c>
      <c r="M39" s="30"/>
      <c r="N39" s="30" t="s">
        <v>253</v>
      </c>
      <c r="O39" s="30"/>
      <c r="P39" s="30" t="s">
        <v>254</v>
      </c>
      <c r="Q39" s="30"/>
      <c r="R39" s="30" t="s">
        <v>255</v>
      </c>
      <c r="S39" s="39"/>
      <c r="T39" s="38"/>
      <c r="U39" s="163"/>
      <c r="V39" s="163"/>
      <c r="W39" s="25"/>
      <c r="X39" s="5"/>
    </row>
    <row r="40" spans="1:24" ht="15.6" x14ac:dyDescent="0.3">
      <c r="A40" s="24"/>
      <c r="B40" s="25" t="s">
        <v>12</v>
      </c>
      <c r="C40" s="25"/>
      <c r="D40" s="38">
        <v>4.3937999999999998E-3</v>
      </c>
      <c r="E40" s="25"/>
      <c r="F40" s="38">
        <v>1.6543800000000001E-2</v>
      </c>
      <c r="G40" s="39"/>
      <c r="H40" s="38">
        <v>1.555E-2</v>
      </c>
      <c r="I40" s="38"/>
      <c r="J40" s="38">
        <v>1.2212499999999999E-2</v>
      </c>
      <c r="K40" s="39"/>
      <c r="L40" s="38">
        <v>1.7343799999999999E-2</v>
      </c>
      <c r="M40" s="39"/>
      <c r="N40" s="38">
        <v>1.6250000000000001E-2</v>
      </c>
      <c r="O40" s="39"/>
      <c r="P40" s="38">
        <v>1.9343800000000001E-2</v>
      </c>
      <c r="Q40" s="39"/>
      <c r="R40" s="38">
        <v>1.8249999999999999E-2</v>
      </c>
      <c r="S40" s="39"/>
      <c r="T40" s="38"/>
      <c r="U40" s="163"/>
      <c r="V40" s="30"/>
      <c r="W40" s="25"/>
      <c r="X40" s="5"/>
    </row>
    <row r="41" spans="1:24" ht="15.6" x14ac:dyDescent="0.3">
      <c r="A41" s="24"/>
      <c r="B41" s="25" t="s">
        <v>13</v>
      </c>
      <c r="C41" s="25"/>
      <c r="D41" s="38">
        <v>6.7625000000000003E-3</v>
      </c>
      <c r="E41" s="25"/>
      <c r="F41" s="38">
        <v>2.3862499999999998E-2</v>
      </c>
      <c r="G41" s="39"/>
      <c r="H41" s="38">
        <v>2.7320000000000001E-2</v>
      </c>
      <c r="I41" s="38"/>
      <c r="J41" s="38">
        <v>1.18438E-2</v>
      </c>
      <c r="K41" s="39"/>
      <c r="L41" s="38">
        <v>2.46625E-2</v>
      </c>
      <c r="M41" s="39"/>
      <c r="N41" s="38">
        <v>2.802E-2</v>
      </c>
      <c r="O41" s="39"/>
      <c r="P41" s="38">
        <v>2.6662499999999999E-2</v>
      </c>
      <c r="Q41" s="39"/>
      <c r="R41" s="38">
        <v>3.0020000000000002E-2</v>
      </c>
      <c r="S41" s="39"/>
      <c r="T41" s="38"/>
      <c r="U41" s="163"/>
      <c r="V41" s="39" t="s">
        <v>196</v>
      </c>
      <c r="W41" s="25"/>
      <c r="X41" s="5"/>
    </row>
    <row r="42" spans="1:24" ht="15.6" x14ac:dyDescent="0.3">
      <c r="A42" s="24"/>
      <c r="B42" s="25" t="s">
        <v>300</v>
      </c>
      <c r="C42" s="25"/>
      <c r="D42" s="30" t="s">
        <v>292</v>
      </c>
      <c r="E42" s="25"/>
      <c r="F42" s="30" t="s">
        <v>225</v>
      </c>
      <c r="G42" s="30"/>
      <c r="H42" s="30" t="s">
        <v>263</v>
      </c>
      <c r="I42" s="30"/>
      <c r="J42" s="30" t="s">
        <v>262</v>
      </c>
      <c r="K42" s="30"/>
      <c r="L42" s="30" t="s">
        <v>252</v>
      </c>
      <c r="M42" s="30"/>
      <c r="N42" s="30" t="s">
        <v>264</v>
      </c>
      <c r="O42" s="30"/>
      <c r="P42" s="30" t="s">
        <v>254</v>
      </c>
      <c r="Q42" s="30"/>
      <c r="R42" s="30" t="s">
        <v>260</v>
      </c>
      <c r="S42" s="39"/>
      <c r="T42" s="38"/>
      <c r="U42" s="163"/>
      <c r="V42" s="163"/>
      <c r="W42" s="25"/>
      <c r="X42" s="5"/>
    </row>
    <row r="43" spans="1:24" ht="15.6" x14ac:dyDescent="0.3">
      <c r="A43" s="24"/>
      <c r="B43" s="25" t="s">
        <v>301</v>
      </c>
      <c r="C43" s="110"/>
      <c r="D43" s="38">
        <v>1.6882999999999999E-2</v>
      </c>
      <c r="E43" s="38"/>
      <c r="F43" s="38">
        <f>+F40</f>
        <v>1.6543800000000001E-2</v>
      </c>
      <c r="G43" s="38"/>
      <c r="H43" s="38">
        <v>1.6665800000000001E-2</v>
      </c>
      <c r="I43" s="38"/>
      <c r="J43" s="38">
        <v>1.6583799999999999E-2</v>
      </c>
      <c r="K43" s="38"/>
      <c r="L43" s="38">
        <f>+L40</f>
        <v>1.7343799999999999E-2</v>
      </c>
      <c r="M43" s="38"/>
      <c r="N43" s="38">
        <v>1.7433799999999999E-2</v>
      </c>
      <c r="O43" s="38"/>
      <c r="P43" s="38">
        <f>+P40</f>
        <v>1.9343800000000001E-2</v>
      </c>
      <c r="Q43" s="39"/>
      <c r="R43" s="38">
        <v>1.95438E-2</v>
      </c>
      <c r="S43" s="30"/>
      <c r="T43" s="30"/>
      <c r="U43" s="163"/>
      <c r="V43" s="39">
        <f>SUMPRODUCT(D43:R43,D35:R35)/V35</f>
        <v>1.700813989032221E-2</v>
      </c>
      <c r="W43" s="25"/>
      <c r="X43" s="5"/>
    </row>
    <row r="44" spans="1:24" ht="15.6" x14ac:dyDescent="0.3">
      <c r="A44" s="24"/>
      <c r="B44" s="25" t="s">
        <v>302</v>
      </c>
      <c r="C44" s="110"/>
      <c r="D44" s="38">
        <v>2.42017E-2</v>
      </c>
      <c r="E44" s="38"/>
      <c r="F44" s="38">
        <f>+F41</f>
        <v>2.3862499999999998E-2</v>
      </c>
      <c r="G44" s="38"/>
      <c r="H44" s="38">
        <v>2.3984499999999999E-2</v>
      </c>
      <c r="I44" s="38"/>
      <c r="J44" s="38">
        <v>2.39025E-2</v>
      </c>
      <c r="K44" s="38"/>
      <c r="L44" s="38">
        <f>+L41</f>
        <v>2.46625E-2</v>
      </c>
      <c r="M44" s="38"/>
      <c r="N44" s="38">
        <v>2.47525E-2</v>
      </c>
      <c r="O44" s="38"/>
      <c r="P44" s="38">
        <f>+P41</f>
        <v>2.6662499999999999E-2</v>
      </c>
      <c r="Q44" s="39"/>
      <c r="R44" s="38">
        <v>2.6862500000000001E-2</v>
      </c>
      <c r="S44" s="30"/>
      <c r="T44" s="30"/>
      <c r="U44" s="163"/>
      <c r="V44" s="163"/>
      <c r="W44" s="25"/>
      <c r="X44" s="5"/>
    </row>
    <row r="45" spans="1:24" ht="15.6" x14ac:dyDescent="0.3">
      <c r="A45" s="24"/>
      <c r="B45" s="25" t="s">
        <v>14</v>
      </c>
      <c r="C45" s="25"/>
      <c r="D45" s="110">
        <v>40466</v>
      </c>
      <c r="E45" s="110"/>
      <c r="F45" s="110">
        <v>40466</v>
      </c>
      <c r="G45" s="110"/>
      <c r="H45" s="110">
        <v>40466</v>
      </c>
      <c r="I45" s="110"/>
      <c r="J45" s="110">
        <v>40466</v>
      </c>
      <c r="K45" s="110"/>
      <c r="L45" s="110">
        <v>40466</v>
      </c>
      <c r="M45" s="110"/>
      <c r="N45" s="110">
        <v>40466</v>
      </c>
      <c r="O45" s="110"/>
      <c r="P45" s="110">
        <v>40466</v>
      </c>
      <c r="Q45" s="110"/>
      <c r="R45" s="110">
        <v>40466</v>
      </c>
      <c r="S45" s="30"/>
      <c r="T45" s="30"/>
      <c r="U45" s="163"/>
      <c r="V45" s="163"/>
      <c r="W45" s="25"/>
      <c r="X45" s="5"/>
    </row>
    <row r="46" spans="1:24" ht="15.6" x14ac:dyDescent="0.3">
      <c r="A46" s="24"/>
      <c r="B46" s="25" t="s">
        <v>15</v>
      </c>
      <c r="C46" s="25"/>
      <c r="D46" s="110" t="s">
        <v>121</v>
      </c>
      <c r="E46" s="110"/>
      <c r="F46" s="110">
        <v>40831</v>
      </c>
      <c r="G46" s="110"/>
      <c r="H46" s="110">
        <v>40831</v>
      </c>
      <c r="I46" s="110"/>
      <c r="J46" s="110">
        <v>40831</v>
      </c>
      <c r="K46" s="30"/>
      <c r="L46" s="110">
        <v>40831</v>
      </c>
      <c r="M46" s="30"/>
      <c r="N46" s="110">
        <v>40831</v>
      </c>
      <c r="O46" s="30"/>
      <c r="P46" s="110">
        <v>40831</v>
      </c>
      <c r="Q46" s="30"/>
      <c r="R46" s="110">
        <v>40831</v>
      </c>
      <c r="S46" s="30"/>
      <c r="T46" s="30"/>
      <c r="U46" s="163"/>
      <c r="V46" s="163"/>
      <c r="W46" s="25"/>
      <c r="X46" s="5"/>
    </row>
    <row r="47" spans="1:24" ht="15.6" x14ac:dyDescent="0.3">
      <c r="A47" s="24"/>
      <c r="B47" s="25" t="s">
        <v>122</v>
      </c>
      <c r="C47" s="25"/>
      <c r="D47" s="160" t="s">
        <v>121</v>
      </c>
      <c r="E47" s="25"/>
      <c r="F47" s="30" t="s">
        <v>226</v>
      </c>
      <c r="G47" s="30"/>
      <c r="H47" s="30" t="s">
        <v>226</v>
      </c>
      <c r="I47" s="30"/>
      <c r="J47" s="30" t="s">
        <v>256</v>
      </c>
      <c r="K47" s="30"/>
      <c r="L47" s="30" t="s">
        <v>254</v>
      </c>
      <c r="M47" s="30"/>
      <c r="N47" s="30" t="s">
        <v>257</v>
      </c>
      <c r="O47" s="30"/>
      <c r="P47" s="30" t="s">
        <v>258</v>
      </c>
      <c r="Q47" s="30"/>
      <c r="R47" s="30" t="s">
        <v>259</v>
      </c>
      <c r="S47" s="40"/>
      <c r="T47" s="40"/>
      <c r="U47" s="40"/>
      <c r="V47" s="40"/>
      <c r="W47" s="25"/>
      <c r="X47" s="5"/>
    </row>
    <row r="48" spans="1:24" ht="15.6" x14ac:dyDescent="0.3">
      <c r="A48" s="24"/>
      <c r="B48" s="25" t="s">
        <v>303</v>
      </c>
      <c r="C48" s="25"/>
      <c r="D48" s="30" t="s">
        <v>203</v>
      </c>
      <c r="E48" s="25"/>
      <c r="F48" s="30" t="s">
        <v>226</v>
      </c>
      <c r="G48" s="30"/>
      <c r="H48" s="30" t="s">
        <v>227</v>
      </c>
      <c r="I48" s="30"/>
      <c r="J48" s="30" t="s">
        <v>237</v>
      </c>
      <c r="K48" s="30"/>
      <c r="L48" s="30" t="s">
        <v>254</v>
      </c>
      <c r="M48" s="30"/>
      <c r="N48" s="30" t="s">
        <v>260</v>
      </c>
      <c r="O48" s="30"/>
      <c r="P48" s="30" t="s">
        <v>258</v>
      </c>
      <c r="Q48" s="30"/>
      <c r="R48" s="30" t="s">
        <v>261</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196</v>
      </c>
      <c r="W49" s="25"/>
      <c r="X49" s="5"/>
    </row>
    <row r="50" spans="1:25" ht="15.6" x14ac:dyDescent="0.3">
      <c r="A50" s="24"/>
      <c r="B50" s="25" t="s">
        <v>172</v>
      </c>
      <c r="C50" s="25"/>
      <c r="D50" s="30"/>
      <c r="E50" s="25"/>
      <c r="F50" s="30"/>
      <c r="G50" s="30"/>
      <c r="H50" s="30"/>
      <c r="I50" s="30"/>
      <c r="J50" s="30"/>
      <c r="K50" s="30"/>
      <c r="L50" s="30"/>
      <c r="M50" s="30"/>
      <c r="N50" s="30"/>
      <c r="O50" s="30"/>
      <c r="P50" s="30"/>
      <c r="Q50" s="30"/>
      <c r="R50" s="30"/>
      <c r="S50" s="25"/>
      <c r="T50" s="25"/>
      <c r="U50" s="25"/>
      <c r="V50" s="39">
        <f>SUM(L34:R34)/SUM(D34:J34)</f>
        <v>0.13611940162868597</v>
      </c>
      <c r="W50" s="25"/>
      <c r="X50" s="5"/>
    </row>
    <row r="51" spans="1:25" ht="15.6" x14ac:dyDescent="0.3">
      <c r="A51" s="24"/>
      <c r="B51" s="25" t="s">
        <v>173</v>
      </c>
      <c r="C51" s="25"/>
      <c r="D51" s="25"/>
      <c r="E51" s="25"/>
      <c r="F51" s="41"/>
      <c r="G51" s="25"/>
      <c r="H51" s="25"/>
      <c r="I51" s="25"/>
      <c r="J51" s="25"/>
      <c r="K51" s="25"/>
      <c r="L51" s="25"/>
      <c r="M51" s="25"/>
      <c r="N51" s="25"/>
      <c r="O51" s="25"/>
      <c r="P51" s="25"/>
      <c r="Q51" s="25"/>
      <c r="R51" s="25"/>
      <c r="S51" s="25"/>
      <c r="T51" s="25"/>
      <c r="U51" s="25"/>
      <c r="V51" s="39">
        <f>SUM(L36:R36)/SUM(D36:J36)</f>
        <v>0.2009307716978245</v>
      </c>
      <c r="W51" s="25"/>
      <c r="X51" s="5"/>
    </row>
    <row r="52" spans="1:25" ht="15.6" x14ac:dyDescent="0.3">
      <c r="A52" s="24"/>
      <c r="B52" s="25" t="s">
        <v>174</v>
      </c>
      <c r="C52" s="25"/>
      <c r="D52" s="25"/>
      <c r="E52" s="25"/>
      <c r="F52" s="25"/>
      <c r="G52" s="25"/>
      <c r="H52" s="25"/>
      <c r="I52" s="25"/>
      <c r="J52" s="25"/>
      <c r="K52" s="25"/>
      <c r="L52" s="25"/>
      <c r="M52" s="25"/>
      <c r="N52" s="25"/>
      <c r="O52" s="25"/>
      <c r="P52" s="25"/>
      <c r="Q52" s="25"/>
      <c r="R52" s="25"/>
      <c r="S52" s="25"/>
      <c r="T52" s="30" t="s">
        <v>107</v>
      </c>
      <c r="U52" s="30" t="s">
        <v>112</v>
      </c>
      <c r="V52" s="31">
        <f>+V34/2-SUM(L34:R34)</f>
        <v>570356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205</v>
      </c>
      <c r="C54" s="25"/>
      <c r="D54" s="25"/>
      <c r="E54" s="25"/>
      <c r="F54" s="25"/>
      <c r="G54" s="25"/>
      <c r="H54" s="25"/>
      <c r="I54" s="25"/>
      <c r="J54" s="25"/>
      <c r="K54" s="25"/>
      <c r="L54" s="25"/>
      <c r="M54" s="25"/>
      <c r="N54" s="25"/>
      <c r="O54" s="25"/>
      <c r="P54" s="25"/>
      <c r="Q54" s="25"/>
      <c r="R54" s="25"/>
      <c r="S54" s="25"/>
      <c r="T54" s="25"/>
      <c r="U54" s="25"/>
      <c r="V54" s="156" t="s">
        <v>206</v>
      </c>
      <c r="W54" s="25"/>
      <c r="X54" s="5"/>
    </row>
    <row r="55" spans="1:25" ht="15.6" x14ac:dyDescent="0.3">
      <c r="A55" s="24"/>
      <c r="B55" s="25" t="s">
        <v>236</v>
      </c>
      <c r="C55" s="25"/>
      <c r="D55" s="25"/>
      <c r="E55" s="25"/>
      <c r="F55" s="25"/>
      <c r="G55" s="25"/>
      <c r="H55" s="25"/>
      <c r="I55" s="25"/>
      <c r="J55" s="25"/>
      <c r="K55" s="25"/>
      <c r="L55" s="25"/>
      <c r="M55" s="25"/>
      <c r="N55" s="25"/>
      <c r="O55" s="25"/>
      <c r="P55" s="25"/>
      <c r="Q55" s="25"/>
      <c r="R55" s="25"/>
      <c r="S55" s="25"/>
      <c r="T55" s="30"/>
      <c r="U55" s="30"/>
      <c r="V55" s="157" t="s">
        <v>114</v>
      </c>
      <c r="W55" s="25"/>
      <c r="X55" s="5"/>
    </row>
    <row r="56" spans="1:25" ht="15.6" x14ac:dyDescent="0.3">
      <c r="A56" s="24"/>
      <c r="B56" s="29" t="s">
        <v>204</v>
      </c>
      <c r="C56" s="29"/>
      <c r="D56" s="29"/>
      <c r="E56" s="29"/>
      <c r="F56" s="29"/>
      <c r="G56" s="29"/>
      <c r="H56" s="29"/>
      <c r="I56" s="29"/>
      <c r="J56" s="29"/>
      <c r="K56" s="29"/>
      <c r="L56" s="29"/>
      <c r="M56" s="29"/>
      <c r="N56" s="29"/>
      <c r="O56" s="29"/>
      <c r="P56" s="29"/>
      <c r="Q56" s="29"/>
      <c r="R56" s="29"/>
      <c r="S56" s="29"/>
      <c r="T56" s="43"/>
      <c r="U56" s="43"/>
      <c r="V56" s="44">
        <v>40009</v>
      </c>
      <c r="W56" s="25"/>
      <c r="X56" s="5"/>
    </row>
    <row r="57" spans="1:25" ht="15.6" x14ac:dyDescent="0.3">
      <c r="A57" s="24"/>
      <c r="B57" s="25" t="s">
        <v>124</v>
      </c>
      <c r="C57" s="25"/>
      <c r="D57" s="25"/>
      <c r="E57" s="25"/>
      <c r="F57" s="25"/>
      <c r="G57" s="25"/>
      <c r="H57" s="58"/>
      <c r="I57" s="58"/>
      <c r="J57" s="58"/>
      <c r="K57" s="58"/>
      <c r="L57" s="58"/>
      <c r="M57" s="58"/>
      <c r="N57" s="58"/>
      <c r="O57" s="58"/>
      <c r="P57" s="58"/>
      <c r="Q57" s="58"/>
      <c r="R57" s="25">
        <f>+V57-T57+1</f>
        <v>90</v>
      </c>
      <c r="S57" s="58"/>
      <c r="T57" s="45">
        <v>39828</v>
      </c>
      <c r="U57" s="46"/>
      <c r="V57" s="45">
        <v>39917</v>
      </c>
      <c r="W57" s="25"/>
      <c r="X57" s="5"/>
    </row>
    <row r="58" spans="1:25" ht="15.6" x14ac:dyDescent="0.3">
      <c r="A58" s="24"/>
      <c r="B58" s="25" t="s">
        <v>125</v>
      </c>
      <c r="C58" s="25"/>
      <c r="D58" s="25"/>
      <c r="E58" s="25"/>
      <c r="F58" s="25"/>
      <c r="G58" s="25"/>
      <c r="H58" s="25"/>
      <c r="I58" s="25"/>
      <c r="J58" s="25"/>
      <c r="K58" s="25"/>
      <c r="L58" s="25"/>
      <c r="M58" s="25"/>
      <c r="N58" s="25"/>
      <c r="O58" s="25"/>
      <c r="P58" s="25"/>
      <c r="Q58" s="25"/>
      <c r="R58" s="25">
        <f>+V58-T58+1</f>
        <v>91</v>
      </c>
      <c r="S58" s="25"/>
      <c r="T58" s="45">
        <v>39918</v>
      </c>
      <c r="U58" s="46"/>
      <c r="V58" s="45">
        <v>40008</v>
      </c>
      <c r="W58" s="25"/>
      <c r="X58" s="5"/>
    </row>
    <row r="59" spans="1:25" ht="15.6" x14ac:dyDescent="0.3">
      <c r="A59" s="24"/>
      <c r="B59" s="25" t="s">
        <v>235</v>
      </c>
      <c r="C59" s="25"/>
      <c r="D59" s="25"/>
      <c r="E59" s="25"/>
      <c r="F59" s="25"/>
      <c r="G59" s="25"/>
      <c r="H59" s="25"/>
      <c r="I59" s="25"/>
      <c r="J59" s="25"/>
      <c r="K59" s="25"/>
      <c r="L59" s="25"/>
      <c r="M59" s="25"/>
      <c r="N59" s="25"/>
      <c r="O59" s="25"/>
      <c r="P59" s="25"/>
      <c r="Q59" s="25"/>
      <c r="R59" s="25"/>
      <c r="S59" s="25"/>
      <c r="T59" s="45"/>
      <c r="U59" s="46"/>
      <c r="V59" s="45" t="s">
        <v>123</v>
      </c>
      <c r="W59" s="25"/>
      <c r="X59" s="5"/>
    </row>
    <row r="60" spans="1:25" ht="15.6" x14ac:dyDescent="0.3">
      <c r="A60" s="24"/>
      <c r="B60" s="25" t="s">
        <v>234</v>
      </c>
      <c r="C60" s="25"/>
      <c r="D60" s="25"/>
      <c r="E60" s="25"/>
      <c r="F60" s="25"/>
      <c r="G60" s="25"/>
      <c r="H60" s="25"/>
      <c r="I60" s="25"/>
      <c r="J60" s="25"/>
      <c r="K60" s="25"/>
      <c r="L60" s="25"/>
      <c r="M60" s="25"/>
      <c r="N60" s="25"/>
      <c r="O60" s="25"/>
      <c r="P60" s="25"/>
      <c r="Q60" s="25"/>
      <c r="R60" s="25"/>
      <c r="S60" s="25"/>
      <c r="T60" s="45"/>
      <c r="U60" s="46"/>
      <c r="V60" s="45" t="s">
        <v>157</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39995</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296</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95</v>
      </c>
      <c r="M68" s="115"/>
      <c r="N68" s="115" t="s">
        <v>97</v>
      </c>
      <c r="O68" s="115"/>
      <c r="P68" s="115" t="s">
        <v>99</v>
      </c>
      <c r="Q68" s="115"/>
      <c r="R68" s="115" t="s">
        <v>101</v>
      </c>
      <c r="S68" s="115"/>
      <c r="T68" s="115" t="s">
        <v>108</v>
      </c>
      <c r="U68" s="115"/>
      <c r="V68" s="116" t="s">
        <v>115</v>
      </c>
      <c r="W68" s="117"/>
      <c r="X68" s="5"/>
    </row>
    <row r="69" spans="1:24" ht="15.6" x14ac:dyDescent="0.3">
      <c r="A69" s="24"/>
      <c r="B69" s="25" t="s">
        <v>19</v>
      </c>
      <c r="C69" s="34"/>
      <c r="D69" s="34"/>
      <c r="E69" s="34"/>
      <c r="F69" s="34"/>
      <c r="G69" s="34"/>
      <c r="H69" s="34"/>
      <c r="I69" s="34"/>
      <c r="J69" s="34"/>
      <c r="K69" s="34"/>
      <c r="L69" s="34">
        <f>1085286</f>
        <v>1085286</v>
      </c>
      <c r="M69" s="34"/>
      <c r="N69" s="53">
        <v>1080660</v>
      </c>
      <c r="O69" s="34"/>
      <c r="P69" s="34">
        <f>6389+529+1791</f>
        <v>8709</v>
      </c>
      <c r="Q69" s="34"/>
      <c r="R69" s="34">
        <f>529+1791</f>
        <v>2320</v>
      </c>
      <c r="S69" s="34"/>
      <c r="T69" s="34">
        <v>0</v>
      </c>
      <c r="U69" s="34"/>
      <c r="V69" s="53">
        <f>+N69-P69+R69-T69</f>
        <v>1074271</v>
      </c>
      <c r="W69" s="25"/>
      <c r="X69" s="5"/>
    </row>
    <row r="70" spans="1:24" ht="15.6" x14ac:dyDescent="0.3">
      <c r="A70" s="24"/>
      <c r="B70" s="25" t="s">
        <v>20</v>
      </c>
      <c r="C70" s="34"/>
      <c r="D70" s="34"/>
      <c r="E70" s="34"/>
      <c r="F70" s="34"/>
      <c r="G70" s="34"/>
      <c r="H70" s="34"/>
      <c r="I70" s="34"/>
      <c r="J70" s="34"/>
      <c r="K70" s="34"/>
      <c r="L70" s="34">
        <v>35</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1085321</v>
      </c>
      <c r="M72" s="34"/>
      <c r="N72" s="54">
        <f>N69+N70</f>
        <v>1080660</v>
      </c>
      <c r="O72" s="34"/>
      <c r="P72" s="34">
        <f>SUM(P69:P71)</f>
        <v>8709</v>
      </c>
      <c r="Q72" s="34"/>
      <c r="R72" s="34">
        <f>SUM(R69:R71)</f>
        <v>2320</v>
      </c>
      <c r="S72" s="34"/>
      <c r="T72" s="34">
        <f>SUM(T69:T71)</f>
        <v>0</v>
      </c>
      <c r="U72" s="34"/>
      <c r="V72" s="54">
        <f>SUM(V69:V71)</f>
        <v>1074271</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120</v>
      </c>
      <c r="C82" s="34"/>
      <c r="D82" s="34"/>
      <c r="E82" s="34"/>
      <c r="F82" s="34"/>
      <c r="G82" s="34"/>
      <c r="H82" s="34"/>
      <c r="I82" s="34"/>
      <c r="J82" s="34"/>
      <c r="K82" s="34"/>
      <c r="L82" s="34">
        <f>414862+7</f>
        <v>414869</v>
      </c>
      <c r="M82" s="34"/>
      <c r="N82" s="34">
        <v>0</v>
      </c>
      <c r="O82" s="34"/>
      <c r="P82" s="34">
        <v>0</v>
      </c>
      <c r="Q82" s="34"/>
      <c r="R82" s="34"/>
      <c r="S82" s="34"/>
      <c r="T82" s="34"/>
      <c r="U82" s="34"/>
      <c r="V82" s="54">
        <f>SUM(N82:R82)</f>
        <v>0</v>
      </c>
      <c r="W82" s="25"/>
      <c r="X82" s="5"/>
    </row>
    <row r="83" spans="1:24" ht="15.6" x14ac:dyDescent="0.3">
      <c r="A83" s="24"/>
      <c r="B83" s="25" t="s">
        <v>149</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1500190</v>
      </c>
      <c r="M85" s="34"/>
      <c r="N85" s="54">
        <f>SUM(N72:N84)</f>
        <v>1080660</v>
      </c>
      <c r="O85" s="34"/>
      <c r="P85" s="34"/>
      <c r="Q85" s="34"/>
      <c r="R85" s="34"/>
      <c r="S85" s="34"/>
      <c r="T85" s="54"/>
      <c r="U85" s="34"/>
      <c r="V85" s="54">
        <f>SUM(V72:V84)</f>
        <v>1074271</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96</v>
      </c>
      <c r="M88" s="17"/>
      <c r="N88" s="158">
        <f>+T198</f>
        <v>39994</v>
      </c>
      <c r="O88" s="17"/>
      <c r="P88" s="17"/>
      <c r="Q88" s="17"/>
      <c r="R88" s="17"/>
      <c r="S88" s="17"/>
      <c r="T88" s="17" t="s">
        <v>109</v>
      </c>
      <c r="U88" s="17"/>
      <c r="V88" s="17" t="s">
        <v>116</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8709-161</f>
        <v>8548</v>
      </c>
      <c r="U90" s="25"/>
      <c r="V90" s="53"/>
      <c r="W90" s="25"/>
      <c r="X90" s="5"/>
    </row>
    <row r="91" spans="1:24" ht="15.6" x14ac:dyDescent="0.3">
      <c r="A91" s="24"/>
      <c r="B91" s="25" t="s">
        <v>219</v>
      </c>
      <c r="C91" s="25"/>
      <c r="D91" s="25"/>
      <c r="E91" s="25"/>
      <c r="F91" s="25"/>
      <c r="G91" s="25"/>
      <c r="H91" s="40"/>
      <c r="I91" s="40"/>
      <c r="J91" s="40"/>
      <c r="K91" s="57"/>
      <c r="L91" s="40"/>
      <c r="M91" s="25"/>
      <c r="N91" s="127"/>
      <c r="O91" s="25"/>
      <c r="P91" s="25"/>
      <c r="Q91" s="25"/>
      <c r="R91" s="25"/>
      <c r="S91" s="25"/>
      <c r="T91" s="34"/>
      <c r="U91" s="25"/>
      <c r="V91" s="53">
        <f>6007+5187+110+15-472-1784</f>
        <v>9063</v>
      </c>
      <c r="W91" s="25"/>
      <c r="X91" s="5"/>
    </row>
    <row r="92" spans="1:24" ht="15.6" x14ac:dyDescent="0.3">
      <c r="A92" s="24"/>
      <c r="B92" s="25" t="s">
        <v>214</v>
      </c>
      <c r="C92" s="25"/>
      <c r="D92" s="25"/>
      <c r="E92" s="25"/>
      <c r="F92" s="25"/>
      <c r="G92" s="25"/>
      <c r="H92" s="40"/>
      <c r="I92" s="40"/>
      <c r="J92" s="40"/>
      <c r="K92" s="57"/>
      <c r="L92" s="40"/>
      <c r="M92" s="25"/>
      <c r="N92" s="127"/>
      <c r="O92" s="25"/>
      <c r="P92" s="25"/>
      <c r="Q92" s="25"/>
      <c r="R92" s="25"/>
      <c r="S92" s="25"/>
      <c r="T92" s="34"/>
      <c r="U92" s="25"/>
      <c r="V92" s="53">
        <f>53+58</f>
        <v>111</v>
      </c>
      <c r="W92" s="25"/>
      <c r="X92" s="5"/>
    </row>
    <row r="93" spans="1:24" ht="15.6" x14ac:dyDescent="0.3">
      <c r="A93" s="24"/>
      <c r="B93" s="25" t="s">
        <v>215</v>
      </c>
      <c r="C93" s="25"/>
      <c r="D93" s="25"/>
      <c r="E93" s="25"/>
      <c r="F93" s="25"/>
      <c r="G93" s="25"/>
      <c r="H93" s="40"/>
      <c r="I93" s="40"/>
      <c r="J93" s="40"/>
      <c r="K93" s="57"/>
      <c r="L93" s="40"/>
      <c r="M93" s="25"/>
      <c r="N93" s="127"/>
      <c r="O93" s="25"/>
      <c r="P93" s="25"/>
      <c r="Q93" s="25"/>
      <c r="R93" s="25"/>
      <c r="S93" s="25"/>
      <c r="T93" s="34"/>
      <c r="U93" s="25"/>
      <c r="V93" s="53">
        <v>207</v>
      </c>
      <c r="W93" s="25"/>
      <c r="X93" s="5"/>
    </row>
    <row r="94" spans="1:24" ht="15.6" x14ac:dyDescent="0.3">
      <c r="A94" s="24"/>
      <c r="B94" s="25" t="s">
        <v>277</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138</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265</v>
      </c>
      <c r="C96" s="25"/>
      <c r="D96" s="25"/>
      <c r="E96" s="25"/>
      <c r="F96" s="25"/>
      <c r="G96" s="25"/>
      <c r="H96" s="25"/>
      <c r="I96" s="25"/>
      <c r="J96" s="25"/>
      <c r="K96" s="25"/>
      <c r="L96" s="25"/>
      <c r="M96" s="25"/>
      <c r="N96" s="25"/>
      <c r="O96" s="25"/>
      <c r="P96" s="25"/>
      <c r="Q96" s="25"/>
      <c r="R96" s="25"/>
      <c r="S96" s="25"/>
      <c r="T96" s="34"/>
      <c r="U96" s="25"/>
      <c r="V96" s="53">
        <v>618</v>
      </c>
      <c r="W96" s="25"/>
      <c r="X96" s="5"/>
    </row>
    <row r="97" spans="1:26" ht="15.6" x14ac:dyDescent="0.3">
      <c r="A97" s="24"/>
      <c r="B97" s="25" t="s">
        <v>30</v>
      </c>
      <c r="C97" s="25"/>
      <c r="D97" s="25"/>
      <c r="E97" s="25"/>
      <c r="F97" s="25"/>
      <c r="G97" s="25"/>
      <c r="H97" s="25"/>
      <c r="I97" s="25"/>
      <c r="J97" s="25"/>
      <c r="K97" s="25"/>
      <c r="L97" s="25"/>
      <c r="M97" s="25"/>
      <c r="N97" s="25"/>
      <c r="O97" s="25"/>
      <c r="P97" s="25"/>
      <c r="Q97" s="25"/>
      <c r="R97" s="25"/>
      <c r="S97" s="25"/>
      <c r="T97" s="34">
        <f>SUM(T89:T96)</f>
        <v>8548</v>
      </c>
      <c r="U97" s="25"/>
      <c r="V97" s="54">
        <f>SUM(V89:V96)</f>
        <v>9999</v>
      </c>
      <c r="W97" s="25"/>
      <c r="X97" s="5"/>
    </row>
    <row r="98" spans="1:26" ht="15.6" x14ac:dyDescent="0.3">
      <c r="A98" s="24"/>
      <c r="B98" s="25" t="s">
        <v>164</v>
      </c>
      <c r="C98" s="25"/>
      <c r="D98" s="25"/>
      <c r="E98" s="25"/>
      <c r="F98" s="25"/>
      <c r="G98" s="25"/>
      <c r="H98" s="25"/>
      <c r="I98" s="25"/>
      <c r="J98" s="25"/>
      <c r="K98" s="25"/>
      <c r="L98" s="25"/>
      <c r="M98" s="25"/>
      <c r="N98" s="25"/>
      <c r="O98" s="25"/>
      <c r="P98" s="25"/>
      <c r="Q98" s="25"/>
      <c r="R98" s="25"/>
      <c r="S98" s="25"/>
      <c r="T98" s="34">
        <f>-V98</f>
        <v>-545</v>
      </c>
      <c r="U98" s="25"/>
      <c r="V98" s="54">
        <v>545</v>
      </c>
      <c r="W98" s="25"/>
      <c r="X98" s="5"/>
    </row>
    <row r="99" spans="1:26"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6" ht="15.6" x14ac:dyDescent="0.3">
      <c r="A100" s="24"/>
      <c r="B100" s="25" t="s">
        <v>288</v>
      </c>
      <c r="C100" s="25"/>
      <c r="D100" s="25"/>
      <c r="E100" s="25"/>
      <c r="F100" s="25"/>
      <c r="G100" s="25"/>
      <c r="H100" s="25"/>
      <c r="I100" s="25"/>
      <c r="J100" s="25"/>
      <c r="K100" s="25"/>
      <c r="L100" s="25"/>
      <c r="M100" s="25"/>
      <c r="N100" s="25"/>
      <c r="O100" s="25"/>
      <c r="P100" s="25"/>
      <c r="Q100" s="25"/>
      <c r="R100" s="25"/>
      <c r="S100" s="25"/>
      <c r="T100" s="34"/>
      <c r="U100" s="25"/>
      <c r="V100" s="53">
        <v>54</v>
      </c>
      <c r="W100" s="25"/>
      <c r="X100" s="5"/>
    </row>
    <row r="101" spans="1:26"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8003</v>
      </c>
      <c r="U101" s="25"/>
      <c r="V101" s="54">
        <f>V97+V99+V98+V100</f>
        <v>10598</v>
      </c>
      <c r="W101" s="25"/>
      <c r="X101" s="5"/>
    </row>
    <row r="102" spans="1:26"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6"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6" ht="15.6" x14ac:dyDescent="0.3">
      <c r="A104" s="24">
        <f>+A103+1</f>
        <v>2</v>
      </c>
      <c r="B104" s="25" t="s">
        <v>231</v>
      </c>
      <c r="C104" s="25"/>
      <c r="D104" s="25"/>
      <c r="E104" s="25"/>
      <c r="F104" s="25"/>
      <c r="G104" s="25"/>
      <c r="H104" s="25"/>
      <c r="I104" s="25"/>
      <c r="J104" s="25"/>
      <c r="K104" s="25"/>
      <c r="L104" s="25"/>
      <c r="M104" s="25"/>
      <c r="N104" s="25"/>
      <c r="O104" s="25"/>
      <c r="P104" s="25"/>
      <c r="Q104" s="25"/>
      <c r="R104" s="25"/>
      <c r="S104" s="25"/>
      <c r="T104" s="25"/>
      <c r="U104" s="25"/>
      <c r="V104" s="53">
        <f>-2</f>
        <v>-2</v>
      </c>
      <c r="W104" s="25"/>
      <c r="X104" s="5"/>
    </row>
    <row r="105" spans="1:26" ht="15.6" x14ac:dyDescent="0.3">
      <c r="A105" s="24">
        <f>+A104+1</f>
        <v>3</v>
      </c>
      <c r="B105" s="25" t="s">
        <v>207</v>
      </c>
      <c r="C105" s="25"/>
      <c r="D105" s="25"/>
      <c r="E105" s="25"/>
      <c r="F105" s="25"/>
      <c r="G105" s="25"/>
      <c r="H105" s="25"/>
      <c r="I105" s="25"/>
      <c r="J105" s="25"/>
      <c r="K105" s="25"/>
      <c r="L105" s="25"/>
      <c r="M105" s="25"/>
      <c r="N105" s="25"/>
      <c r="O105" s="25"/>
      <c r="P105" s="25"/>
      <c r="Q105" s="25"/>
      <c r="R105" s="25"/>
      <c r="S105" s="25"/>
      <c r="T105" s="25"/>
      <c r="U105" s="25"/>
      <c r="V105" s="53">
        <f>-405-327-12</f>
        <v>-744</v>
      </c>
      <c r="W105" s="25"/>
      <c r="X105" s="5"/>
    </row>
    <row r="106" spans="1:26" ht="15.6" x14ac:dyDescent="0.3">
      <c r="A106" s="24" t="s">
        <v>130</v>
      </c>
      <c r="B106" s="25" t="s">
        <v>119</v>
      </c>
      <c r="C106" s="25"/>
      <c r="D106" s="25"/>
      <c r="E106" s="25"/>
      <c r="F106" s="25"/>
      <c r="G106" s="25"/>
      <c r="H106" s="25"/>
      <c r="I106" s="25"/>
      <c r="J106" s="25"/>
      <c r="K106" s="25"/>
      <c r="L106" s="25"/>
      <c r="M106" s="25"/>
      <c r="N106" s="25"/>
      <c r="O106" s="25"/>
      <c r="P106" s="25"/>
      <c r="Q106" s="25"/>
      <c r="R106" s="25"/>
      <c r="S106" s="25"/>
      <c r="T106" s="25"/>
      <c r="U106" s="25"/>
      <c r="V106" s="53">
        <v>-2204</v>
      </c>
      <c r="W106" s="25"/>
      <c r="X106" s="5"/>
    </row>
    <row r="107" spans="1:26" ht="15.6" x14ac:dyDescent="0.3">
      <c r="A107" s="24" t="s">
        <v>131</v>
      </c>
      <c r="B107" s="25" t="s">
        <v>228</v>
      </c>
      <c r="C107" s="25"/>
      <c r="D107" s="25"/>
      <c r="E107" s="25"/>
      <c r="F107" s="25"/>
      <c r="G107" s="25"/>
      <c r="H107" s="25"/>
      <c r="I107" s="25"/>
      <c r="J107" s="25"/>
      <c r="K107" s="25"/>
      <c r="L107" s="25"/>
      <c r="M107" s="25"/>
      <c r="N107" s="25"/>
      <c r="O107" s="25"/>
      <c r="P107" s="25"/>
      <c r="Q107" s="25"/>
      <c r="R107" s="25"/>
      <c r="S107" s="25"/>
      <c r="T107" s="25"/>
      <c r="U107" s="25"/>
      <c r="V107" s="53">
        <f>-3767+352</f>
        <v>-3415</v>
      </c>
      <c r="W107" s="25"/>
      <c r="X107" s="5"/>
      <c r="Y107" s="109"/>
      <c r="Z107" s="109"/>
    </row>
    <row r="108" spans="1:26" ht="15.6" x14ac:dyDescent="0.3">
      <c r="A108" s="24" t="s">
        <v>153</v>
      </c>
      <c r="B108" s="25" t="s">
        <v>187</v>
      </c>
      <c r="C108" s="25"/>
      <c r="D108" s="25"/>
      <c r="E108" s="25"/>
      <c r="F108" s="25"/>
      <c r="G108" s="25"/>
      <c r="H108" s="25"/>
      <c r="I108" s="25"/>
      <c r="J108" s="25"/>
      <c r="K108" s="25"/>
      <c r="L108" s="25"/>
      <c r="M108" s="25"/>
      <c r="N108" s="25"/>
      <c r="O108" s="25"/>
      <c r="P108" s="25"/>
      <c r="Q108" s="25"/>
      <c r="R108" s="25"/>
      <c r="S108" s="25"/>
      <c r="T108" s="25"/>
      <c r="U108" s="25"/>
      <c r="V108" s="53">
        <v>-352</v>
      </c>
      <c r="W108" s="25"/>
      <c r="X108" s="5"/>
      <c r="Y108" s="109"/>
    </row>
    <row r="109" spans="1:26" ht="15.6" x14ac:dyDescent="0.3">
      <c r="A109" s="24" t="s">
        <v>266</v>
      </c>
      <c r="B109" s="25" t="s">
        <v>269</v>
      </c>
      <c r="C109" s="25"/>
      <c r="D109" s="25"/>
      <c r="E109" s="25"/>
      <c r="F109" s="25"/>
      <c r="G109" s="25"/>
      <c r="H109" s="25"/>
      <c r="I109" s="25"/>
      <c r="J109" s="25"/>
      <c r="K109" s="25"/>
      <c r="L109" s="25"/>
      <c r="M109" s="25"/>
      <c r="N109" s="25"/>
      <c r="O109" s="25"/>
      <c r="P109" s="25"/>
      <c r="Q109" s="25"/>
      <c r="R109" s="25"/>
      <c r="S109" s="25"/>
      <c r="T109" s="25"/>
      <c r="U109" s="25"/>
      <c r="V109" s="53">
        <v>-2</v>
      </c>
      <c r="W109" s="25"/>
      <c r="X109" s="5"/>
    </row>
    <row r="110" spans="1:26" ht="15.6" x14ac:dyDescent="0.3">
      <c r="A110" s="24" t="s">
        <v>208</v>
      </c>
      <c r="B110" s="25" t="s">
        <v>188</v>
      </c>
      <c r="C110" s="25"/>
      <c r="D110" s="25"/>
      <c r="E110" s="25"/>
      <c r="F110" s="25"/>
      <c r="G110" s="25"/>
      <c r="H110" s="25"/>
      <c r="I110" s="25"/>
      <c r="J110" s="25"/>
      <c r="K110" s="25"/>
      <c r="L110" s="25"/>
      <c r="M110" s="25"/>
      <c r="N110" s="25"/>
      <c r="O110" s="25"/>
      <c r="P110" s="25"/>
      <c r="Q110" s="25"/>
      <c r="R110" s="25"/>
      <c r="S110" s="25"/>
      <c r="T110" s="25"/>
      <c r="U110" s="25"/>
      <c r="V110" s="53">
        <v>-245</v>
      </c>
      <c r="W110" s="25"/>
      <c r="X110" s="5"/>
      <c r="Y110" s="109"/>
    </row>
    <row r="111" spans="1:26" ht="15.6" x14ac:dyDescent="0.3">
      <c r="A111" s="24" t="s">
        <v>209</v>
      </c>
      <c r="B111" s="25" t="s">
        <v>189</v>
      </c>
      <c r="C111" s="25"/>
      <c r="D111" s="25"/>
      <c r="E111" s="25"/>
      <c r="F111" s="25"/>
      <c r="G111" s="25"/>
      <c r="H111" s="25"/>
      <c r="I111" s="25"/>
      <c r="J111" s="25"/>
      <c r="K111" s="25"/>
      <c r="L111" s="25"/>
      <c r="M111" s="25"/>
      <c r="N111" s="25"/>
      <c r="O111" s="25"/>
      <c r="P111" s="25"/>
      <c r="Q111" s="25"/>
      <c r="R111" s="25"/>
      <c r="S111" s="25"/>
      <c r="T111" s="25"/>
      <c r="U111" s="25"/>
      <c r="V111" s="53">
        <v>-242</v>
      </c>
      <c r="W111" s="25"/>
      <c r="X111" s="5"/>
      <c r="Y111" s="109"/>
    </row>
    <row r="112" spans="1:26" ht="15.6" x14ac:dyDescent="0.3">
      <c r="A112" s="24" t="s">
        <v>210</v>
      </c>
      <c r="B112" s="25" t="s">
        <v>199</v>
      </c>
      <c r="C112" s="25"/>
      <c r="D112" s="25"/>
      <c r="E112" s="25"/>
      <c r="F112" s="25"/>
      <c r="G112" s="25"/>
      <c r="H112" s="25"/>
      <c r="I112" s="25"/>
      <c r="J112" s="25"/>
      <c r="K112" s="25"/>
      <c r="L112" s="25"/>
      <c r="M112" s="25"/>
      <c r="N112" s="25"/>
      <c r="O112" s="25"/>
      <c r="P112" s="25"/>
      <c r="Q112" s="25"/>
      <c r="R112" s="25"/>
      <c r="S112" s="25"/>
      <c r="T112" s="25"/>
      <c r="U112" s="25"/>
      <c r="V112" s="53">
        <v>-265</v>
      </c>
      <c r="W112" s="25"/>
      <c r="X112" s="5"/>
      <c r="Y112" s="109"/>
    </row>
    <row r="113" spans="1:25" ht="15.6" x14ac:dyDescent="0.3">
      <c r="A113" s="24" t="s">
        <v>230</v>
      </c>
      <c r="B113" s="25" t="s">
        <v>229</v>
      </c>
      <c r="C113" s="25"/>
      <c r="D113" s="25"/>
      <c r="E113" s="25"/>
      <c r="F113" s="25"/>
      <c r="G113" s="25"/>
      <c r="H113" s="25"/>
      <c r="I113" s="25"/>
      <c r="J113" s="25"/>
      <c r="K113" s="25"/>
      <c r="L113" s="25"/>
      <c r="M113" s="25"/>
      <c r="N113" s="25"/>
      <c r="O113" s="25"/>
      <c r="P113" s="25"/>
      <c r="Q113" s="25"/>
      <c r="R113" s="25"/>
      <c r="S113" s="25"/>
      <c r="T113" s="25"/>
      <c r="U113" s="25"/>
      <c r="V113" s="53">
        <v>-62</v>
      </c>
      <c r="W113" s="25"/>
      <c r="X113" s="5"/>
      <c r="Y113" s="109"/>
    </row>
    <row r="114" spans="1:25" ht="15.6" x14ac:dyDescent="0.3">
      <c r="A114" s="24">
        <v>7</v>
      </c>
      <c r="B114" s="25" t="s">
        <v>35</v>
      </c>
      <c r="C114" s="25"/>
      <c r="D114" s="25"/>
      <c r="E114" s="25"/>
      <c r="F114" s="25"/>
      <c r="G114" s="25"/>
      <c r="H114" s="25"/>
      <c r="I114" s="25"/>
      <c r="J114" s="25"/>
      <c r="K114" s="25"/>
      <c r="L114" s="25"/>
      <c r="M114" s="25"/>
      <c r="N114" s="25"/>
      <c r="O114" s="25"/>
      <c r="P114" s="25"/>
      <c r="Q114" s="25"/>
      <c r="R114" s="25"/>
      <c r="S114" s="25"/>
      <c r="T114" s="25"/>
      <c r="U114" s="25"/>
      <c r="V114" s="53">
        <v>-10</v>
      </c>
      <c r="W114" s="25"/>
      <c r="X114" s="5"/>
    </row>
    <row r="115" spans="1:25" ht="15.6" x14ac:dyDescent="0.3">
      <c r="A115" s="24">
        <f t="shared" ref="A115:A121" si="0">+A114+1</f>
        <v>8</v>
      </c>
      <c r="B115" s="25" t="s">
        <v>45</v>
      </c>
      <c r="C115" s="25"/>
      <c r="D115" s="25"/>
      <c r="E115" s="25"/>
      <c r="F115" s="25"/>
      <c r="G115" s="25"/>
      <c r="H115" s="25"/>
      <c r="I115" s="25"/>
      <c r="J115" s="25"/>
      <c r="K115" s="25"/>
      <c r="L115" s="25"/>
      <c r="M115" s="25"/>
      <c r="N115" s="25"/>
      <c r="O115" s="25"/>
      <c r="P115" s="25"/>
      <c r="Q115" s="25"/>
      <c r="R115" s="25"/>
      <c r="S115" s="25"/>
      <c r="T115" s="34">
        <f>-V115</f>
        <v>161</v>
      </c>
      <c r="U115" s="25"/>
      <c r="V115" s="53">
        <v>-161</v>
      </c>
      <c r="W115" s="25"/>
      <c r="X115" s="5"/>
    </row>
    <row r="116" spans="1:25" ht="15.6" x14ac:dyDescent="0.3">
      <c r="A116" s="24">
        <f t="shared" si="0"/>
        <v>9</v>
      </c>
      <c r="B116" s="25" t="s">
        <v>128</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5" ht="15.6" x14ac:dyDescent="0.3">
      <c r="A117" s="24">
        <f t="shared" si="0"/>
        <v>10</v>
      </c>
      <c r="B117" s="25" t="s">
        <v>271</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11</v>
      </c>
      <c r="B118" s="25" t="s">
        <v>36</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12</v>
      </c>
      <c r="B119" s="25" t="s">
        <v>270</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13</v>
      </c>
      <c r="B120" s="25" t="s">
        <v>152</v>
      </c>
      <c r="C120" s="25"/>
      <c r="D120" s="25"/>
      <c r="E120" s="25"/>
      <c r="F120" s="25"/>
      <c r="G120" s="25"/>
      <c r="H120" s="25"/>
      <c r="I120" s="25"/>
      <c r="J120" s="25"/>
      <c r="K120" s="25"/>
      <c r="L120" s="25"/>
      <c r="M120" s="25"/>
      <c r="N120" s="25"/>
      <c r="O120" s="25"/>
      <c r="P120" s="25"/>
      <c r="Q120" s="25"/>
      <c r="R120" s="25"/>
      <c r="S120" s="25"/>
      <c r="T120" s="25"/>
      <c r="U120" s="25"/>
      <c r="V120" s="53">
        <v>-406</v>
      </c>
      <c r="W120" s="25"/>
      <c r="X120" s="5"/>
    </row>
    <row r="121" spans="1:25" ht="15.6" x14ac:dyDescent="0.3">
      <c r="A121" s="24">
        <f t="shared" si="0"/>
        <v>14</v>
      </c>
      <c r="B121" s="25" t="s">
        <v>129</v>
      </c>
      <c r="C121" s="25"/>
      <c r="D121" s="25"/>
      <c r="E121" s="25"/>
      <c r="F121" s="25"/>
      <c r="G121" s="25"/>
      <c r="H121" s="25"/>
      <c r="I121" s="25"/>
      <c r="J121" s="25"/>
      <c r="K121" s="25"/>
      <c r="L121" s="25"/>
      <c r="M121" s="25"/>
      <c r="N121" s="25"/>
      <c r="O121" s="25"/>
      <c r="P121" s="25"/>
      <c r="Q121" s="25"/>
      <c r="R121" s="25"/>
      <c r="S121" s="25"/>
      <c r="T121" s="25"/>
      <c r="U121" s="25"/>
      <c r="V121" s="53">
        <f>-V101-SUM(V103:V120)</f>
        <v>-2488</v>
      </c>
      <c r="W121" s="25"/>
      <c r="X121" s="5"/>
    </row>
    <row r="122" spans="1:25" ht="15.6" x14ac:dyDescent="0.3">
      <c r="A122" s="24"/>
      <c r="B122" s="118" t="s">
        <v>37</v>
      </c>
      <c r="C122" s="25"/>
      <c r="D122" s="25"/>
      <c r="E122" s="25"/>
      <c r="F122" s="25"/>
      <c r="G122" s="25"/>
      <c r="H122" s="25"/>
      <c r="I122" s="25"/>
      <c r="J122" s="25"/>
      <c r="K122" s="25"/>
      <c r="L122" s="25"/>
      <c r="M122" s="25"/>
      <c r="N122" s="25"/>
      <c r="O122" s="25"/>
      <c r="P122" s="25"/>
      <c r="Q122" s="25"/>
      <c r="R122" s="25"/>
      <c r="S122" s="25"/>
      <c r="T122" s="25"/>
      <c r="U122" s="25"/>
      <c r="V122" s="59"/>
      <c r="W122" s="25"/>
      <c r="X122" s="5"/>
    </row>
    <row r="123" spans="1:25" ht="15.6" x14ac:dyDescent="0.3">
      <c r="A123" s="24"/>
      <c r="B123" s="25" t="s">
        <v>176</v>
      </c>
      <c r="C123" s="25"/>
      <c r="D123" s="25"/>
      <c r="E123" s="25"/>
      <c r="F123" s="25"/>
      <c r="G123" s="25"/>
      <c r="H123" s="25"/>
      <c r="I123" s="25"/>
      <c r="J123" s="25"/>
      <c r="K123" s="25"/>
      <c r="L123" s="25"/>
      <c r="M123" s="25"/>
      <c r="N123" s="25"/>
      <c r="O123" s="25"/>
      <c r="P123" s="25"/>
      <c r="Q123" s="25"/>
      <c r="R123" s="25"/>
      <c r="S123" s="25"/>
      <c r="T123" s="34">
        <f>-T182</f>
        <v>-32</v>
      </c>
      <c r="U123" s="34"/>
      <c r="V123" s="53"/>
      <c r="W123" s="25"/>
      <c r="X123" s="5"/>
    </row>
    <row r="124" spans="1:25" ht="15.6" x14ac:dyDescent="0.3">
      <c r="A124" s="24"/>
      <c r="B124" s="25" t="s">
        <v>177</v>
      </c>
      <c r="C124" s="25"/>
      <c r="D124" s="25"/>
      <c r="E124" s="25"/>
      <c r="F124" s="25"/>
      <c r="G124" s="25"/>
      <c r="H124" s="25"/>
      <c r="I124" s="25"/>
      <c r="J124" s="25"/>
      <c r="K124" s="25"/>
      <c r="L124" s="25"/>
      <c r="M124" s="25"/>
      <c r="N124" s="25"/>
      <c r="O124" s="25"/>
      <c r="P124" s="25"/>
      <c r="Q124" s="25"/>
      <c r="R124" s="25"/>
      <c r="S124" s="25"/>
      <c r="T124" s="34">
        <v>-531</v>
      </c>
      <c r="U124" s="34"/>
      <c r="V124" s="53"/>
      <c r="W124" s="25"/>
      <c r="X124" s="5"/>
    </row>
    <row r="125" spans="1:25" ht="15.6" x14ac:dyDescent="0.3">
      <c r="A125" s="24"/>
      <c r="B125" s="25" t="s">
        <v>38</v>
      </c>
      <c r="C125" s="25"/>
      <c r="D125" s="25"/>
      <c r="E125" s="25"/>
      <c r="F125" s="25"/>
      <c r="G125" s="25"/>
      <c r="H125" s="25"/>
      <c r="I125" s="25"/>
      <c r="J125" s="25"/>
      <c r="K125" s="25"/>
      <c r="L125" s="25"/>
      <c r="M125" s="25"/>
      <c r="N125" s="25"/>
      <c r="O125" s="25"/>
      <c r="P125" s="25"/>
      <c r="Q125" s="25"/>
      <c r="R125" s="25"/>
      <c r="S125" s="25"/>
      <c r="T125" s="34">
        <f>-S182</f>
        <v>-1212</v>
      </c>
      <c r="U125" s="34"/>
      <c r="V125" s="53"/>
      <c r="W125" s="25"/>
      <c r="X125" s="5"/>
    </row>
    <row r="126" spans="1:25" ht="15.6" x14ac:dyDescent="0.3">
      <c r="A126" s="24"/>
      <c r="B126" s="25" t="s">
        <v>200</v>
      </c>
      <c r="C126" s="25"/>
      <c r="D126" s="25"/>
      <c r="E126" s="25"/>
      <c r="F126" s="25"/>
      <c r="G126" s="25"/>
      <c r="H126" s="25"/>
      <c r="I126" s="25"/>
      <c r="J126" s="25"/>
      <c r="K126" s="25"/>
      <c r="L126" s="25"/>
      <c r="M126" s="25"/>
      <c r="N126" s="25"/>
      <c r="O126" s="25"/>
      <c r="P126" s="25"/>
      <c r="Q126" s="25"/>
      <c r="R126" s="25"/>
      <c r="S126" s="25"/>
      <c r="T126" s="34">
        <v>-3861</v>
      </c>
      <c r="U126" s="34"/>
      <c r="V126" s="53"/>
      <c r="W126" s="25"/>
      <c r="X126" s="5"/>
    </row>
    <row r="127" spans="1:25" ht="15.6" x14ac:dyDescent="0.3">
      <c r="A127" s="24"/>
      <c r="B127" s="25" t="s">
        <v>198</v>
      </c>
      <c r="C127" s="25"/>
      <c r="D127" s="25"/>
      <c r="E127" s="25"/>
      <c r="F127" s="25"/>
      <c r="G127" s="25"/>
      <c r="H127" s="25"/>
      <c r="I127" s="25"/>
      <c r="J127" s="25"/>
      <c r="K127" s="25"/>
      <c r="L127" s="25"/>
      <c r="M127" s="25"/>
      <c r="N127" s="25"/>
      <c r="O127" s="25"/>
      <c r="P127" s="25"/>
      <c r="Q127" s="25"/>
      <c r="R127" s="25"/>
      <c r="S127" s="25"/>
      <c r="T127" s="34">
        <v>-605</v>
      </c>
      <c r="U127" s="34"/>
      <c r="V127" s="53"/>
      <c r="W127" s="25"/>
      <c r="X127" s="5"/>
    </row>
    <row r="128" spans="1:25" ht="15.6" x14ac:dyDescent="0.3">
      <c r="A128" s="24"/>
      <c r="B128" s="25" t="s">
        <v>197</v>
      </c>
      <c r="C128" s="25"/>
      <c r="D128" s="25"/>
      <c r="E128" s="25"/>
      <c r="F128" s="25"/>
      <c r="G128" s="25"/>
      <c r="H128" s="25"/>
      <c r="I128" s="25"/>
      <c r="J128" s="25"/>
      <c r="K128" s="25"/>
      <c r="L128" s="25"/>
      <c r="M128" s="25"/>
      <c r="N128" s="25"/>
      <c r="O128" s="25"/>
      <c r="P128" s="25"/>
      <c r="Q128" s="25"/>
      <c r="R128" s="25"/>
      <c r="S128" s="25"/>
      <c r="T128" s="34">
        <v>-1023</v>
      </c>
      <c r="U128" s="34"/>
      <c r="V128" s="53"/>
      <c r="W128" s="25"/>
      <c r="X128" s="5"/>
    </row>
    <row r="129" spans="1:24" ht="15.6" x14ac:dyDescent="0.3">
      <c r="A129" s="24"/>
      <c r="B129" s="25" t="s">
        <v>232</v>
      </c>
      <c r="C129" s="25"/>
      <c r="D129" s="25"/>
      <c r="E129" s="25"/>
      <c r="F129" s="25"/>
      <c r="G129" s="25"/>
      <c r="H129" s="25"/>
      <c r="I129" s="25"/>
      <c r="J129" s="25"/>
      <c r="K129" s="25"/>
      <c r="L129" s="25"/>
      <c r="M129" s="25"/>
      <c r="N129" s="25"/>
      <c r="O129" s="25"/>
      <c r="P129" s="25"/>
      <c r="Q129" s="25"/>
      <c r="R129" s="25"/>
      <c r="S129" s="25"/>
      <c r="T129" s="34">
        <v>-900</v>
      </c>
      <c r="U129" s="34"/>
      <c r="V129" s="53"/>
      <c r="W129" s="25"/>
      <c r="X129" s="5"/>
    </row>
    <row r="130" spans="1:24" ht="15.6" x14ac:dyDescent="0.3">
      <c r="A130" s="24"/>
      <c r="B130" s="25" t="s">
        <v>192</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191</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233</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190</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39</v>
      </c>
      <c r="C134" s="25"/>
      <c r="D134" s="25"/>
      <c r="E134" s="25"/>
      <c r="F134" s="25"/>
      <c r="G134" s="25"/>
      <c r="H134" s="25"/>
      <c r="I134" s="25"/>
      <c r="J134" s="25"/>
      <c r="K134" s="25"/>
      <c r="L134" s="25"/>
      <c r="M134" s="25"/>
      <c r="N134" s="25"/>
      <c r="O134" s="25"/>
      <c r="P134" s="25"/>
      <c r="Q134" s="25"/>
      <c r="R134" s="25"/>
      <c r="S134" s="25"/>
      <c r="T134" s="34">
        <f>SUM(T123:T133)</f>
        <v>-8164</v>
      </c>
      <c r="U134" s="34"/>
      <c r="V134" s="34">
        <f>SUM(V102:V131)</f>
        <v>-10598</v>
      </c>
      <c r="W134" s="25"/>
      <c r="X134" s="5"/>
    </row>
    <row r="135" spans="1:24" ht="15.6" x14ac:dyDescent="0.3">
      <c r="A135" s="24"/>
      <c r="B135" s="25" t="s">
        <v>40</v>
      </c>
      <c r="C135" s="25"/>
      <c r="D135" s="25"/>
      <c r="E135" s="25"/>
      <c r="F135" s="25"/>
      <c r="G135" s="25"/>
      <c r="H135" s="25"/>
      <c r="I135" s="25"/>
      <c r="J135" s="25"/>
      <c r="K135" s="25"/>
      <c r="L135" s="25"/>
      <c r="M135" s="25"/>
      <c r="N135" s="25"/>
      <c r="O135" s="25"/>
      <c r="P135" s="25"/>
      <c r="Q135" s="25"/>
      <c r="R135" s="25"/>
      <c r="S135" s="25"/>
      <c r="T135" s="34">
        <f>T101+T134+T115</f>
        <v>0</v>
      </c>
      <c r="U135" s="34"/>
      <c r="V135" s="34">
        <f>V101+V134</f>
        <v>0</v>
      </c>
      <c r="W135" s="25"/>
      <c r="X135" s="5"/>
    </row>
    <row r="136" spans="1:24" ht="15.6" x14ac:dyDescent="0.3">
      <c r="A136" s="24"/>
      <c r="B136" s="25"/>
      <c r="C136" s="25"/>
      <c r="D136" s="25"/>
      <c r="E136" s="25"/>
      <c r="F136" s="25"/>
      <c r="G136" s="25"/>
      <c r="H136" s="25"/>
      <c r="I136" s="25"/>
      <c r="J136" s="25"/>
      <c r="K136" s="25"/>
      <c r="L136" s="25"/>
      <c r="M136" s="25"/>
      <c r="N136" s="25"/>
      <c r="O136" s="25"/>
      <c r="P136" s="25"/>
      <c r="Q136" s="25"/>
      <c r="R136" s="25"/>
      <c r="S136" s="25"/>
      <c r="T136" s="34"/>
      <c r="U136" s="34"/>
      <c r="V136" s="34"/>
      <c r="W136" s="25"/>
      <c r="X136" s="5"/>
    </row>
    <row r="137" spans="1:24" ht="15.6" x14ac:dyDescent="0.3">
      <c r="A137" s="6"/>
      <c r="B137" s="8"/>
      <c r="C137" s="8"/>
      <c r="D137" s="8"/>
      <c r="E137" s="8"/>
      <c r="F137" s="8"/>
      <c r="G137" s="8"/>
      <c r="H137" s="8"/>
      <c r="I137" s="8"/>
      <c r="J137" s="8"/>
      <c r="K137" s="8"/>
      <c r="L137" s="8"/>
      <c r="M137" s="8"/>
      <c r="N137" s="8"/>
      <c r="O137" s="8"/>
      <c r="P137" s="8"/>
      <c r="Q137" s="8"/>
      <c r="R137" s="8"/>
      <c r="S137" s="8"/>
      <c r="T137" s="8"/>
      <c r="U137" s="8"/>
      <c r="V137" s="52"/>
      <c r="W137" s="8"/>
      <c r="X137" s="5"/>
    </row>
    <row r="138" spans="1:24" ht="18" thickBot="1" x14ac:dyDescent="0.35">
      <c r="A138" s="101"/>
      <c r="B138" s="102" t="str">
        <f>B64</f>
        <v>PM13 INVESTOR REPORT QUARTER ENDING JUNE 2009</v>
      </c>
      <c r="C138" s="103"/>
      <c r="D138" s="103"/>
      <c r="E138" s="103"/>
      <c r="F138" s="103"/>
      <c r="G138" s="103"/>
      <c r="H138" s="103"/>
      <c r="I138" s="103"/>
      <c r="J138" s="103"/>
      <c r="K138" s="103"/>
      <c r="L138" s="103"/>
      <c r="M138" s="103"/>
      <c r="N138" s="103"/>
      <c r="O138" s="103"/>
      <c r="P138" s="103"/>
      <c r="Q138" s="103"/>
      <c r="R138" s="103"/>
      <c r="S138" s="103"/>
      <c r="T138" s="103"/>
      <c r="U138" s="103"/>
      <c r="V138" s="106"/>
      <c r="W138" s="105"/>
      <c r="X138" s="5"/>
    </row>
    <row r="139" spans="1:24" ht="15.6" x14ac:dyDescent="0.3">
      <c r="A139" s="2"/>
      <c r="B139" s="60" t="s">
        <v>41</v>
      </c>
      <c r="C139" s="4"/>
      <c r="D139" s="4"/>
      <c r="E139" s="4"/>
      <c r="F139" s="4"/>
      <c r="G139" s="4"/>
      <c r="H139" s="4"/>
      <c r="I139" s="4"/>
      <c r="J139" s="4"/>
      <c r="K139" s="4"/>
      <c r="L139" s="4"/>
      <c r="M139" s="4"/>
      <c r="N139" s="4"/>
      <c r="O139" s="4"/>
      <c r="P139" s="4"/>
      <c r="Q139" s="4"/>
      <c r="R139" s="4"/>
      <c r="S139" s="4"/>
      <c r="T139" s="4"/>
      <c r="U139" s="4"/>
      <c r="V139" s="50"/>
      <c r="W139" s="4"/>
      <c r="X139" s="5"/>
    </row>
    <row r="140" spans="1:24" ht="15.6" x14ac:dyDescent="0.3">
      <c r="A140" s="6"/>
      <c r="B140" s="21"/>
      <c r="C140" s="8"/>
      <c r="D140" s="8"/>
      <c r="E140" s="8"/>
      <c r="F140" s="8"/>
      <c r="G140" s="8"/>
      <c r="H140" s="8"/>
      <c r="I140" s="8"/>
      <c r="J140" s="8"/>
      <c r="K140" s="8"/>
      <c r="L140" s="8"/>
      <c r="M140" s="8"/>
      <c r="N140" s="8"/>
      <c r="O140" s="8"/>
      <c r="P140" s="8"/>
      <c r="Q140" s="8"/>
      <c r="R140" s="8"/>
      <c r="S140" s="8"/>
      <c r="T140" s="8"/>
      <c r="U140" s="8"/>
      <c r="V140" s="52"/>
      <c r="W140" s="8"/>
      <c r="X140" s="5"/>
    </row>
    <row r="141" spans="1:24" ht="15.6" x14ac:dyDescent="0.3">
      <c r="A141" s="6"/>
      <c r="B141" s="119" t="s">
        <v>42</v>
      </c>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24"/>
      <c r="B142" s="25" t="s">
        <v>43</v>
      </c>
      <c r="C142" s="25"/>
      <c r="D142" s="25"/>
      <c r="E142" s="25"/>
      <c r="F142" s="25"/>
      <c r="G142" s="25"/>
      <c r="H142" s="25"/>
      <c r="I142" s="25"/>
      <c r="J142" s="25"/>
      <c r="K142" s="25"/>
      <c r="L142" s="25"/>
      <c r="M142" s="25"/>
      <c r="N142" s="25"/>
      <c r="O142" s="25"/>
      <c r="P142" s="25"/>
      <c r="Q142" s="25"/>
      <c r="R142" s="25"/>
      <c r="S142" s="25"/>
      <c r="T142" s="25"/>
      <c r="U142" s="25"/>
      <c r="V142" s="53">
        <f>+V34*0.019</f>
        <v>28503.61</v>
      </c>
      <c r="W142" s="25"/>
      <c r="X142" s="5"/>
    </row>
    <row r="143" spans="1:24" ht="15.6" x14ac:dyDescent="0.3">
      <c r="A143" s="24"/>
      <c r="B143" s="25" t="s">
        <v>44</v>
      </c>
      <c r="C143" s="25"/>
      <c r="D143" s="25"/>
      <c r="E143" s="25"/>
      <c r="F143" s="25"/>
      <c r="G143" s="25"/>
      <c r="H143" s="25"/>
      <c r="I143" s="25"/>
      <c r="J143" s="25"/>
      <c r="K143" s="25"/>
      <c r="L143" s="25"/>
      <c r="M143" s="25"/>
      <c r="N143" s="25"/>
      <c r="O143" s="25"/>
      <c r="P143" s="25"/>
      <c r="Q143" s="25"/>
      <c r="R143" s="25"/>
      <c r="S143" s="25"/>
      <c r="T143" s="25"/>
      <c r="U143" s="25"/>
      <c r="V143" s="53">
        <v>28504</v>
      </c>
      <c r="W143" s="25"/>
      <c r="X143" s="5"/>
    </row>
    <row r="144" spans="1:24" ht="15.6" x14ac:dyDescent="0.3">
      <c r="A144" s="24"/>
      <c r="B144" s="25" t="s">
        <v>139</v>
      </c>
      <c r="C144" s="25"/>
      <c r="D144" s="25"/>
      <c r="E144" s="25"/>
      <c r="F144" s="25"/>
      <c r="G144" s="25"/>
      <c r="H144" s="25"/>
      <c r="I144" s="25"/>
      <c r="J144" s="25"/>
      <c r="K144" s="25"/>
      <c r="L144" s="25"/>
      <c r="M144" s="25"/>
      <c r="N144" s="25"/>
      <c r="O144" s="25"/>
      <c r="P144" s="25"/>
      <c r="Q144" s="25"/>
      <c r="R144" s="25"/>
      <c r="S144" s="25"/>
      <c r="T144" s="25"/>
      <c r="U144" s="25"/>
      <c r="V144" s="53"/>
      <c r="W144" s="25"/>
      <c r="X144" s="5"/>
    </row>
    <row r="145" spans="1:25" ht="15.6" x14ac:dyDescent="0.3">
      <c r="A145" s="24"/>
      <c r="B145" s="25" t="s">
        <v>126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127</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178</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45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132</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267</v>
      </c>
      <c r="C150" s="25"/>
      <c r="D150" s="25"/>
      <c r="E150" s="25"/>
      <c r="F150" s="25"/>
      <c r="G150" s="25"/>
      <c r="H150" s="25"/>
      <c r="I150" s="25"/>
      <c r="J150" s="25"/>
      <c r="K150" s="25"/>
      <c r="L150" s="25"/>
      <c r="M150" s="25"/>
      <c r="N150" s="25"/>
      <c r="O150" s="25"/>
      <c r="P150" s="25"/>
      <c r="Q150" s="25"/>
      <c r="R150" s="25"/>
      <c r="S150" s="25"/>
      <c r="T150" s="25"/>
      <c r="U150" s="25"/>
      <c r="V150" s="53">
        <v>0</v>
      </c>
      <c r="W150" s="25"/>
      <c r="X150" s="5"/>
      <c r="Y150" s="109"/>
    </row>
    <row r="151" spans="1:25" ht="15.6" x14ac:dyDescent="0.3">
      <c r="A151" s="24"/>
      <c r="B151" s="25" t="s">
        <v>46</v>
      </c>
      <c r="C151" s="25"/>
      <c r="D151" s="25"/>
      <c r="E151" s="25"/>
      <c r="F151" s="25"/>
      <c r="G151" s="25"/>
      <c r="H151" s="25"/>
      <c r="I151" s="25"/>
      <c r="J151" s="25"/>
      <c r="K151" s="25"/>
      <c r="L151" s="25"/>
      <c r="M151" s="25"/>
      <c r="N151" s="25"/>
      <c r="O151" s="25"/>
      <c r="P151" s="25"/>
      <c r="Q151" s="25"/>
      <c r="R151" s="25"/>
      <c r="S151" s="25"/>
      <c r="T151" s="25"/>
      <c r="U151" s="25"/>
      <c r="V151" s="53">
        <f>SUM(V143:V150)</f>
        <v>28504</v>
      </c>
      <c r="W151" s="25"/>
      <c r="X151" s="5"/>
    </row>
    <row r="152" spans="1:25" ht="15.6" x14ac:dyDescent="0.3">
      <c r="A152" s="24"/>
      <c r="B152" s="25"/>
      <c r="C152" s="25"/>
      <c r="D152" s="25"/>
      <c r="E152" s="25"/>
      <c r="F152" s="25"/>
      <c r="G152" s="25"/>
      <c r="H152" s="25"/>
      <c r="I152" s="25"/>
      <c r="J152" s="25"/>
      <c r="K152" s="25"/>
      <c r="L152" s="25"/>
      <c r="M152" s="25"/>
      <c r="N152" s="25"/>
      <c r="O152" s="25"/>
      <c r="P152" s="25"/>
      <c r="Q152" s="25"/>
      <c r="R152" s="25"/>
      <c r="S152" s="25"/>
      <c r="T152" s="25"/>
      <c r="U152" s="25"/>
      <c r="V152" s="53"/>
      <c r="W152" s="25"/>
      <c r="X152" s="5"/>
    </row>
    <row r="153" spans="1:25" ht="15.6" x14ac:dyDescent="0.3">
      <c r="A153" s="24"/>
      <c r="B153" s="138" t="s">
        <v>268</v>
      </c>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25" t="s">
        <v>158</v>
      </c>
      <c r="C154" s="25"/>
      <c r="D154" s="25"/>
      <c r="E154" s="25"/>
      <c r="F154" s="25"/>
      <c r="G154" s="25"/>
      <c r="H154" s="25"/>
      <c r="I154" s="25"/>
      <c r="J154" s="25"/>
      <c r="K154" s="25"/>
      <c r="L154" s="25"/>
      <c r="M154" s="25"/>
      <c r="N154" s="25"/>
      <c r="O154" s="25"/>
      <c r="P154" s="25"/>
      <c r="Q154" s="25"/>
      <c r="R154" s="25"/>
      <c r="S154" s="25"/>
      <c r="T154" s="25"/>
      <c r="U154" s="25"/>
      <c r="V154" s="53">
        <v>15000</v>
      </c>
      <c r="W154" s="25"/>
      <c r="X154" s="5"/>
    </row>
    <row r="155" spans="1:25" ht="15.6" x14ac:dyDescent="0.3">
      <c r="A155" s="24"/>
      <c r="B155" s="25" t="s">
        <v>175</v>
      </c>
      <c r="C155" s="25"/>
      <c r="D155" s="25"/>
      <c r="E155" s="25"/>
      <c r="F155" s="25"/>
      <c r="G155" s="25"/>
      <c r="H155" s="25"/>
      <c r="I155" s="25"/>
      <c r="J155" s="25"/>
      <c r="K155" s="25"/>
      <c r="L155" s="25"/>
      <c r="M155" s="25"/>
      <c r="N155" s="25"/>
      <c r="O155" s="25"/>
      <c r="P155" s="25"/>
      <c r="Q155" s="25"/>
      <c r="R155" s="25"/>
      <c r="S155" s="25"/>
      <c r="T155" s="25"/>
      <c r="U155" s="25"/>
      <c r="V155" s="53">
        <v>0</v>
      </c>
      <c r="W155" s="25"/>
      <c r="X155" s="5"/>
    </row>
    <row r="156" spans="1:25" ht="15.6" x14ac:dyDescent="0.3">
      <c r="A156" s="24"/>
      <c r="B156" s="25" t="s">
        <v>272</v>
      </c>
      <c r="C156" s="25"/>
      <c r="D156" s="25"/>
      <c r="E156" s="25"/>
      <c r="F156" s="25"/>
      <c r="G156" s="25"/>
      <c r="H156" s="25"/>
      <c r="I156" s="25"/>
      <c r="J156" s="25"/>
      <c r="K156" s="25"/>
      <c r="L156" s="25"/>
      <c r="M156" s="25"/>
      <c r="N156" s="25"/>
      <c r="O156" s="25"/>
      <c r="P156" s="25"/>
      <c r="Q156" s="25"/>
      <c r="R156" s="25"/>
      <c r="S156" s="25"/>
      <c r="T156" s="25"/>
      <c r="U156" s="25"/>
      <c r="V156" s="53">
        <v>6000</v>
      </c>
      <c r="W156" s="25"/>
      <c r="X156" s="5"/>
    </row>
    <row r="157" spans="1:25" ht="15.6" x14ac:dyDescent="0.3">
      <c r="A157" s="24"/>
      <c r="B157" s="25"/>
      <c r="C157" s="25"/>
      <c r="D157" s="25"/>
      <c r="E157" s="25"/>
      <c r="F157" s="25"/>
      <c r="G157" s="25"/>
      <c r="H157" s="25"/>
      <c r="I157" s="25"/>
      <c r="J157" s="25"/>
      <c r="K157" s="25"/>
      <c r="L157" s="25"/>
      <c r="M157" s="25"/>
      <c r="N157" s="25"/>
      <c r="O157" s="25"/>
      <c r="P157" s="25"/>
      <c r="Q157" s="25"/>
      <c r="R157" s="25"/>
      <c r="S157" s="25"/>
      <c r="T157" s="25"/>
      <c r="U157" s="25"/>
      <c r="V157" s="53"/>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61"/>
      <c r="W158" s="25"/>
      <c r="X158" s="5"/>
    </row>
    <row r="159" spans="1:25" ht="15.6" x14ac:dyDescent="0.3">
      <c r="A159" s="6"/>
      <c r="B159" s="119" t="s">
        <v>24</v>
      </c>
      <c r="C159" s="8"/>
      <c r="D159" s="8"/>
      <c r="E159" s="8"/>
      <c r="F159" s="8"/>
      <c r="G159" s="8"/>
      <c r="H159" s="8"/>
      <c r="I159" s="8"/>
      <c r="J159" s="8"/>
      <c r="K159" s="8"/>
      <c r="L159" s="8"/>
      <c r="M159" s="8"/>
      <c r="N159" s="8"/>
      <c r="O159" s="8"/>
      <c r="P159" s="8"/>
      <c r="Q159" s="8"/>
      <c r="R159" s="8"/>
      <c r="S159" s="8"/>
      <c r="T159" s="8"/>
      <c r="U159" s="8"/>
      <c r="V159" s="52"/>
      <c r="W159" s="8"/>
      <c r="X159" s="5"/>
    </row>
    <row r="160" spans="1:25" ht="15.6" x14ac:dyDescent="0.3">
      <c r="A160" s="24"/>
      <c r="B160" s="25" t="s">
        <v>47</v>
      </c>
      <c r="C160" s="25"/>
      <c r="D160" s="25"/>
      <c r="E160" s="25"/>
      <c r="F160" s="25"/>
      <c r="G160" s="25"/>
      <c r="H160" s="25"/>
      <c r="I160" s="25"/>
      <c r="J160" s="25"/>
      <c r="K160" s="25"/>
      <c r="L160" s="25"/>
      <c r="M160" s="25"/>
      <c r="N160" s="25"/>
      <c r="O160" s="25"/>
      <c r="P160" s="25"/>
      <c r="Q160" s="25"/>
      <c r="R160" s="25"/>
      <c r="S160" s="25"/>
      <c r="T160" s="25"/>
      <c r="U160" s="25"/>
      <c r="V160" s="59" t="s">
        <v>121</v>
      </c>
      <c r="W160" s="25"/>
      <c r="X160" s="5"/>
    </row>
    <row r="161" spans="1:24" ht="15.6" x14ac:dyDescent="0.3">
      <c r="A161" s="24"/>
      <c r="B161" s="25" t="s">
        <v>48</v>
      </c>
      <c r="C161" s="163"/>
      <c r="D161" s="163"/>
      <c r="E161" s="163"/>
      <c r="F161" s="163"/>
      <c r="G161" s="163"/>
      <c r="H161" s="163"/>
      <c r="I161" s="163"/>
      <c r="J161" s="163"/>
      <c r="K161" s="163"/>
      <c r="L161" s="163"/>
      <c r="M161" s="163"/>
      <c r="N161" s="163"/>
      <c r="O161" s="163"/>
      <c r="P161" s="163"/>
      <c r="Q161" s="163"/>
      <c r="R161" s="163"/>
      <c r="S161" s="163"/>
      <c r="T161" s="163"/>
      <c r="U161" s="163"/>
      <c r="V161" s="59" t="s">
        <v>121</v>
      </c>
      <c r="W161" s="25"/>
      <c r="X161" s="5"/>
    </row>
    <row r="162" spans="1:24" ht="15.6" x14ac:dyDescent="0.3">
      <c r="A162" s="24"/>
      <c r="B162" s="25" t="s">
        <v>49</v>
      </c>
      <c r="C162" s="25"/>
      <c r="D162" s="25"/>
      <c r="E162" s="25"/>
      <c r="F162" s="25"/>
      <c r="G162" s="25"/>
      <c r="H162" s="25"/>
      <c r="I162" s="25"/>
      <c r="J162" s="25"/>
      <c r="K162" s="25"/>
      <c r="L162" s="25"/>
      <c r="M162" s="25"/>
      <c r="N162" s="25"/>
      <c r="O162" s="25"/>
      <c r="P162" s="25"/>
      <c r="Q162" s="25"/>
      <c r="R162" s="25"/>
      <c r="S162" s="25"/>
      <c r="T162" s="25"/>
      <c r="U162" s="25"/>
      <c r="V162" s="59" t="s">
        <v>121</v>
      </c>
      <c r="W162" s="25"/>
      <c r="X162" s="5"/>
    </row>
    <row r="163" spans="1:24" ht="15.6" x14ac:dyDescent="0.3">
      <c r="A163" s="24"/>
      <c r="B163" s="25" t="s">
        <v>50</v>
      </c>
      <c r="C163" s="25"/>
      <c r="D163" s="25"/>
      <c r="E163" s="25"/>
      <c r="F163" s="25"/>
      <c r="G163" s="25"/>
      <c r="H163" s="25"/>
      <c r="I163" s="25"/>
      <c r="J163" s="25"/>
      <c r="K163" s="25"/>
      <c r="L163" s="25"/>
      <c r="M163" s="25"/>
      <c r="N163" s="25"/>
      <c r="O163" s="25"/>
      <c r="P163" s="25"/>
      <c r="Q163" s="25"/>
      <c r="R163" s="25"/>
      <c r="S163" s="25"/>
      <c r="T163" s="25"/>
      <c r="U163" s="25"/>
      <c r="V163" s="59" t="s">
        <v>121</v>
      </c>
      <c r="W163" s="25"/>
      <c r="X163" s="5"/>
    </row>
    <row r="164" spans="1:24" ht="15.6" x14ac:dyDescent="0.3">
      <c r="A164" s="24"/>
      <c r="B164" s="25"/>
      <c r="C164" s="25"/>
      <c r="D164" s="25"/>
      <c r="E164" s="25"/>
      <c r="F164" s="25"/>
      <c r="G164" s="25"/>
      <c r="H164" s="25"/>
      <c r="I164" s="25"/>
      <c r="J164" s="25"/>
      <c r="K164" s="25"/>
      <c r="L164" s="25"/>
      <c r="M164" s="25"/>
      <c r="N164" s="25"/>
      <c r="O164" s="25"/>
      <c r="P164" s="25"/>
      <c r="Q164" s="25"/>
      <c r="R164" s="25"/>
      <c r="S164" s="25"/>
      <c r="T164" s="25"/>
      <c r="U164" s="25"/>
      <c r="V164" s="61"/>
      <c r="W164" s="25"/>
      <c r="X164" s="5"/>
    </row>
    <row r="165" spans="1:24" ht="15.6" x14ac:dyDescent="0.3">
      <c r="A165" s="6"/>
      <c r="B165" s="119" t="s">
        <v>51</v>
      </c>
      <c r="C165" s="8"/>
      <c r="D165" s="8"/>
      <c r="E165" s="8"/>
      <c r="F165" s="8"/>
      <c r="G165" s="8"/>
      <c r="H165" s="8"/>
      <c r="I165" s="8"/>
      <c r="J165" s="8"/>
      <c r="K165" s="8"/>
      <c r="L165" s="8"/>
      <c r="M165" s="8"/>
      <c r="N165" s="8"/>
      <c r="O165" s="8"/>
      <c r="P165" s="8"/>
      <c r="Q165" s="8"/>
      <c r="R165" s="8"/>
      <c r="S165" s="8"/>
      <c r="T165" s="8"/>
      <c r="U165" s="8"/>
      <c r="V165" s="63"/>
      <c r="W165" s="8"/>
      <c r="X165" s="5"/>
    </row>
    <row r="166" spans="1:24" ht="15.6" x14ac:dyDescent="0.3">
      <c r="A166" s="24"/>
      <c r="B166" s="25" t="s">
        <v>52</v>
      </c>
      <c r="C166" s="25"/>
      <c r="D166" s="25"/>
      <c r="E166" s="25"/>
      <c r="F166" s="25"/>
      <c r="G166" s="25"/>
      <c r="H166" s="25"/>
      <c r="I166" s="25"/>
      <c r="J166" s="25"/>
      <c r="K166" s="25"/>
      <c r="L166" s="25"/>
      <c r="M166" s="25"/>
      <c r="N166" s="25"/>
      <c r="O166" s="25"/>
      <c r="P166" s="25"/>
      <c r="Q166" s="25"/>
      <c r="R166" s="25"/>
      <c r="S166" s="25"/>
      <c r="T166" s="25"/>
      <c r="U166" s="25"/>
      <c r="V166" s="53">
        <v>0</v>
      </c>
      <c r="W166" s="25"/>
      <c r="X166" s="5"/>
    </row>
    <row r="167" spans="1:24" ht="15.6" x14ac:dyDescent="0.3">
      <c r="A167" s="24"/>
      <c r="B167" s="25" t="s">
        <v>53</v>
      </c>
      <c r="C167" s="25"/>
      <c r="D167" s="25"/>
      <c r="E167" s="25"/>
      <c r="F167" s="25"/>
      <c r="G167" s="25"/>
      <c r="H167" s="25"/>
      <c r="I167" s="25"/>
      <c r="J167" s="25"/>
      <c r="K167" s="25"/>
      <c r="L167" s="25"/>
      <c r="M167" s="25"/>
      <c r="N167" s="25"/>
      <c r="O167" s="25"/>
      <c r="P167" s="25"/>
      <c r="Q167" s="25"/>
      <c r="R167" s="25"/>
      <c r="S167" s="25"/>
      <c r="T167" s="25"/>
      <c r="U167" s="25"/>
      <c r="V167" s="53">
        <v>161</v>
      </c>
      <c r="W167" s="25"/>
      <c r="X167" s="5"/>
    </row>
    <row r="168" spans="1:24" ht="15.6" x14ac:dyDescent="0.3">
      <c r="A168" s="24"/>
      <c r="B168" s="25" t="s">
        <v>54</v>
      </c>
      <c r="C168" s="25"/>
      <c r="D168" s="25"/>
      <c r="E168" s="25"/>
      <c r="F168" s="25"/>
      <c r="G168" s="25"/>
      <c r="H168" s="25"/>
      <c r="I168" s="25"/>
      <c r="J168" s="25"/>
      <c r="K168" s="25"/>
      <c r="L168" s="25"/>
      <c r="M168" s="25"/>
      <c r="N168" s="25"/>
      <c r="O168" s="25"/>
      <c r="P168" s="25"/>
      <c r="Q168" s="25"/>
      <c r="R168" s="25"/>
      <c r="S168" s="25"/>
      <c r="T168" s="25"/>
      <c r="U168" s="25"/>
      <c r="V168" s="53">
        <f>V167+V166</f>
        <v>161</v>
      </c>
      <c r="W168" s="25"/>
      <c r="X168" s="5"/>
    </row>
    <row r="169" spans="1:24" ht="15.6" x14ac:dyDescent="0.3">
      <c r="A169" s="24"/>
      <c r="B169" s="391" t="s">
        <v>318</v>
      </c>
      <c r="C169" s="25"/>
      <c r="D169" s="25"/>
      <c r="E169" s="25"/>
      <c r="F169" s="25"/>
      <c r="G169" s="25"/>
      <c r="H169" s="25"/>
      <c r="I169" s="25"/>
      <c r="J169" s="25"/>
      <c r="K169" s="25"/>
      <c r="L169" s="25"/>
      <c r="M169" s="25"/>
      <c r="N169" s="25"/>
      <c r="O169" s="25"/>
      <c r="P169" s="25"/>
      <c r="Q169" s="25"/>
      <c r="R169" s="25"/>
      <c r="S169" s="25"/>
      <c r="T169" s="25"/>
      <c r="U169" s="25"/>
      <c r="V169" s="53">
        <f>V115</f>
        <v>-161</v>
      </c>
      <c r="W169" s="25"/>
      <c r="X169" s="5"/>
    </row>
    <row r="170" spans="1:24" ht="15.6" x14ac:dyDescent="0.3">
      <c r="A170" s="24"/>
      <c r="B170" s="25" t="s">
        <v>55</v>
      </c>
      <c r="C170" s="25"/>
      <c r="D170" s="25"/>
      <c r="E170" s="25"/>
      <c r="F170" s="25"/>
      <c r="G170" s="25"/>
      <c r="H170" s="25"/>
      <c r="I170" s="25"/>
      <c r="J170" s="25"/>
      <c r="K170" s="25"/>
      <c r="L170" s="25"/>
      <c r="M170" s="25"/>
      <c r="N170" s="25"/>
      <c r="O170" s="25"/>
      <c r="P170" s="25"/>
      <c r="Q170" s="25"/>
      <c r="R170" s="25"/>
      <c r="S170" s="25"/>
      <c r="T170" s="25"/>
      <c r="U170" s="25"/>
      <c r="V170" s="53">
        <f>V168+V169</f>
        <v>0</v>
      </c>
      <c r="W170" s="25"/>
      <c r="X170" s="5"/>
    </row>
    <row r="171" spans="1:24" ht="16.2" thickBot="1" x14ac:dyDescent="0.35">
      <c r="A171" s="24"/>
      <c r="B171" s="25"/>
      <c r="C171" s="25"/>
      <c r="D171" s="25"/>
      <c r="E171" s="25"/>
      <c r="F171" s="25"/>
      <c r="G171" s="25"/>
      <c r="H171" s="25"/>
      <c r="I171" s="25"/>
      <c r="J171" s="25"/>
      <c r="K171" s="25"/>
      <c r="L171" s="25"/>
      <c r="M171" s="25"/>
      <c r="N171" s="25"/>
      <c r="O171" s="25"/>
      <c r="P171" s="25"/>
      <c r="Q171" s="25"/>
      <c r="R171" s="25"/>
      <c r="S171" s="25"/>
      <c r="T171" s="25"/>
      <c r="U171" s="25"/>
      <c r="V171" s="61"/>
      <c r="W171" s="25"/>
      <c r="X171" s="5"/>
    </row>
    <row r="172" spans="1:24" ht="15.6" x14ac:dyDescent="0.3">
      <c r="A172" s="2"/>
      <c r="B172" s="4"/>
      <c r="C172" s="4"/>
      <c r="D172" s="4"/>
      <c r="E172" s="4"/>
      <c r="F172" s="4"/>
      <c r="G172" s="4"/>
      <c r="H172" s="4"/>
      <c r="I172" s="4"/>
      <c r="J172" s="4"/>
      <c r="K172" s="4"/>
      <c r="L172" s="4"/>
      <c r="M172" s="4"/>
      <c r="N172" s="4"/>
      <c r="O172" s="4"/>
      <c r="P172" s="4"/>
      <c r="Q172" s="4"/>
      <c r="R172" s="4"/>
      <c r="S172" s="4"/>
      <c r="T172" s="4"/>
      <c r="U172" s="4"/>
      <c r="V172" s="50"/>
      <c r="W172" s="4"/>
      <c r="X172" s="5"/>
    </row>
    <row r="173" spans="1:24" ht="15.6" x14ac:dyDescent="0.3">
      <c r="A173" s="6"/>
      <c r="B173" s="119" t="s">
        <v>56</v>
      </c>
      <c r="C173" s="8"/>
      <c r="D173" s="8"/>
      <c r="E173" s="8"/>
      <c r="F173" s="8"/>
      <c r="G173" s="8"/>
      <c r="H173" s="8"/>
      <c r="I173" s="8"/>
      <c r="J173" s="8"/>
      <c r="K173" s="8"/>
      <c r="L173" s="8"/>
      <c r="M173" s="8"/>
      <c r="N173" s="8"/>
      <c r="O173" s="8"/>
      <c r="P173" s="8"/>
      <c r="Q173" s="8"/>
      <c r="R173" s="8"/>
      <c r="S173" s="8"/>
      <c r="T173" s="8"/>
      <c r="U173" s="8"/>
      <c r="V173" s="52"/>
      <c r="W173" s="8"/>
      <c r="X173" s="5"/>
    </row>
    <row r="174" spans="1:24" ht="15.6" x14ac:dyDescent="0.3">
      <c r="A174" s="6"/>
      <c r="B174" s="21"/>
      <c r="C174" s="8"/>
      <c r="D174" s="8"/>
      <c r="E174" s="8"/>
      <c r="F174" s="8"/>
      <c r="G174" s="8"/>
      <c r="H174" s="8"/>
      <c r="I174" s="8"/>
      <c r="J174" s="8"/>
      <c r="K174" s="8"/>
      <c r="L174" s="8"/>
      <c r="M174" s="8"/>
      <c r="N174" s="8"/>
      <c r="O174" s="8"/>
      <c r="P174" s="8"/>
      <c r="Q174" s="8"/>
      <c r="R174" s="8"/>
      <c r="S174" s="8"/>
      <c r="T174" s="8"/>
      <c r="U174" s="8"/>
      <c r="V174" s="52"/>
      <c r="W174" s="8"/>
      <c r="X174" s="5"/>
    </row>
    <row r="175" spans="1:24" ht="15.6" x14ac:dyDescent="0.3">
      <c r="A175" s="24"/>
      <c r="B175" s="25" t="s">
        <v>57</v>
      </c>
      <c r="C175" s="25"/>
      <c r="D175" s="25"/>
      <c r="E175" s="25"/>
      <c r="F175" s="25"/>
      <c r="G175" s="25"/>
      <c r="H175" s="25"/>
      <c r="I175" s="25"/>
      <c r="J175" s="25"/>
      <c r="K175" s="25"/>
      <c r="L175" s="25"/>
      <c r="M175" s="25"/>
      <c r="N175" s="25"/>
      <c r="O175" s="25"/>
      <c r="P175" s="25"/>
      <c r="Q175" s="25"/>
      <c r="R175" s="25"/>
      <c r="S175" s="25"/>
      <c r="T175" s="25"/>
      <c r="U175" s="25"/>
      <c r="V175" s="53">
        <f>V72</f>
        <v>1074271</v>
      </c>
      <c r="W175" s="25"/>
      <c r="X175" s="5"/>
    </row>
    <row r="176" spans="1:24" ht="15.6" x14ac:dyDescent="0.3">
      <c r="A176" s="24"/>
      <c r="B176" s="25" t="s">
        <v>58</v>
      </c>
      <c r="C176" s="25"/>
      <c r="D176" s="25"/>
      <c r="E176" s="25"/>
      <c r="F176" s="25"/>
      <c r="G176" s="25"/>
      <c r="H176" s="25"/>
      <c r="I176" s="25"/>
      <c r="J176" s="25"/>
      <c r="K176" s="25"/>
      <c r="L176" s="25"/>
      <c r="M176" s="25"/>
      <c r="N176" s="25"/>
      <c r="O176" s="25"/>
      <c r="P176" s="25"/>
      <c r="Q176" s="25"/>
      <c r="R176" s="25"/>
      <c r="S176" s="25"/>
      <c r="T176" s="25"/>
      <c r="U176" s="25"/>
      <c r="V176" s="53">
        <f>V85</f>
        <v>1074271</v>
      </c>
      <c r="W176" s="25"/>
      <c r="X176" s="5"/>
    </row>
    <row r="177" spans="1:24" ht="16.2" thickBot="1" x14ac:dyDescent="0.35">
      <c r="A177" s="24"/>
      <c r="B177" s="25"/>
      <c r="C177" s="25"/>
      <c r="D177" s="25"/>
      <c r="E177" s="25"/>
      <c r="F177" s="25"/>
      <c r="G177" s="25"/>
      <c r="H177" s="25"/>
      <c r="I177" s="25"/>
      <c r="J177" s="25"/>
      <c r="K177" s="25"/>
      <c r="L177" s="25"/>
      <c r="M177" s="25"/>
      <c r="N177" s="25"/>
      <c r="O177" s="25"/>
      <c r="P177" s="25"/>
      <c r="Q177" s="25"/>
      <c r="R177" s="25"/>
      <c r="S177" s="25"/>
      <c r="T177" s="25"/>
      <c r="U177" s="25"/>
      <c r="V177" s="61"/>
      <c r="W177" s="25"/>
      <c r="X177" s="5"/>
    </row>
    <row r="178" spans="1:24" ht="15.6" x14ac:dyDescent="0.3">
      <c r="A178" s="2"/>
      <c r="B178" s="4"/>
      <c r="C178" s="4"/>
      <c r="D178" s="4"/>
      <c r="E178" s="4"/>
      <c r="F178" s="4"/>
      <c r="G178" s="4"/>
      <c r="H178" s="4"/>
      <c r="I178" s="4"/>
      <c r="J178" s="4"/>
      <c r="K178" s="4"/>
      <c r="L178" s="4"/>
      <c r="M178" s="4"/>
      <c r="N178" s="4"/>
      <c r="O178" s="4"/>
      <c r="P178" s="4"/>
      <c r="Q178" s="4"/>
      <c r="R178" s="4"/>
      <c r="S178" s="4"/>
      <c r="T178" s="4"/>
      <c r="U178" s="4"/>
      <c r="V178" s="50"/>
      <c r="W178" s="4"/>
      <c r="X178" s="5"/>
    </row>
    <row r="179" spans="1:24" ht="15.6" x14ac:dyDescent="0.3">
      <c r="A179" s="6"/>
      <c r="B179" s="119" t="s">
        <v>59</v>
      </c>
      <c r="C179" s="117"/>
      <c r="D179" s="117"/>
      <c r="E179" s="117"/>
      <c r="F179" s="117"/>
      <c r="G179" s="117"/>
      <c r="H179" s="120"/>
      <c r="I179" s="120"/>
      <c r="J179" s="120"/>
      <c r="K179" s="120"/>
      <c r="L179" s="120"/>
      <c r="M179" s="120"/>
      <c r="N179" s="120"/>
      <c r="O179" s="120"/>
      <c r="P179" s="120"/>
      <c r="Q179" s="120"/>
      <c r="R179" s="120"/>
      <c r="S179" s="120" t="s">
        <v>102</v>
      </c>
      <c r="T179" s="120" t="s">
        <v>179</v>
      </c>
      <c r="U179" s="111"/>
      <c r="V179" s="121" t="s">
        <v>117</v>
      </c>
      <c r="W179" s="10"/>
      <c r="X179" s="5"/>
    </row>
    <row r="180" spans="1:24" ht="15.6" x14ac:dyDescent="0.3">
      <c r="A180" s="24"/>
      <c r="B180" s="25" t="s">
        <v>60</v>
      </c>
      <c r="C180" s="25"/>
      <c r="D180" s="25"/>
      <c r="E180" s="25"/>
      <c r="F180" s="25"/>
      <c r="G180" s="25"/>
      <c r="H180" s="25"/>
      <c r="I180" s="25"/>
      <c r="J180" s="25"/>
      <c r="K180" s="25"/>
      <c r="L180" s="25"/>
      <c r="M180" s="25"/>
      <c r="N180" s="25"/>
      <c r="O180" s="25"/>
      <c r="P180" s="25"/>
      <c r="Q180" s="25"/>
      <c r="R180" s="25"/>
      <c r="S180" s="53">
        <f>+V34*0.16</f>
        <v>240030.4</v>
      </c>
      <c r="T180" s="40"/>
      <c r="U180" s="25"/>
      <c r="V180" s="53"/>
      <c r="W180" s="25"/>
      <c r="X180" s="5"/>
    </row>
    <row r="181" spans="1:24" ht="15.6" x14ac:dyDescent="0.3">
      <c r="A181" s="24"/>
      <c r="B181" s="25" t="s">
        <v>61</v>
      </c>
      <c r="C181" s="25"/>
      <c r="D181" s="25"/>
      <c r="E181" s="25"/>
      <c r="F181" s="25"/>
      <c r="G181" s="25"/>
      <c r="H181" s="25"/>
      <c r="I181" s="25"/>
      <c r="J181" s="25"/>
      <c r="K181" s="25"/>
      <c r="L181" s="25"/>
      <c r="M181" s="25"/>
      <c r="N181" s="25"/>
      <c r="O181" s="25"/>
      <c r="P181" s="25"/>
      <c r="Q181" s="25"/>
      <c r="R181" s="25"/>
      <c r="S181" s="53">
        <f>+'March 09'!S183</f>
        <v>39840</v>
      </c>
      <c r="T181" s="53">
        <f>+'March 09'!T183</f>
        <v>8237</v>
      </c>
      <c r="U181" s="25"/>
      <c r="V181" s="53">
        <f>S181+T181</f>
        <v>48077</v>
      </c>
      <c r="W181" s="25"/>
      <c r="X181" s="5"/>
    </row>
    <row r="182" spans="1:24" ht="15.6" x14ac:dyDescent="0.3">
      <c r="A182" s="24"/>
      <c r="B182" s="25" t="s">
        <v>62</v>
      </c>
      <c r="C182" s="25"/>
      <c r="D182" s="25"/>
      <c r="E182" s="25"/>
      <c r="F182" s="25"/>
      <c r="G182" s="25"/>
      <c r="H182" s="25"/>
      <c r="I182" s="25"/>
      <c r="J182" s="25"/>
      <c r="K182" s="25"/>
      <c r="L182" s="25"/>
      <c r="M182" s="25"/>
      <c r="N182" s="25"/>
      <c r="O182" s="25"/>
      <c r="P182" s="25"/>
      <c r="Q182" s="25"/>
      <c r="R182" s="25"/>
      <c r="S182" s="34">
        <f>498+714</f>
        <v>1212</v>
      </c>
      <c r="T182" s="34">
        <v>32</v>
      </c>
      <c r="U182" s="25"/>
      <c r="V182" s="53">
        <f>S182+T182</f>
        <v>1244</v>
      </c>
      <c r="W182" s="25"/>
      <c r="X182" s="5"/>
    </row>
    <row r="183" spans="1:24" ht="15.6" x14ac:dyDescent="0.3">
      <c r="A183" s="24"/>
      <c r="B183" s="25" t="s">
        <v>63</v>
      </c>
      <c r="C183" s="25"/>
      <c r="D183" s="25"/>
      <c r="E183" s="25"/>
      <c r="F183" s="25"/>
      <c r="G183" s="25"/>
      <c r="H183" s="25"/>
      <c r="I183" s="25"/>
      <c r="J183" s="25"/>
      <c r="K183" s="25"/>
      <c r="L183" s="25"/>
      <c r="M183" s="25"/>
      <c r="N183" s="25"/>
      <c r="O183" s="25"/>
      <c r="P183" s="25"/>
      <c r="Q183" s="25"/>
      <c r="R183" s="25"/>
      <c r="S183" s="53">
        <f>S181+S182</f>
        <v>41052</v>
      </c>
      <c r="T183" s="53">
        <f>T182+T181</f>
        <v>8269</v>
      </c>
      <c r="U183" s="25"/>
      <c r="V183" s="53">
        <f>S183+T183</f>
        <v>49321</v>
      </c>
      <c r="W183" s="25"/>
      <c r="X183" s="5"/>
    </row>
    <row r="184" spans="1:24" ht="15.6" x14ac:dyDescent="0.3">
      <c r="A184" s="24"/>
      <c r="B184" s="25" t="s">
        <v>64</v>
      </c>
      <c r="C184" s="25"/>
      <c r="D184" s="25"/>
      <c r="E184" s="25"/>
      <c r="F184" s="25"/>
      <c r="G184" s="25"/>
      <c r="H184" s="25"/>
      <c r="I184" s="25"/>
      <c r="J184" s="25"/>
      <c r="K184" s="25"/>
      <c r="L184" s="25"/>
      <c r="M184" s="25"/>
      <c r="N184" s="25"/>
      <c r="O184" s="25"/>
      <c r="P184" s="25"/>
      <c r="Q184" s="25"/>
      <c r="R184" s="25"/>
      <c r="S184" s="53">
        <f>S180-S183-T183</f>
        <v>190709.4</v>
      </c>
      <c r="T184" s="40"/>
      <c r="U184" s="25"/>
      <c r="V184" s="53"/>
      <c r="W184" s="25"/>
      <c r="X184" s="5"/>
    </row>
    <row r="185" spans="1:24" ht="16.2" thickBot="1" x14ac:dyDescent="0.35">
      <c r="A185" s="24"/>
      <c r="B185" s="25"/>
      <c r="C185" s="25"/>
      <c r="D185" s="25"/>
      <c r="E185" s="25"/>
      <c r="F185" s="25"/>
      <c r="G185" s="25"/>
      <c r="H185" s="25"/>
      <c r="I185" s="25"/>
      <c r="J185" s="25"/>
      <c r="K185" s="25"/>
      <c r="L185" s="25"/>
      <c r="M185" s="25"/>
      <c r="N185" s="25"/>
      <c r="O185" s="25"/>
      <c r="P185" s="25"/>
      <c r="Q185" s="25"/>
      <c r="R185" s="25"/>
      <c r="S185" s="25"/>
      <c r="T185" s="25"/>
      <c r="U185" s="25"/>
      <c r="V185" s="61"/>
      <c r="W185" s="25"/>
      <c r="X185" s="5"/>
    </row>
    <row r="186" spans="1:24" ht="15.6" x14ac:dyDescent="0.3">
      <c r="A186" s="2"/>
      <c r="B186" s="4"/>
      <c r="C186" s="4"/>
      <c r="D186" s="4"/>
      <c r="E186" s="4"/>
      <c r="F186" s="4"/>
      <c r="G186" s="4"/>
      <c r="H186" s="4"/>
      <c r="I186" s="4"/>
      <c r="J186" s="4"/>
      <c r="K186" s="4"/>
      <c r="L186" s="4"/>
      <c r="M186" s="4"/>
      <c r="N186" s="4"/>
      <c r="O186" s="4"/>
      <c r="P186" s="4"/>
      <c r="Q186" s="4"/>
      <c r="R186" s="4"/>
      <c r="S186" s="4"/>
      <c r="T186" s="4"/>
      <c r="U186" s="4"/>
      <c r="V186" s="50"/>
      <c r="W186" s="4"/>
      <c r="X186" s="5"/>
    </row>
    <row r="187" spans="1:24" ht="15.6" x14ac:dyDescent="0.3">
      <c r="A187" s="6"/>
      <c r="B187" s="119" t="s">
        <v>65</v>
      </c>
      <c r="C187" s="8"/>
      <c r="D187" s="8"/>
      <c r="E187" s="8"/>
      <c r="F187" s="8"/>
      <c r="G187" s="8"/>
      <c r="H187" s="8"/>
      <c r="I187" s="8"/>
      <c r="J187" s="8"/>
      <c r="K187" s="8"/>
      <c r="L187" s="8"/>
      <c r="M187" s="8"/>
      <c r="N187" s="8"/>
      <c r="O187" s="8"/>
      <c r="P187" s="8"/>
      <c r="Q187" s="8"/>
      <c r="R187" s="8"/>
      <c r="S187" s="8"/>
      <c r="T187" s="8"/>
      <c r="U187" s="8"/>
      <c r="V187" s="65"/>
      <c r="W187" s="8"/>
      <c r="X187" s="5"/>
    </row>
    <row r="188" spans="1:24" ht="15.6" x14ac:dyDescent="0.3">
      <c r="A188" s="24"/>
      <c r="B188" s="25" t="s">
        <v>66</v>
      </c>
      <c r="C188" s="25"/>
      <c r="D188" s="25"/>
      <c r="E188" s="25"/>
      <c r="F188" s="25"/>
      <c r="G188" s="25"/>
      <c r="H188" s="25"/>
      <c r="I188" s="25"/>
      <c r="J188" s="25"/>
      <c r="K188" s="25"/>
      <c r="L188" s="25"/>
      <c r="M188" s="25"/>
      <c r="N188" s="25"/>
      <c r="O188" s="25"/>
      <c r="P188" s="25"/>
      <c r="Q188" s="25"/>
      <c r="R188" s="25"/>
      <c r="S188" s="25"/>
      <c r="T188" s="25"/>
      <c r="U188" s="25"/>
      <c r="V188" s="59">
        <f>(V101+V103+V104+V105+V106)/-(V107+V108)</f>
        <v>2.0302628086010088</v>
      </c>
      <c r="W188" s="25" t="s">
        <v>118</v>
      </c>
      <c r="X188" s="5"/>
    </row>
    <row r="189" spans="1:24" ht="15.6" x14ac:dyDescent="0.3">
      <c r="A189" s="24"/>
      <c r="B189" s="25" t="s">
        <v>67</v>
      </c>
      <c r="C189" s="25"/>
      <c r="D189" s="25"/>
      <c r="E189" s="25"/>
      <c r="F189" s="25"/>
      <c r="G189" s="25"/>
      <c r="H189" s="25"/>
      <c r="I189" s="25"/>
      <c r="J189" s="25"/>
      <c r="K189" s="25"/>
      <c r="L189" s="25"/>
      <c r="M189" s="25"/>
      <c r="N189" s="25"/>
      <c r="O189" s="25"/>
      <c r="P189" s="25"/>
      <c r="Q189" s="25"/>
      <c r="R189" s="25"/>
      <c r="S189" s="25"/>
      <c r="T189" s="25"/>
      <c r="U189" s="25"/>
      <c r="V189" s="66">
        <v>1.41</v>
      </c>
      <c r="W189" s="25" t="s">
        <v>118</v>
      </c>
      <c r="X189" s="5"/>
    </row>
    <row r="190" spans="1:24" ht="15.6" x14ac:dyDescent="0.3">
      <c r="A190" s="24"/>
      <c r="B190" s="25" t="s">
        <v>68</v>
      </c>
      <c r="C190" s="25"/>
      <c r="D190" s="25"/>
      <c r="E190" s="25"/>
      <c r="F190" s="25"/>
      <c r="G190" s="25"/>
      <c r="H190" s="25"/>
      <c r="I190" s="25"/>
      <c r="J190" s="25"/>
      <c r="K190" s="25"/>
      <c r="L190" s="25"/>
      <c r="M190" s="25"/>
      <c r="N190" s="25"/>
      <c r="O190" s="25"/>
      <c r="P190" s="25"/>
      <c r="Q190" s="25"/>
      <c r="R190" s="25"/>
      <c r="S190" s="25"/>
      <c r="T190" s="25"/>
      <c r="U190" s="25"/>
      <c r="V190" s="59">
        <f>(V101+V103+V104+V105+V106+V107+V108)/-(V110+V111)</f>
        <v>7.9691991786447636</v>
      </c>
      <c r="W190" s="25" t="s">
        <v>118</v>
      </c>
      <c r="X190" s="5"/>
    </row>
    <row r="191" spans="1:24" ht="15.6" x14ac:dyDescent="0.3">
      <c r="A191" s="24"/>
      <c r="B191" s="25" t="s">
        <v>69</v>
      </c>
      <c r="C191" s="25"/>
      <c r="D191" s="25"/>
      <c r="E191" s="25"/>
      <c r="F191" s="25"/>
      <c r="G191" s="25"/>
      <c r="H191" s="25"/>
      <c r="I191" s="25"/>
      <c r="J191" s="25"/>
      <c r="K191" s="25"/>
      <c r="L191" s="25"/>
      <c r="M191" s="25"/>
      <c r="N191" s="25"/>
      <c r="O191" s="25"/>
      <c r="P191" s="25"/>
      <c r="Q191" s="25"/>
      <c r="R191" s="25"/>
      <c r="S191" s="25"/>
      <c r="T191" s="25"/>
      <c r="U191" s="25"/>
      <c r="V191" s="66">
        <v>4.1399999999999997</v>
      </c>
      <c r="W191" s="25" t="s">
        <v>118</v>
      </c>
      <c r="X191" s="5"/>
    </row>
    <row r="192" spans="1:24" ht="15.6" x14ac:dyDescent="0.3">
      <c r="A192" s="24"/>
      <c r="B192" s="25" t="s">
        <v>201</v>
      </c>
      <c r="C192" s="25"/>
      <c r="D192" s="25"/>
      <c r="E192" s="25"/>
      <c r="F192" s="25"/>
      <c r="G192" s="25"/>
      <c r="H192" s="25"/>
      <c r="I192" s="25"/>
      <c r="J192" s="25"/>
      <c r="K192" s="25"/>
      <c r="L192" s="25"/>
      <c r="M192" s="25"/>
      <c r="N192" s="25"/>
      <c r="O192" s="25"/>
      <c r="P192" s="25"/>
      <c r="Q192" s="25"/>
      <c r="R192" s="25"/>
      <c r="S192" s="25"/>
      <c r="T192" s="25"/>
      <c r="U192" s="25"/>
      <c r="V192" s="59">
        <f>(V101+V103+V104+V105+V106+V107+V108+V110+V111)/-(V112+V113)</f>
        <v>10.37920489296636</v>
      </c>
      <c r="W192" s="25" t="s">
        <v>118</v>
      </c>
      <c r="X192" s="5"/>
    </row>
    <row r="193" spans="1:24" ht="15.6" x14ac:dyDescent="0.3">
      <c r="A193" s="24"/>
      <c r="B193" s="25" t="s">
        <v>202</v>
      </c>
      <c r="C193" s="25"/>
      <c r="D193" s="25"/>
      <c r="E193" s="25"/>
      <c r="F193" s="25"/>
      <c r="G193" s="25"/>
      <c r="H193" s="25"/>
      <c r="I193" s="25"/>
      <c r="J193" s="25"/>
      <c r="K193" s="25"/>
      <c r="L193" s="25"/>
      <c r="M193" s="25"/>
      <c r="N193" s="25"/>
      <c r="O193" s="25"/>
      <c r="P193" s="25"/>
      <c r="Q193" s="25"/>
      <c r="R193" s="25"/>
      <c r="S193" s="25"/>
      <c r="T193" s="25"/>
      <c r="U193" s="25"/>
      <c r="V193" s="66">
        <v>5.04</v>
      </c>
      <c r="W193" s="25" t="s">
        <v>118</v>
      </c>
      <c r="X193" s="5"/>
    </row>
    <row r="194" spans="1:24" ht="15.6" x14ac:dyDescent="0.3">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5"/>
    </row>
    <row r="195" spans="1:24" ht="15.6" x14ac:dyDescent="0.3">
      <c r="A195" s="24"/>
      <c r="B195" s="25"/>
      <c r="C195" s="25"/>
      <c r="D195" s="25"/>
      <c r="E195" s="25"/>
      <c r="F195" s="25"/>
      <c r="G195" s="25"/>
      <c r="H195" s="25"/>
      <c r="I195" s="25"/>
      <c r="J195" s="25"/>
      <c r="K195" s="25"/>
      <c r="L195" s="25"/>
      <c r="M195" s="25"/>
      <c r="N195" s="25"/>
      <c r="O195" s="25"/>
      <c r="P195" s="25"/>
      <c r="Q195" s="25"/>
      <c r="R195" s="25"/>
      <c r="S195" s="25"/>
      <c r="T195" s="25"/>
      <c r="U195" s="25"/>
      <c r="V195" s="25"/>
      <c r="W195" s="25"/>
      <c r="X195" s="5"/>
    </row>
    <row r="196" spans="1:24" ht="15.6" x14ac:dyDescent="0.3">
      <c r="A196" s="6"/>
      <c r="B196" s="8"/>
      <c r="C196" s="8"/>
      <c r="D196" s="8"/>
      <c r="E196" s="8"/>
      <c r="F196" s="8"/>
      <c r="G196" s="8"/>
      <c r="H196" s="8"/>
      <c r="I196" s="8"/>
      <c r="J196" s="8"/>
      <c r="K196" s="8"/>
      <c r="L196" s="8"/>
      <c r="M196" s="8"/>
      <c r="N196" s="8"/>
      <c r="O196" s="8"/>
      <c r="P196" s="8"/>
      <c r="Q196" s="8"/>
      <c r="R196" s="8"/>
      <c r="S196" s="8"/>
      <c r="T196" s="8"/>
      <c r="U196" s="8"/>
      <c r="V196" s="8"/>
      <c r="W196" s="8"/>
      <c r="X196" s="5"/>
    </row>
    <row r="197" spans="1:24" ht="18" thickBot="1" x14ac:dyDescent="0.35">
      <c r="A197" s="101"/>
      <c r="B197" s="102" t="str">
        <f>B138</f>
        <v>PM13 INVESTOR REPORT QUARTER ENDING JUNE 2009</v>
      </c>
      <c r="C197" s="165"/>
      <c r="D197" s="165"/>
      <c r="E197" s="165"/>
      <c r="F197" s="165"/>
      <c r="G197" s="165"/>
      <c r="H197" s="165"/>
      <c r="I197" s="165"/>
      <c r="J197" s="165"/>
      <c r="K197" s="165"/>
      <c r="L197" s="165"/>
      <c r="M197" s="165"/>
      <c r="N197" s="165"/>
      <c r="O197" s="165"/>
      <c r="P197" s="165"/>
      <c r="Q197" s="165"/>
      <c r="R197" s="165"/>
      <c r="S197" s="165"/>
      <c r="T197" s="165"/>
      <c r="U197" s="165"/>
      <c r="V197" s="165"/>
      <c r="W197" s="166"/>
      <c r="X197" s="5"/>
    </row>
    <row r="198" spans="1:24" ht="15.6" x14ac:dyDescent="0.3">
      <c r="A198" s="67"/>
      <c r="B198" s="60" t="s">
        <v>70</v>
      </c>
      <c r="C198" s="68"/>
      <c r="D198" s="68"/>
      <c r="E198" s="68"/>
      <c r="F198" s="68"/>
      <c r="G198" s="69"/>
      <c r="H198" s="69"/>
      <c r="I198" s="69"/>
      <c r="J198" s="69"/>
      <c r="K198" s="69"/>
      <c r="L198" s="69"/>
      <c r="M198" s="69"/>
      <c r="N198" s="69"/>
      <c r="O198" s="69"/>
      <c r="P198" s="69"/>
      <c r="Q198" s="69"/>
      <c r="R198" s="69"/>
      <c r="S198" s="69"/>
      <c r="T198" s="70">
        <v>39994</v>
      </c>
      <c r="U198" s="4"/>
      <c r="V198" s="4"/>
      <c r="W198" s="4"/>
      <c r="X198" s="5"/>
    </row>
    <row r="199" spans="1:24" ht="15.6" x14ac:dyDescent="0.3">
      <c r="A199" s="71"/>
      <c r="B199" s="72"/>
      <c r="C199" s="73"/>
      <c r="D199" s="73"/>
      <c r="E199" s="73"/>
      <c r="F199" s="73"/>
      <c r="G199" s="74"/>
      <c r="H199" s="74"/>
      <c r="I199" s="74"/>
      <c r="J199" s="74"/>
      <c r="K199" s="74"/>
      <c r="L199" s="74"/>
      <c r="M199" s="74"/>
      <c r="N199" s="74"/>
      <c r="O199" s="74"/>
      <c r="P199" s="74"/>
      <c r="Q199" s="74"/>
      <c r="R199" s="74"/>
      <c r="S199" s="74"/>
      <c r="T199" s="74"/>
      <c r="U199" s="8"/>
      <c r="V199" s="8"/>
      <c r="W199" s="8"/>
      <c r="X199" s="5"/>
    </row>
    <row r="200" spans="1:24" ht="15.6" x14ac:dyDescent="0.3">
      <c r="A200" s="75"/>
      <c r="B200" s="76" t="s">
        <v>71</v>
      </c>
      <c r="C200" s="77"/>
      <c r="D200" s="77"/>
      <c r="E200" s="77"/>
      <c r="F200" s="77"/>
      <c r="G200" s="64"/>
      <c r="H200" s="64"/>
      <c r="I200" s="64"/>
      <c r="J200" s="64"/>
      <c r="K200" s="64"/>
      <c r="L200" s="64"/>
      <c r="M200" s="64"/>
      <c r="N200" s="64"/>
      <c r="O200" s="64"/>
      <c r="P200" s="64"/>
      <c r="Q200" s="64"/>
      <c r="R200" s="64"/>
      <c r="S200" s="64"/>
      <c r="T200" s="78">
        <v>5.4539999999999998E-2</v>
      </c>
      <c r="U200" s="25"/>
      <c r="V200" s="25"/>
      <c r="W200" s="25"/>
      <c r="X200" s="5"/>
    </row>
    <row r="201" spans="1:24" ht="15.6" x14ac:dyDescent="0.3">
      <c r="A201" s="75"/>
      <c r="B201" s="76" t="s">
        <v>154</v>
      </c>
      <c r="C201" s="77"/>
      <c r="D201" s="77"/>
      <c r="E201" s="77"/>
      <c r="F201" s="77"/>
      <c r="G201" s="64"/>
      <c r="H201" s="64"/>
      <c r="I201" s="64"/>
      <c r="J201" s="64"/>
      <c r="K201" s="64"/>
      <c r="L201" s="64"/>
      <c r="M201" s="64"/>
      <c r="N201" s="64"/>
      <c r="O201" s="64"/>
      <c r="P201" s="64"/>
      <c r="Q201" s="64"/>
      <c r="R201" s="64"/>
      <c r="S201" s="64"/>
      <c r="T201" s="39">
        <f>'Dec 06'!T199</f>
        <v>5.238600504269459E-2</v>
      </c>
      <c r="U201" s="25"/>
      <c r="V201" s="25"/>
      <c r="W201" s="25"/>
      <c r="X201" s="5"/>
    </row>
    <row r="202" spans="1:24" ht="15.6" x14ac:dyDescent="0.3">
      <c r="A202" s="75"/>
      <c r="B202" s="76" t="s">
        <v>72</v>
      </c>
      <c r="C202" s="77"/>
      <c r="D202" s="77"/>
      <c r="E202" s="77"/>
      <c r="F202" s="77"/>
      <c r="G202" s="64"/>
      <c r="H202" s="64"/>
      <c r="I202" s="64"/>
      <c r="J202" s="64"/>
      <c r="K202" s="64"/>
      <c r="L202" s="64"/>
      <c r="M202" s="64"/>
      <c r="N202" s="64"/>
      <c r="O202" s="64"/>
      <c r="P202" s="64"/>
      <c r="Q202" s="64"/>
      <c r="R202" s="64"/>
      <c r="S202" s="64"/>
      <c r="T202" s="78">
        <f>+T200-T201</f>
        <v>2.1539949573054079E-3</v>
      </c>
      <c r="U202" s="25"/>
      <c r="V202" s="25"/>
      <c r="W202" s="25"/>
      <c r="X202" s="5"/>
    </row>
    <row r="203" spans="1:24" ht="15.6" x14ac:dyDescent="0.3">
      <c r="A203" s="75"/>
      <c r="B203" s="76" t="s">
        <v>73</v>
      </c>
      <c r="C203" s="77"/>
      <c r="D203" s="77"/>
      <c r="E203" s="77"/>
      <c r="F203" s="77"/>
      <c r="G203" s="64"/>
      <c r="H203" s="64"/>
      <c r="I203" s="64"/>
      <c r="J203" s="64"/>
      <c r="K203" s="64"/>
      <c r="L203" s="64"/>
      <c r="M203" s="64"/>
      <c r="N203" s="64"/>
      <c r="O203" s="64"/>
      <c r="P203" s="64"/>
      <c r="Q203" s="64"/>
      <c r="R203" s="64"/>
      <c r="S203" s="64"/>
      <c r="T203" s="78">
        <v>3.4169999999999999E-2</v>
      </c>
      <c r="U203" s="25"/>
      <c r="V203" s="25"/>
      <c r="W203" s="25"/>
      <c r="X203" s="5"/>
    </row>
    <row r="204" spans="1:24" ht="15.6" x14ac:dyDescent="0.3">
      <c r="A204" s="75"/>
      <c r="B204" s="76" t="s">
        <v>222</v>
      </c>
      <c r="C204" s="77"/>
      <c r="D204" s="77"/>
      <c r="E204" s="77"/>
      <c r="F204" s="77"/>
      <c r="G204" s="64"/>
      <c r="H204" s="64"/>
      <c r="I204" s="64"/>
      <c r="J204" s="64"/>
      <c r="K204" s="64"/>
      <c r="L204" s="64"/>
      <c r="M204" s="64"/>
      <c r="N204" s="64"/>
      <c r="O204" s="64"/>
      <c r="P204" s="64"/>
      <c r="Q204" s="64"/>
      <c r="R204" s="64"/>
      <c r="S204" s="64"/>
      <c r="T204" s="78">
        <f>V43</f>
        <v>1.700813989032221E-2</v>
      </c>
      <c r="U204" s="25"/>
      <c r="V204" s="25"/>
      <c r="W204" s="25"/>
      <c r="X204" s="5"/>
    </row>
    <row r="205" spans="1:24" ht="15.6" x14ac:dyDescent="0.3">
      <c r="A205" s="75"/>
      <c r="B205" s="76" t="s">
        <v>74</v>
      </c>
      <c r="C205" s="77"/>
      <c r="D205" s="77"/>
      <c r="E205" s="77"/>
      <c r="F205" s="77"/>
      <c r="G205" s="64"/>
      <c r="H205" s="64"/>
      <c r="I205" s="64"/>
      <c r="J205" s="64"/>
      <c r="K205" s="64"/>
      <c r="L205" s="64"/>
      <c r="M205" s="64"/>
      <c r="N205" s="64"/>
      <c r="O205" s="64"/>
      <c r="P205" s="64"/>
      <c r="Q205" s="64"/>
      <c r="R205" s="64"/>
      <c r="S205" s="64"/>
      <c r="T205" s="78">
        <f>T203-T204</f>
        <v>1.7161860109677789E-2</v>
      </c>
      <c r="U205" s="25"/>
      <c r="V205" s="25"/>
      <c r="W205" s="25"/>
      <c r="X205" s="5"/>
    </row>
    <row r="206" spans="1:24" ht="15.6" x14ac:dyDescent="0.3">
      <c r="A206" s="75"/>
      <c r="B206" s="76" t="s">
        <v>274</v>
      </c>
      <c r="C206" s="77"/>
      <c r="D206" s="77"/>
      <c r="E206" s="77"/>
      <c r="F206" s="77"/>
      <c r="G206" s="64"/>
      <c r="H206" s="64"/>
      <c r="I206" s="64"/>
      <c r="J206" s="64"/>
      <c r="K206" s="64"/>
      <c r="L206" s="64"/>
      <c r="M206" s="64"/>
      <c r="N206" s="64"/>
      <c r="O206" s="64"/>
      <c r="P206" s="64"/>
      <c r="Q206" s="64"/>
      <c r="R206" s="64"/>
      <c r="S206" s="64"/>
      <c r="T206" s="78">
        <f>+V101/N72</f>
        <v>9.8069698147428431E-3</v>
      </c>
      <c r="U206" s="25"/>
      <c r="V206" s="25"/>
      <c r="W206" s="25"/>
      <c r="X206" s="5"/>
    </row>
    <row r="207" spans="1:24" ht="15.6" x14ac:dyDescent="0.3">
      <c r="A207" s="75"/>
      <c r="B207" s="76" t="s">
        <v>211</v>
      </c>
      <c r="C207" s="77"/>
      <c r="D207" s="77"/>
      <c r="E207" s="77"/>
      <c r="F207" s="77"/>
      <c r="G207" s="64"/>
      <c r="H207" s="64"/>
      <c r="I207" s="64"/>
      <c r="J207" s="64"/>
      <c r="K207" s="64"/>
      <c r="L207" s="64"/>
      <c r="M207" s="64"/>
      <c r="N207" s="64"/>
      <c r="O207" s="64"/>
      <c r="P207" s="64"/>
      <c r="Q207" s="64"/>
      <c r="R207" s="64"/>
      <c r="S207" s="64"/>
      <c r="T207" s="129">
        <v>50771</v>
      </c>
      <c r="U207" s="25"/>
      <c r="V207" s="25"/>
      <c r="W207" s="25"/>
      <c r="X207" s="5"/>
    </row>
    <row r="208" spans="1:24" ht="15.6" x14ac:dyDescent="0.3">
      <c r="A208" s="75"/>
      <c r="B208" s="76" t="s">
        <v>212</v>
      </c>
      <c r="C208" s="77"/>
      <c r="D208" s="77"/>
      <c r="E208" s="77"/>
      <c r="F208" s="77"/>
      <c r="G208" s="64"/>
      <c r="H208" s="64"/>
      <c r="I208" s="64"/>
      <c r="J208" s="64"/>
      <c r="K208" s="64"/>
      <c r="L208" s="64"/>
      <c r="M208" s="64"/>
      <c r="N208" s="64"/>
      <c r="O208" s="64"/>
      <c r="P208" s="64"/>
      <c r="Q208" s="64"/>
      <c r="R208" s="64"/>
      <c r="S208" s="64"/>
      <c r="T208" s="129">
        <v>50771</v>
      </c>
      <c r="U208" s="25"/>
      <c r="V208" s="25"/>
      <c r="W208" s="25"/>
      <c r="X208" s="5"/>
    </row>
    <row r="209" spans="1:24" ht="15.6" x14ac:dyDescent="0.3">
      <c r="A209" s="75"/>
      <c r="B209" s="76" t="s">
        <v>213</v>
      </c>
      <c r="C209" s="77"/>
      <c r="D209" s="77"/>
      <c r="E209" s="77"/>
      <c r="F209" s="77"/>
      <c r="G209" s="64"/>
      <c r="H209" s="64"/>
      <c r="I209" s="64"/>
      <c r="J209" s="64"/>
      <c r="K209" s="64"/>
      <c r="L209" s="64"/>
      <c r="M209" s="64"/>
      <c r="N209" s="64"/>
      <c r="O209" s="64"/>
      <c r="P209" s="64"/>
      <c r="Q209" s="64"/>
      <c r="R209" s="64"/>
      <c r="S209" s="64"/>
      <c r="T209" s="129">
        <v>50771</v>
      </c>
      <c r="U209" s="25"/>
      <c r="V209" s="25"/>
      <c r="W209" s="25"/>
      <c r="X209" s="5"/>
    </row>
    <row r="210" spans="1:24" ht="15.6" x14ac:dyDescent="0.3">
      <c r="A210" s="75"/>
      <c r="B210" s="76" t="s">
        <v>75</v>
      </c>
      <c r="C210" s="77"/>
      <c r="D210" s="77"/>
      <c r="E210" s="77"/>
      <c r="F210" s="77"/>
      <c r="G210" s="64"/>
      <c r="H210" s="64"/>
      <c r="I210" s="64"/>
      <c r="J210" s="64"/>
      <c r="K210" s="64"/>
      <c r="L210" s="64"/>
      <c r="M210" s="64"/>
      <c r="N210" s="64"/>
      <c r="O210" s="64"/>
      <c r="P210" s="64"/>
      <c r="Q210" s="64"/>
      <c r="R210" s="64"/>
      <c r="S210" s="64"/>
      <c r="T210" s="133">
        <v>20.66</v>
      </c>
      <c r="U210" s="25" t="s">
        <v>113</v>
      </c>
      <c r="V210" s="25"/>
      <c r="W210" s="25"/>
      <c r="X210" s="5"/>
    </row>
    <row r="211" spans="1:24" ht="15.6" x14ac:dyDescent="0.3">
      <c r="A211" s="75"/>
      <c r="B211" s="76" t="s">
        <v>76</v>
      </c>
      <c r="C211" s="77"/>
      <c r="D211" s="77"/>
      <c r="E211" s="77"/>
      <c r="F211" s="77"/>
      <c r="G211" s="64"/>
      <c r="H211" s="64"/>
      <c r="I211" s="64"/>
      <c r="J211" s="64"/>
      <c r="K211" s="64"/>
      <c r="L211" s="64"/>
      <c r="M211" s="64"/>
      <c r="N211" s="64"/>
      <c r="O211" s="64"/>
      <c r="P211" s="64"/>
      <c r="Q211" s="64"/>
      <c r="R211" s="64"/>
      <c r="S211" s="64"/>
      <c r="T211" s="133">
        <v>18.25</v>
      </c>
      <c r="U211" s="25" t="s">
        <v>113</v>
      </c>
      <c r="V211" s="25"/>
      <c r="W211" s="25"/>
      <c r="X211" s="5"/>
    </row>
    <row r="212" spans="1:24" ht="15.6" x14ac:dyDescent="0.3">
      <c r="A212" s="75"/>
      <c r="B212" s="76" t="s">
        <v>77</v>
      </c>
      <c r="C212" s="77"/>
      <c r="D212" s="77"/>
      <c r="E212" s="77"/>
      <c r="F212" s="77"/>
      <c r="G212" s="64"/>
      <c r="H212" s="64"/>
      <c r="I212" s="64"/>
      <c r="J212" s="64"/>
      <c r="K212" s="64"/>
      <c r="L212" s="64"/>
      <c r="M212" s="64"/>
      <c r="N212" s="64"/>
      <c r="O212" s="64"/>
      <c r="P212" s="64"/>
      <c r="Q212" s="64"/>
      <c r="R212" s="64"/>
      <c r="S212" s="64"/>
      <c r="T212" s="78">
        <f>+P69/N69</f>
        <v>8.0589639664649382E-3</v>
      </c>
      <c r="U212" s="25"/>
      <c r="V212" s="25"/>
      <c r="W212" s="25"/>
      <c r="X212" s="5"/>
    </row>
    <row r="213" spans="1:24" ht="15.6" x14ac:dyDescent="0.3">
      <c r="A213" s="75"/>
      <c r="B213" s="76" t="s">
        <v>78</v>
      </c>
      <c r="C213" s="77"/>
      <c r="D213" s="77"/>
      <c r="E213" s="77"/>
      <c r="F213" s="77"/>
      <c r="G213" s="64"/>
      <c r="H213" s="64"/>
      <c r="I213" s="64"/>
      <c r="J213" s="64"/>
      <c r="K213" s="64"/>
      <c r="L213" s="64"/>
      <c r="M213" s="64"/>
      <c r="N213" s="64"/>
      <c r="O213" s="64"/>
      <c r="P213" s="64"/>
      <c r="Q213" s="64"/>
      <c r="R213" s="64"/>
      <c r="S213" s="64"/>
      <c r="T213" s="78">
        <v>0.1336</v>
      </c>
      <c r="U213" s="25"/>
      <c r="V213" s="25"/>
      <c r="W213" s="25"/>
      <c r="X213" s="5"/>
    </row>
    <row r="214" spans="1:24" ht="15.6" x14ac:dyDescent="0.3">
      <c r="A214" s="75"/>
      <c r="B214" s="76"/>
      <c r="C214" s="76"/>
      <c r="D214" s="76"/>
      <c r="E214" s="76"/>
      <c r="F214" s="76"/>
      <c r="G214" s="25"/>
      <c r="H214" s="25"/>
      <c r="I214" s="25"/>
      <c r="J214" s="25"/>
      <c r="K214" s="25"/>
      <c r="L214" s="25"/>
      <c r="M214" s="25"/>
      <c r="N214" s="25"/>
      <c r="O214" s="25"/>
      <c r="P214" s="25"/>
      <c r="Q214" s="25"/>
      <c r="R214" s="25"/>
      <c r="S214" s="25"/>
      <c r="T214" s="61"/>
      <c r="U214" s="25"/>
      <c r="V214" s="79"/>
      <c r="W214" s="25"/>
      <c r="X214" s="5"/>
    </row>
    <row r="215" spans="1:24" ht="15.6" x14ac:dyDescent="0.3">
      <c r="A215" s="80"/>
      <c r="B215" s="14" t="s">
        <v>79</v>
      </c>
      <c r="C215" s="81"/>
      <c r="D215" s="81"/>
      <c r="E215" s="81"/>
      <c r="F215" s="82"/>
      <c r="G215" s="81"/>
      <c r="H215" s="17"/>
      <c r="I215" s="17"/>
      <c r="J215" s="17"/>
      <c r="K215" s="17"/>
      <c r="L215" s="17"/>
      <c r="M215" s="17"/>
      <c r="N215" s="17"/>
      <c r="O215" s="17"/>
      <c r="P215" s="17"/>
      <c r="Q215" s="17"/>
      <c r="R215" s="17"/>
      <c r="S215" s="17" t="s">
        <v>103</v>
      </c>
      <c r="T215" s="83" t="s">
        <v>110</v>
      </c>
      <c r="U215" s="8"/>
      <c r="V215" s="8"/>
      <c r="W215" s="8"/>
      <c r="X215" s="5"/>
    </row>
    <row r="216" spans="1:24" ht="15.6" x14ac:dyDescent="0.3">
      <c r="A216" s="84"/>
      <c r="B216" s="76" t="s">
        <v>80</v>
      </c>
      <c r="C216" s="54"/>
      <c r="D216" s="54"/>
      <c r="E216" s="54"/>
      <c r="F216" s="25"/>
      <c r="G216" s="25"/>
      <c r="H216" s="30"/>
      <c r="I216" s="30"/>
      <c r="J216" s="30"/>
      <c r="K216" s="30"/>
      <c r="L216" s="30"/>
      <c r="M216" s="30"/>
      <c r="N216" s="30"/>
      <c r="O216" s="30"/>
      <c r="P216" s="30"/>
      <c r="Q216" s="30"/>
      <c r="R216" s="30"/>
      <c r="S216" s="30">
        <v>0</v>
      </c>
      <c r="T216" s="85">
        <v>0</v>
      </c>
      <c r="U216" s="25"/>
      <c r="V216" s="79"/>
      <c r="W216" s="86"/>
      <c r="X216" s="5"/>
    </row>
    <row r="217" spans="1:24" ht="15.6" x14ac:dyDescent="0.3">
      <c r="A217" s="84"/>
      <c r="B217" s="76" t="s">
        <v>148</v>
      </c>
      <c r="C217" s="54"/>
      <c r="D217" s="54"/>
      <c r="E217" s="54"/>
      <c r="F217" s="25"/>
      <c r="G217" s="25"/>
      <c r="H217" s="30"/>
      <c r="I217" s="30"/>
      <c r="J217" s="30"/>
      <c r="K217" s="30"/>
      <c r="L217" s="30"/>
      <c r="M217" s="30"/>
      <c r="N217" s="30"/>
      <c r="O217" s="30"/>
      <c r="P217" s="30"/>
      <c r="Q217" s="30"/>
      <c r="R217" s="30"/>
      <c r="S217" s="152">
        <f>+R257</f>
        <v>297</v>
      </c>
      <c r="T217" s="85">
        <f>+T257</f>
        <v>39183</v>
      </c>
      <c r="U217" s="25"/>
      <c r="V217" s="79"/>
      <c r="W217" s="86"/>
      <c r="X217" s="5"/>
    </row>
    <row r="218" spans="1:24" ht="15.6" x14ac:dyDescent="0.3">
      <c r="A218" s="84"/>
      <c r="B218" s="76" t="s">
        <v>81</v>
      </c>
      <c r="C218" s="54"/>
      <c r="D218" s="54"/>
      <c r="E218" s="54"/>
      <c r="F218" s="25"/>
      <c r="G218" s="25"/>
      <c r="H218" s="30"/>
      <c r="I218" s="30"/>
      <c r="J218" s="30"/>
      <c r="K218" s="30"/>
      <c r="L218" s="30"/>
      <c r="M218" s="30"/>
      <c r="N218" s="30"/>
      <c r="O218" s="30"/>
      <c r="P218" s="30"/>
      <c r="Q218" s="30"/>
      <c r="R218" s="30"/>
      <c r="S218" s="152">
        <v>0</v>
      </c>
      <c r="T218" s="85">
        <v>0</v>
      </c>
      <c r="U218" s="25"/>
      <c r="V218" s="79"/>
      <c r="W218" s="86"/>
      <c r="X218" s="5"/>
    </row>
    <row r="219" spans="1:24" ht="15.6" x14ac:dyDescent="0.3">
      <c r="A219" s="84"/>
      <c r="B219" s="122" t="s">
        <v>82</v>
      </c>
      <c r="C219" s="54"/>
      <c r="D219" s="54"/>
      <c r="E219" s="54"/>
      <c r="F219" s="25"/>
      <c r="G219" s="25"/>
      <c r="H219" s="25"/>
      <c r="I219" s="25"/>
      <c r="J219" s="25"/>
      <c r="K219" s="25"/>
      <c r="L219" s="25"/>
      <c r="M219" s="25"/>
      <c r="N219" s="25"/>
      <c r="O219" s="25"/>
      <c r="P219" s="25"/>
      <c r="Q219" s="25"/>
      <c r="R219" s="25"/>
      <c r="S219" s="25"/>
      <c r="T219" s="85">
        <v>0</v>
      </c>
      <c r="U219" s="25"/>
      <c r="V219" s="79"/>
      <c r="W219" s="86"/>
      <c r="X219" s="5"/>
    </row>
    <row r="220" spans="1:24" ht="15.6" x14ac:dyDescent="0.3">
      <c r="A220" s="84"/>
      <c r="B220" s="122" t="s">
        <v>275</v>
      </c>
      <c r="C220" s="54"/>
      <c r="D220" s="54"/>
      <c r="E220" s="54"/>
      <c r="F220" s="25"/>
      <c r="G220" s="25"/>
      <c r="H220" s="25"/>
      <c r="I220" s="25"/>
      <c r="J220" s="25"/>
      <c r="K220" s="25"/>
      <c r="L220" s="25"/>
      <c r="M220" s="25"/>
      <c r="N220" s="25"/>
      <c r="O220" s="25"/>
      <c r="P220" s="25"/>
      <c r="Q220" s="25"/>
      <c r="R220" s="25"/>
      <c r="S220" s="25"/>
      <c r="T220" s="85">
        <f>+N82</f>
        <v>0</v>
      </c>
      <c r="U220" s="25"/>
      <c r="V220" s="79"/>
      <c r="W220" s="86"/>
      <c r="X220" s="5"/>
    </row>
    <row r="221" spans="1:24" ht="15.6" x14ac:dyDescent="0.3">
      <c r="A221" s="87"/>
      <c r="B221" s="122" t="s">
        <v>83</v>
      </c>
      <c r="C221" s="76"/>
      <c r="D221" s="76"/>
      <c r="E221" s="76"/>
      <c r="F221" s="76"/>
      <c r="G221" s="25"/>
      <c r="H221" s="25"/>
      <c r="I221" s="25"/>
      <c r="J221" s="25"/>
      <c r="K221" s="25"/>
      <c r="L221" s="25"/>
      <c r="M221" s="25"/>
      <c r="N221" s="25"/>
      <c r="O221" s="25"/>
      <c r="P221" s="25"/>
      <c r="Q221" s="25"/>
      <c r="R221" s="25"/>
      <c r="S221" s="25"/>
      <c r="T221" s="85"/>
      <c r="U221" s="25"/>
      <c r="V221" s="79"/>
      <c r="W221" s="88"/>
      <c r="X221" s="5"/>
    </row>
    <row r="222" spans="1:24" ht="15.6" x14ac:dyDescent="0.3">
      <c r="A222" s="87"/>
      <c r="B222" s="131" t="s">
        <v>84</v>
      </c>
      <c r="C222" s="76"/>
      <c r="D222" s="76"/>
      <c r="E222" s="76"/>
      <c r="F222" s="76"/>
      <c r="G222" s="25"/>
      <c r="H222" s="25"/>
      <c r="I222" s="25"/>
      <c r="J222" s="25"/>
      <c r="K222" s="25"/>
      <c r="L222" s="25"/>
      <c r="M222" s="25"/>
      <c r="N222" s="25"/>
      <c r="O222" s="25"/>
      <c r="P222" s="25"/>
      <c r="Q222" s="25"/>
      <c r="R222" s="25"/>
      <c r="S222" s="30"/>
      <c r="T222" s="85">
        <f>V167</f>
        <v>161</v>
      </c>
      <c r="U222" s="25"/>
      <c r="V222" s="79"/>
      <c r="W222" s="88"/>
      <c r="X222" s="5"/>
    </row>
    <row r="223" spans="1:24" ht="15.6" x14ac:dyDescent="0.3">
      <c r="A223" s="84"/>
      <c r="B223" s="76" t="s">
        <v>85</v>
      </c>
      <c r="C223" s="54"/>
      <c r="D223" s="54"/>
      <c r="E223" s="54"/>
      <c r="F223" s="54"/>
      <c r="G223" s="25"/>
      <c r="H223" s="25"/>
      <c r="I223" s="25"/>
      <c r="J223" s="25"/>
      <c r="K223" s="25"/>
      <c r="L223" s="25"/>
      <c r="M223" s="25"/>
      <c r="N223" s="25"/>
      <c r="O223" s="25"/>
      <c r="P223" s="25"/>
      <c r="Q223" s="25"/>
      <c r="R223" s="25"/>
      <c r="S223" s="30"/>
      <c r="T223" s="85">
        <f>'March 09'!T223+T222</f>
        <v>336</v>
      </c>
      <c r="U223" s="25"/>
      <c r="V223" s="79"/>
      <c r="W223" s="88"/>
      <c r="X223" s="5"/>
    </row>
    <row r="224" spans="1:24" ht="15.6" x14ac:dyDescent="0.3">
      <c r="A224" s="87"/>
      <c r="B224" s="122" t="s">
        <v>297</v>
      </c>
      <c r="C224" s="76"/>
      <c r="D224" s="76"/>
      <c r="E224" s="76"/>
      <c r="F224" s="76"/>
      <c r="G224" s="25"/>
      <c r="H224" s="25"/>
      <c r="I224" s="25"/>
      <c r="J224" s="25"/>
      <c r="K224" s="25"/>
      <c r="L224" s="25"/>
      <c r="M224" s="25"/>
      <c r="N224" s="25"/>
      <c r="O224" s="25"/>
      <c r="P224" s="25"/>
      <c r="Q224" s="25"/>
      <c r="R224" s="25"/>
      <c r="S224" s="30"/>
      <c r="T224" s="85"/>
      <c r="U224" s="25"/>
      <c r="V224" s="79"/>
      <c r="W224" s="88"/>
      <c r="X224" s="5"/>
    </row>
    <row r="225" spans="1:25" ht="15.6" x14ac:dyDescent="0.3">
      <c r="A225" s="87"/>
      <c r="B225" s="76" t="s">
        <v>295</v>
      </c>
      <c r="C225" s="76"/>
      <c r="D225" s="76"/>
      <c r="E225" s="76"/>
      <c r="F225" s="76"/>
      <c r="G225" s="25"/>
      <c r="H225" s="25"/>
      <c r="I225" s="25"/>
      <c r="J225" s="25"/>
      <c r="K225" s="25"/>
      <c r="L225" s="25"/>
      <c r="M225" s="25"/>
      <c r="N225" s="25"/>
      <c r="O225" s="25"/>
      <c r="P225" s="25"/>
      <c r="Q225" s="25"/>
      <c r="R225" s="25"/>
      <c r="S225" s="30">
        <v>1</v>
      </c>
      <c r="T225" s="85">
        <v>162</v>
      </c>
      <c r="U225" s="25"/>
      <c r="V225" s="79"/>
      <c r="W225" s="88"/>
      <c r="X225" s="5"/>
    </row>
    <row r="226" spans="1:25" ht="15.6" x14ac:dyDescent="0.3">
      <c r="A226" s="84"/>
      <c r="B226" s="76" t="s">
        <v>87</v>
      </c>
      <c r="C226" s="89"/>
      <c r="D226" s="89"/>
      <c r="E226" s="89"/>
      <c r="F226" s="90"/>
      <c r="G226" s="25"/>
      <c r="H226" s="25"/>
      <c r="I226" s="25"/>
      <c r="J226" s="25"/>
      <c r="K226" s="25"/>
      <c r="L226" s="25"/>
      <c r="M226" s="25"/>
      <c r="N226" s="25"/>
      <c r="O226" s="25"/>
      <c r="P226" s="25"/>
      <c r="Q226" s="25"/>
      <c r="R226" s="25"/>
      <c r="S226" s="25"/>
      <c r="T226" s="62">
        <v>18.93</v>
      </c>
      <c r="U226" s="25"/>
      <c r="V226" s="79"/>
      <c r="W226" s="88"/>
      <c r="X226" s="5"/>
    </row>
    <row r="227" spans="1:25" ht="15.6" x14ac:dyDescent="0.3">
      <c r="A227" s="84"/>
      <c r="B227" s="76" t="s">
        <v>88</v>
      </c>
      <c r="C227" s="89"/>
      <c r="D227" s="89"/>
      <c r="E227" s="89"/>
      <c r="F227" s="90"/>
      <c r="G227" s="25"/>
      <c r="H227" s="25"/>
      <c r="I227" s="25"/>
      <c r="J227" s="25"/>
      <c r="K227" s="25"/>
      <c r="L227" s="25"/>
      <c r="M227" s="25"/>
      <c r="N227" s="25"/>
      <c r="O227" s="25"/>
      <c r="P227" s="25"/>
      <c r="Q227" s="25"/>
      <c r="R227" s="25"/>
      <c r="S227" s="25"/>
      <c r="T227" s="62">
        <v>5.62</v>
      </c>
      <c r="U227" s="25"/>
      <c r="V227" s="79"/>
      <c r="W227" s="88"/>
      <c r="X227" s="5"/>
    </row>
    <row r="228" spans="1:25" ht="15.6" x14ac:dyDescent="0.3">
      <c r="A228" s="84"/>
      <c r="B228" s="122" t="s">
        <v>220</v>
      </c>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5.6" x14ac:dyDescent="0.3">
      <c r="A229" s="84"/>
      <c r="B229" s="76" t="s">
        <v>295</v>
      </c>
      <c r="C229" s="89"/>
      <c r="D229" s="89"/>
      <c r="E229" s="89"/>
      <c r="F229" s="90"/>
      <c r="G229" s="25"/>
      <c r="H229" s="25"/>
      <c r="I229" s="25"/>
      <c r="J229" s="25"/>
      <c r="K229" s="25"/>
      <c r="L229" s="25"/>
      <c r="M229" s="25"/>
      <c r="N229" s="25"/>
      <c r="O229" s="25"/>
      <c r="P229" s="25"/>
      <c r="Q229" s="25"/>
      <c r="R229" s="25"/>
      <c r="S229" s="30">
        <v>4</v>
      </c>
      <c r="T229" s="85">
        <v>456</v>
      </c>
      <c r="U229" s="25"/>
      <c r="V229" s="79"/>
      <c r="W229" s="88"/>
      <c r="X229" s="5"/>
    </row>
    <row r="230" spans="1:25" ht="15.6" x14ac:dyDescent="0.3">
      <c r="A230" s="84"/>
      <c r="B230" s="76" t="s">
        <v>221</v>
      </c>
      <c r="C230" s="89"/>
      <c r="D230" s="89"/>
      <c r="E230" s="89"/>
      <c r="F230" s="90"/>
      <c r="G230" s="25"/>
      <c r="H230" s="25"/>
      <c r="I230" s="25"/>
      <c r="J230" s="25"/>
      <c r="K230" s="25"/>
      <c r="L230" s="25"/>
      <c r="M230" s="25"/>
      <c r="N230" s="25"/>
      <c r="O230" s="25"/>
      <c r="P230" s="25"/>
      <c r="Q230" s="25"/>
      <c r="R230" s="25"/>
      <c r="S230" s="25"/>
      <c r="T230" s="62">
        <v>10.64</v>
      </c>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7.399999999999999" x14ac:dyDescent="0.3">
      <c r="A233" s="84"/>
      <c r="B233" s="149" t="s">
        <v>171</v>
      </c>
      <c r="C233" s="89"/>
      <c r="D233" s="89"/>
      <c r="E233" s="89"/>
      <c r="F233" s="90"/>
      <c r="G233" s="25"/>
      <c r="H233" s="25"/>
      <c r="I233" s="25"/>
      <c r="J233" s="25"/>
      <c r="K233" s="25"/>
      <c r="L233" s="25"/>
      <c r="M233" s="25"/>
      <c r="N233" s="25"/>
      <c r="O233" s="25"/>
      <c r="P233" s="150" t="s">
        <v>170</v>
      </c>
      <c r="Q233" s="25"/>
      <c r="R233" s="25"/>
      <c r="S233" s="25"/>
      <c r="T233" s="91"/>
      <c r="U233" s="25"/>
      <c r="V233" s="79"/>
      <c r="W233" s="88"/>
      <c r="X233" s="5"/>
    </row>
    <row r="234" spans="1:25" ht="15.6" x14ac:dyDescent="0.3">
      <c r="A234" s="84"/>
      <c r="B234" s="76"/>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5" ht="15.6" x14ac:dyDescent="0.3">
      <c r="A235" s="6"/>
      <c r="B235" s="14" t="s">
        <v>165</v>
      </c>
      <c r="C235" s="81"/>
      <c r="D235" s="81"/>
      <c r="E235" s="81"/>
      <c r="F235" s="82"/>
      <c r="G235" s="81"/>
      <c r="H235" s="17"/>
      <c r="I235" s="17"/>
      <c r="J235" s="17"/>
      <c r="K235" s="17"/>
      <c r="L235" s="17"/>
      <c r="M235" s="17"/>
      <c r="N235" s="17"/>
      <c r="O235" s="17"/>
      <c r="P235" s="17"/>
      <c r="Q235" s="17"/>
      <c r="R235" s="83" t="s">
        <v>103</v>
      </c>
      <c r="S235" s="17" t="s">
        <v>104</v>
      </c>
      <c r="T235" s="83" t="s">
        <v>111</v>
      </c>
      <c r="U235" s="17" t="s">
        <v>104</v>
      </c>
      <c r="V235" s="8"/>
      <c r="W235" s="92"/>
      <c r="X235" s="5"/>
    </row>
    <row r="236" spans="1:25" ht="15.6" x14ac:dyDescent="0.3">
      <c r="A236" s="24"/>
      <c r="B236" s="54" t="s">
        <v>89</v>
      </c>
      <c r="C236" s="93"/>
      <c r="D236" s="93"/>
      <c r="E236" s="93"/>
      <c r="F236" s="25"/>
      <c r="G236" s="93"/>
      <c r="H236" s="93"/>
      <c r="I236" s="93"/>
      <c r="J236" s="93"/>
      <c r="K236" s="93"/>
      <c r="L236" s="93"/>
      <c r="M236" s="93"/>
      <c r="N236" s="93"/>
      <c r="O236" s="93"/>
      <c r="P236" s="93"/>
      <c r="Q236" s="93"/>
      <c r="R236" s="54">
        <v>8023</v>
      </c>
      <c r="S236" s="94">
        <f t="shared" ref="S236:S243" si="1">R236/$R$245</f>
        <v>0.98538442643085233</v>
      </c>
      <c r="T236" s="53">
        <v>1014044</v>
      </c>
      <c r="U236" s="132">
        <f t="shared" ref="U236:U243" si="2">T236/$T$245</f>
        <v>0.97966936144559691</v>
      </c>
      <c r="V236" s="79"/>
      <c r="W236" s="88"/>
      <c r="X236" s="5"/>
    </row>
    <row r="237" spans="1:25" ht="15.6" x14ac:dyDescent="0.3">
      <c r="A237" s="24"/>
      <c r="B237" s="54" t="s">
        <v>90</v>
      </c>
      <c r="C237" s="93"/>
      <c r="D237" s="93"/>
      <c r="E237" s="93"/>
      <c r="F237" s="25"/>
      <c r="G237" s="94"/>
      <c r="H237" s="93"/>
      <c r="I237" s="93"/>
      <c r="J237" s="93"/>
      <c r="K237" s="93"/>
      <c r="L237" s="93"/>
      <c r="M237" s="93"/>
      <c r="N237" s="93"/>
      <c r="O237" s="93"/>
      <c r="P237" s="93"/>
      <c r="Q237" s="93"/>
      <c r="R237" s="54">
        <v>60</v>
      </c>
      <c r="S237" s="94">
        <f t="shared" si="1"/>
        <v>7.3691967575534268E-3</v>
      </c>
      <c r="T237" s="53">
        <v>12015</v>
      </c>
      <c r="U237" s="132">
        <f t="shared" si="2"/>
        <v>1.1607708716553568E-2</v>
      </c>
      <c r="V237" s="79"/>
      <c r="W237" s="88"/>
      <c r="X237" s="5"/>
      <c r="Y237" s="109"/>
    </row>
    <row r="238" spans="1:25" ht="15.6" x14ac:dyDescent="0.3">
      <c r="A238" s="24"/>
      <c r="B238" s="54" t="s">
        <v>91</v>
      </c>
      <c r="C238" s="93"/>
      <c r="D238" s="93"/>
      <c r="E238" s="93"/>
      <c r="F238" s="25"/>
      <c r="G238" s="94"/>
      <c r="H238" s="93"/>
      <c r="I238" s="93"/>
      <c r="J238" s="93"/>
      <c r="K238" s="93"/>
      <c r="L238" s="93"/>
      <c r="M238" s="93"/>
      <c r="N238" s="93"/>
      <c r="O238" s="93"/>
      <c r="P238" s="93"/>
      <c r="Q238" s="93"/>
      <c r="R238" s="54">
        <v>44</v>
      </c>
      <c r="S238" s="94">
        <f t="shared" si="1"/>
        <v>5.4040776222058461E-3</v>
      </c>
      <c r="T238" s="53">
        <v>5391</v>
      </c>
      <c r="U238" s="132">
        <f t="shared" si="2"/>
        <v>5.2082528248805901E-3</v>
      </c>
      <c r="V238" s="79"/>
      <c r="W238" s="88"/>
      <c r="X238" s="5"/>
    </row>
    <row r="239" spans="1:25" ht="15.6" x14ac:dyDescent="0.3">
      <c r="A239" s="24"/>
      <c r="B239" s="54" t="s">
        <v>159</v>
      </c>
      <c r="C239" s="93"/>
      <c r="D239" s="93"/>
      <c r="E239" s="93"/>
      <c r="F239" s="25"/>
      <c r="G239" s="94"/>
      <c r="H239" s="93"/>
      <c r="I239" s="93"/>
      <c r="J239" s="93"/>
      <c r="K239" s="93"/>
      <c r="L239" s="93"/>
      <c r="M239" s="93"/>
      <c r="N239" s="93"/>
      <c r="O239" s="93"/>
      <c r="P239" s="93"/>
      <c r="Q239" s="93"/>
      <c r="R239" s="54">
        <v>5</v>
      </c>
      <c r="S239" s="94">
        <f t="shared" si="1"/>
        <v>6.1409972979611894E-4</v>
      </c>
      <c r="T239" s="53">
        <v>1445</v>
      </c>
      <c r="U239" s="132">
        <f t="shared" si="2"/>
        <v>1.3960165705717775E-3</v>
      </c>
      <c r="V239" s="79"/>
      <c r="W239" s="88"/>
      <c r="X239" s="5"/>
      <c r="Y239" s="109"/>
    </row>
    <row r="240" spans="1:25" ht="15.6" x14ac:dyDescent="0.3">
      <c r="A240" s="24"/>
      <c r="B240" s="54" t="s">
        <v>160</v>
      </c>
      <c r="C240" s="93"/>
      <c r="D240" s="93"/>
      <c r="E240" s="93"/>
      <c r="F240" s="25"/>
      <c r="G240" s="94"/>
      <c r="H240" s="93"/>
      <c r="I240" s="93"/>
      <c r="J240" s="93"/>
      <c r="K240" s="93"/>
      <c r="L240" s="93"/>
      <c r="M240" s="93"/>
      <c r="N240" s="93"/>
      <c r="O240" s="93"/>
      <c r="P240" s="93"/>
      <c r="Q240" s="93"/>
      <c r="R240" s="54">
        <v>2</v>
      </c>
      <c r="S240" s="94">
        <f t="shared" si="1"/>
        <v>2.4563989191844754E-4</v>
      </c>
      <c r="T240" s="53">
        <v>523</v>
      </c>
      <c r="U240" s="132">
        <f t="shared" si="2"/>
        <v>5.0527104941802052E-4</v>
      </c>
      <c r="V240" s="79"/>
      <c r="W240" s="88"/>
      <c r="X240" s="5"/>
    </row>
    <row r="241" spans="1:25" ht="15.6" x14ac:dyDescent="0.3">
      <c r="A241" s="24"/>
      <c r="B241" s="54" t="s">
        <v>161</v>
      </c>
      <c r="C241" s="93"/>
      <c r="D241" s="93"/>
      <c r="E241" s="93"/>
      <c r="F241" s="25"/>
      <c r="G241" s="94"/>
      <c r="H241" s="93"/>
      <c r="I241" s="93"/>
      <c r="J241" s="93"/>
      <c r="K241" s="93"/>
      <c r="L241" s="93"/>
      <c r="M241" s="93"/>
      <c r="N241" s="93"/>
      <c r="O241" s="93"/>
      <c r="P241" s="93"/>
      <c r="Q241" s="93"/>
      <c r="R241" s="54">
        <v>3</v>
      </c>
      <c r="S241" s="94">
        <f t="shared" si="1"/>
        <v>3.6845983787767134E-4</v>
      </c>
      <c r="T241" s="53">
        <v>622</v>
      </c>
      <c r="U241" s="132">
        <f t="shared" si="2"/>
        <v>6.0091509127726335E-4</v>
      </c>
      <c r="V241" s="79"/>
      <c r="W241" s="88"/>
      <c r="X241" s="5"/>
      <c r="Y241" s="109"/>
    </row>
    <row r="242" spans="1:25" ht="15.6" x14ac:dyDescent="0.3">
      <c r="A242" s="24"/>
      <c r="B242" s="54" t="s">
        <v>162</v>
      </c>
      <c r="C242" s="93"/>
      <c r="D242" s="93"/>
      <c r="E242" s="93"/>
      <c r="F242" s="25"/>
      <c r="G242" s="94"/>
      <c r="H242" s="93"/>
      <c r="I242" s="93"/>
      <c r="J242" s="93"/>
      <c r="K242" s="93"/>
      <c r="L242" s="93"/>
      <c r="M242" s="93"/>
      <c r="N242" s="93"/>
      <c r="O242" s="93"/>
      <c r="P242" s="93"/>
      <c r="Q242" s="93"/>
      <c r="R242" s="54">
        <v>4</v>
      </c>
      <c r="S242" s="94">
        <f t="shared" si="1"/>
        <v>4.9127978383689509E-4</v>
      </c>
      <c r="T242" s="53">
        <v>921</v>
      </c>
      <c r="U242" s="132">
        <f t="shared" si="2"/>
        <v>8.8977941972083528E-4</v>
      </c>
      <c r="V242" s="79"/>
      <c r="W242" s="88"/>
      <c r="X242" s="5"/>
    </row>
    <row r="243" spans="1:25" ht="15.6" x14ac:dyDescent="0.3">
      <c r="A243" s="24"/>
      <c r="B243" s="54" t="s">
        <v>163</v>
      </c>
      <c r="C243" s="93"/>
      <c r="D243" s="93"/>
      <c r="E243" s="93"/>
      <c r="F243" s="25"/>
      <c r="G243" s="94"/>
      <c r="H243" s="93"/>
      <c r="I243" s="93"/>
      <c r="J243" s="93"/>
      <c r="K243" s="93"/>
      <c r="L243" s="93"/>
      <c r="M243" s="93"/>
      <c r="N243" s="93"/>
      <c r="O243" s="93"/>
      <c r="P243" s="93"/>
      <c r="Q243" s="93"/>
      <c r="R243" s="54">
        <v>1</v>
      </c>
      <c r="S243" s="94">
        <f t="shared" si="1"/>
        <v>1.2281994595922377E-4</v>
      </c>
      <c r="T243" s="53">
        <v>127</v>
      </c>
      <c r="U243" s="132">
        <f t="shared" si="2"/>
        <v>1.2269488198104895E-4</v>
      </c>
      <c r="V243" s="79"/>
      <c r="W243" s="88"/>
      <c r="X243" s="5"/>
      <c r="Y243" s="109"/>
    </row>
    <row r="244" spans="1:25" ht="15.6" x14ac:dyDescent="0.3">
      <c r="A244" s="24"/>
      <c r="B244" s="54"/>
      <c r="C244" s="93"/>
      <c r="D244" s="93"/>
      <c r="E244" s="93"/>
      <c r="F244" s="25"/>
      <c r="G244" s="94"/>
      <c r="H244" s="93"/>
      <c r="I244" s="93"/>
      <c r="J244" s="93"/>
      <c r="K244" s="93"/>
      <c r="L244" s="93"/>
      <c r="M244" s="93"/>
      <c r="N244" s="93"/>
      <c r="O244" s="93"/>
      <c r="P244" s="93"/>
      <c r="Q244" s="93"/>
      <c r="R244" s="54"/>
      <c r="S244" s="94"/>
      <c r="T244" s="53"/>
      <c r="U244" s="132"/>
      <c r="V244" s="79"/>
      <c r="W244" s="88"/>
      <c r="X244" s="5"/>
    </row>
    <row r="245" spans="1:25" ht="15.6" x14ac:dyDescent="0.3">
      <c r="A245" s="24"/>
      <c r="B245" s="25" t="s">
        <v>117</v>
      </c>
      <c r="C245" s="25"/>
      <c r="D245" s="25"/>
      <c r="E245" s="25"/>
      <c r="F245" s="25"/>
      <c r="G245" s="25"/>
      <c r="H245" s="95"/>
      <c r="I245" s="95"/>
      <c r="J245" s="95"/>
      <c r="K245" s="95"/>
      <c r="L245" s="95"/>
      <c r="M245" s="95"/>
      <c r="N245" s="95"/>
      <c r="O245" s="95"/>
      <c r="P245" s="95"/>
      <c r="Q245" s="95"/>
      <c r="R245" s="34">
        <f>SUM(R236:R244)</f>
        <v>8142</v>
      </c>
      <c r="S245" s="132">
        <f>SUM(S236:S244)</f>
        <v>0.99999999999999989</v>
      </c>
      <c r="T245" s="53">
        <f>SUM(T236:T244)</f>
        <v>1035088</v>
      </c>
      <c r="U245" s="132">
        <f>SUM(U236:U244)</f>
        <v>0.99999999999999989</v>
      </c>
      <c r="V245" s="25"/>
      <c r="W245" s="25"/>
      <c r="X245" s="5"/>
    </row>
    <row r="246" spans="1:25" ht="15.6" x14ac:dyDescent="0.3">
      <c r="A246" s="24"/>
      <c r="B246" s="25"/>
      <c r="C246" s="25"/>
      <c r="D246" s="25"/>
      <c r="E246" s="25"/>
      <c r="F246" s="25"/>
      <c r="G246" s="25"/>
      <c r="H246" s="95"/>
      <c r="I246" s="95"/>
      <c r="J246" s="95"/>
      <c r="K246" s="95"/>
      <c r="L246" s="95"/>
      <c r="M246" s="95"/>
      <c r="N246" s="95"/>
      <c r="O246" s="95"/>
      <c r="P246" s="95"/>
      <c r="Q246" s="95"/>
      <c r="R246" s="34"/>
      <c r="S246" s="132"/>
      <c r="T246" s="53"/>
      <c r="U246" s="132"/>
      <c r="V246" s="25"/>
      <c r="W246" s="25"/>
      <c r="X246" s="5"/>
    </row>
    <row r="247" spans="1:25" ht="15.6" x14ac:dyDescent="0.3">
      <c r="A247" s="141"/>
      <c r="B247" s="14" t="s">
        <v>279</v>
      </c>
      <c r="C247" s="81"/>
      <c r="D247" s="81"/>
      <c r="E247" s="81"/>
      <c r="F247" s="82"/>
      <c r="G247" s="81"/>
      <c r="H247" s="17"/>
      <c r="I247" s="17"/>
      <c r="J247" s="17"/>
      <c r="K247" s="17"/>
      <c r="L247" s="17"/>
      <c r="M247" s="17"/>
      <c r="N247" s="17"/>
      <c r="O247" s="17"/>
      <c r="P247" s="17"/>
      <c r="Q247" s="17"/>
      <c r="R247" s="83" t="s">
        <v>103</v>
      </c>
      <c r="S247" s="17" t="s">
        <v>104</v>
      </c>
      <c r="T247" s="83" t="s">
        <v>111</v>
      </c>
      <c r="U247" s="17" t="s">
        <v>104</v>
      </c>
      <c r="V247" s="139"/>
      <c r="W247" s="140"/>
      <c r="X247" s="5"/>
    </row>
    <row r="248" spans="1:25" ht="15.6" x14ac:dyDescent="0.3">
      <c r="A248" s="24"/>
      <c r="B248" s="54" t="s">
        <v>89</v>
      </c>
      <c r="C248" s="93"/>
      <c r="D248" s="93"/>
      <c r="E248" s="93"/>
      <c r="F248" s="25"/>
      <c r="G248" s="93"/>
      <c r="H248" s="93"/>
      <c r="I248" s="93"/>
      <c r="J248" s="93"/>
      <c r="K248" s="93"/>
      <c r="L248" s="93"/>
      <c r="M248" s="93"/>
      <c r="N248" s="93"/>
      <c r="O248" s="93"/>
      <c r="P248" s="93"/>
      <c r="Q248" s="93"/>
      <c r="R248" s="54">
        <v>84</v>
      </c>
      <c r="S248" s="94">
        <f t="shared" ref="S248:S255" si="3">R248/$R$257</f>
        <v>0.28282828282828282</v>
      </c>
      <c r="T248" s="53">
        <v>6878</v>
      </c>
      <c r="U248" s="132">
        <f t="shared" ref="U248:U255" si="4">T248/$T$257</f>
        <v>0.17553530867978459</v>
      </c>
      <c r="V248" s="25"/>
      <c r="W248" s="25"/>
      <c r="X248" s="5"/>
    </row>
    <row r="249" spans="1:25" ht="15.6" x14ac:dyDescent="0.3">
      <c r="A249" s="24"/>
      <c r="B249" s="54" t="s">
        <v>90</v>
      </c>
      <c r="C249" s="93"/>
      <c r="D249" s="93"/>
      <c r="E249" s="93"/>
      <c r="F249" s="25"/>
      <c r="G249" s="94"/>
      <c r="H249" s="93"/>
      <c r="I249" s="93"/>
      <c r="J249" s="93"/>
      <c r="K249" s="93"/>
      <c r="L249" s="93"/>
      <c r="M249" s="93"/>
      <c r="N249" s="93"/>
      <c r="O249" s="93"/>
      <c r="P249" s="93"/>
      <c r="Q249" s="93"/>
      <c r="R249" s="54">
        <v>89</v>
      </c>
      <c r="S249" s="94">
        <f t="shared" si="3"/>
        <v>0.29966329966329969</v>
      </c>
      <c r="T249" s="53">
        <v>15370</v>
      </c>
      <c r="U249" s="132">
        <f t="shared" si="4"/>
        <v>0.39226195033560474</v>
      </c>
      <c r="V249" s="25"/>
      <c r="W249" s="25"/>
      <c r="X249" s="5"/>
    </row>
    <row r="250" spans="1:25" ht="15.6" x14ac:dyDescent="0.3">
      <c r="A250" s="24"/>
      <c r="B250" s="54" t="s">
        <v>91</v>
      </c>
      <c r="C250" s="93"/>
      <c r="D250" s="93"/>
      <c r="E250" s="93"/>
      <c r="F250" s="25"/>
      <c r="G250" s="94"/>
      <c r="H250" s="93"/>
      <c r="I250" s="93"/>
      <c r="J250" s="93"/>
      <c r="K250" s="93"/>
      <c r="L250" s="93"/>
      <c r="M250" s="93"/>
      <c r="N250" s="93"/>
      <c r="O250" s="93"/>
      <c r="P250" s="93"/>
      <c r="Q250" s="93"/>
      <c r="R250" s="54">
        <v>7</v>
      </c>
      <c r="S250" s="94">
        <f t="shared" si="3"/>
        <v>2.3569023569023569E-2</v>
      </c>
      <c r="T250" s="53">
        <v>628</v>
      </c>
      <c r="U250" s="132">
        <f t="shared" si="4"/>
        <v>1.602735880356277E-2</v>
      </c>
      <c r="V250" s="25"/>
      <c r="W250" s="25"/>
      <c r="X250" s="5"/>
    </row>
    <row r="251" spans="1:25" ht="15.6" x14ac:dyDescent="0.3">
      <c r="A251" s="24"/>
      <c r="B251" s="54" t="s">
        <v>159</v>
      </c>
      <c r="C251" s="93"/>
      <c r="D251" s="93"/>
      <c r="E251" s="93"/>
      <c r="F251" s="25"/>
      <c r="G251" s="94"/>
      <c r="H251" s="93"/>
      <c r="I251" s="93"/>
      <c r="J251" s="93"/>
      <c r="K251" s="93"/>
      <c r="L251" s="93"/>
      <c r="M251" s="93"/>
      <c r="N251" s="93"/>
      <c r="O251" s="93"/>
      <c r="P251" s="93"/>
      <c r="Q251" s="93"/>
      <c r="R251" s="54">
        <v>1</v>
      </c>
      <c r="S251" s="94">
        <f t="shared" si="3"/>
        <v>3.3670033670033669E-3</v>
      </c>
      <c r="T251" s="53">
        <v>127</v>
      </c>
      <c r="U251" s="132">
        <f t="shared" si="4"/>
        <v>3.2412015414848274E-3</v>
      </c>
      <c r="V251" s="25"/>
      <c r="W251" s="25"/>
      <c r="X251" s="5"/>
    </row>
    <row r="252" spans="1:25" ht="15.6" x14ac:dyDescent="0.3">
      <c r="A252" s="24"/>
      <c r="B252" s="54" t="s">
        <v>160</v>
      </c>
      <c r="C252" s="93"/>
      <c r="D252" s="93"/>
      <c r="E252" s="93"/>
      <c r="F252" s="25"/>
      <c r="G252" s="94"/>
      <c r="H252" s="93"/>
      <c r="I252" s="93"/>
      <c r="J252" s="93"/>
      <c r="K252" s="93"/>
      <c r="L252" s="93"/>
      <c r="M252" s="93"/>
      <c r="N252" s="93"/>
      <c r="O252" s="93"/>
      <c r="P252" s="93"/>
      <c r="Q252" s="93"/>
      <c r="R252" s="54">
        <v>8</v>
      </c>
      <c r="S252" s="94">
        <f t="shared" si="3"/>
        <v>2.6936026936026935E-2</v>
      </c>
      <c r="T252" s="53">
        <v>836</v>
      </c>
      <c r="U252" s="132">
        <f t="shared" si="4"/>
        <v>2.1335783375443434E-2</v>
      </c>
      <c r="V252" s="25"/>
      <c r="W252" s="25"/>
      <c r="X252" s="5"/>
    </row>
    <row r="253" spans="1:25" ht="15.6" x14ac:dyDescent="0.3">
      <c r="A253" s="24"/>
      <c r="B253" s="54" t="s">
        <v>161</v>
      </c>
      <c r="C253" s="93"/>
      <c r="D253" s="93"/>
      <c r="E253" s="93"/>
      <c r="F253" s="25"/>
      <c r="G253" s="94"/>
      <c r="H253" s="93"/>
      <c r="I253" s="93"/>
      <c r="J253" s="93"/>
      <c r="K253" s="93"/>
      <c r="L253" s="93"/>
      <c r="M253" s="93"/>
      <c r="N253" s="93"/>
      <c r="O253" s="93"/>
      <c r="P253" s="93"/>
      <c r="Q253" s="93"/>
      <c r="R253" s="54">
        <v>8</v>
      </c>
      <c r="S253" s="94">
        <f t="shared" si="3"/>
        <v>2.6936026936026935E-2</v>
      </c>
      <c r="T253" s="53">
        <v>1075</v>
      </c>
      <c r="U253" s="132">
        <f t="shared" si="4"/>
        <v>2.7435367378710156E-2</v>
      </c>
      <c r="V253" s="25"/>
      <c r="W253" s="25"/>
      <c r="X253" s="5"/>
    </row>
    <row r="254" spans="1:25" ht="15.6" x14ac:dyDescent="0.3">
      <c r="A254" s="24"/>
      <c r="B254" s="54" t="s">
        <v>162</v>
      </c>
      <c r="C254" s="93"/>
      <c r="D254" s="93"/>
      <c r="E254" s="93"/>
      <c r="F254" s="25"/>
      <c r="G254" s="94"/>
      <c r="H254" s="93"/>
      <c r="I254" s="93"/>
      <c r="J254" s="93"/>
      <c r="K254" s="93"/>
      <c r="L254" s="93"/>
      <c r="M254" s="93"/>
      <c r="N254" s="93"/>
      <c r="O254" s="93"/>
      <c r="P254" s="93"/>
      <c r="Q254" s="93"/>
      <c r="R254" s="54">
        <v>59</v>
      </c>
      <c r="S254" s="94">
        <f t="shared" si="3"/>
        <v>0.19865319865319866</v>
      </c>
      <c r="T254" s="53">
        <v>8359</v>
      </c>
      <c r="U254" s="132">
        <f t="shared" si="4"/>
        <v>0.21333231248245413</v>
      </c>
      <c r="V254" s="25"/>
      <c r="W254" s="25"/>
      <c r="X254" s="5"/>
    </row>
    <row r="255" spans="1:25" ht="15.6" x14ac:dyDescent="0.3">
      <c r="A255" s="24"/>
      <c r="B255" s="54" t="s">
        <v>163</v>
      </c>
      <c r="C255" s="93"/>
      <c r="D255" s="93"/>
      <c r="E255" s="93"/>
      <c r="F255" s="25"/>
      <c r="G255" s="94"/>
      <c r="H255" s="93"/>
      <c r="I255" s="93"/>
      <c r="J255" s="93"/>
      <c r="K255" s="93"/>
      <c r="L255" s="93"/>
      <c r="M255" s="93"/>
      <c r="N255" s="93"/>
      <c r="O255" s="93"/>
      <c r="P255" s="93"/>
      <c r="Q255" s="93"/>
      <c r="R255" s="54">
        <v>41</v>
      </c>
      <c r="S255" s="94">
        <f t="shared" si="3"/>
        <v>0.13804713804713806</v>
      </c>
      <c r="T255" s="53">
        <v>5910</v>
      </c>
      <c r="U255" s="132">
        <f t="shared" si="4"/>
        <v>0.15083071740295537</v>
      </c>
      <c r="V255" s="25"/>
      <c r="W255" s="25"/>
      <c r="X255" s="5"/>
    </row>
    <row r="256" spans="1:25" ht="15.6" x14ac:dyDescent="0.3">
      <c r="A256" s="24"/>
      <c r="B256" s="54"/>
      <c r="C256" s="93"/>
      <c r="D256" s="93"/>
      <c r="E256" s="93"/>
      <c r="F256" s="25"/>
      <c r="G256" s="94"/>
      <c r="H256" s="93"/>
      <c r="I256" s="93"/>
      <c r="J256" s="93"/>
      <c r="K256" s="93"/>
      <c r="L256" s="93"/>
      <c r="M256" s="93"/>
      <c r="N256" s="93"/>
      <c r="O256" s="93"/>
      <c r="P256" s="93"/>
      <c r="Q256" s="93"/>
      <c r="R256" s="54"/>
      <c r="S256" s="94"/>
      <c r="T256" s="53"/>
      <c r="U256" s="132"/>
      <c r="V256" s="25"/>
      <c r="W256" s="25"/>
      <c r="X256" s="5"/>
    </row>
    <row r="257" spans="1:24" ht="15.6" x14ac:dyDescent="0.3">
      <c r="A257" s="24"/>
      <c r="B257" s="25" t="s">
        <v>117</v>
      </c>
      <c r="C257" s="25"/>
      <c r="D257" s="25"/>
      <c r="E257" s="25"/>
      <c r="F257" s="25"/>
      <c r="G257" s="25"/>
      <c r="H257" s="95"/>
      <c r="I257" s="95"/>
      <c r="J257" s="95"/>
      <c r="K257" s="95"/>
      <c r="L257" s="95"/>
      <c r="M257" s="95"/>
      <c r="N257" s="95"/>
      <c r="O257" s="95"/>
      <c r="P257" s="95"/>
      <c r="Q257" s="95"/>
      <c r="R257" s="34">
        <f>SUM(R248:R256)</f>
        <v>297</v>
      </c>
      <c r="S257" s="132">
        <f>SUM(S248:S256)</f>
        <v>1</v>
      </c>
      <c r="T257" s="53">
        <f>SUM(T248:T256)</f>
        <v>39183</v>
      </c>
      <c r="U257" s="132">
        <f>SUM(U248:U256)</f>
        <v>0.99999999999999989</v>
      </c>
      <c r="V257" s="25"/>
      <c r="W257" s="25"/>
      <c r="X257" s="5"/>
    </row>
    <row r="258" spans="1:24" ht="15.6" x14ac:dyDescent="0.3">
      <c r="A258" s="24"/>
      <c r="B258" s="25"/>
      <c r="C258" s="25"/>
      <c r="D258" s="25"/>
      <c r="E258" s="25"/>
      <c r="F258" s="25"/>
      <c r="G258" s="25"/>
      <c r="H258" s="95"/>
      <c r="I258" s="95"/>
      <c r="J258" s="95"/>
      <c r="K258" s="95"/>
      <c r="L258" s="95"/>
      <c r="M258" s="95"/>
      <c r="N258" s="95"/>
      <c r="O258" s="95"/>
      <c r="P258" s="95"/>
      <c r="Q258" s="95"/>
      <c r="R258" s="34"/>
      <c r="S258" s="132"/>
      <c r="T258" s="53"/>
      <c r="U258" s="132"/>
      <c r="V258" s="25"/>
      <c r="W258" s="25"/>
      <c r="X258" s="5"/>
    </row>
    <row r="259" spans="1:24" ht="15.6" x14ac:dyDescent="0.3">
      <c r="A259" s="141"/>
      <c r="B259" s="14" t="s">
        <v>166</v>
      </c>
      <c r="C259" s="139"/>
      <c r="D259" s="139"/>
      <c r="E259" s="139"/>
      <c r="F259" s="139"/>
      <c r="G259" s="139"/>
      <c r="H259" s="145"/>
      <c r="I259" s="145"/>
      <c r="J259" s="145"/>
      <c r="K259" s="145"/>
      <c r="L259" s="145"/>
      <c r="M259" s="145"/>
      <c r="N259" s="145"/>
      <c r="O259" s="145"/>
      <c r="P259" s="145"/>
      <c r="Q259" s="145"/>
      <c r="R259" s="83" t="s">
        <v>103</v>
      </c>
      <c r="S259" s="17" t="s">
        <v>104</v>
      </c>
      <c r="T259" s="83" t="s">
        <v>111</v>
      </c>
      <c r="U259" s="17" t="s">
        <v>104</v>
      </c>
      <c r="V259" s="139"/>
      <c r="W259" s="140"/>
      <c r="X259" s="5"/>
    </row>
    <row r="260" spans="1:24" ht="15.6" x14ac:dyDescent="0.3">
      <c r="A260" s="24"/>
      <c r="B260" s="54" t="s">
        <v>89</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90</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91</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159</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160</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161</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t="s">
        <v>162</v>
      </c>
      <c r="C266" s="25"/>
      <c r="D266" s="25"/>
      <c r="E266" s="25"/>
      <c r="F266" s="25"/>
      <c r="G266" s="25"/>
      <c r="H266" s="95"/>
      <c r="I266" s="95"/>
      <c r="J266" s="95"/>
      <c r="K266" s="95"/>
      <c r="L266" s="95"/>
      <c r="M266" s="95"/>
      <c r="N266" s="95"/>
      <c r="O266" s="95"/>
      <c r="P266" s="95"/>
      <c r="Q266" s="95"/>
      <c r="R266" s="54">
        <v>0</v>
      </c>
      <c r="S266" s="94">
        <v>0</v>
      </c>
      <c r="T266" s="53">
        <v>0</v>
      </c>
      <c r="U266" s="94">
        <v>0</v>
      </c>
      <c r="V266" s="25"/>
      <c r="W266" s="25"/>
      <c r="X266" s="5"/>
    </row>
    <row r="267" spans="1:24" ht="15.6" x14ac:dyDescent="0.3">
      <c r="A267" s="24"/>
      <c r="B267" s="54" t="s">
        <v>163</v>
      </c>
      <c r="C267" s="25"/>
      <c r="D267" s="25"/>
      <c r="E267" s="25"/>
      <c r="F267" s="25"/>
      <c r="G267" s="25"/>
      <c r="H267" s="95"/>
      <c r="I267" s="95"/>
      <c r="J267" s="95"/>
      <c r="K267" s="95"/>
      <c r="L267" s="95"/>
      <c r="M267" s="95"/>
      <c r="N267" s="95"/>
      <c r="O267" s="95"/>
      <c r="P267" s="95"/>
      <c r="Q267" s="95"/>
      <c r="R267" s="54">
        <v>0</v>
      </c>
      <c r="S267" s="94">
        <v>0</v>
      </c>
      <c r="T267" s="53">
        <v>0</v>
      </c>
      <c r="U267" s="94">
        <v>0</v>
      </c>
      <c r="V267" s="25"/>
      <c r="W267" s="25"/>
      <c r="X267" s="5"/>
    </row>
    <row r="268" spans="1:24" ht="15.6" x14ac:dyDescent="0.3">
      <c r="A268" s="24"/>
      <c r="B268" s="54"/>
      <c r="C268" s="25"/>
      <c r="D268" s="25"/>
      <c r="E268" s="25"/>
      <c r="F268" s="25"/>
      <c r="G268" s="25"/>
      <c r="H268" s="95"/>
      <c r="I268" s="95"/>
      <c r="J268" s="95"/>
      <c r="K268" s="95"/>
      <c r="L268" s="95"/>
      <c r="M268" s="95"/>
      <c r="N268" s="95"/>
      <c r="O268" s="95"/>
      <c r="P268" s="95"/>
      <c r="Q268" s="95"/>
      <c r="R268" s="54"/>
      <c r="S268" s="94"/>
      <c r="T268" s="53"/>
      <c r="U268" s="132"/>
      <c r="V268" s="25"/>
      <c r="W268" s="25"/>
      <c r="X268" s="5"/>
    </row>
    <row r="269" spans="1:24" ht="15.6" x14ac:dyDescent="0.3">
      <c r="A269" s="24"/>
      <c r="B269" s="25" t="s">
        <v>117</v>
      </c>
      <c r="C269" s="25"/>
      <c r="D269" s="25"/>
      <c r="E269" s="25"/>
      <c r="F269" s="25"/>
      <c r="G269" s="25"/>
      <c r="H269" s="95"/>
      <c r="I269" s="95"/>
      <c r="J269" s="95"/>
      <c r="K269" s="95"/>
      <c r="L269" s="95"/>
      <c r="M269" s="95"/>
      <c r="N269" s="95"/>
      <c r="O269" s="95"/>
      <c r="P269" s="95"/>
      <c r="Q269" s="95"/>
      <c r="R269" s="34">
        <f>SUM(R260:R267)</f>
        <v>0</v>
      </c>
      <c r="S269" s="94">
        <f>SUM(S260:S267)</f>
        <v>0</v>
      </c>
      <c r="T269" s="53">
        <f>SUM(T260:T267)</f>
        <v>0</v>
      </c>
      <c r="U269" s="132">
        <f>SUM(U260:U267)</f>
        <v>0</v>
      </c>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34"/>
      <c r="S270" s="132"/>
      <c r="T270" s="53"/>
      <c r="U270" s="132"/>
      <c r="V270" s="25"/>
      <c r="W270" s="25"/>
      <c r="X270" s="5"/>
    </row>
    <row r="271" spans="1:24" ht="15.6" x14ac:dyDescent="0.3">
      <c r="A271" s="24"/>
      <c r="B271" s="142" t="s">
        <v>167</v>
      </c>
      <c r="C271" s="25"/>
      <c r="D271" s="25"/>
      <c r="E271" s="25"/>
      <c r="F271" s="25"/>
      <c r="G271" s="25"/>
      <c r="H271" s="95"/>
      <c r="I271" s="95"/>
      <c r="J271" s="95"/>
      <c r="K271" s="95"/>
      <c r="L271" s="95"/>
      <c r="M271" s="95"/>
      <c r="N271" s="95"/>
      <c r="O271" s="95"/>
      <c r="P271" s="95"/>
      <c r="Q271" s="95"/>
      <c r="R271" s="161">
        <f>R269+R257+R245</f>
        <v>8439</v>
      </c>
      <c r="S271" s="143"/>
      <c r="T271" s="144">
        <f>+T269+T257+T245</f>
        <v>1074271</v>
      </c>
      <c r="U271" s="143"/>
      <c r="V271" s="25"/>
      <c r="W271" s="25"/>
      <c r="X271" s="5"/>
    </row>
    <row r="272" spans="1:24" ht="15.6" x14ac:dyDescent="0.3">
      <c r="A272" s="24"/>
      <c r="B272" s="25"/>
      <c r="C272" s="25"/>
      <c r="D272" s="25"/>
      <c r="E272" s="25"/>
      <c r="F272" s="25"/>
      <c r="G272" s="25"/>
      <c r="H272" s="95"/>
      <c r="I272" s="95"/>
      <c r="J272" s="95"/>
      <c r="K272" s="95"/>
      <c r="L272" s="95"/>
      <c r="M272" s="95"/>
      <c r="N272" s="95"/>
      <c r="O272" s="95"/>
      <c r="P272" s="95"/>
      <c r="Q272" s="95"/>
      <c r="R272" s="95"/>
      <c r="S272" s="95"/>
      <c r="T272" s="53"/>
      <c r="U272" s="95"/>
      <c r="V272" s="25"/>
      <c r="W272" s="25"/>
      <c r="X272" s="5"/>
    </row>
    <row r="273" spans="1:24" ht="15.6" x14ac:dyDescent="0.3">
      <c r="A273" s="6"/>
      <c r="B273" s="8"/>
      <c r="C273" s="8"/>
      <c r="D273" s="8"/>
      <c r="E273" s="8"/>
      <c r="F273" s="8"/>
      <c r="G273" s="8"/>
      <c r="H273" s="96"/>
      <c r="I273" s="96"/>
      <c r="J273" s="96"/>
      <c r="K273" s="96"/>
      <c r="L273" s="96"/>
      <c r="M273" s="96"/>
      <c r="N273" s="96"/>
      <c r="O273" s="96"/>
      <c r="P273" s="96"/>
      <c r="Q273" s="96"/>
      <c r="R273" s="96"/>
      <c r="S273" s="96"/>
      <c r="T273" s="97"/>
      <c r="U273" s="96"/>
      <c r="V273" s="8"/>
      <c r="W273" s="8"/>
      <c r="X273" s="5"/>
    </row>
    <row r="274" spans="1:24" ht="15.6" x14ac:dyDescent="0.3">
      <c r="A274" s="167"/>
      <c r="B274" s="14" t="s">
        <v>92</v>
      </c>
      <c r="C274" s="15"/>
      <c r="D274" s="15"/>
      <c r="E274" s="15"/>
      <c r="F274" s="17" t="s">
        <v>98</v>
      </c>
      <c r="G274" s="15"/>
      <c r="H274" s="14" t="s">
        <v>100</v>
      </c>
      <c r="I274" s="14"/>
      <c r="J274" s="14"/>
      <c r="K274" s="162"/>
      <c r="L274" s="162"/>
      <c r="M274" s="162"/>
      <c r="N274" s="162"/>
      <c r="O274" s="162"/>
      <c r="P274" s="162"/>
      <c r="Q274" s="162"/>
      <c r="R274" s="162"/>
      <c r="S274" s="162"/>
      <c r="T274" s="162"/>
      <c r="U274" s="162"/>
      <c r="V274" s="162"/>
      <c r="W274" s="162"/>
      <c r="X274" s="5"/>
    </row>
    <row r="275" spans="1:24" ht="15.6" x14ac:dyDescent="0.3">
      <c r="A275" s="167"/>
      <c r="B275" s="13" t="s">
        <v>93</v>
      </c>
      <c r="C275" s="8"/>
      <c r="D275" s="8"/>
      <c r="E275" s="8"/>
      <c r="F275" s="130" t="s">
        <v>151</v>
      </c>
      <c r="G275" s="8"/>
      <c r="H275" s="13" t="s">
        <v>155</v>
      </c>
      <c r="I275" s="13"/>
      <c r="J275" s="13"/>
      <c r="K275" s="162"/>
      <c r="L275" s="162"/>
      <c r="M275" s="162"/>
      <c r="N275" s="162"/>
      <c r="O275" s="162"/>
      <c r="P275" s="162"/>
      <c r="Q275" s="162"/>
      <c r="R275" s="162"/>
      <c r="S275" s="162"/>
      <c r="T275" s="162"/>
      <c r="U275" s="162"/>
      <c r="V275" s="162"/>
      <c r="W275" s="162"/>
      <c r="X275" s="5"/>
    </row>
    <row r="276" spans="1:24" ht="15.6" x14ac:dyDescent="0.3">
      <c r="A276" s="167"/>
      <c r="B276" s="13" t="s">
        <v>281</v>
      </c>
      <c r="C276" s="13"/>
      <c r="D276" s="13"/>
      <c r="E276" s="13"/>
      <c r="F276" s="130" t="s">
        <v>282</v>
      </c>
      <c r="G276" s="13"/>
      <c r="H276" s="13" t="s">
        <v>283</v>
      </c>
      <c r="I276" s="162"/>
      <c r="J276" s="13"/>
      <c r="K276" s="162"/>
      <c r="L276" s="162"/>
      <c r="M276" s="162"/>
      <c r="N276" s="162"/>
      <c r="O276" s="162"/>
      <c r="P276" s="162"/>
      <c r="Q276" s="162"/>
      <c r="R276" s="162"/>
      <c r="S276" s="162"/>
      <c r="T276" s="162"/>
      <c r="U276" s="162"/>
      <c r="V276" s="162"/>
      <c r="W276" s="162"/>
      <c r="X276" s="5"/>
    </row>
    <row r="277" spans="1:24" ht="15.6" x14ac:dyDescent="0.3">
      <c r="A277" s="167"/>
      <c r="B277" s="13" t="s">
        <v>94</v>
      </c>
      <c r="C277" s="13"/>
      <c r="D277" s="13"/>
      <c r="E277" s="13"/>
      <c r="F277" s="130" t="s">
        <v>150</v>
      </c>
      <c r="G277" s="13"/>
      <c r="H277" s="13" t="s">
        <v>156</v>
      </c>
      <c r="I277" s="13"/>
      <c r="J277" s="13"/>
      <c r="K277" s="162"/>
      <c r="L277" s="162"/>
      <c r="M277" s="162"/>
      <c r="N277" s="162"/>
      <c r="O277" s="162"/>
      <c r="P277" s="162"/>
      <c r="Q277" s="162"/>
      <c r="R277" s="162"/>
      <c r="S277" s="162"/>
      <c r="T277" s="162"/>
      <c r="U277" s="162"/>
      <c r="V277" s="162"/>
      <c r="W277" s="162"/>
      <c r="X277" s="5"/>
    </row>
    <row r="278" spans="1:24" ht="15.6" x14ac:dyDescent="0.3">
      <c r="A278" s="167"/>
      <c r="B278" s="13"/>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ht="15.6" x14ac:dyDescent="0.3">
      <c r="A279" s="167"/>
      <c r="B279" s="13"/>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ht="18" thickBot="1" x14ac:dyDescent="0.35">
      <c r="A280" s="167"/>
      <c r="B280" s="49" t="str">
        <f>B197</f>
        <v>PM13 INVESTOR REPORT QUARTER ENDING JUNE 2009</v>
      </c>
      <c r="C280" s="13"/>
      <c r="D280" s="13"/>
      <c r="E280" s="13"/>
      <c r="F280" s="13"/>
      <c r="G280" s="99"/>
      <c r="H280" s="162"/>
      <c r="I280" s="162"/>
      <c r="J280" s="162"/>
      <c r="K280" s="162"/>
      <c r="L280" s="162"/>
      <c r="M280" s="162"/>
      <c r="N280" s="162"/>
      <c r="O280" s="162"/>
      <c r="P280" s="162"/>
      <c r="Q280" s="162"/>
      <c r="R280" s="162"/>
      <c r="S280" s="162"/>
      <c r="T280" s="162"/>
      <c r="U280" s="162"/>
      <c r="V280" s="162"/>
      <c r="W280" s="162"/>
      <c r="X280" s="5"/>
    </row>
    <row r="281" spans="1:24" x14ac:dyDescent="0.25">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row>
  </sheetData>
  <phoneticPr fontId="0" type="noConversion"/>
  <hyperlinks>
    <hyperlink ref="P233" r:id="rId1" xr:uid="{00000000-0004-0000-0A00-000000000000}"/>
    <hyperlink ref="I9" r:id="rId2" xr:uid="{00000000-0004-0000-0A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8" max="14" man="1"/>
    <brk id="197" max="14"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D2926"/>
  </sheetPr>
  <dimension ref="A1:Z28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238</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239</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140</v>
      </c>
      <c r="C5" s="8"/>
      <c r="D5" s="8"/>
      <c r="E5" s="8"/>
      <c r="F5" s="8"/>
      <c r="G5" s="8"/>
      <c r="H5" s="8"/>
      <c r="I5" s="8"/>
      <c r="J5" s="8"/>
      <c r="K5" s="8"/>
      <c r="L5" s="8"/>
      <c r="M5" s="8"/>
      <c r="N5" s="8"/>
      <c r="O5" s="8"/>
      <c r="P5" s="8"/>
      <c r="Q5" s="8"/>
      <c r="R5" s="8"/>
      <c r="S5" s="8"/>
      <c r="T5" s="8"/>
      <c r="U5" s="8"/>
      <c r="V5" s="8"/>
      <c r="W5" s="8"/>
      <c r="X5" s="5"/>
    </row>
    <row r="6" spans="1:24" ht="15.6" x14ac:dyDescent="0.3">
      <c r="A6" s="6"/>
      <c r="B6" s="11" t="s">
        <v>142</v>
      </c>
      <c r="C6" s="8"/>
      <c r="D6" s="8"/>
      <c r="E6" s="8"/>
      <c r="F6" s="8"/>
      <c r="G6" s="8"/>
      <c r="H6" s="8"/>
      <c r="I6" s="8"/>
      <c r="J6" s="8"/>
      <c r="K6" s="8"/>
      <c r="L6" s="8"/>
      <c r="M6" s="8"/>
      <c r="N6" s="8"/>
      <c r="O6" s="8"/>
      <c r="P6" s="8"/>
      <c r="Q6" s="8"/>
      <c r="R6" s="8"/>
      <c r="S6" s="8"/>
      <c r="T6" s="8"/>
      <c r="U6" s="8"/>
      <c r="V6" s="8"/>
      <c r="W6" s="8"/>
      <c r="X6" s="5"/>
    </row>
    <row r="7" spans="1:24" ht="15.6" x14ac:dyDescent="0.3">
      <c r="A7" s="6"/>
      <c r="B7" s="11" t="s">
        <v>141</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169</v>
      </c>
      <c r="C9" s="8"/>
      <c r="D9" s="8"/>
      <c r="E9" s="8"/>
      <c r="F9" s="8"/>
      <c r="G9" s="8"/>
      <c r="H9" s="8"/>
      <c r="I9" s="148" t="s">
        <v>170</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240</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105</v>
      </c>
      <c r="S15" s="137">
        <v>0.57609999999999995</v>
      </c>
      <c r="T15" s="17" t="s">
        <v>143</v>
      </c>
      <c r="U15" s="137">
        <v>0.4239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105</v>
      </c>
      <c r="S16" s="137">
        <v>0.62690000000000001</v>
      </c>
      <c r="T16" s="17" t="s">
        <v>143</v>
      </c>
      <c r="U16" s="137">
        <v>0.37309999999999999</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39016</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40106</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106</v>
      </c>
      <c r="U20" s="8"/>
      <c r="V20" s="16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180</v>
      </c>
      <c r="E22" s="112"/>
      <c r="F22" s="112" t="s">
        <v>181</v>
      </c>
      <c r="G22" s="112"/>
      <c r="H22" s="112" t="s">
        <v>182</v>
      </c>
      <c r="I22" s="112"/>
      <c r="J22" s="112" t="s">
        <v>223</v>
      </c>
      <c r="K22" s="112"/>
      <c r="L22" s="112" t="s">
        <v>183</v>
      </c>
      <c r="M22" s="112"/>
      <c r="N22" s="112" t="s">
        <v>184</v>
      </c>
      <c r="O22" s="112"/>
      <c r="P22" s="112" t="s">
        <v>224</v>
      </c>
      <c r="Q22" s="112"/>
      <c r="R22" s="112" t="s">
        <v>185</v>
      </c>
      <c r="S22" s="113"/>
      <c r="T22" s="23"/>
      <c r="U22" s="162"/>
      <c r="V22" s="162"/>
      <c r="W22" s="8"/>
      <c r="X22" s="5"/>
    </row>
    <row r="23" spans="1:24" ht="15.6" x14ac:dyDescent="0.3">
      <c r="A23" s="24"/>
      <c r="B23" s="25" t="s">
        <v>7</v>
      </c>
      <c r="C23" s="26"/>
      <c r="D23" s="26" t="s">
        <v>216</v>
      </c>
      <c r="E23" s="26"/>
      <c r="F23" s="26" t="s">
        <v>144</v>
      </c>
      <c r="G23" s="26"/>
      <c r="H23" s="26" t="s">
        <v>144</v>
      </c>
      <c r="I23" s="26"/>
      <c r="J23" s="26" t="s">
        <v>144</v>
      </c>
      <c r="K23" s="26"/>
      <c r="L23" s="26" t="s">
        <v>186</v>
      </c>
      <c r="M23" s="26"/>
      <c r="N23" s="26" t="s">
        <v>186</v>
      </c>
      <c r="O23" s="26"/>
      <c r="P23" s="26" t="s">
        <v>145</v>
      </c>
      <c r="Q23" s="26"/>
      <c r="R23" s="26" t="s">
        <v>145</v>
      </c>
      <c r="S23" s="26"/>
      <c r="T23" s="26"/>
      <c r="U23" s="163"/>
      <c r="V23" s="163"/>
      <c r="W23" s="25"/>
      <c r="X23" s="5"/>
    </row>
    <row r="24" spans="1:24" ht="15.6" x14ac:dyDescent="0.3">
      <c r="A24" s="24"/>
      <c r="B24" s="25" t="s">
        <v>8</v>
      </c>
      <c r="C24" s="26"/>
      <c r="D24" s="26" t="s">
        <v>217</v>
      </c>
      <c r="E24" s="26"/>
      <c r="F24" s="26" t="s">
        <v>146</v>
      </c>
      <c r="G24" s="26"/>
      <c r="H24" s="26" t="s">
        <v>146</v>
      </c>
      <c r="I24" s="26"/>
      <c r="J24" s="26" t="s">
        <v>146</v>
      </c>
      <c r="K24" s="26"/>
      <c r="L24" s="26" t="s">
        <v>168</v>
      </c>
      <c r="M24" s="26"/>
      <c r="N24" s="26" t="s">
        <v>168</v>
      </c>
      <c r="O24" s="26"/>
      <c r="P24" s="26" t="s">
        <v>147</v>
      </c>
      <c r="Q24" s="26"/>
      <c r="R24" s="26" t="s">
        <v>147</v>
      </c>
      <c r="S24" s="26"/>
      <c r="T24" s="26"/>
      <c r="U24" s="163"/>
      <c r="V24" s="163"/>
      <c r="W24" s="25"/>
      <c r="X24" s="5"/>
    </row>
    <row r="25" spans="1:24" ht="15.6" x14ac:dyDescent="0.3">
      <c r="A25" s="28"/>
      <c r="B25" s="131" t="s">
        <v>193</v>
      </c>
      <c r="C25" s="123"/>
      <c r="D25" s="26" t="s">
        <v>218</v>
      </c>
      <c r="E25" s="26"/>
      <c r="F25" s="26" t="s">
        <v>146</v>
      </c>
      <c r="G25" s="26"/>
      <c r="H25" s="26" t="s">
        <v>146</v>
      </c>
      <c r="I25" s="26"/>
      <c r="J25" s="26" t="s">
        <v>146</v>
      </c>
      <c r="K25" s="26"/>
      <c r="L25" s="26" t="s">
        <v>168</v>
      </c>
      <c r="M25" s="26"/>
      <c r="N25" s="26" t="s">
        <v>168</v>
      </c>
      <c r="O25" s="26"/>
      <c r="P25" s="26" t="s">
        <v>147</v>
      </c>
      <c r="Q25" s="26"/>
      <c r="R25" s="26" t="s">
        <v>147</v>
      </c>
      <c r="S25" s="123"/>
      <c r="T25" s="26"/>
      <c r="U25" s="163"/>
      <c r="V25" s="163"/>
      <c r="W25" s="25"/>
      <c r="X25" s="5"/>
    </row>
    <row r="26" spans="1:24" ht="15.6" x14ac:dyDescent="0.3">
      <c r="A26" s="28"/>
      <c r="B26" s="29" t="s">
        <v>9</v>
      </c>
      <c r="C26" s="123"/>
      <c r="D26" s="123" t="s">
        <v>216</v>
      </c>
      <c r="E26" s="123"/>
      <c r="F26" s="123" t="s">
        <v>144</v>
      </c>
      <c r="G26" s="123"/>
      <c r="H26" s="123" t="s">
        <v>144</v>
      </c>
      <c r="I26" s="123"/>
      <c r="J26" s="123" t="s">
        <v>144</v>
      </c>
      <c r="K26" s="123"/>
      <c r="L26" s="123" t="s">
        <v>186</v>
      </c>
      <c r="M26" s="123"/>
      <c r="N26" s="123" t="s">
        <v>186</v>
      </c>
      <c r="O26" s="123"/>
      <c r="P26" s="123" t="s">
        <v>145</v>
      </c>
      <c r="Q26" s="123"/>
      <c r="R26" s="123" t="s">
        <v>145</v>
      </c>
      <c r="S26" s="123"/>
      <c r="T26" s="26"/>
      <c r="U26" s="163"/>
      <c r="V26" s="163"/>
      <c r="W26" s="25"/>
      <c r="X26" s="5"/>
    </row>
    <row r="27" spans="1:24" ht="15.6" x14ac:dyDescent="0.3">
      <c r="A27" s="24"/>
      <c r="B27" s="29" t="s">
        <v>194</v>
      </c>
      <c r="C27" s="26"/>
      <c r="D27" s="123" t="s">
        <v>217</v>
      </c>
      <c r="E27" s="123"/>
      <c r="F27" s="123" t="s">
        <v>146</v>
      </c>
      <c r="G27" s="123"/>
      <c r="H27" s="123" t="s">
        <v>146</v>
      </c>
      <c r="I27" s="123"/>
      <c r="J27" s="123" t="s">
        <v>146</v>
      </c>
      <c r="K27" s="123"/>
      <c r="L27" s="123" t="s">
        <v>168</v>
      </c>
      <c r="M27" s="123"/>
      <c r="N27" s="123" t="s">
        <v>168</v>
      </c>
      <c r="O27" s="123"/>
      <c r="P27" s="123" t="s">
        <v>147</v>
      </c>
      <c r="Q27" s="123"/>
      <c r="R27" s="123" t="s">
        <v>147</v>
      </c>
      <c r="S27" s="26"/>
      <c r="T27" s="30"/>
      <c r="U27" s="163"/>
      <c r="V27" s="163"/>
      <c r="W27" s="25"/>
      <c r="X27" s="5"/>
    </row>
    <row r="28" spans="1:24" ht="15.6" x14ac:dyDescent="0.3">
      <c r="A28" s="24"/>
      <c r="B28" s="153" t="s">
        <v>195</v>
      </c>
      <c r="C28" s="26"/>
      <c r="D28" s="123" t="s">
        <v>218</v>
      </c>
      <c r="E28" s="123"/>
      <c r="F28" s="123" t="s">
        <v>146</v>
      </c>
      <c r="G28" s="123"/>
      <c r="H28" s="123" t="s">
        <v>146</v>
      </c>
      <c r="I28" s="123"/>
      <c r="J28" s="123" t="s">
        <v>146</v>
      </c>
      <c r="K28" s="123"/>
      <c r="L28" s="123" t="s">
        <v>168</v>
      </c>
      <c r="M28" s="123"/>
      <c r="N28" s="123" t="s">
        <v>168</v>
      </c>
      <c r="O28" s="123"/>
      <c r="P28" s="123" t="s">
        <v>147</v>
      </c>
      <c r="Q28" s="123"/>
      <c r="R28" s="123" t="s">
        <v>147</v>
      </c>
      <c r="S28" s="26"/>
      <c r="T28" s="30"/>
      <c r="U28" s="163"/>
      <c r="V28" s="163"/>
      <c r="W28" s="25"/>
      <c r="X28" s="5"/>
    </row>
    <row r="29" spans="1:24" ht="15.6" x14ac:dyDescent="0.3">
      <c r="A29" s="24"/>
      <c r="B29" s="25" t="s">
        <v>10</v>
      </c>
      <c r="C29" s="32"/>
      <c r="D29" s="26" t="s">
        <v>348</v>
      </c>
      <c r="E29" s="26"/>
      <c r="F29" s="30" t="s">
        <v>242</v>
      </c>
      <c r="G29" s="26"/>
      <c r="H29" s="26" t="s">
        <v>243</v>
      </c>
      <c r="I29" s="26"/>
      <c r="J29" s="26" t="s">
        <v>245</v>
      </c>
      <c r="K29" s="26"/>
      <c r="L29" s="26" t="s">
        <v>246</v>
      </c>
      <c r="M29" s="26"/>
      <c r="N29" s="26" t="s">
        <v>247</v>
      </c>
      <c r="O29" s="26"/>
      <c r="P29" s="26" t="s">
        <v>248</v>
      </c>
      <c r="Q29" s="26"/>
      <c r="R29" s="26" t="s">
        <v>249</v>
      </c>
      <c r="S29" s="31"/>
      <c r="T29" s="31"/>
      <c r="U29" s="164"/>
      <c r="V29" s="31"/>
      <c r="W29" s="34"/>
      <c r="X29" s="5"/>
    </row>
    <row r="30" spans="1:24" ht="15.6" x14ac:dyDescent="0.3">
      <c r="A30" s="24"/>
      <c r="B30" s="25" t="s">
        <v>10</v>
      </c>
      <c r="C30" s="32"/>
      <c r="D30" s="26" t="s">
        <v>241</v>
      </c>
      <c r="E30" s="26"/>
      <c r="F30" s="30" t="s">
        <v>121</v>
      </c>
      <c r="G30" s="26"/>
      <c r="H30" s="26" t="s">
        <v>121</v>
      </c>
      <c r="I30" s="26"/>
      <c r="J30" s="26" t="s">
        <v>244</v>
      </c>
      <c r="K30" s="26"/>
      <c r="L30" s="26" t="s">
        <v>121</v>
      </c>
      <c r="M30" s="26"/>
      <c r="N30" s="26" t="s">
        <v>121</v>
      </c>
      <c r="O30" s="26"/>
      <c r="P30" s="26" t="s">
        <v>121</v>
      </c>
      <c r="Q30" s="26"/>
      <c r="R30" s="26" t="s">
        <v>121</v>
      </c>
      <c r="S30" s="31"/>
      <c r="T30" s="31"/>
      <c r="U30" s="164"/>
      <c r="V30" s="31"/>
      <c r="W30" s="34"/>
      <c r="X30" s="5"/>
    </row>
    <row r="31" spans="1:24" ht="15.6" x14ac:dyDescent="0.3">
      <c r="A31" s="28"/>
      <c r="B31" s="25" t="s">
        <v>136</v>
      </c>
      <c r="C31" s="36"/>
      <c r="D31" s="146">
        <v>1500000</v>
      </c>
      <c r="E31" s="32"/>
      <c r="F31" s="31">
        <v>125000</v>
      </c>
      <c r="G31" s="31"/>
      <c r="H31" s="124">
        <v>315000</v>
      </c>
      <c r="I31" s="124"/>
      <c r="J31" s="146">
        <v>350000</v>
      </c>
      <c r="K31" s="31"/>
      <c r="L31" s="31">
        <v>56000</v>
      </c>
      <c r="M31" s="31"/>
      <c r="N31" s="124">
        <v>84000</v>
      </c>
      <c r="O31" s="31"/>
      <c r="P31" s="31">
        <v>13000</v>
      </c>
      <c r="Q31" s="31"/>
      <c r="R31" s="124">
        <v>81000</v>
      </c>
      <c r="S31" s="35"/>
      <c r="T31" s="35"/>
      <c r="U31" s="37"/>
      <c r="V31" s="35"/>
      <c r="W31" s="34"/>
      <c r="X31" s="5"/>
    </row>
    <row r="32" spans="1:24" ht="15.6" x14ac:dyDescent="0.3">
      <c r="A32" s="24"/>
      <c r="B32" s="25" t="s">
        <v>135</v>
      </c>
      <c r="C32" s="32"/>
      <c r="D32" s="146">
        <f>D31*D38</f>
        <v>1016166.15</v>
      </c>
      <c r="E32" s="32"/>
      <c r="F32" s="31">
        <f>F31*F38</f>
        <v>84680.599999999991</v>
      </c>
      <c r="G32" s="31"/>
      <c r="H32" s="124">
        <f>H31*H38</f>
        <v>213395.11199999999</v>
      </c>
      <c r="I32" s="124"/>
      <c r="J32" s="146">
        <f>J31*J38</f>
        <v>237105.435</v>
      </c>
      <c r="K32" s="31"/>
      <c r="L32" s="31">
        <f>L31*L38</f>
        <v>56000</v>
      </c>
      <c r="M32" s="31"/>
      <c r="N32" s="124">
        <f>N31*N38</f>
        <v>84000</v>
      </c>
      <c r="O32" s="31"/>
      <c r="P32" s="31">
        <f>P31*P38</f>
        <v>13000</v>
      </c>
      <c r="Q32" s="31"/>
      <c r="R32" s="124">
        <f>R31*R38</f>
        <v>81000</v>
      </c>
      <c r="S32" s="31"/>
      <c r="T32" s="31"/>
      <c r="U32" s="164"/>
      <c r="V32" s="31"/>
      <c r="W32" s="34"/>
      <c r="X32" s="5"/>
    </row>
    <row r="33" spans="1:24" ht="15.6" x14ac:dyDescent="0.3">
      <c r="A33" s="24"/>
      <c r="B33" s="29" t="s">
        <v>137</v>
      </c>
      <c r="C33" s="32"/>
      <c r="D33" s="151">
        <f>D37*D31</f>
        <v>1008644.55</v>
      </c>
      <c r="E33" s="36"/>
      <c r="F33" s="35">
        <f>F37*F31</f>
        <v>84053.8</v>
      </c>
      <c r="G33" s="35"/>
      <c r="H33" s="125">
        <f>H31*H37</f>
        <v>211815.576</v>
      </c>
      <c r="I33" s="125"/>
      <c r="J33" s="151">
        <f>J37*J31</f>
        <v>235350.39500000002</v>
      </c>
      <c r="K33" s="35"/>
      <c r="L33" s="35">
        <f>L31*L37</f>
        <v>56000</v>
      </c>
      <c r="M33" s="35"/>
      <c r="N33" s="125">
        <f>N31*N37</f>
        <v>84000</v>
      </c>
      <c r="O33" s="35"/>
      <c r="P33" s="35">
        <f>P31*P37</f>
        <v>13000</v>
      </c>
      <c r="Q33" s="35"/>
      <c r="R33" s="125">
        <f>R31*R37</f>
        <v>81000</v>
      </c>
      <c r="S33" s="31"/>
      <c r="T33" s="31"/>
      <c r="U33" s="164"/>
      <c r="V33" s="31"/>
      <c r="W33" s="34"/>
      <c r="X33" s="5"/>
    </row>
    <row r="34" spans="1:24" ht="15.6" x14ac:dyDescent="0.3">
      <c r="A34" s="28"/>
      <c r="B34" s="25" t="s">
        <v>298</v>
      </c>
      <c r="C34" s="36"/>
      <c r="D34" s="31">
        <v>797872</v>
      </c>
      <c r="E34" s="32"/>
      <c r="F34" s="31">
        <v>125000</v>
      </c>
      <c r="G34" s="31"/>
      <c r="H34" s="31">
        <v>211409</v>
      </c>
      <c r="I34" s="31"/>
      <c r="J34" s="31">
        <v>186170</v>
      </c>
      <c r="K34" s="31"/>
      <c r="L34" s="31">
        <v>56000</v>
      </c>
      <c r="M34" s="31"/>
      <c r="N34" s="31">
        <v>56376</v>
      </c>
      <c r="O34" s="31"/>
      <c r="P34" s="31">
        <v>13000</v>
      </c>
      <c r="Q34" s="31"/>
      <c r="R34" s="31">
        <v>54363</v>
      </c>
      <c r="S34" s="35"/>
      <c r="T34" s="35"/>
      <c r="U34" s="37"/>
      <c r="V34" s="154">
        <f>SUM(C34:R34)</f>
        <v>1500190</v>
      </c>
      <c r="W34" s="34"/>
      <c r="X34" s="5"/>
    </row>
    <row r="35" spans="1:24" ht="15.6" x14ac:dyDescent="0.3">
      <c r="A35" s="28"/>
      <c r="B35" s="25" t="s">
        <v>299</v>
      </c>
      <c r="C35" s="126"/>
      <c r="D35" s="31">
        <f>D34*D38</f>
        <v>540513.67895520001</v>
      </c>
      <c r="E35" s="32"/>
      <c r="F35" s="31">
        <f>F34*F38</f>
        <v>84680.599999999991</v>
      </c>
      <c r="G35" s="31"/>
      <c r="H35" s="31">
        <f>H34*H38</f>
        <v>143217.9277232</v>
      </c>
      <c r="I35" s="31"/>
      <c r="J35" s="31">
        <f>J34*J38</f>
        <v>126119.76809699999</v>
      </c>
      <c r="K35" s="31"/>
      <c r="L35" s="31">
        <f>L34*L38</f>
        <v>56000</v>
      </c>
      <c r="M35" s="31"/>
      <c r="N35" s="31">
        <f>N34*N38</f>
        <v>56376</v>
      </c>
      <c r="O35" s="31"/>
      <c r="P35" s="31">
        <f>P34*P38</f>
        <v>13000</v>
      </c>
      <c r="Q35" s="31"/>
      <c r="R35" s="31">
        <f>R34*R38</f>
        <v>54363</v>
      </c>
      <c r="S35" s="31"/>
      <c r="T35" s="31"/>
      <c r="U35" s="164"/>
      <c r="V35" s="154">
        <f>SUM(C35:R35)</f>
        <v>1074270.9747754</v>
      </c>
      <c r="W35" s="34"/>
      <c r="X35" s="5"/>
    </row>
    <row r="36" spans="1:24" ht="15.6" x14ac:dyDescent="0.3">
      <c r="A36" s="28"/>
      <c r="B36" s="29" t="s">
        <v>304</v>
      </c>
      <c r="C36" s="126"/>
      <c r="D36" s="35">
        <f>D34*D37</f>
        <v>536512.82959840004</v>
      </c>
      <c r="E36" s="36"/>
      <c r="F36" s="35">
        <f>F34*F37</f>
        <v>84053.8</v>
      </c>
      <c r="G36" s="35"/>
      <c r="H36" s="35">
        <f>H34*H37</f>
        <v>142157.8384336</v>
      </c>
      <c r="I36" s="35"/>
      <c r="J36" s="35">
        <f>J34*J37</f>
        <v>125186.237249</v>
      </c>
      <c r="K36" s="35"/>
      <c r="L36" s="35">
        <v>56000</v>
      </c>
      <c r="M36" s="35"/>
      <c r="N36" s="35">
        <v>56376</v>
      </c>
      <c r="O36" s="35"/>
      <c r="P36" s="35">
        <v>13000</v>
      </c>
      <c r="Q36" s="35"/>
      <c r="R36" s="35">
        <v>54363</v>
      </c>
      <c r="S36" s="128"/>
      <c r="T36" s="128"/>
      <c r="U36" s="164"/>
      <c r="V36" s="155">
        <f>SUM(C36:R36)</f>
        <v>1067649.7052810001</v>
      </c>
      <c r="W36" s="34"/>
      <c r="X36" s="5"/>
    </row>
    <row r="37" spans="1:24" ht="15.6" x14ac:dyDescent="0.3">
      <c r="A37" s="24"/>
      <c r="B37" s="122" t="s">
        <v>133</v>
      </c>
      <c r="C37" s="25"/>
      <c r="D37" s="168">
        <v>0.67242970000000002</v>
      </c>
      <c r="E37" s="136"/>
      <c r="F37" s="168">
        <v>0.67243039999999998</v>
      </c>
      <c r="G37" s="135"/>
      <c r="H37" s="168">
        <v>0.67243039999999998</v>
      </c>
      <c r="I37" s="135"/>
      <c r="J37" s="168">
        <v>0.67242970000000002</v>
      </c>
      <c r="K37" s="135"/>
      <c r="L37" s="168">
        <v>1</v>
      </c>
      <c r="M37" s="135"/>
      <c r="N37" s="168">
        <v>1</v>
      </c>
      <c r="O37" s="135"/>
      <c r="P37" s="168">
        <v>1</v>
      </c>
      <c r="Q37" s="135"/>
      <c r="R37" s="168">
        <v>1</v>
      </c>
      <c r="S37" s="30"/>
      <c r="T37" s="30"/>
      <c r="U37" s="163"/>
      <c r="V37" s="163"/>
      <c r="W37" s="25"/>
      <c r="X37" s="5"/>
    </row>
    <row r="38" spans="1:24" ht="15.6" x14ac:dyDescent="0.3">
      <c r="A38" s="24"/>
      <c r="B38" s="122" t="s">
        <v>134</v>
      </c>
      <c r="C38" s="25"/>
      <c r="D38" s="168">
        <v>0.67744409999999999</v>
      </c>
      <c r="E38" s="136"/>
      <c r="F38" s="168">
        <v>0.67744479999999996</v>
      </c>
      <c r="G38" s="135"/>
      <c r="H38" s="168">
        <v>0.67744479999999996</v>
      </c>
      <c r="I38" s="135"/>
      <c r="J38" s="168">
        <v>0.67744409999999999</v>
      </c>
      <c r="K38" s="135"/>
      <c r="L38" s="135">
        <v>1</v>
      </c>
      <c r="M38" s="135"/>
      <c r="N38" s="135">
        <v>1</v>
      </c>
      <c r="O38" s="135"/>
      <c r="P38" s="135">
        <v>1</v>
      </c>
      <c r="Q38" s="135"/>
      <c r="R38" s="135">
        <v>1</v>
      </c>
      <c r="S38" s="39"/>
      <c r="T38" s="38"/>
      <c r="U38" s="163"/>
      <c r="V38" s="39"/>
      <c r="W38" s="25"/>
      <c r="X38" s="5"/>
    </row>
    <row r="39" spans="1:24" ht="15.6" x14ac:dyDescent="0.3">
      <c r="A39" s="24"/>
      <c r="B39" s="25" t="s">
        <v>11</v>
      </c>
      <c r="C39" s="25"/>
      <c r="D39" s="30" t="s">
        <v>225</v>
      </c>
      <c r="E39" s="25"/>
      <c r="F39" s="30" t="s">
        <v>225</v>
      </c>
      <c r="G39" s="30"/>
      <c r="H39" s="30" t="s">
        <v>225</v>
      </c>
      <c r="I39" s="30"/>
      <c r="J39" s="30" t="s">
        <v>251</v>
      </c>
      <c r="K39" s="30"/>
      <c r="L39" s="30" t="s">
        <v>252</v>
      </c>
      <c r="M39" s="30"/>
      <c r="N39" s="30" t="s">
        <v>253</v>
      </c>
      <c r="O39" s="30"/>
      <c r="P39" s="30" t="s">
        <v>254</v>
      </c>
      <c r="Q39" s="30"/>
      <c r="R39" s="30" t="s">
        <v>255</v>
      </c>
      <c r="S39" s="39"/>
      <c r="T39" s="38"/>
      <c r="U39" s="163"/>
      <c r="V39" s="163"/>
      <c r="W39" s="25"/>
      <c r="X39" s="5"/>
    </row>
    <row r="40" spans="1:24" ht="15.6" x14ac:dyDescent="0.3">
      <c r="A40" s="24"/>
      <c r="B40" s="25" t="s">
        <v>12</v>
      </c>
      <c r="C40" s="25"/>
      <c r="D40" s="38">
        <v>3.6338E-3</v>
      </c>
      <c r="E40" s="25"/>
      <c r="F40" s="38">
        <v>1.1121300000000001E-2</v>
      </c>
      <c r="G40" s="39"/>
      <c r="H40" s="38">
        <v>1.116E-2</v>
      </c>
      <c r="I40" s="38"/>
      <c r="J40" s="38">
        <v>5.9937999999999996E-3</v>
      </c>
      <c r="K40" s="39"/>
      <c r="L40" s="38">
        <v>1.1921299999999999E-2</v>
      </c>
      <c r="M40" s="39"/>
      <c r="N40" s="38">
        <v>1.1860000000000001E-2</v>
      </c>
      <c r="O40" s="39"/>
      <c r="P40" s="38">
        <v>1.3921299999999999E-2</v>
      </c>
      <c r="Q40" s="39"/>
      <c r="R40" s="38">
        <v>1.3860000000000001E-2</v>
      </c>
      <c r="S40" s="39"/>
      <c r="T40" s="38"/>
      <c r="U40" s="163"/>
      <c r="V40" s="30"/>
      <c r="W40" s="25"/>
      <c r="X40" s="5"/>
    </row>
    <row r="41" spans="1:24" ht="15.6" x14ac:dyDescent="0.3">
      <c r="A41" s="24"/>
      <c r="B41" s="25" t="s">
        <v>13</v>
      </c>
      <c r="C41" s="25"/>
      <c r="D41" s="38">
        <v>4.3937999999999998E-3</v>
      </c>
      <c r="E41" s="25"/>
      <c r="F41" s="38">
        <v>1.6543800000000001E-2</v>
      </c>
      <c r="G41" s="39"/>
      <c r="H41" s="38">
        <v>1.555E-2</v>
      </c>
      <c r="I41" s="38"/>
      <c r="J41" s="38">
        <v>1.2212499999999999E-2</v>
      </c>
      <c r="K41" s="39"/>
      <c r="L41" s="38">
        <v>1.7343799999999999E-2</v>
      </c>
      <c r="M41" s="39"/>
      <c r="N41" s="38">
        <v>1.6250000000000001E-2</v>
      </c>
      <c r="O41" s="39"/>
      <c r="P41" s="38">
        <v>1.9343800000000001E-2</v>
      </c>
      <c r="Q41" s="39"/>
      <c r="R41" s="38">
        <v>1.8249999999999999E-2</v>
      </c>
      <c r="S41" s="39"/>
      <c r="T41" s="38"/>
      <c r="U41" s="163"/>
      <c r="V41" s="39" t="s">
        <v>196</v>
      </c>
      <c r="W41" s="25"/>
      <c r="X41" s="5"/>
    </row>
    <row r="42" spans="1:24" ht="15.6" x14ac:dyDescent="0.3">
      <c r="A42" s="24"/>
      <c r="B42" s="25" t="s">
        <v>300</v>
      </c>
      <c r="C42" s="25"/>
      <c r="D42" s="30" t="s">
        <v>292</v>
      </c>
      <c r="E42" s="25"/>
      <c r="F42" s="30" t="s">
        <v>225</v>
      </c>
      <c r="G42" s="30"/>
      <c r="H42" s="30" t="s">
        <v>263</v>
      </c>
      <c r="I42" s="30"/>
      <c r="J42" s="30" t="s">
        <v>262</v>
      </c>
      <c r="K42" s="30"/>
      <c r="L42" s="30" t="s">
        <v>252</v>
      </c>
      <c r="M42" s="30"/>
      <c r="N42" s="30" t="s">
        <v>264</v>
      </c>
      <c r="O42" s="30"/>
      <c r="P42" s="30" t="s">
        <v>254</v>
      </c>
      <c r="Q42" s="30"/>
      <c r="R42" s="30" t="s">
        <v>260</v>
      </c>
      <c r="S42" s="39"/>
      <c r="T42" s="38"/>
      <c r="U42" s="163"/>
      <c r="V42" s="163"/>
      <c r="W42" s="25"/>
      <c r="X42" s="5"/>
    </row>
    <row r="43" spans="1:24" ht="15.6" x14ac:dyDescent="0.3">
      <c r="A43" s="24"/>
      <c r="B43" s="25" t="s">
        <v>301</v>
      </c>
      <c r="C43" s="110"/>
      <c r="D43" s="38">
        <v>1.14605E-2</v>
      </c>
      <c r="E43" s="38"/>
      <c r="F43" s="38">
        <f>+F40</f>
        <v>1.1121300000000001E-2</v>
      </c>
      <c r="G43" s="38"/>
      <c r="H43" s="38">
        <v>1.1243299999999999E-2</v>
      </c>
      <c r="I43" s="38"/>
      <c r="J43" s="38">
        <v>1.1161300000000001E-2</v>
      </c>
      <c r="K43" s="38"/>
      <c r="L43" s="38">
        <f>+L40</f>
        <v>1.1921299999999999E-2</v>
      </c>
      <c r="M43" s="38"/>
      <c r="N43" s="38">
        <v>1.2011300000000001E-2</v>
      </c>
      <c r="O43" s="38"/>
      <c r="P43" s="38">
        <f>+P40</f>
        <v>1.3921299999999999E-2</v>
      </c>
      <c r="Q43" s="39"/>
      <c r="R43" s="38">
        <v>1.41213E-2</v>
      </c>
      <c r="S43" s="30"/>
      <c r="T43" s="30"/>
      <c r="U43" s="163"/>
      <c r="V43" s="39">
        <f>SUMPRODUCT(D43:R43,D35:R35)/V35</f>
        <v>1.1587032826778008E-2</v>
      </c>
      <c r="W43" s="25"/>
      <c r="X43" s="5"/>
    </row>
    <row r="44" spans="1:24" ht="15.6" x14ac:dyDescent="0.3">
      <c r="A44" s="24"/>
      <c r="B44" s="25" t="s">
        <v>302</v>
      </c>
      <c r="C44" s="110"/>
      <c r="D44" s="38">
        <v>1.6882999999999999E-2</v>
      </c>
      <c r="E44" s="38"/>
      <c r="F44" s="38">
        <f>+F41</f>
        <v>1.6543800000000001E-2</v>
      </c>
      <c r="G44" s="38"/>
      <c r="H44" s="38">
        <v>1.6665800000000001E-2</v>
      </c>
      <c r="I44" s="38"/>
      <c r="J44" s="38">
        <v>1.6583799999999999E-2</v>
      </c>
      <c r="K44" s="38"/>
      <c r="L44" s="38">
        <f>+L41</f>
        <v>1.7343799999999999E-2</v>
      </c>
      <c r="M44" s="38"/>
      <c r="N44" s="38">
        <v>1.7433799999999999E-2</v>
      </c>
      <c r="O44" s="38"/>
      <c r="P44" s="38">
        <f>+P41</f>
        <v>1.9343800000000001E-2</v>
      </c>
      <c r="Q44" s="39"/>
      <c r="R44" s="38">
        <v>1.95438E-2</v>
      </c>
      <c r="S44" s="30"/>
      <c r="T44" s="30"/>
      <c r="U44" s="163"/>
      <c r="V44" s="163"/>
      <c r="W44" s="25"/>
      <c r="X44" s="5"/>
    </row>
    <row r="45" spans="1:24" ht="15.6" x14ac:dyDescent="0.3">
      <c r="A45" s="24"/>
      <c r="B45" s="25" t="s">
        <v>14</v>
      </c>
      <c r="C45" s="25"/>
      <c r="D45" s="110">
        <v>40466</v>
      </c>
      <c r="E45" s="110"/>
      <c r="F45" s="110">
        <v>40466</v>
      </c>
      <c r="G45" s="110"/>
      <c r="H45" s="110">
        <v>40466</v>
      </c>
      <c r="I45" s="110"/>
      <c r="J45" s="110">
        <v>40466</v>
      </c>
      <c r="K45" s="110"/>
      <c r="L45" s="110">
        <v>40466</v>
      </c>
      <c r="M45" s="110"/>
      <c r="N45" s="110">
        <v>40466</v>
      </c>
      <c r="O45" s="110"/>
      <c r="P45" s="110">
        <v>40466</v>
      </c>
      <c r="Q45" s="110"/>
      <c r="R45" s="110">
        <v>40466</v>
      </c>
      <c r="S45" s="30"/>
      <c r="T45" s="30"/>
      <c r="U45" s="163"/>
      <c r="V45" s="163"/>
      <c r="W45" s="25"/>
      <c r="X45" s="5"/>
    </row>
    <row r="46" spans="1:24" ht="15.6" x14ac:dyDescent="0.3">
      <c r="A46" s="24"/>
      <c r="B46" s="25" t="s">
        <v>15</v>
      </c>
      <c r="C46" s="25"/>
      <c r="D46" s="110" t="s">
        <v>121</v>
      </c>
      <c r="E46" s="110"/>
      <c r="F46" s="110">
        <v>40831</v>
      </c>
      <c r="G46" s="110"/>
      <c r="H46" s="110">
        <v>40831</v>
      </c>
      <c r="I46" s="110"/>
      <c r="J46" s="110">
        <v>40831</v>
      </c>
      <c r="K46" s="30"/>
      <c r="L46" s="110">
        <v>40831</v>
      </c>
      <c r="M46" s="30"/>
      <c r="N46" s="110">
        <v>40831</v>
      </c>
      <c r="O46" s="30"/>
      <c r="P46" s="110">
        <v>40831</v>
      </c>
      <c r="Q46" s="30"/>
      <c r="R46" s="110">
        <v>40831</v>
      </c>
      <c r="S46" s="30"/>
      <c r="T46" s="30"/>
      <c r="U46" s="163"/>
      <c r="V46" s="163"/>
      <c r="W46" s="25"/>
      <c r="X46" s="5"/>
    </row>
    <row r="47" spans="1:24" ht="15.6" x14ac:dyDescent="0.3">
      <c r="A47" s="24"/>
      <c r="B47" s="25" t="s">
        <v>122</v>
      </c>
      <c r="C47" s="25"/>
      <c r="D47" s="160" t="s">
        <v>121</v>
      </c>
      <c r="E47" s="25"/>
      <c r="F47" s="30" t="s">
        <v>226</v>
      </c>
      <c r="G47" s="30"/>
      <c r="H47" s="30" t="s">
        <v>226</v>
      </c>
      <c r="I47" s="30"/>
      <c r="J47" s="30" t="s">
        <v>256</v>
      </c>
      <c r="K47" s="30"/>
      <c r="L47" s="30" t="s">
        <v>254</v>
      </c>
      <c r="M47" s="30"/>
      <c r="N47" s="30" t="s">
        <v>257</v>
      </c>
      <c r="O47" s="30"/>
      <c r="P47" s="30" t="s">
        <v>258</v>
      </c>
      <c r="Q47" s="30"/>
      <c r="R47" s="30" t="s">
        <v>259</v>
      </c>
      <c r="S47" s="40"/>
      <c r="T47" s="40"/>
      <c r="U47" s="40"/>
      <c r="V47" s="40"/>
      <c r="W47" s="25"/>
      <c r="X47" s="5"/>
    </row>
    <row r="48" spans="1:24" ht="15.6" x14ac:dyDescent="0.3">
      <c r="A48" s="24"/>
      <c r="B48" s="25" t="s">
        <v>303</v>
      </c>
      <c r="C48" s="25"/>
      <c r="D48" s="30" t="s">
        <v>203</v>
      </c>
      <c r="E48" s="25"/>
      <c r="F48" s="30" t="s">
        <v>226</v>
      </c>
      <c r="G48" s="30"/>
      <c r="H48" s="30" t="s">
        <v>227</v>
      </c>
      <c r="I48" s="30"/>
      <c r="J48" s="30" t="s">
        <v>237</v>
      </c>
      <c r="K48" s="30"/>
      <c r="L48" s="30" t="s">
        <v>254</v>
      </c>
      <c r="M48" s="30"/>
      <c r="N48" s="30" t="s">
        <v>260</v>
      </c>
      <c r="O48" s="30"/>
      <c r="P48" s="30" t="s">
        <v>258</v>
      </c>
      <c r="Q48" s="30"/>
      <c r="R48" s="30" t="s">
        <v>261</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196</v>
      </c>
      <c r="W49" s="25"/>
      <c r="X49" s="5"/>
    </row>
    <row r="50" spans="1:25" ht="15.6" x14ac:dyDescent="0.3">
      <c r="A50" s="24"/>
      <c r="B50" s="25" t="s">
        <v>172</v>
      </c>
      <c r="C50" s="25"/>
      <c r="D50" s="30"/>
      <c r="E50" s="25"/>
      <c r="F50" s="30"/>
      <c r="G50" s="30"/>
      <c r="H50" s="30"/>
      <c r="I50" s="30"/>
      <c r="J50" s="30"/>
      <c r="K50" s="30"/>
      <c r="L50" s="30"/>
      <c r="M50" s="30"/>
      <c r="N50" s="30"/>
      <c r="O50" s="30"/>
      <c r="P50" s="30"/>
      <c r="Q50" s="30"/>
      <c r="R50" s="30"/>
      <c r="S50" s="25"/>
      <c r="T50" s="25"/>
      <c r="U50" s="25"/>
      <c r="V50" s="39">
        <f>SUM(L34:R34)/SUM(D34:J34)</f>
        <v>0.13611940162868597</v>
      </c>
      <c r="W50" s="25"/>
      <c r="X50" s="5"/>
    </row>
    <row r="51" spans="1:25" ht="15.6" x14ac:dyDescent="0.3">
      <c r="A51" s="24"/>
      <c r="B51" s="25" t="s">
        <v>173</v>
      </c>
      <c r="C51" s="25"/>
      <c r="D51" s="25"/>
      <c r="E51" s="25"/>
      <c r="F51" s="41"/>
      <c r="G51" s="25"/>
      <c r="H51" s="25"/>
      <c r="I51" s="25"/>
      <c r="J51" s="25"/>
      <c r="K51" s="25"/>
      <c r="L51" s="25"/>
      <c r="M51" s="25"/>
      <c r="N51" s="25"/>
      <c r="O51" s="25"/>
      <c r="P51" s="25"/>
      <c r="Q51" s="25"/>
      <c r="R51" s="25"/>
      <c r="S51" s="25"/>
      <c r="T51" s="25"/>
      <c r="U51" s="25"/>
      <c r="V51" s="39">
        <f>SUM(L36:R36)/SUM(D36:J36)</f>
        <v>0.20242913947424182</v>
      </c>
      <c r="W51" s="25"/>
      <c r="X51" s="5"/>
    </row>
    <row r="52" spans="1:25" ht="15.6" x14ac:dyDescent="0.3">
      <c r="A52" s="24"/>
      <c r="B52" s="25" t="s">
        <v>174</v>
      </c>
      <c r="C52" s="25"/>
      <c r="D52" s="25"/>
      <c r="E52" s="25"/>
      <c r="F52" s="25"/>
      <c r="G52" s="25"/>
      <c r="H52" s="25"/>
      <c r="I52" s="25"/>
      <c r="J52" s="25"/>
      <c r="K52" s="25"/>
      <c r="L52" s="25"/>
      <c r="M52" s="25"/>
      <c r="N52" s="25"/>
      <c r="O52" s="25"/>
      <c r="P52" s="25"/>
      <c r="Q52" s="25"/>
      <c r="R52" s="25"/>
      <c r="S52" s="25"/>
      <c r="T52" s="30" t="s">
        <v>107</v>
      </c>
      <c r="U52" s="30" t="s">
        <v>112</v>
      </c>
      <c r="V52" s="31">
        <f>+V34/2-SUM(L34:R34)</f>
        <v>570356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205</v>
      </c>
      <c r="C54" s="25"/>
      <c r="D54" s="25"/>
      <c r="E54" s="25"/>
      <c r="F54" s="25"/>
      <c r="G54" s="25"/>
      <c r="H54" s="25"/>
      <c r="I54" s="25"/>
      <c r="J54" s="25"/>
      <c r="K54" s="25"/>
      <c r="L54" s="25"/>
      <c r="M54" s="25"/>
      <c r="N54" s="25"/>
      <c r="O54" s="25"/>
      <c r="P54" s="25"/>
      <c r="Q54" s="25"/>
      <c r="R54" s="25"/>
      <c r="S54" s="25"/>
      <c r="T54" s="25"/>
      <c r="U54" s="25"/>
      <c r="V54" s="156" t="s">
        <v>206</v>
      </c>
      <c r="W54" s="25"/>
      <c r="X54" s="5"/>
    </row>
    <row r="55" spans="1:25" ht="15.6" x14ac:dyDescent="0.3">
      <c r="A55" s="24"/>
      <c r="B55" s="25" t="s">
        <v>236</v>
      </c>
      <c r="C55" s="25"/>
      <c r="D55" s="25"/>
      <c r="E55" s="25"/>
      <c r="F55" s="25"/>
      <c r="G55" s="25"/>
      <c r="H55" s="25"/>
      <c r="I55" s="25"/>
      <c r="J55" s="25"/>
      <c r="K55" s="25"/>
      <c r="L55" s="25"/>
      <c r="M55" s="25"/>
      <c r="N55" s="25"/>
      <c r="O55" s="25"/>
      <c r="P55" s="25"/>
      <c r="Q55" s="25"/>
      <c r="R55" s="25"/>
      <c r="S55" s="25"/>
      <c r="T55" s="30"/>
      <c r="U55" s="30"/>
      <c r="V55" s="157" t="s">
        <v>114</v>
      </c>
      <c r="W55" s="25"/>
      <c r="X55" s="5"/>
    </row>
    <row r="56" spans="1:25" ht="15.6" x14ac:dyDescent="0.3">
      <c r="A56" s="24"/>
      <c r="B56" s="29" t="s">
        <v>204</v>
      </c>
      <c r="C56" s="29"/>
      <c r="D56" s="29"/>
      <c r="E56" s="29"/>
      <c r="F56" s="29"/>
      <c r="G56" s="29"/>
      <c r="H56" s="29"/>
      <c r="I56" s="29"/>
      <c r="J56" s="29"/>
      <c r="K56" s="29"/>
      <c r="L56" s="29"/>
      <c r="M56" s="29"/>
      <c r="N56" s="29"/>
      <c r="O56" s="29"/>
      <c r="P56" s="29"/>
      <c r="Q56" s="29"/>
      <c r="R56" s="29"/>
      <c r="S56" s="29"/>
      <c r="T56" s="43"/>
      <c r="U56" s="43"/>
      <c r="V56" s="44">
        <v>40101</v>
      </c>
      <c r="W56" s="25"/>
      <c r="X56" s="5"/>
    </row>
    <row r="57" spans="1:25" ht="15.6" x14ac:dyDescent="0.3">
      <c r="A57" s="24"/>
      <c r="B57" s="25" t="s">
        <v>124</v>
      </c>
      <c r="C57" s="25"/>
      <c r="D57" s="25"/>
      <c r="E57" s="25"/>
      <c r="F57" s="25"/>
      <c r="G57" s="25"/>
      <c r="H57" s="58"/>
      <c r="I57" s="58"/>
      <c r="J57" s="58"/>
      <c r="K57" s="58"/>
      <c r="L57" s="58"/>
      <c r="M57" s="58"/>
      <c r="N57" s="58"/>
      <c r="O57" s="58"/>
      <c r="P57" s="58"/>
      <c r="Q57" s="58"/>
      <c r="R57" s="25">
        <f>+V57-T57+1</f>
        <v>91</v>
      </c>
      <c r="S57" s="58"/>
      <c r="T57" s="45">
        <v>39918</v>
      </c>
      <c r="U57" s="46"/>
      <c r="V57" s="45">
        <v>40008</v>
      </c>
      <c r="W57" s="25"/>
      <c r="X57" s="5"/>
    </row>
    <row r="58" spans="1:25" ht="15.6" x14ac:dyDescent="0.3">
      <c r="A58" s="24"/>
      <c r="B58" s="25" t="s">
        <v>125</v>
      </c>
      <c r="C58" s="25"/>
      <c r="D58" s="25"/>
      <c r="E58" s="25"/>
      <c r="F58" s="25"/>
      <c r="G58" s="25"/>
      <c r="H58" s="25"/>
      <c r="I58" s="25"/>
      <c r="J58" s="25"/>
      <c r="K58" s="25"/>
      <c r="L58" s="25"/>
      <c r="M58" s="25"/>
      <c r="N58" s="25"/>
      <c r="O58" s="25"/>
      <c r="P58" s="25"/>
      <c r="Q58" s="25"/>
      <c r="R58" s="25">
        <f>+V58-T58+1</f>
        <v>92</v>
      </c>
      <c r="S58" s="25"/>
      <c r="T58" s="45">
        <v>40009</v>
      </c>
      <c r="U58" s="46"/>
      <c r="V58" s="45">
        <v>40100</v>
      </c>
      <c r="W58" s="25"/>
      <c r="X58" s="5"/>
    </row>
    <row r="59" spans="1:25" ht="15.6" x14ac:dyDescent="0.3">
      <c r="A59" s="24"/>
      <c r="B59" s="25" t="s">
        <v>235</v>
      </c>
      <c r="C59" s="25"/>
      <c r="D59" s="25"/>
      <c r="E59" s="25"/>
      <c r="F59" s="25"/>
      <c r="G59" s="25"/>
      <c r="H59" s="25"/>
      <c r="I59" s="25"/>
      <c r="J59" s="25"/>
      <c r="K59" s="25"/>
      <c r="L59" s="25"/>
      <c r="M59" s="25"/>
      <c r="N59" s="25"/>
      <c r="O59" s="25"/>
      <c r="P59" s="25"/>
      <c r="Q59" s="25"/>
      <c r="R59" s="25"/>
      <c r="S59" s="25"/>
      <c r="T59" s="45"/>
      <c r="U59" s="46"/>
      <c r="V59" s="45" t="s">
        <v>123</v>
      </c>
      <c r="W59" s="25"/>
      <c r="X59" s="5"/>
    </row>
    <row r="60" spans="1:25" ht="15.6" x14ac:dyDescent="0.3">
      <c r="A60" s="24"/>
      <c r="B60" s="25" t="s">
        <v>234</v>
      </c>
      <c r="C60" s="25"/>
      <c r="D60" s="25"/>
      <c r="E60" s="25"/>
      <c r="F60" s="25"/>
      <c r="G60" s="25"/>
      <c r="H60" s="25"/>
      <c r="I60" s="25"/>
      <c r="J60" s="25"/>
      <c r="K60" s="25"/>
      <c r="L60" s="25"/>
      <c r="M60" s="25"/>
      <c r="N60" s="25"/>
      <c r="O60" s="25"/>
      <c r="P60" s="25"/>
      <c r="Q60" s="25"/>
      <c r="R60" s="25"/>
      <c r="S60" s="25"/>
      <c r="T60" s="45"/>
      <c r="U60" s="46"/>
      <c r="V60" s="45" t="s">
        <v>157</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40087</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305</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95</v>
      </c>
      <c r="M68" s="115"/>
      <c r="N68" s="115" t="s">
        <v>97</v>
      </c>
      <c r="O68" s="115"/>
      <c r="P68" s="115" t="s">
        <v>99</v>
      </c>
      <c r="Q68" s="115"/>
      <c r="R68" s="115" t="s">
        <v>101</v>
      </c>
      <c r="S68" s="115"/>
      <c r="T68" s="115" t="s">
        <v>108</v>
      </c>
      <c r="U68" s="115"/>
      <c r="V68" s="116" t="s">
        <v>115</v>
      </c>
      <c r="W68" s="117"/>
      <c r="X68" s="5"/>
    </row>
    <row r="69" spans="1:24" ht="15.6" x14ac:dyDescent="0.3">
      <c r="A69" s="24"/>
      <c r="B69" s="25" t="s">
        <v>19</v>
      </c>
      <c r="C69" s="34"/>
      <c r="D69" s="34"/>
      <c r="E69" s="34"/>
      <c r="F69" s="34"/>
      <c r="G69" s="34"/>
      <c r="H69" s="34"/>
      <c r="I69" s="34"/>
      <c r="J69" s="34"/>
      <c r="K69" s="34"/>
      <c r="L69" s="34">
        <f>1085286</f>
        <v>1085286</v>
      </c>
      <c r="M69" s="34"/>
      <c r="N69" s="53">
        <v>1074271</v>
      </c>
      <c r="O69" s="34"/>
      <c r="P69" s="34">
        <f>6621+724+1009</f>
        <v>8354</v>
      </c>
      <c r="Q69" s="34"/>
      <c r="R69" s="34">
        <f>724+1009</f>
        <v>1733</v>
      </c>
      <c r="S69" s="34"/>
      <c r="T69" s="34">
        <v>0</v>
      </c>
      <c r="U69" s="34"/>
      <c r="V69" s="53">
        <f>+N69-P69+R69-T69</f>
        <v>1067650</v>
      </c>
      <c r="W69" s="25"/>
      <c r="X69" s="5"/>
    </row>
    <row r="70" spans="1:24" ht="15.6" x14ac:dyDescent="0.3">
      <c r="A70" s="24"/>
      <c r="B70" s="25" t="s">
        <v>20</v>
      </c>
      <c r="C70" s="34"/>
      <c r="D70" s="34"/>
      <c r="E70" s="34"/>
      <c r="F70" s="34"/>
      <c r="G70" s="34"/>
      <c r="H70" s="34"/>
      <c r="I70" s="34"/>
      <c r="J70" s="34"/>
      <c r="K70" s="34"/>
      <c r="L70" s="34">
        <v>35</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1085321</v>
      </c>
      <c r="M72" s="34"/>
      <c r="N72" s="54">
        <f>N69+N70</f>
        <v>1074271</v>
      </c>
      <c r="O72" s="34"/>
      <c r="P72" s="34">
        <f>SUM(P69:P71)</f>
        <v>8354</v>
      </c>
      <c r="Q72" s="34"/>
      <c r="R72" s="34">
        <f>SUM(R69:R71)</f>
        <v>1733</v>
      </c>
      <c r="S72" s="34"/>
      <c r="T72" s="34">
        <f>SUM(T69:T71)</f>
        <v>0</v>
      </c>
      <c r="U72" s="34"/>
      <c r="V72" s="54">
        <f>SUM(V69:V71)</f>
        <v>1067650</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120</v>
      </c>
      <c r="C82" s="34"/>
      <c r="D82" s="34"/>
      <c r="E82" s="34"/>
      <c r="F82" s="34"/>
      <c r="G82" s="34"/>
      <c r="H82" s="34"/>
      <c r="I82" s="34"/>
      <c r="J82" s="34"/>
      <c r="K82" s="34"/>
      <c r="L82" s="34">
        <f>414862+7</f>
        <v>414869</v>
      </c>
      <c r="M82" s="34"/>
      <c r="N82" s="34">
        <v>0</v>
      </c>
      <c r="O82" s="34"/>
      <c r="P82" s="34">
        <v>0</v>
      </c>
      <c r="Q82" s="34"/>
      <c r="R82" s="34"/>
      <c r="S82" s="34"/>
      <c r="T82" s="34"/>
      <c r="U82" s="34"/>
      <c r="V82" s="54">
        <f>SUM(N82:R82)</f>
        <v>0</v>
      </c>
      <c r="W82" s="25"/>
      <c r="X82" s="5"/>
    </row>
    <row r="83" spans="1:24" ht="15.6" x14ac:dyDescent="0.3">
      <c r="A83" s="24"/>
      <c r="B83" s="25" t="s">
        <v>149</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1500190</v>
      </c>
      <c r="M85" s="34"/>
      <c r="N85" s="54">
        <f>SUM(N72:N84)</f>
        <v>1074271</v>
      </c>
      <c r="O85" s="34"/>
      <c r="P85" s="34"/>
      <c r="Q85" s="34"/>
      <c r="R85" s="34"/>
      <c r="S85" s="34"/>
      <c r="T85" s="54"/>
      <c r="U85" s="34"/>
      <c r="V85" s="54">
        <f>SUM(V72:V84)</f>
        <v>1067650</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96</v>
      </c>
      <c r="M88" s="17"/>
      <c r="N88" s="158">
        <f>+T198</f>
        <v>40086</v>
      </c>
      <c r="O88" s="17"/>
      <c r="P88" s="17"/>
      <c r="Q88" s="17"/>
      <c r="R88" s="17"/>
      <c r="S88" s="17"/>
      <c r="T88" s="17" t="s">
        <v>109</v>
      </c>
      <c r="U88" s="17"/>
      <c r="V88" s="17" t="s">
        <v>116</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8354-132</f>
        <v>8222</v>
      </c>
      <c r="U90" s="25"/>
      <c r="V90" s="53"/>
      <c r="W90" s="25"/>
      <c r="X90" s="5"/>
    </row>
    <row r="91" spans="1:24" ht="15.6" x14ac:dyDescent="0.3">
      <c r="A91" s="24"/>
      <c r="B91" s="25" t="s">
        <v>219</v>
      </c>
      <c r="C91" s="25"/>
      <c r="D91" s="25"/>
      <c r="E91" s="25"/>
      <c r="F91" s="25"/>
      <c r="G91" s="25"/>
      <c r="H91" s="40"/>
      <c r="I91" s="40"/>
      <c r="J91" s="40"/>
      <c r="K91" s="57"/>
      <c r="L91" s="40"/>
      <c r="M91" s="25"/>
      <c r="N91" s="127"/>
      <c r="O91" s="25"/>
      <c r="P91" s="25"/>
      <c r="Q91" s="25"/>
      <c r="R91" s="25"/>
      <c r="S91" s="25"/>
      <c r="T91" s="34"/>
      <c r="U91" s="25"/>
      <c r="V91" s="53">
        <f>5383+4934-435-1889-91+90+3</f>
        <v>7995</v>
      </c>
      <c r="W91" s="25"/>
      <c r="X91" s="5"/>
    </row>
    <row r="92" spans="1:24" ht="15.6" x14ac:dyDescent="0.3">
      <c r="A92" s="24"/>
      <c r="B92" s="25" t="s">
        <v>214</v>
      </c>
      <c r="C92" s="25"/>
      <c r="D92" s="25"/>
      <c r="E92" s="25"/>
      <c r="F92" s="25"/>
      <c r="G92" s="25"/>
      <c r="H92" s="40"/>
      <c r="I92" s="40"/>
      <c r="J92" s="40"/>
      <c r="K92" s="57"/>
      <c r="L92" s="40"/>
      <c r="M92" s="25"/>
      <c r="N92" s="127"/>
      <c r="O92" s="25"/>
      <c r="P92" s="25"/>
      <c r="Q92" s="25"/>
      <c r="R92" s="25"/>
      <c r="S92" s="25"/>
      <c r="T92" s="34"/>
      <c r="U92" s="25"/>
      <c r="V92" s="53">
        <f>69+26</f>
        <v>95</v>
      </c>
      <c r="W92" s="25"/>
      <c r="X92" s="5"/>
    </row>
    <row r="93" spans="1:24" ht="15.6" x14ac:dyDescent="0.3">
      <c r="A93" s="24"/>
      <c r="B93" s="25" t="s">
        <v>215</v>
      </c>
      <c r="C93" s="25"/>
      <c r="D93" s="25"/>
      <c r="E93" s="25"/>
      <c r="F93" s="25"/>
      <c r="G93" s="25"/>
      <c r="H93" s="40"/>
      <c r="I93" s="40"/>
      <c r="J93" s="40"/>
      <c r="K93" s="57"/>
      <c r="L93" s="40"/>
      <c r="M93" s="25"/>
      <c r="N93" s="127"/>
      <c r="O93" s="25"/>
      <c r="P93" s="25"/>
      <c r="Q93" s="25"/>
      <c r="R93" s="25"/>
      <c r="S93" s="25"/>
      <c r="T93" s="34"/>
      <c r="U93" s="25"/>
      <c r="V93" s="53">
        <v>112</v>
      </c>
      <c r="W93" s="25"/>
      <c r="X93" s="5"/>
    </row>
    <row r="94" spans="1:24" ht="15.6" x14ac:dyDescent="0.3">
      <c r="A94" s="24"/>
      <c r="B94" s="25" t="s">
        <v>277</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138</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265</v>
      </c>
      <c r="C96" s="25"/>
      <c r="D96" s="25"/>
      <c r="E96" s="25"/>
      <c r="F96" s="25"/>
      <c r="G96" s="25"/>
      <c r="H96" s="25"/>
      <c r="I96" s="25"/>
      <c r="J96" s="25"/>
      <c r="K96" s="25"/>
      <c r="L96" s="25"/>
      <c r="M96" s="25"/>
      <c r="N96" s="25"/>
      <c r="O96" s="25"/>
      <c r="P96" s="25"/>
      <c r="Q96" s="25"/>
      <c r="R96" s="25"/>
      <c r="S96" s="25"/>
      <c r="T96" s="34"/>
      <c r="U96" s="25"/>
      <c r="V96" s="53">
        <v>80</v>
      </c>
      <c r="W96" s="25"/>
      <c r="X96" s="5"/>
    </row>
    <row r="97" spans="1:26" ht="15.6" x14ac:dyDescent="0.3">
      <c r="A97" s="24"/>
      <c r="B97" s="25" t="s">
        <v>30</v>
      </c>
      <c r="C97" s="25"/>
      <c r="D97" s="25"/>
      <c r="E97" s="25"/>
      <c r="F97" s="25"/>
      <c r="G97" s="25"/>
      <c r="H97" s="25"/>
      <c r="I97" s="25"/>
      <c r="J97" s="25"/>
      <c r="K97" s="25"/>
      <c r="L97" s="25"/>
      <c r="M97" s="25"/>
      <c r="N97" s="25"/>
      <c r="O97" s="25"/>
      <c r="P97" s="25"/>
      <c r="Q97" s="25"/>
      <c r="R97" s="25"/>
      <c r="S97" s="25"/>
      <c r="T97" s="34">
        <f>SUM(T89:T96)</f>
        <v>8222</v>
      </c>
      <c r="U97" s="25"/>
      <c r="V97" s="54">
        <f>SUM(V89:V96)</f>
        <v>8282</v>
      </c>
      <c r="W97" s="25"/>
      <c r="X97" s="5"/>
    </row>
    <row r="98" spans="1:26" ht="15.6" x14ac:dyDescent="0.3">
      <c r="A98" s="24"/>
      <c r="B98" s="25" t="s">
        <v>164</v>
      </c>
      <c r="C98" s="25"/>
      <c r="D98" s="25"/>
      <c r="E98" s="25"/>
      <c r="F98" s="25"/>
      <c r="G98" s="25"/>
      <c r="H98" s="25"/>
      <c r="I98" s="25"/>
      <c r="J98" s="25"/>
      <c r="K98" s="25"/>
      <c r="L98" s="25"/>
      <c r="M98" s="25"/>
      <c r="N98" s="25"/>
      <c r="O98" s="25"/>
      <c r="P98" s="25"/>
      <c r="Q98" s="25"/>
      <c r="R98" s="25"/>
      <c r="S98" s="25"/>
      <c r="T98" s="34">
        <f>-V98</f>
        <v>-430</v>
      </c>
      <c r="U98" s="25"/>
      <c r="V98" s="54">
        <v>430</v>
      </c>
      <c r="W98" s="25"/>
      <c r="X98" s="5"/>
    </row>
    <row r="99" spans="1:26"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6" ht="15.6" x14ac:dyDescent="0.3">
      <c r="A100" s="24"/>
      <c r="B100" s="25" t="s">
        <v>288</v>
      </c>
      <c r="C100" s="25"/>
      <c r="D100" s="25"/>
      <c r="E100" s="25"/>
      <c r="F100" s="25"/>
      <c r="G100" s="25"/>
      <c r="H100" s="25"/>
      <c r="I100" s="25"/>
      <c r="J100" s="25"/>
      <c r="K100" s="25"/>
      <c r="L100" s="25"/>
      <c r="M100" s="25"/>
      <c r="N100" s="25"/>
      <c r="O100" s="25"/>
      <c r="P100" s="25"/>
      <c r="Q100" s="25"/>
      <c r="R100" s="25"/>
      <c r="S100" s="25"/>
      <c r="T100" s="34"/>
      <c r="U100" s="25"/>
      <c r="V100" s="53">
        <v>-31</v>
      </c>
      <c r="W100" s="25"/>
      <c r="X100" s="5"/>
    </row>
    <row r="101" spans="1:26"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7792</v>
      </c>
      <c r="U101" s="25"/>
      <c r="V101" s="54">
        <f>V97+V99+V98+V100</f>
        <v>8681</v>
      </c>
      <c r="W101" s="25"/>
      <c r="X101" s="5"/>
    </row>
    <row r="102" spans="1:26"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6"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6" ht="15.6" x14ac:dyDescent="0.3">
      <c r="A104" s="24">
        <f>+A103+1</f>
        <v>2</v>
      </c>
      <c r="B104" s="25" t="s">
        <v>231</v>
      </c>
      <c r="C104" s="25"/>
      <c r="D104" s="25"/>
      <c r="E104" s="25"/>
      <c r="F104" s="25"/>
      <c r="G104" s="25"/>
      <c r="H104" s="25"/>
      <c r="I104" s="25"/>
      <c r="J104" s="25"/>
      <c r="K104" s="25"/>
      <c r="L104" s="25"/>
      <c r="M104" s="25"/>
      <c r="N104" s="25"/>
      <c r="O104" s="25"/>
      <c r="P104" s="25"/>
      <c r="Q104" s="25"/>
      <c r="R104" s="25"/>
      <c r="S104" s="25"/>
      <c r="T104" s="25"/>
      <c r="U104" s="25"/>
      <c r="V104" s="53">
        <f>-2</f>
        <v>-2</v>
      </c>
      <c r="W104" s="25"/>
      <c r="X104" s="5"/>
    </row>
    <row r="105" spans="1:26" ht="15.6" x14ac:dyDescent="0.3">
      <c r="A105" s="24">
        <f>+A104+1</f>
        <v>3</v>
      </c>
      <c r="B105" s="25" t="s">
        <v>207</v>
      </c>
      <c r="C105" s="25"/>
      <c r="D105" s="25"/>
      <c r="E105" s="25"/>
      <c r="F105" s="25"/>
      <c r="G105" s="25"/>
      <c r="H105" s="25"/>
      <c r="I105" s="25"/>
      <c r="J105" s="25"/>
      <c r="K105" s="25"/>
      <c r="L105" s="25"/>
      <c r="M105" s="25"/>
      <c r="N105" s="25"/>
      <c r="O105" s="25"/>
      <c r="P105" s="25"/>
      <c r="Q105" s="25"/>
      <c r="R105" s="25"/>
      <c r="S105" s="25"/>
      <c r="T105" s="25"/>
      <c r="U105" s="25"/>
      <c r="V105" s="53">
        <f>-408-326-12</f>
        <v>-746</v>
      </c>
      <c r="W105" s="25"/>
      <c r="X105" s="5"/>
    </row>
    <row r="106" spans="1:26" ht="15.6" x14ac:dyDescent="0.3">
      <c r="A106" s="24" t="s">
        <v>130</v>
      </c>
      <c r="B106" s="25" t="s">
        <v>119</v>
      </c>
      <c r="C106" s="25"/>
      <c r="D106" s="25"/>
      <c r="E106" s="25"/>
      <c r="F106" s="25"/>
      <c r="G106" s="25"/>
      <c r="H106" s="25"/>
      <c r="I106" s="25"/>
      <c r="J106" s="25"/>
      <c r="K106" s="25"/>
      <c r="L106" s="25"/>
      <c r="M106" s="25"/>
      <c r="N106" s="25"/>
      <c r="O106" s="25"/>
      <c r="P106" s="25"/>
      <c r="Q106" s="25"/>
      <c r="R106" s="25"/>
      <c r="S106" s="25"/>
      <c r="T106" s="25"/>
      <c r="U106" s="25"/>
      <c r="V106" s="53">
        <v>-1587</v>
      </c>
      <c r="W106" s="25"/>
      <c r="X106" s="5"/>
    </row>
    <row r="107" spans="1:26" ht="15.6" x14ac:dyDescent="0.3">
      <c r="A107" s="24" t="s">
        <v>131</v>
      </c>
      <c r="B107" s="25" t="s">
        <v>228</v>
      </c>
      <c r="C107" s="25"/>
      <c r="D107" s="25"/>
      <c r="E107" s="25"/>
      <c r="F107" s="25"/>
      <c r="G107" s="25"/>
      <c r="H107" s="25"/>
      <c r="I107" s="25"/>
      <c r="J107" s="25"/>
      <c r="K107" s="25"/>
      <c r="L107" s="25"/>
      <c r="M107" s="25"/>
      <c r="N107" s="25"/>
      <c r="O107" s="25"/>
      <c r="P107" s="25"/>
      <c r="Q107" s="25"/>
      <c r="R107" s="25"/>
      <c r="S107" s="25"/>
      <c r="T107" s="25"/>
      <c r="U107" s="25"/>
      <c r="V107" s="53">
        <f>-2559+237</f>
        <v>-2322</v>
      </c>
      <c r="W107" s="25"/>
      <c r="X107" s="5"/>
      <c r="Y107" s="109"/>
      <c r="Z107" s="109"/>
    </row>
    <row r="108" spans="1:26" ht="15.6" x14ac:dyDescent="0.3">
      <c r="A108" s="24" t="s">
        <v>153</v>
      </c>
      <c r="B108" s="25" t="s">
        <v>187</v>
      </c>
      <c r="C108" s="25"/>
      <c r="D108" s="25"/>
      <c r="E108" s="25"/>
      <c r="F108" s="25"/>
      <c r="G108" s="25"/>
      <c r="H108" s="25"/>
      <c r="I108" s="25"/>
      <c r="J108" s="25"/>
      <c r="K108" s="25"/>
      <c r="L108" s="25"/>
      <c r="M108" s="25"/>
      <c r="N108" s="25"/>
      <c r="O108" s="25"/>
      <c r="P108" s="25"/>
      <c r="Q108" s="25"/>
      <c r="R108" s="25"/>
      <c r="S108" s="25"/>
      <c r="T108" s="25"/>
      <c r="U108" s="25"/>
      <c r="V108" s="53">
        <v>-237</v>
      </c>
      <c r="W108" s="25"/>
      <c r="X108" s="5"/>
      <c r="Y108" s="109"/>
    </row>
    <row r="109" spans="1:26" ht="15.6" x14ac:dyDescent="0.3">
      <c r="A109" s="24" t="s">
        <v>266</v>
      </c>
      <c r="B109" s="25" t="s">
        <v>269</v>
      </c>
      <c r="C109" s="25"/>
      <c r="D109" s="25"/>
      <c r="E109" s="25"/>
      <c r="F109" s="25"/>
      <c r="G109" s="25"/>
      <c r="H109" s="25"/>
      <c r="I109" s="25"/>
      <c r="J109" s="25"/>
      <c r="K109" s="25"/>
      <c r="L109" s="25"/>
      <c r="M109" s="25"/>
      <c r="N109" s="25"/>
      <c r="O109" s="25"/>
      <c r="P109" s="25"/>
      <c r="Q109" s="25"/>
      <c r="R109" s="25"/>
      <c r="S109" s="25"/>
      <c r="T109" s="25"/>
      <c r="U109" s="25"/>
      <c r="V109" s="53">
        <v>-2</v>
      </c>
      <c r="W109" s="25"/>
      <c r="X109" s="5"/>
    </row>
    <row r="110" spans="1:26" ht="15.6" x14ac:dyDescent="0.3">
      <c r="A110" s="24" t="s">
        <v>208</v>
      </c>
      <c r="B110" s="25" t="s">
        <v>188</v>
      </c>
      <c r="C110" s="25"/>
      <c r="D110" s="25"/>
      <c r="E110" s="25"/>
      <c r="F110" s="25"/>
      <c r="G110" s="25"/>
      <c r="H110" s="25"/>
      <c r="I110" s="25"/>
      <c r="J110" s="25"/>
      <c r="K110" s="25"/>
      <c r="L110" s="25"/>
      <c r="M110" s="25"/>
      <c r="N110" s="25"/>
      <c r="O110" s="25"/>
      <c r="P110" s="25"/>
      <c r="Q110" s="25"/>
      <c r="R110" s="25"/>
      <c r="S110" s="25"/>
      <c r="T110" s="25"/>
      <c r="U110" s="25"/>
      <c r="V110" s="53">
        <v>-171</v>
      </c>
      <c r="W110" s="25"/>
      <c r="X110" s="5"/>
      <c r="Y110" s="109"/>
    </row>
    <row r="111" spans="1:26" ht="15.6" x14ac:dyDescent="0.3">
      <c r="A111" s="24" t="s">
        <v>209</v>
      </c>
      <c r="B111" s="25" t="s">
        <v>189</v>
      </c>
      <c r="C111" s="25"/>
      <c r="D111" s="25"/>
      <c r="E111" s="25"/>
      <c r="F111" s="25"/>
      <c r="G111" s="25"/>
      <c r="H111" s="25"/>
      <c r="I111" s="25"/>
      <c r="J111" s="25"/>
      <c r="K111" s="25"/>
      <c r="L111" s="25"/>
      <c r="M111" s="25"/>
      <c r="N111" s="25"/>
      <c r="O111" s="25"/>
      <c r="P111" s="25"/>
      <c r="Q111" s="25"/>
      <c r="R111" s="25"/>
      <c r="S111" s="25"/>
      <c r="T111" s="25"/>
      <c r="U111" s="25"/>
      <c r="V111" s="53">
        <v>-168</v>
      </c>
      <c r="W111" s="25"/>
      <c r="X111" s="5"/>
      <c r="Y111" s="109"/>
    </row>
    <row r="112" spans="1:26" ht="15.6" x14ac:dyDescent="0.3">
      <c r="A112" s="24" t="s">
        <v>210</v>
      </c>
      <c r="B112" s="25" t="s">
        <v>199</v>
      </c>
      <c r="C112" s="25"/>
      <c r="D112" s="25"/>
      <c r="E112" s="25"/>
      <c r="F112" s="25"/>
      <c r="G112" s="25"/>
      <c r="H112" s="25"/>
      <c r="I112" s="25"/>
      <c r="J112" s="25"/>
      <c r="K112" s="25"/>
      <c r="L112" s="25"/>
      <c r="M112" s="25"/>
      <c r="N112" s="25"/>
      <c r="O112" s="25"/>
      <c r="P112" s="25"/>
      <c r="Q112" s="25"/>
      <c r="R112" s="25"/>
      <c r="S112" s="25"/>
      <c r="T112" s="25"/>
      <c r="U112" s="25"/>
      <c r="V112" s="53">
        <v>-193</v>
      </c>
      <c r="W112" s="25"/>
      <c r="X112" s="5"/>
      <c r="Y112" s="109"/>
    </row>
    <row r="113" spans="1:25" ht="15.6" x14ac:dyDescent="0.3">
      <c r="A113" s="24" t="s">
        <v>230</v>
      </c>
      <c r="B113" s="25" t="s">
        <v>229</v>
      </c>
      <c r="C113" s="25"/>
      <c r="D113" s="25"/>
      <c r="E113" s="25"/>
      <c r="F113" s="25"/>
      <c r="G113" s="25"/>
      <c r="H113" s="25"/>
      <c r="I113" s="25"/>
      <c r="J113" s="25"/>
      <c r="K113" s="25"/>
      <c r="L113" s="25"/>
      <c r="M113" s="25"/>
      <c r="N113" s="25"/>
      <c r="O113" s="25"/>
      <c r="P113" s="25"/>
      <c r="Q113" s="25"/>
      <c r="R113" s="25"/>
      <c r="S113" s="25"/>
      <c r="T113" s="25"/>
      <c r="U113" s="25"/>
      <c r="V113" s="53">
        <v>-46</v>
      </c>
      <c r="W113" s="25"/>
      <c r="X113" s="5"/>
      <c r="Y113" s="109"/>
    </row>
    <row r="114" spans="1:25" ht="15.6" x14ac:dyDescent="0.3">
      <c r="A114" s="24">
        <v>7</v>
      </c>
      <c r="B114" s="25" t="s">
        <v>35</v>
      </c>
      <c r="C114" s="25"/>
      <c r="D114" s="25"/>
      <c r="E114" s="25"/>
      <c r="F114" s="25"/>
      <c r="G114" s="25"/>
      <c r="H114" s="25"/>
      <c r="I114" s="25"/>
      <c r="J114" s="25"/>
      <c r="K114" s="25"/>
      <c r="L114" s="25"/>
      <c r="M114" s="25"/>
      <c r="N114" s="25"/>
      <c r="O114" s="25"/>
      <c r="P114" s="25"/>
      <c r="Q114" s="25"/>
      <c r="R114" s="25"/>
      <c r="S114" s="25"/>
      <c r="T114" s="25"/>
      <c r="U114" s="25"/>
      <c r="V114" s="53">
        <v>-10</v>
      </c>
      <c r="W114" s="25"/>
      <c r="X114" s="5"/>
    </row>
    <row r="115" spans="1:25" ht="15.6" x14ac:dyDescent="0.3">
      <c r="A115" s="24">
        <f t="shared" ref="A115:A121" si="0">+A114+1</f>
        <v>8</v>
      </c>
      <c r="B115" s="25" t="s">
        <v>45</v>
      </c>
      <c r="C115" s="25"/>
      <c r="D115" s="25"/>
      <c r="E115" s="25"/>
      <c r="F115" s="25"/>
      <c r="G115" s="25"/>
      <c r="H115" s="25"/>
      <c r="I115" s="25"/>
      <c r="J115" s="25"/>
      <c r="K115" s="25"/>
      <c r="L115" s="25"/>
      <c r="M115" s="25"/>
      <c r="N115" s="25"/>
      <c r="O115" s="25"/>
      <c r="P115" s="25"/>
      <c r="Q115" s="25"/>
      <c r="R115" s="25"/>
      <c r="S115" s="25"/>
      <c r="T115" s="34">
        <f>-V115</f>
        <v>132</v>
      </c>
      <c r="U115" s="25"/>
      <c r="V115" s="53">
        <v>-132</v>
      </c>
      <c r="W115" s="25"/>
      <c r="X115" s="5"/>
    </row>
    <row r="116" spans="1:25" ht="15.6" x14ac:dyDescent="0.3">
      <c r="A116" s="24">
        <f t="shared" si="0"/>
        <v>9</v>
      </c>
      <c r="B116" s="25" t="s">
        <v>128</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5" ht="15.6" x14ac:dyDescent="0.3">
      <c r="A117" s="24">
        <f t="shared" si="0"/>
        <v>10</v>
      </c>
      <c r="B117" s="25" t="s">
        <v>271</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11</v>
      </c>
      <c r="B118" s="25" t="s">
        <v>36</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12</v>
      </c>
      <c r="B119" s="25" t="s">
        <v>270</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13</v>
      </c>
      <c r="B120" s="25" t="s">
        <v>152</v>
      </c>
      <c r="C120" s="25"/>
      <c r="D120" s="25"/>
      <c r="E120" s="25"/>
      <c r="F120" s="25"/>
      <c r="G120" s="25"/>
      <c r="H120" s="25"/>
      <c r="I120" s="25"/>
      <c r="J120" s="25"/>
      <c r="K120" s="25"/>
      <c r="L120" s="25"/>
      <c r="M120" s="25"/>
      <c r="N120" s="25"/>
      <c r="O120" s="25"/>
      <c r="P120" s="25"/>
      <c r="Q120" s="25"/>
      <c r="R120" s="25"/>
      <c r="S120" s="25"/>
      <c r="T120" s="25"/>
      <c r="U120" s="25"/>
      <c r="V120" s="53">
        <v>-407</v>
      </c>
      <c r="W120" s="25"/>
      <c r="X120" s="5"/>
    </row>
    <row r="121" spans="1:25" ht="15.6" x14ac:dyDescent="0.3">
      <c r="A121" s="24">
        <f t="shared" si="0"/>
        <v>14</v>
      </c>
      <c r="B121" s="25" t="s">
        <v>129</v>
      </c>
      <c r="C121" s="25"/>
      <c r="D121" s="25"/>
      <c r="E121" s="25"/>
      <c r="F121" s="25"/>
      <c r="G121" s="25"/>
      <c r="H121" s="25"/>
      <c r="I121" s="25"/>
      <c r="J121" s="25"/>
      <c r="K121" s="25"/>
      <c r="L121" s="25"/>
      <c r="M121" s="25"/>
      <c r="N121" s="25"/>
      <c r="O121" s="25"/>
      <c r="P121" s="25"/>
      <c r="Q121" s="25"/>
      <c r="R121" s="25"/>
      <c r="S121" s="25"/>
      <c r="T121" s="25"/>
      <c r="U121" s="25"/>
      <c r="V121" s="53">
        <f>-V101-SUM(V103:V120)</f>
        <v>-2658</v>
      </c>
      <c r="W121" s="25"/>
      <c r="X121" s="5"/>
    </row>
    <row r="122" spans="1:25" ht="15.6" x14ac:dyDescent="0.3">
      <c r="A122" s="24"/>
      <c r="B122" s="118" t="s">
        <v>37</v>
      </c>
      <c r="C122" s="25"/>
      <c r="D122" s="25"/>
      <c r="E122" s="25"/>
      <c r="F122" s="25"/>
      <c r="G122" s="25"/>
      <c r="H122" s="25"/>
      <c r="I122" s="25"/>
      <c r="J122" s="25"/>
      <c r="K122" s="25"/>
      <c r="L122" s="25"/>
      <c r="M122" s="25"/>
      <c r="N122" s="25"/>
      <c r="O122" s="25"/>
      <c r="P122" s="25"/>
      <c r="Q122" s="25"/>
      <c r="R122" s="25"/>
      <c r="S122" s="25"/>
      <c r="T122" s="25"/>
      <c r="U122" s="25"/>
      <c r="V122" s="59"/>
      <c r="W122" s="25"/>
      <c r="X122" s="5"/>
    </row>
    <row r="123" spans="1:25" ht="15.6" x14ac:dyDescent="0.3">
      <c r="A123" s="24"/>
      <c r="B123" s="25" t="s">
        <v>176</v>
      </c>
      <c r="C123" s="25"/>
      <c r="D123" s="25"/>
      <c r="E123" s="25"/>
      <c r="F123" s="25"/>
      <c r="G123" s="25"/>
      <c r="H123" s="25"/>
      <c r="I123" s="25"/>
      <c r="J123" s="25"/>
      <c r="K123" s="25"/>
      <c r="L123" s="25"/>
      <c r="M123" s="25"/>
      <c r="N123" s="25"/>
      <c r="O123" s="25"/>
      <c r="P123" s="25"/>
      <c r="Q123" s="25"/>
      <c r="R123" s="25"/>
      <c r="S123" s="25"/>
      <c r="T123" s="34">
        <f>-T182</f>
        <v>-28</v>
      </c>
      <c r="U123" s="34"/>
      <c r="V123" s="53"/>
      <c r="W123" s="25"/>
      <c r="X123" s="5"/>
    </row>
    <row r="124" spans="1:25" ht="15.6" x14ac:dyDescent="0.3">
      <c r="A124" s="24"/>
      <c r="B124" s="25" t="s">
        <v>177</v>
      </c>
      <c r="C124" s="25"/>
      <c r="D124" s="25"/>
      <c r="E124" s="25"/>
      <c r="F124" s="25"/>
      <c r="G124" s="25"/>
      <c r="H124" s="25"/>
      <c r="I124" s="25"/>
      <c r="J124" s="25"/>
      <c r="K124" s="25"/>
      <c r="L124" s="25"/>
      <c r="M124" s="25"/>
      <c r="N124" s="25"/>
      <c r="O124" s="25"/>
      <c r="P124" s="25"/>
      <c r="Q124" s="25"/>
      <c r="R124" s="25"/>
      <c r="S124" s="25"/>
      <c r="T124" s="34">
        <v>-328</v>
      </c>
      <c r="U124" s="34"/>
      <c r="V124" s="53"/>
      <c r="W124" s="25"/>
      <c r="X124" s="5"/>
    </row>
    <row r="125" spans="1:25" ht="15.6" x14ac:dyDescent="0.3">
      <c r="A125" s="24"/>
      <c r="B125" s="25" t="s">
        <v>38</v>
      </c>
      <c r="C125" s="25"/>
      <c r="D125" s="25"/>
      <c r="E125" s="25"/>
      <c r="F125" s="25"/>
      <c r="G125" s="25"/>
      <c r="H125" s="25"/>
      <c r="I125" s="25"/>
      <c r="J125" s="25"/>
      <c r="K125" s="25"/>
      <c r="L125" s="25"/>
      <c r="M125" s="25"/>
      <c r="N125" s="25"/>
      <c r="O125" s="25"/>
      <c r="P125" s="25"/>
      <c r="Q125" s="25"/>
      <c r="R125" s="25"/>
      <c r="S125" s="25"/>
      <c r="T125" s="34">
        <f>-S182</f>
        <v>-947</v>
      </c>
      <c r="U125" s="34"/>
      <c r="V125" s="53"/>
      <c r="W125" s="25"/>
      <c r="X125" s="5"/>
    </row>
    <row r="126" spans="1:25" ht="15.6" x14ac:dyDescent="0.3">
      <c r="A126" s="24"/>
      <c r="B126" s="25" t="s">
        <v>200</v>
      </c>
      <c r="C126" s="25"/>
      <c r="D126" s="25"/>
      <c r="E126" s="25"/>
      <c r="F126" s="25"/>
      <c r="G126" s="25"/>
      <c r="H126" s="25"/>
      <c r="I126" s="25"/>
      <c r="J126" s="25"/>
      <c r="K126" s="25"/>
      <c r="L126" s="25"/>
      <c r="M126" s="25"/>
      <c r="N126" s="25"/>
      <c r="O126" s="25"/>
      <c r="P126" s="25"/>
      <c r="Q126" s="25"/>
      <c r="R126" s="25"/>
      <c r="S126" s="25"/>
      <c r="T126" s="34">
        <v>-4001</v>
      </c>
      <c r="U126" s="34"/>
      <c r="V126" s="53"/>
      <c r="W126" s="25"/>
      <c r="X126" s="5"/>
    </row>
    <row r="127" spans="1:25" ht="15.6" x14ac:dyDescent="0.3">
      <c r="A127" s="24"/>
      <c r="B127" s="25" t="s">
        <v>198</v>
      </c>
      <c r="C127" s="25"/>
      <c r="D127" s="25"/>
      <c r="E127" s="25"/>
      <c r="F127" s="25"/>
      <c r="G127" s="25"/>
      <c r="H127" s="25"/>
      <c r="I127" s="25"/>
      <c r="J127" s="25"/>
      <c r="K127" s="25"/>
      <c r="L127" s="25"/>
      <c r="M127" s="25"/>
      <c r="N127" s="25"/>
      <c r="O127" s="25"/>
      <c r="P127" s="25"/>
      <c r="Q127" s="25"/>
      <c r="R127" s="25"/>
      <c r="S127" s="25"/>
      <c r="T127" s="34">
        <v>-627</v>
      </c>
      <c r="U127" s="34"/>
      <c r="V127" s="53"/>
      <c r="W127" s="25"/>
      <c r="X127" s="5"/>
    </row>
    <row r="128" spans="1:25" ht="15.6" x14ac:dyDescent="0.3">
      <c r="A128" s="24"/>
      <c r="B128" s="25" t="s">
        <v>197</v>
      </c>
      <c r="C128" s="25"/>
      <c r="D128" s="25"/>
      <c r="E128" s="25"/>
      <c r="F128" s="25"/>
      <c r="G128" s="25"/>
      <c r="H128" s="25"/>
      <c r="I128" s="25"/>
      <c r="J128" s="25"/>
      <c r="K128" s="25"/>
      <c r="L128" s="25"/>
      <c r="M128" s="25"/>
      <c r="N128" s="25"/>
      <c r="O128" s="25"/>
      <c r="P128" s="25"/>
      <c r="Q128" s="25"/>
      <c r="R128" s="25"/>
      <c r="S128" s="25"/>
      <c r="T128" s="34">
        <v>-1060</v>
      </c>
      <c r="U128" s="34"/>
      <c r="V128" s="53"/>
      <c r="W128" s="25"/>
      <c r="X128" s="5"/>
    </row>
    <row r="129" spans="1:24" ht="15.6" x14ac:dyDescent="0.3">
      <c r="A129" s="24"/>
      <c r="B129" s="25" t="s">
        <v>232</v>
      </c>
      <c r="C129" s="25"/>
      <c r="D129" s="25"/>
      <c r="E129" s="25"/>
      <c r="F129" s="25"/>
      <c r="G129" s="25"/>
      <c r="H129" s="25"/>
      <c r="I129" s="25"/>
      <c r="J129" s="25"/>
      <c r="K129" s="25"/>
      <c r="L129" s="25"/>
      <c r="M129" s="25"/>
      <c r="N129" s="25"/>
      <c r="O129" s="25"/>
      <c r="P129" s="25"/>
      <c r="Q129" s="25"/>
      <c r="R129" s="25"/>
      <c r="S129" s="25"/>
      <c r="T129" s="34">
        <v>-933</v>
      </c>
      <c r="U129" s="34"/>
      <c r="V129" s="53"/>
      <c r="W129" s="25"/>
      <c r="X129" s="5"/>
    </row>
    <row r="130" spans="1:24" ht="15.6" x14ac:dyDescent="0.3">
      <c r="A130" s="24"/>
      <c r="B130" s="25" t="s">
        <v>192</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191</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233</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190</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39</v>
      </c>
      <c r="C134" s="25"/>
      <c r="D134" s="25"/>
      <c r="E134" s="25"/>
      <c r="F134" s="25"/>
      <c r="G134" s="25"/>
      <c r="H134" s="25"/>
      <c r="I134" s="25"/>
      <c r="J134" s="25"/>
      <c r="K134" s="25"/>
      <c r="L134" s="25"/>
      <c r="M134" s="25"/>
      <c r="N134" s="25"/>
      <c r="O134" s="25"/>
      <c r="P134" s="25"/>
      <c r="Q134" s="25"/>
      <c r="R134" s="25"/>
      <c r="S134" s="25"/>
      <c r="T134" s="34">
        <f>SUM(T123:T133)</f>
        <v>-7924</v>
      </c>
      <c r="U134" s="34"/>
      <c r="V134" s="34">
        <f>SUM(V102:V131)</f>
        <v>-8681</v>
      </c>
      <c r="W134" s="25"/>
      <c r="X134" s="5"/>
    </row>
    <row r="135" spans="1:24" ht="15.6" x14ac:dyDescent="0.3">
      <c r="A135" s="24"/>
      <c r="B135" s="25" t="s">
        <v>40</v>
      </c>
      <c r="C135" s="25"/>
      <c r="D135" s="25"/>
      <c r="E135" s="25"/>
      <c r="F135" s="25"/>
      <c r="G135" s="25"/>
      <c r="H135" s="25"/>
      <c r="I135" s="25"/>
      <c r="J135" s="25"/>
      <c r="K135" s="25"/>
      <c r="L135" s="25"/>
      <c r="M135" s="25"/>
      <c r="N135" s="25"/>
      <c r="O135" s="25"/>
      <c r="P135" s="25"/>
      <c r="Q135" s="25"/>
      <c r="R135" s="25"/>
      <c r="S135" s="25"/>
      <c r="T135" s="34">
        <f>T101+T134+T115</f>
        <v>0</v>
      </c>
      <c r="U135" s="34"/>
      <c r="V135" s="34">
        <f>V101+V134</f>
        <v>0</v>
      </c>
      <c r="W135" s="25"/>
      <c r="X135" s="5"/>
    </row>
    <row r="136" spans="1:24" ht="15.6" x14ac:dyDescent="0.3">
      <c r="A136" s="24"/>
      <c r="B136" s="25"/>
      <c r="C136" s="25"/>
      <c r="D136" s="25"/>
      <c r="E136" s="25"/>
      <c r="F136" s="25"/>
      <c r="G136" s="25"/>
      <c r="H136" s="25"/>
      <c r="I136" s="25"/>
      <c r="J136" s="25"/>
      <c r="K136" s="25"/>
      <c r="L136" s="25"/>
      <c r="M136" s="25"/>
      <c r="N136" s="25"/>
      <c r="O136" s="25"/>
      <c r="P136" s="25"/>
      <c r="Q136" s="25"/>
      <c r="R136" s="25"/>
      <c r="S136" s="25"/>
      <c r="T136" s="34"/>
      <c r="U136" s="34"/>
      <c r="V136" s="34"/>
      <c r="W136" s="25"/>
      <c r="X136" s="5"/>
    </row>
    <row r="137" spans="1:24" ht="15.6" x14ac:dyDescent="0.3">
      <c r="A137" s="6"/>
      <c r="B137" s="8"/>
      <c r="C137" s="8"/>
      <c r="D137" s="8"/>
      <c r="E137" s="8"/>
      <c r="F137" s="8"/>
      <c r="G137" s="8"/>
      <c r="H137" s="8"/>
      <c r="I137" s="8"/>
      <c r="J137" s="8"/>
      <c r="K137" s="8"/>
      <c r="L137" s="8"/>
      <c r="M137" s="8"/>
      <c r="N137" s="8"/>
      <c r="O137" s="8"/>
      <c r="P137" s="8"/>
      <c r="Q137" s="8"/>
      <c r="R137" s="8"/>
      <c r="S137" s="8"/>
      <c r="T137" s="8"/>
      <c r="U137" s="8"/>
      <c r="V137" s="52"/>
      <c r="W137" s="8"/>
      <c r="X137" s="5"/>
    </row>
    <row r="138" spans="1:24" ht="18" thickBot="1" x14ac:dyDescent="0.35">
      <c r="A138" s="101"/>
      <c r="B138" s="102" t="str">
        <f>B64</f>
        <v>PM13 INVESTOR REPORT QUARTER ENDING SEPTEMBER 2009</v>
      </c>
      <c r="C138" s="103"/>
      <c r="D138" s="103"/>
      <c r="E138" s="103"/>
      <c r="F138" s="103"/>
      <c r="G138" s="103"/>
      <c r="H138" s="103"/>
      <c r="I138" s="103"/>
      <c r="J138" s="103"/>
      <c r="K138" s="103"/>
      <c r="L138" s="103"/>
      <c r="M138" s="103"/>
      <c r="N138" s="103"/>
      <c r="O138" s="103"/>
      <c r="P138" s="103"/>
      <c r="Q138" s="103"/>
      <c r="R138" s="103"/>
      <c r="S138" s="103"/>
      <c r="T138" s="103"/>
      <c r="U138" s="103"/>
      <c r="V138" s="106"/>
      <c r="W138" s="105"/>
      <c r="X138" s="5"/>
    </row>
    <row r="139" spans="1:24" ht="15.6" x14ac:dyDescent="0.3">
      <c r="A139" s="2"/>
      <c r="B139" s="60" t="s">
        <v>41</v>
      </c>
      <c r="C139" s="4"/>
      <c r="D139" s="4"/>
      <c r="E139" s="4"/>
      <c r="F139" s="4"/>
      <c r="G139" s="4"/>
      <c r="H139" s="4"/>
      <c r="I139" s="4"/>
      <c r="J139" s="4"/>
      <c r="K139" s="4"/>
      <c r="L139" s="4"/>
      <c r="M139" s="4"/>
      <c r="N139" s="4"/>
      <c r="O139" s="4"/>
      <c r="P139" s="4"/>
      <c r="Q139" s="4"/>
      <c r="R139" s="4"/>
      <c r="S139" s="4"/>
      <c r="T139" s="4"/>
      <c r="U139" s="4"/>
      <c r="V139" s="50"/>
      <c r="W139" s="4"/>
      <c r="X139" s="5"/>
    </row>
    <row r="140" spans="1:24" ht="15.6" x14ac:dyDescent="0.3">
      <c r="A140" s="6"/>
      <c r="B140" s="21"/>
      <c r="C140" s="8"/>
      <c r="D140" s="8"/>
      <c r="E140" s="8"/>
      <c r="F140" s="8"/>
      <c r="G140" s="8"/>
      <c r="H140" s="8"/>
      <c r="I140" s="8"/>
      <c r="J140" s="8"/>
      <c r="K140" s="8"/>
      <c r="L140" s="8"/>
      <c r="M140" s="8"/>
      <c r="N140" s="8"/>
      <c r="O140" s="8"/>
      <c r="P140" s="8"/>
      <c r="Q140" s="8"/>
      <c r="R140" s="8"/>
      <c r="S140" s="8"/>
      <c r="T140" s="8"/>
      <c r="U140" s="8"/>
      <c r="V140" s="52"/>
      <c r="W140" s="8"/>
      <c r="X140" s="5"/>
    </row>
    <row r="141" spans="1:24" ht="15.6" x14ac:dyDescent="0.3">
      <c r="A141" s="6"/>
      <c r="B141" s="119" t="s">
        <v>42</v>
      </c>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24"/>
      <c r="B142" s="25" t="s">
        <v>43</v>
      </c>
      <c r="C142" s="25"/>
      <c r="D142" s="25"/>
      <c r="E142" s="25"/>
      <c r="F142" s="25"/>
      <c r="G142" s="25"/>
      <c r="H142" s="25"/>
      <c r="I142" s="25"/>
      <c r="J142" s="25"/>
      <c r="K142" s="25"/>
      <c r="L142" s="25"/>
      <c r="M142" s="25"/>
      <c r="N142" s="25"/>
      <c r="O142" s="25"/>
      <c r="P142" s="25"/>
      <c r="Q142" s="25"/>
      <c r="R142" s="25"/>
      <c r="S142" s="25"/>
      <c r="T142" s="25"/>
      <c r="U142" s="25"/>
      <c r="V142" s="53">
        <f>+V34*0.019</f>
        <v>28503.61</v>
      </c>
      <c r="W142" s="25"/>
      <c r="X142" s="5"/>
    </row>
    <row r="143" spans="1:24" ht="15.6" x14ac:dyDescent="0.3">
      <c r="A143" s="24"/>
      <c r="B143" s="25" t="s">
        <v>44</v>
      </c>
      <c r="C143" s="25"/>
      <c r="D143" s="25"/>
      <c r="E143" s="25"/>
      <c r="F143" s="25"/>
      <c r="G143" s="25"/>
      <c r="H143" s="25"/>
      <c r="I143" s="25"/>
      <c r="J143" s="25"/>
      <c r="K143" s="25"/>
      <c r="L143" s="25"/>
      <c r="M143" s="25"/>
      <c r="N143" s="25"/>
      <c r="O143" s="25"/>
      <c r="P143" s="25"/>
      <c r="Q143" s="25"/>
      <c r="R143" s="25"/>
      <c r="S143" s="25"/>
      <c r="T143" s="25"/>
      <c r="U143" s="25"/>
      <c r="V143" s="53">
        <v>28504</v>
      </c>
      <c r="W143" s="25"/>
      <c r="X143" s="5"/>
    </row>
    <row r="144" spans="1:24" ht="15.6" x14ac:dyDescent="0.3">
      <c r="A144" s="24"/>
      <c r="B144" s="25" t="s">
        <v>139</v>
      </c>
      <c r="C144" s="25"/>
      <c r="D144" s="25"/>
      <c r="E144" s="25"/>
      <c r="F144" s="25"/>
      <c r="G144" s="25"/>
      <c r="H144" s="25"/>
      <c r="I144" s="25"/>
      <c r="J144" s="25"/>
      <c r="K144" s="25"/>
      <c r="L144" s="25"/>
      <c r="M144" s="25"/>
      <c r="N144" s="25"/>
      <c r="O144" s="25"/>
      <c r="P144" s="25"/>
      <c r="Q144" s="25"/>
      <c r="R144" s="25"/>
      <c r="S144" s="25"/>
      <c r="T144" s="25"/>
      <c r="U144" s="25"/>
      <c r="V144" s="53"/>
      <c r="W144" s="25"/>
      <c r="X144" s="5"/>
    </row>
    <row r="145" spans="1:25" ht="15.6" x14ac:dyDescent="0.3">
      <c r="A145" s="24"/>
      <c r="B145" s="25" t="s">
        <v>126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127</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178</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45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132</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267</v>
      </c>
      <c r="C150" s="25"/>
      <c r="D150" s="25"/>
      <c r="E150" s="25"/>
      <c r="F150" s="25"/>
      <c r="G150" s="25"/>
      <c r="H150" s="25"/>
      <c r="I150" s="25"/>
      <c r="J150" s="25"/>
      <c r="K150" s="25"/>
      <c r="L150" s="25"/>
      <c r="M150" s="25"/>
      <c r="N150" s="25"/>
      <c r="O150" s="25"/>
      <c r="P150" s="25"/>
      <c r="Q150" s="25"/>
      <c r="R150" s="25"/>
      <c r="S150" s="25"/>
      <c r="T150" s="25"/>
      <c r="U150" s="25"/>
      <c r="V150" s="53">
        <v>0</v>
      </c>
      <c r="W150" s="25"/>
      <c r="X150" s="5"/>
      <c r="Y150" s="109"/>
    </row>
    <row r="151" spans="1:25" ht="15.6" x14ac:dyDescent="0.3">
      <c r="A151" s="24"/>
      <c r="B151" s="25" t="s">
        <v>46</v>
      </c>
      <c r="C151" s="25"/>
      <c r="D151" s="25"/>
      <c r="E151" s="25"/>
      <c r="F151" s="25"/>
      <c r="G151" s="25"/>
      <c r="H151" s="25"/>
      <c r="I151" s="25"/>
      <c r="J151" s="25"/>
      <c r="K151" s="25"/>
      <c r="L151" s="25"/>
      <c r="M151" s="25"/>
      <c r="N151" s="25"/>
      <c r="O151" s="25"/>
      <c r="P151" s="25"/>
      <c r="Q151" s="25"/>
      <c r="R151" s="25"/>
      <c r="S151" s="25"/>
      <c r="T151" s="25"/>
      <c r="U151" s="25"/>
      <c r="V151" s="53">
        <f>SUM(V143:V150)</f>
        <v>28504</v>
      </c>
      <c r="W151" s="25"/>
      <c r="X151" s="5"/>
    </row>
    <row r="152" spans="1:25" ht="15.6" x14ac:dyDescent="0.3">
      <c r="A152" s="24"/>
      <c r="B152" s="25"/>
      <c r="C152" s="25"/>
      <c r="D152" s="25"/>
      <c r="E152" s="25"/>
      <c r="F152" s="25"/>
      <c r="G152" s="25"/>
      <c r="H152" s="25"/>
      <c r="I152" s="25"/>
      <c r="J152" s="25"/>
      <c r="K152" s="25"/>
      <c r="L152" s="25"/>
      <c r="M152" s="25"/>
      <c r="N152" s="25"/>
      <c r="O152" s="25"/>
      <c r="P152" s="25"/>
      <c r="Q152" s="25"/>
      <c r="R152" s="25"/>
      <c r="S152" s="25"/>
      <c r="T152" s="25"/>
      <c r="U152" s="25"/>
      <c r="V152" s="53"/>
      <c r="W152" s="25"/>
      <c r="X152" s="5"/>
    </row>
    <row r="153" spans="1:25" ht="15.6" x14ac:dyDescent="0.3">
      <c r="A153" s="24"/>
      <c r="B153" s="138" t="s">
        <v>268</v>
      </c>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25" t="s">
        <v>158</v>
      </c>
      <c r="C154" s="25"/>
      <c r="D154" s="25"/>
      <c r="E154" s="25"/>
      <c r="F154" s="25"/>
      <c r="G154" s="25"/>
      <c r="H154" s="25"/>
      <c r="I154" s="25"/>
      <c r="J154" s="25"/>
      <c r="K154" s="25"/>
      <c r="L154" s="25"/>
      <c r="M154" s="25"/>
      <c r="N154" s="25"/>
      <c r="O154" s="25"/>
      <c r="P154" s="25"/>
      <c r="Q154" s="25"/>
      <c r="R154" s="25"/>
      <c r="S154" s="25"/>
      <c r="T154" s="25"/>
      <c r="U154" s="25"/>
      <c r="V154" s="53">
        <v>15000</v>
      </c>
      <c r="W154" s="25"/>
      <c r="X154" s="5"/>
    </row>
    <row r="155" spans="1:25" ht="15.6" x14ac:dyDescent="0.3">
      <c r="A155" s="24"/>
      <c r="B155" s="25" t="s">
        <v>175</v>
      </c>
      <c r="C155" s="25"/>
      <c r="D155" s="25"/>
      <c r="E155" s="25"/>
      <c r="F155" s="25"/>
      <c r="G155" s="25"/>
      <c r="H155" s="25"/>
      <c r="I155" s="25"/>
      <c r="J155" s="25"/>
      <c r="K155" s="25"/>
      <c r="L155" s="25"/>
      <c r="M155" s="25"/>
      <c r="N155" s="25"/>
      <c r="O155" s="25"/>
      <c r="P155" s="25"/>
      <c r="Q155" s="25"/>
      <c r="R155" s="25"/>
      <c r="S155" s="25"/>
      <c r="T155" s="25"/>
      <c r="U155" s="25"/>
      <c r="V155" s="53">
        <v>0</v>
      </c>
      <c r="W155" s="25"/>
      <c r="X155" s="5"/>
    </row>
    <row r="156" spans="1:25" ht="15.6" x14ac:dyDescent="0.3">
      <c r="A156" s="24"/>
      <c r="B156" s="25" t="s">
        <v>272</v>
      </c>
      <c r="C156" s="25"/>
      <c r="D156" s="25"/>
      <c r="E156" s="25"/>
      <c r="F156" s="25"/>
      <c r="G156" s="25"/>
      <c r="H156" s="25"/>
      <c r="I156" s="25"/>
      <c r="J156" s="25"/>
      <c r="K156" s="25"/>
      <c r="L156" s="25"/>
      <c r="M156" s="25"/>
      <c r="N156" s="25"/>
      <c r="O156" s="25"/>
      <c r="P156" s="25"/>
      <c r="Q156" s="25"/>
      <c r="R156" s="25"/>
      <c r="S156" s="25"/>
      <c r="T156" s="25"/>
      <c r="U156" s="25"/>
      <c r="V156" s="53">
        <v>6000</v>
      </c>
      <c r="W156" s="25"/>
      <c r="X156" s="5"/>
    </row>
    <row r="157" spans="1:25" ht="15.6" x14ac:dyDescent="0.3">
      <c r="A157" s="24"/>
      <c r="B157" s="25"/>
      <c r="C157" s="25"/>
      <c r="D157" s="25"/>
      <c r="E157" s="25"/>
      <c r="F157" s="25"/>
      <c r="G157" s="25"/>
      <c r="H157" s="25"/>
      <c r="I157" s="25"/>
      <c r="J157" s="25"/>
      <c r="K157" s="25"/>
      <c r="L157" s="25"/>
      <c r="M157" s="25"/>
      <c r="N157" s="25"/>
      <c r="O157" s="25"/>
      <c r="P157" s="25"/>
      <c r="Q157" s="25"/>
      <c r="R157" s="25"/>
      <c r="S157" s="25"/>
      <c r="T157" s="25"/>
      <c r="U157" s="25"/>
      <c r="V157" s="53"/>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61"/>
      <c r="W158" s="25"/>
      <c r="X158" s="5"/>
    </row>
    <row r="159" spans="1:25" ht="15.6" x14ac:dyDescent="0.3">
      <c r="A159" s="6"/>
      <c r="B159" s="119" t="s">
        <v>24</v>
      </c>
      <c r="C159" s="8"/>
      <c r="D159" s="8"/>
      <c r="E159" s="8"/>
      <c r="F159" s="8"/>
      <c r="G159" s="8"/>
      <c r="H159" s="8"/>
      <c r="I159" s="8"/>
      <c r="J159" s="8"/>
      <c r="K159" s="8"/>
      <c r="L159" s="8"/>
      <c r="M159" s="8"/>
      <c r="N159" s="8"/>
      <c r="O159" s="8"/>
      <c r="P159" s="8"/>
      <c r="Q159" s="8"/>
      <c r="R159" s="8"/>
      <c r="S159" s="8"/>
      <c r="T159" s="8"/>
      <c r="U159" s="8"/>
      <c r="V159" s="52"/>
      <c r="W159" s="8"/>
      <c r="X159" s="5"/>
    </row>
    <row r="160" spans="1:25" ht="15.6" x14ac:dyDescent="0.3">
      <c r="A160" s="24"/>
      <c r="B160" s="25" t="s">
        <v>47</v>
      </c>
      <c r="C160" s="25"/>
      <c r="D160" s="25"/>
      <c r="E160" s="25"/>
      <c r="F160" s="25"/>
      <c r="G160" s="25"/>
      <c r="H160" s="25"/>
      <c r="I160" s="25"/>
      <c r="J160" s="25"/>
      <c r="K160" s="25"/>
      <c r="L160" s="25"/>
      <c r="M160" s="25"/>
      <c r="N160" s="25"/>
      <c r="O160" s="25"/>
      <c r="P160" s="25"/>
      <c r="Q160" s="25"/>
      <c r="R160" s="25"/>
      <c r="S160" s="25"/>
      <c r="T160" s="25"/>
      <c r="U160" s="25"/>
      <c r="V160" s="59" t="s">
        <v>121</v>
      </c>
      <c r="W160" s="25"/>
      <c r="X160" s="5"/>
    </row>
    <row r="161" spans="1:24" ht="15.6" x14ac:dyDescent="0.3">
      <c r="A161" s="24"/>
      <c r="B161" s="25" t="s">
        <v>48</v>
      </c>
      <c r="C161" s="163"/>
      <c r="D161" s="163"/>
      <c r="E161" s="163"/>
      <c r="F161" s="163"/>
      <c r="G161" s="163"/>
      <c r="H161" s="163"/>
      <c r="I161" s="163"/>
      <c r="J161" s="163"/>
      <c r="K161" s="163"/>
      <c r="L161" s="163"/>
      <c r="M161" s="163"/>
      <c r="N161" s="163"/>
      <c r="O161" s="163"/>
      <c r="P161" s="163"/>
      <c r="Q161" s="163"/>
      <c r="R161" s="163"/>
      <c r="S161" s="163"/>
      <c r="T161" s="163"/>
      <c r="U161" s="163"/>
      <c r="V161" s="59" t="s">
        <v>121</v>
      </c>
      <c r="W161" s="25"/>
      <c r="X161" s="5"/>
    </row>
    <row r="162" spans="1:24" ht="15.6" x14ac:dyDescent="0.3">
      <c r="A162" s="24"/>
      <c r="B162" s="25" t="s">
        <v>49</v>
      </c>
      <c r="C162" s="25"/>
      <c r="D162" s="25"/>
      <c r="E162" s="25"/>
      <c r="F162" s="25"/>
      <c r="G162" s="25"/>
      <c r="H162" s="25"/>
      <c r="I162" s="25"/>
      <c r="J162" s="25"/>
      <c r="K162" s="25"/>
      <c r="L162" s="25"/>
      <c r="M162" s="25"/>
      <c r="N162" s="25"/>
      <c r="O162" s="25"/>
      <c r="P162" s="25"/>
      <c r="Q162" s="25"/>
      <c r="R162" s="25"/>
      <c r="S162" s="25"/>
      <c r="T162" s="25"/>
      <c r="U162" s="25"/>
      <c r="V162" s="59" t="s">
        <v>121</v>
      </c>
      <c r="W162" s="25"/>
      <c r="X162" s="5"/>
    </row>
    <row r="163" spans="1:24" ht="15.6" x14ac:dyDescent="0.3">
      <c r="A163" s="24"/>
      <c r="B163" s="25" t="s">
        <v>50</v>
      </c>
      <c r="C163" s="25"/>
      <c r="D163" s="25"/>
      <c r="E163" s="25"/>
      <c r="F163" s="25"/>
      <c r="G163" s="25"/>
      <c r="H163" s="25"/>
      <c r="I163" s="25"/>
      <c r="J163" s="25"/>
      <c r="K163" s="25"/>
      <c r="L163" s="25"/>
      <c r="M163" s="25"/>
      <c r="N163" s="25"/>
      <c r="O163" s="25"/>
      <c r="P163" s="25"/>
      <c r="Q163" s="25"/>
      <c r="R163" s="25"/>
      <c r="S163" s="25"/>
      <c r="T163" s="25"/>
      <c r="U163" s="25"/>
      <c r="V163" s="59" t="s">
        <v>121</v>
      </c>
      <c r="W163" s="25"/>
      <c r="X163" s="5"/>
    </row>
    <row r="164" spans="1:24" ht="15.6" x14ac:dyDescent="0.3">
      <c r="A164" s="24"/>
      <c r="B164" s="25"/>
      <c r="C164" s="25"/>
      <c r="D164" s="25"/>
      <c r="E164" s="25"/>
      <c r="F164" s="25"/>
      <c r="G164" s="25"/>
      <c r="H164" s="25"/>
      <c r="I164" s="25"/>
      <c r="J164" s="25"/>
      <c r="K164" s="25"/>
      <c r="L164" s="25"/>
      <c r="M164" s="25"/>
      <c r="N164" s="25"/>
      <c r="O164" s="25"/>
      <c r="P164" s="25"/>
      <c r="Q164" s="25"/>
      <c r="R164" s="25"/>
      <c r="S164" s="25"/>
      <c r="T164" s="25"/>
      <c r="U164" s="25"/>
      <c r="V164" s="61"/>
      <c r="W164" s="25"/>
      <c r="X164" s="5"/>
    </row>
    <row r="165" spans="1:24" ht="15.6" x14ac:dyDescent="0.3">
      <c r="A165" s="6"/>
      <c r="B165" s="119" t="s">
        <v>51</v>
      </c>
      <c r="C165" s="8"/>
      <c r="D165" s="8"/>
      <c r="E165" s="8"/>
      <c r="F165" s="8"/>
      <c r="G165" s="8"/>
      <c r="H165" s="8"/>
      <c r="I165" s="8"/>
      <c r="J165" s="8"/>
      <c r="K165" s="8"/>
      <c r="L165" s="8"/>
      <c r="M165" s="8"/>
      <c r="N165" s="8"/>
      <c r="O165" s="8"/>
      <c r="P165" s="8"/>
      <c r="Q165" s="8"/>
      <c r="R165" s="8"/>
      <c r="S165" s="8"/>
      <c r="T165" s="8"/>
      <c r="U165" s="8"/>
      <c r="V165" s="63"/>
      <c r="W165" s="8"/>
      <c r="X165" s="5"/>
    </row>
    <row r="166" spans="1:24" ht="15.6" x14ac:dyDescent="0.3">
      <c r="A166" s="24"/>
      <c r="B166" s="25" t="s">
        <v>52</v>
      </c>
      <c r="C166" s="25"/>
      <c r="D166" s="25"/>
      <c r="E166" s="25"/>
      <c r="F166" s="25"/>
      <c r="G166" s="25"/>
      <c r="H166" s="25"/>
      <c r="I166" s="25"/>
      <c r="J166" s="25"/>
      <c r="K166" s="25"/>
      <c r="L166" s="25"/>
      <c r="M166" s="25"/>
      <c r="N166" s="25"/>
      <c r="O166" s="25"/>
      <c r="P166" s="25"/>
      <c r="Q166" s="25"/>
      <c r="R166" s="25"/>
      <c r="S166" s="25"/>
      <c r="T166" s="25"/>
      <c r="U166" s="25"/>
      <c r="V166" s="53">
        <v>0</v>
      </c>
      <c r="W166" s="25"/>
      <c r="X166" s="5"/>
    </row>
    <row r="167" spans="1:24" ht="15.6" x14ac:dyDescent="0.3">
      <c r="A167" s="24"/>
      <c r="B167" s="25" t="s">
        <v>53</v>
      </c>
      <c r="C167" s="25"/>
      <c r="D167" s="25"/>
      <c r="E167" s="25"/>
      <c r="F167" s="25"/>
      <c r="G167" s="25"/>
      <c r="H167" s="25"/>
      <c r="I167" s="25"/>
      <c r="J167" s="25"/>
      <c r="K167" s="25"/>
      <c r="L167" s="25"/>
      <c r="M167" s="25"/>
      <c r="N167" s="25"/>
      <c r="O167" s="25"/>
      <c r="P167" s="25"/>
      <c r="Q167" s="25"/>
      <c r="R167" s="25"/>
      <c r="S167" s="25"/>
      <c r="T167" s="25"/>
      <c r="U167" s="25"/>
      <c r="V167" s="53">
        <v>132</v>
      </c>
      <c r="W167" s="25"/>
      <c r="X167" s="5"/>
    </row>
    <row r="168" spans="1:24" ht="15.6" x14ac:dyDescent="0.3">
      <c r="A168" s="24"/>
      <c r="B168" s="25" t="s">
        <v>54</v>
      </c>
      <c r="C168" s="25"/>
      <c r="D168" s="25"/>
      <c r="E168" s="25"/>
      <c r="F168" s="25"/>
      <c r="G168" s="25"/>
      <c r="H168" s="25"/>
      <c r="I168" s="25"/>
      <c r="J168" s="25"/>
      <c r="K168" s="25"/>
      <c r="L168" s="25"/>
      <c r="M168" s="25"/>
      <c r="N168" s="25"/>
      <c r="O168" s="25"/>
      <c r="P168" s="25"/>
      <c r="Q168" s="25"/>
      <c r="R168" s="25"/>
      <c r="S168" s="25"/>
      <c r="T168" s="25"/>
      <c r="U168" s="25"/>
      <c r="V168" s="53">
        <f>V167+V166</f>
        <v>132</v>
      </c>
      <c r="W168" s="25"/>
      <c r="X168" s="5"/>
    </row>
    <row r="169" spans="1:24" ht="15.6" x14ac:dyDescent="0.3">
      <c r="A169" s="24"/>
      <c r="B169" s="391" t="s">
        <v>318</v>
      </c>
      <c r="C169" s="25"/>
      <c r="D169" s="25"/>
      <c r="E169" s="25"/>
      <c r="F169" s="25"/>
      <c r="G169" s="25"/>
      <c r="H169" s="25"/>
      <c r="I169" s="25"/>
      <c r="J169" s="25"/>
      <c r="K169" s="25"/>
      <c r="L169" s="25"/>
      <c r="M169" s="25"/>
      <c r="N169" s="25"/>
      <c r="O169" s="25"/>
      <c r="P169" s="25"/>
      <c r="Q169" s="25"/>
      <c r="R169" s="25"/>
      <c r="S169" s="25"/>
      <c r="T169" s="25"/>
      <c r="U169" s="25"/>
      <c r="V169" s="53">
        <f>V115</f>
        <v>-132</v>
      </c>
      <c r="W169" s="25"/>
      <c r="X169" s="5"/>
    </row>
    <row r="170" spans="1:24" ht="15.6" x14ac:dyDescent="0.3">
      <c r="A170" s="24"/>
      <c r="B170" s="25" t="s">
        <v>55</v>
      </c>
      <c r="C170" s="25"/>
      <c r="D170" s="25"/>
      <c r="E170" s="25"/>
      <c r="F170" s="25"/>
      <c r="G170" s="25"/>
      <c r="H170" s="25"/>
      <c r="I170" s="25"/>
      <c r="J170" s="25"/>
      <c r="K170" s="25"/>
      <c r="L170" s="25"/>
      <c r="M170" s="25"/>
      <c r="N170" s="25"/>
      <c r="O170" s="25"/>
      <c r="P170" s="25"/>
      <c r="Q170" s="25"/>
      <c r="R170" s="25"/>
      <c r="S170" s="25"/>
      <c r="T170" s="25"/>
      <c r="U170" s="25"/>
      <c r="V170" s="53">
        <f>V168+V169</f>
        <v>0</v>
      </c>
      <c r="W170" s="25"/>
      <c r="X170" s="5"/>
    </row>
    <row r="171" spans="1:24" ht="16.2" thickBot="1" x14ac:dyDescent="0.35">
      <c r="A171" s="24"/>
      <c r="B171" s="25"/>
      <c r="C171" s="25"/>
      <c r="D171" s="25"/>
      <c r="E171" s="25"/>
      <c r="F171" s="25"/>
      <c r="G171" s="25"/>
      <c r="H171" s="25"/>
      <c r="I171" s="25"/>
      <c r="J171" s="25"/>
      <c r="K171" s="25"/>
      <c r="L171" s="25"/>
      <c r="M171" s="25"/>
      <c r="N171" s="25"/>
      <c r="O171" s="25"/>
      <c r="P171" s="25"/>
      <c r="Q171" s="25"/>
      <c r="R171" s="25"/>
      <c r="S171" s="25"/>
      <c r="T171" s="25"/>
      <c r="U171" s="25"/>
      <c r="V171" s="61"/>
      <c r="W171" s="25"/>
      <c r="X171" s="5"/>
    </row>
    <row r="172" spans="1:24" ht="15.6" x14ac:dyDescent="0.3">
      <c r="A172" s="2"/>
      <c r="B172" s="4"/>
      <c r="C172" s="4"/>
      <c r="D172" s="4"/>
      <c r="E172" s="4"/>
      <c r="F172" s="4"/>
      <c r="G172" s="4"/>
      <c r="H172" s="4"/>
      <c r="I172" s="4"/>
      <c r="J172" s="4"/>
      <c r="K172" s="4"/>
      <c r="L172" s="4"/>
      <c r="M172" s="4"/>
      <c r="N172" s="4"/>
      <c r="O172" s="4"/>
      <c r="P172" s="4"/>
      <c r="Q172" s="4"/>
      <c r="R172" s="4"/>
      <c r="S172" s="4"/>
      <c r="T172" s="4"/>
      <c r="U172" s="4"/>
      <c r="V172" s="50"/>
      <c r="W172" s="4"/>
      <c r="X172" s="5"/>
    </row>
    <row r="173" spans="1:24" ht="15.6" x14ac:dyDescent="0.3">
      <c r="A173" s="6"/>
      <c r="B173" s="119" t="s">
        <v>56</v>
      </c>
      <c r="C173" s="8"/>
      <c r="D173" s="8"/>
      <c r="E173" s="8"/>
      <c r="F173" s="8"/>
      <c r="G173" s="8"/>
      <c r="H173" s="8"/>
      <c r="I173" s="8"/>
      <c r="J173" s="8"/>
      <c r="K173" s="8"/>
      <c r="L173" s="8"/>
      <c r="M173" s="8"/>
      <c r="N173" s="8"/>
      <c r="O173" s="8"/>
      <c r="P173" s="8"/>
      <c r="Q173" s="8"/>
      <c r="R173" s="8"/>
      <c r="S173" s="8"/>
      <c r="T173" s="8"/>
      <c r="U173" s="8"/>
      <c r="V173" s="52"/>
      <c r="W173" s="8"/>
      <c r="X173" s="5"/>
    </row>
    <row r="174" spans="1:24" ht="15.6" x14ac:dyDescent="0.3">
      <c r="A174" s="6"/>
      <c r="B174" s="21"/>
      <c r="C174" s="8"/>
      <c r="D174" s="8"/>
      <c r="E174" s="8"/>
      <c r="F174" s="8"/>
      <c r="G174" s="8"/>
      <c r="H174" s="8"/>
      <c r="I174" s="8"/>
      <c r="J174" s="8"/>
      <c r="K174" s="8"/>
      <c r="L174" s="8"/>
      <c r="M174" s="8"/>
      <c r="N174" s="8"/>
      <c r="O174" s="8"/>
      <c r="P174" s="8"/>
      <c r="Q174" s="8"/>
      <c r="R174" s="8"/>
      <c r="S174" s="8"/>
      <c r="T174" s="8"/>
      <c r="U174" s="8"/>
      <c r="V174" s="52"/>
      <c r="W174" s="8"/>
      <c r="X174" s="5"/>
    </row>
    <row r="175" spans="1:24" ht="15.6" x14ac:dyDescent="0.3">
      <c r="A175" s="24"/>
      <c r="B175" s="25" t="s">
        <v>57</v>
      </c>
      <c r="C175" s="25"/>
      <c r="D175" s="25"/>
      <c r="E175" s="25"/>
      <c r="F175" s="25"/>
      <c r="G175" s="25"/>
      <c r="H175" s="25"/>
      <c r="I175" s="25"/>
      <c r="J175" s="25"/>
      <c r="K175" s="25"/>
      <c r="L175" s="25"/>
      <c r="M175" s="25"/>
      <c r="N175" s="25"/>
      <c r="O175" s="25"/>
      <c r="P175" s="25"/>
      <c r="Q175" s="25"/>
      <c r="R175" s="25"/>
      <c r="S175" s="25"/>
      <c r="T175" s="25"/>
      <c r="U175" s="25"/>
      <c r="V175" s="53">
        <f>V72</f>
        <v>1067650</v>
      </c>
      <c r="W175" s="25"/>
      <c r="X175" s="5"/>
    </row>
    <row r="176" spans="1:24" ht="15.6" x14ac:dyDescent="0.3">
      <c r="A176" s="24"/>
      <c r="B176" s="25" t="s">
        <v>58</v>
      </c>
      <c r="C176" s="25"/>
      <c r="D176" s="25"/>
      <c r="E176" s="25"/>
      <c r="F176" s="25"/>
      <c r="G176" s="25"/>
      <c r="H176" s="25"/>
      <c r="I176" s="25"/>
      <c r="J176" s="25"/>
      <c r="K176" s="25"/>
      <c r="L176" s="25"/>
      <c r="M176" s="25"/>
      <c r="N176" s="25"/>
      <c r="O176" s="25"/>
      <c r="P176" s="25"/>
      <c r="Q176" s="25"/>
      <c r="R176" s="25"/>
      <c r="S176" s="25"/>
      <c r="T176" s="25"/>
      <c r="U176" s="25"/>
      <c r="V176" s="53">
        <f>V85</f>
        <v>1067650</v>
      </c>
      <c r="W176" s="25"/>
      <c r="X176" s="5"/>
    </row>
    <row r="177" spans="1:24" ht="16.2" thickBot="1" x14ac:dyDescent="0.35">
      <c r="A177" s="24"/>
      <c r="B177" s="25"/>
      <c r="C177" s="25"/>
      <c r="D177" s="25"/>
      <c r="E177" s="25"/>
      <c r="F177" s="25"/>
      <c r="G177" s="25"/>
      <c r="H177" s="25"/>
      <c r="I177" s="25"/>
      <c r="J177" s="25"/>
      <c r="K177" s="25"/>
      <c r="L177" s="25"/>
      <c r="M177" s="25"/>
      <c r="N177" s="25"/>
      <c r="O177" s="25"/>
      <c r="P177" s="25"/>
      <c r="Q177" s="25"/>
      <c r="R177" s="25"/>
      <c r="S177" s="25"/>
      <c r="T177" s="25"/>
      <c r="U177" s="25"/>
      <c r="V177" s="61"/>
      <c r="W177" s="25"/>
      <c r="X177" s="5"/>
    </row>
    <row r="178" spans="1:24" ht="15.6" x14ac:dyDescent="0.3">
      <c r="A178" s="2"/>
      <c r="B178" s="4"/>
      <c r="C178" s="4"/>
      <c r="D178" s="4"/>
      <c r="E178" s="4"/>
      <c r="F178" s="4"/>
      <c r="G178" s="4"/>
      <c r="H178" s="4"/>
      <c r="I178" s="4"/>
      <c r="J178" s="4"/>
      <c r="K178" s="4"/>
      <c r="L178" s="4"/>
      <c r="M178" s="4"/>
      <c r="N178" s="4"/>
      <c r="O178" s="4"/>
      <c r="P178" s="4"/>
      <c r="Q178" s="4"/>
      <c r="R178" s="4"/>
      <c r="S178" s="4"/>
      <c r="T178" s="4"/>
      <c r="U178" s="4"/>
      <c r="V178" s="50"/>
      <c r="W178" s="4"/>
      <c r="X178" s="5"/>
    </row>
    <row r="179" spans="1:24" ht="15.6" x14ac:dyDescent="0.3">
      <c r="A179" s="6"/>
      <c r="B179" s="119" t="s">
        <v>59</v>
      </c>
      <c r="C179" s="117"/>
      <c r="D179" s="117"/>
      <c r="E179" s="117"/>
      <c r="F179" s="117"/>
      <c r="G179" s="117"/>
      <c r="H179" s="120"/>
      <c r="I179" s="120"/>
      <c r="J179" s="120"/>
      <c r="K179" s="120"/>
      <c r="L179" s="120"/>
      <c r="M179" s="120"/>
      <c r="N179" s="120"/>
      <c r="O179" s="120"/>
      <c r="P179" s="120"/>
      <c r="Q179" s="120"/>
      <c r="R179" s="120"/>
      <c r="S179" s="120" t="s">
        <v>102</v>
      </c>
      <c r="T179" s="120" t="s">
        <v>179</v>
      </c>
      <c r="U179" s="111"/>
      <c r="V179" s="121" t="s">
        <v>117</v>
      </c>
      <c r="W179" s="10"/>
      <c r="X179" s="5"/>
    </row>
    <row r="180" spans="1:24" ht="15.6" x14ac:dyDescent="0.3">
      <c r="A180" s="24"/>
      <c r="B180" s="25" t="s">
        <v>60</v>
      </c>
      <c r="C180" s="25"/>
      <c r="D180" s="25"/>
      <c r="E180" s="25"/>
      <c r="F180" s="25"/>
      <c r="G180" s="25"/>
      <c r="H180" s="25"/>
      <c r="I180" s="25"/>
      <c r="J180" s="25"/>
      <c r="K180" s="25"/>
      <c r="L180" s="25"/>
      <c r="M180" s="25"/>
      <c r="N180" s="25"/>
      <c r="O180" s="25"/>
      <c r="P180" s="25"/>
      <c r="Q180" s="25"/>
      <c r="R180" s="25"/>
      <c r="S180" s="53">
        <f>+V34*0.16</f>
        <v>240030.4</v>
      </c>
      <c r="T180" s="40"/>
      <c r="U180" s="25"/>
      <c r="V180" s="53"/>
      <c r="W180" s="25"/>
      <c r="X180" s="5"/>
    </row>
    <row r="181" spans="1:24" ht="15.6" x14ac:dyDescent="0.3">
      <c r="A181" s="24"/>
      <c r="B181" s="25" t="s">
        <v>61</v>
      </c>
      <c r="C181" s="25"/>
      <c r="D181" s="25"/>
      <c r="E181" s="25"/>
      <c r="F181" s="25"/>
      <c r="G181" s="25"/>
      <c r="H181" s="25"/>
      <c r="I181" s="25"/>
      <c r="J181" s="25"/>
      <c r="K181" s="25"/>
      <c r="L181" s="25"/>
      <c r="M181" s="25"/>
      <c r="N181" s="25"/>
      <c r="O181" s="25"/>
      <c r="P181" s="25"/>
      <c r="Q181" s="25"/>
      <c r="R181" s="25"/>
      <c r="S181" s="53">
        <f>+'June 09'!S183</f>
        <v>41052</v>
      </c>
      <c r="T181" s="53">
        <f>+'June 09'!T183</f>
        <v>8269</v>
      </c>
      <c r="U181" s="25"/>
      <c r="V181" s="53">
        <f>S181+T181</f>
        <v>49321</v>
      </c>
      <c r="W181" s="25"/>
      <c r="X181" s="5"/>
    </row>
    <row r="182" spans="1:24" ht="15.6" x14ac:dyDescent="0.3">
      <c r="A182" s="24"/>
      <c r="B182" s="25" t="s">
        <v>62</v>
      </c>
      <c r="C182" s="25"/>
      <c r="D182" s="25"/>
      <c r="E182" s="25"/>
      <c r="F182" s="25"/>
      <c r="G182" s="25"/>
      <c r="H182" s="25"/>
      <c r="I182" s="25"/>
      <c r="J182" s="25"/>
      <c r="K182" s="25"/>
      <c r="L182" s="25"/>
      <c r="M182" s="25"/>
      <c r="N182" s="25"/>
      <c r="O182" s="25"/>
      <c r="P182" s="25"/>
      <c r="Q182" s="25"/>
      <c r="R182" s="25"/>
      <c r="S182" s="34">
        <f>696+579-328</f>
        <v>947</v>
      </c>
      <c r="T182" s="34">
        <v>28</v>
      </c>
      <c r="U182" s="25"/>
      <c r="V182" s="53">
        <f>S182+T182</f>
        <v>975</v>
      </c>
      <c r="W182" s="25"/>
      <c r="X182" s="5"/>
    </row>
    <row r="183" spans="1:24" ht="15.6" x14ac:dyDescent="0.3">
      <c r="A183" s="24"/>
      <c r="B183" s="25" t="s">
        <v>63</v>
      </c>
      <c r="C183" s="25"/>
      <c r="D183" s="25"/>
      <c r="E183" s="25"/>
      <c r="F183" s="25"/>
      <c r="G183" s="25"/>
      <c r="H183" s="25"/>
      <c r="I183" s="25"/>
      <c r="J183" s="25"/>
      <c r="K183" s="25"/>
      <c r="L183" s="25"/>
      <c r="M183" s="25"/>
      <c r="N183" s="25"/>
      <c r="O183" s="25"/>
      <c r="P183" s="25"/>
      <c r="Q183" s="25"/>
      <c r="R183" s="25"/>
      <c r="S183" s="53">
        <f>S181+S182</f>
        <v>41999</v>
      </c>
      <c r="T183" s="53">
        <f>T182+T181</f>
        <v>8297</v>
      </c>
      <c r="U183" s="25"/>
      <c r="V183" s="53">
        <f>S183+T183</f>
        <v>50296</v>
      </c>
      <c r="W183" s="25"/>
      <c r="X183" s="5"/>
    </row>
    <row r="184" spans="1:24" ht="15.6" x14ac:dyDescent="0.3">
      <c r="A184" s="24"/>
      <c r="B184" s="25" t="s">
        <v>64</v>
      </c>
      <c r="C184" s="25"/>
      <c r="D184" s="25"/>
      <c r="E184" s="25"/>
      <c r="F184" s="25"/>
      <c r="G184" s="25"/>
      <c r="H184" s="25"/>
      <c r="I184" s="25"/>
      <c r="J184" s="25"/>
      <c r="K184" s="25"/>
      <c r="L184" s="25"/>
      <c r="M184" s="25"/>
      <c r="N184" s="25"/>
      <c r="O184" s="25"/>
      <c r="P184" s="25"/>
      <c r="Q184" s="25"/>
      <c r="R184" s="25"/>
      <c r="S184" s="53">
        <f>S180-S183-T183</f>
        <v>189734.39999999999</v>
      </c>
      <c r="T184" s="40"/>
      <c r="U184" s="25"/>
      <c r="V184" s="53"/>
      <c r="W184" s="25"/>
      <c r="X184" s="5"/>
    </row>
    <row r="185" spans="1:24" ht="16.2" thickBot="1" x14ac:dyDescent="0.35">
      <c r="A185" s="24"/>
      <c r="B185" s="25"/>
      <c r="C185" s="25"/>
      <c r="D185" s="25"/>
      <c r="E185" s="25"/>
      <c r="F185" s="25"/>
      <c r="G185" s="25"/>
      <c r="H185" s="25"/>
      <c r="I185" s="25"/>
      <c r="J185" s="25"/>
      <c r="K185" s="25"/>
      <c r="L185" s="25"/>
      <c r="M185" s="25"/>
      <c r="N185" s="25"/>
      <c r="O185" s="25"/>
      <c r="P185" s="25"/>
      <c r="Q185" s="25"/>
      <c r="R185" s="25"/>
      <c r="S185" s="25"/>
      <c r="T185" s="25"/>
      <c r="U185" s="25"/>
      <c r="V185" s="61"/>
      <c r="W185" s="25"/>
      <c r="X185" s="5"/>
    </row>
    <row r="186" spans="1:24" ht="15.6" x14ac:dyDescent="0.3">
      <c r="A186" s="2"/>
      <c r="B186" s="4"/>
      <c r="C186" s="4"/>
      <c r="D186" s="4"/>
      <c r="E186" s="4"/>
      <c r="F186" s="4"/>
      <c r="G186" s="4"/>
      <c r="H186" s="4"/>
      <c r="I186" s="4"/>
      <c r="J186" s="4"/>
      <c r="K186" s="4"/>
      <c r="L186" s="4"/>
      <c r="M186" s="4"/>
      <c r="N186" s="4"/>
      <c r="O186" s="4"/>
      <c r="P186" s="4"/>
      <c r="Q186" s="4"/>
      <c r="R186" s="4"/>
      <c r="S186" s="4"/>
      <c r="T186" s="4"/>
      <c r="U186" s="4"/>
      <c r="V186" s="50"/>
      <c r="W186" s="4"/>
      <c r="X186" s="5"/>
    </row>
    <row r="187" spans="1:24" ht="15.6" x14ac:dyDescent="0.3">
      <c r="A187" s="6"/>
      <c r="B187" s="119" t="s">
        <v>65</v>
      </c>
      <c r="C187" s="8"/>
      <c r="D187" s="8"/>
      <c r="E187" s="8"/>
      <c r="F187" s="8"/>
      <c r="G187" s="8"/>
      <c r="H187" s="8"/>
      <c r="I187" s="8"/>
      <c r="J187" s="8"/>
      <c r="K187" s="8"/>
      <c r="L187" s="8"/>
      <c r="M187" s="8"/>
      <c r="N187" s="8"/>
      <c r="O187" s="8"/>
      <c r="P187" s="8"/>
      <c r="Q187" s="8"/>
      <c r="R187" s="8"/>
      <c r="S187" s="8"/>
      <c r="T187" s="8"/>
      <c r="U187" s="8"/>
      <c r="V187" s="65"/>
      <c r="W187" s="8"/>
      <c r="X187" s="5"/>
    </row>
    <row r="188" spans="1:24" ht="15.6" x14ac:dyDescent="0.3">
      <c r="A188" s="24"/>
      <c r="B188" s="25" t="s">
        <v>66</v>
      </c>
      <c r="C188" s="25"/>
      <c r="D188" s="25"/>
      <c r="E188" s="25"/>
      <c r="F188" s="25"/>
      <c r="G188" s="25"/>
      <c r="H188" s="25"/>
      <c r="I188" s="25"/>
      <c r="J188" s="25"/>
      <c r="K188" s="25"/>
      <c r="L188" s="25"/>
      <c r="M188" s="25"/>
      <c r="N188" s="25"/>
      <c r="O188" s="25"/>
      <c r="P188" s="25"/>
      <c r="Q188" s="25"/>
      <c r="R188" s="25"/>
      <c r="S188" s="25"/>
      <c r="T188" s="25"/>
      <c r="U188" s="25"/>
      <c r="V188" s="59">
        <f>(V101+V103+V104+V105+V106)/-(V107+V108)</f>
        <v>2.479874951152794</v>
      </c>
      <c r="W188" s="25" t="s">
        <v>118</v>
      </c>
      <c r="X188" s="5"/>
    </row>
    <row r="189" spans="1:24" ht="15.6" x14ac:dyDescent="0.3">
      <c r="A189" s="24"/>
      <c r="B189" s="25" t="s">
        <v>67</v>
      </c>
      <c r="C189" s="25"/>
      <c r="D189" s="25"/>
      <c r="E189" s="25"/>
      <c r="F189" s="25"/>
      <c r="G189" s="25"/>
      <c r="H189" s="25"/>
      <c r="I189" s="25"/>
      <c r="J189" s="25"/>
      <c r="K189" s="25"/>
      <c r="L189" s="25"/>
      <c r="M189" s="25"/>
      <c r="N189" s="25"/>
      <c r="O189" s="25"/>
      <c r="P189" s="25"/>
      <c r="Q189" s="25"/>
      <c r="R189" s="25"/>
      <c r="S189" s="25"/>
      <c r="T189" s="25"/>
      <c r="U189" s="25"/>
      <c r="V189" s="66">
        <v>1.42</v>
      </c>
      <c r="W189" s="25" t="s">
        <v>118</v>
      </c>
      <c r="X189" s="5"/>
    </row>
    <row r="190" spans="1:24" ht="15.6" x14ac:dyDescent="0.3">
      <c r="A190" s="24"/>
      <c r="B190" s="25" t="s">
        <v>68</v>
      </c>
      <c r="C190" s="25"/>
      <c r="D190" s="25"/>
      <c r="E190" s="25"/>
      <c r="F190" s="25"/>
      <c r="G190" s="25"/>
      <c r="H190" s="25"/>
      <c r="I190" s="25"/>
      <c r="J190" s="25"/>
      <c r="K190" s="25"/>
      <c r="L190" s="25"/>
      <c r="M190" s="25"/>
      <c r="N190" s="25"/>
      <c r="O190" s="25"/>
      <c r="P190" s="25"/>
      <c r="Q190" s="25"/>
      <c r="R190" s="25"/>
      <c r="S190" s="25"/>
      <c r="T190" s="25"/>
      <c r="U190" s="25"/>
      <c r="V190" s="59">
        <f>(V101+V103+V104+V105+V106+V107+V108)/-(V110+V111)</f>
        <v>11.171091445427729</v>
      </c>
      <c r="W190" s="25" t="s">
        <v>118</v>
      </c>
      <c r="X190" s="5"/>
    </row>
    <row r="191" spans="1:24" ht="15.6" x14ac:dyDescent="0.3">
      <c r="A191" s="24"/>
      <c r="B191" s="25" t="s">
        <v>69</v>
      </c>
      <c r="C191" s="25"/>
      <c r="D191" s="25"/>
      <c r="E191" s="25"/>
      <c r="F191" s="25"/>
      <c r="G191" s="25"/>
      <c r="H191" s="25"/>
      <c r="I191" s="25"/>
      <c r="J191" s="25"/>
      <c r="K191" s="25"/>
      <c r="L191" s="25"/>
      <c r="M191" s="25"/>
      <c r="N191" s="25"/>
      <c r="O191" s="25"/>
      <c r="P191" s="25"/>
      <c r="Q191" s="25"/>
      <c r="R191" s="25"/>
      <c r="S191" s="25"/>
      <c r="T191" s="25"/>
      <c r="U191" s="25"/>
      <c r="V191" s="66">
        <v>4.29</v>
      </c>
      <c r="W191" s="25" t="s">
        <v>118</v>
      </c>
      <c r="X191" s="5"/>
    </row>
    <row r="192" spans="1:24" ht="15.6" x14ac:dyDescent="0.3">
      <c r="A192" s="24"/>
      <c r="B192" s="25" t="s">
        <v>201</v>
      </c>
      <c r="C192" s="25"/>
      <c r="D192" s="25"/>
      <c r="E192" s="25"/>
      <c r="F192" s="25"/>
      <c r="G192" s="25"/>
      <c r="H192" s="25"/>
      <c r="I192" s="25"/>
      <c r="J192" s="25"/>
      <c r="K192" s="25"/>
      <c r="L192" s="25"/>
      <c r="M192" s="25"/>
      <c r="N192" s="25"/>
      <c r="O192" s="25"/>
      <c r="P192" s="25"/>
      <c r="Q192" s="25"/>
      <c r="R192" s="25"/>
      <c r="S192" s="25"/>
      <c r="T192" s="25"/>
      <c r="U192" s="25"/>
      <c r="V192" s="59">
        <f>(V101+V103+V104+V105+V106+V107+V108+V110+V111)/-(V112+V113)</f>
        <v>14.426778242677825</v>
      </c>
      <c r="W192" s="25" t="s">
        <v>118</v>
      </c>
      <c r="X192" s="5"/>
    </row>
    <row r="193" spans="1:24" ht="15.6" x14ac:dyDescent="0.3">
      <c r="A193" s="24"/>
      <c r="B193" s="25" t="s">
        <v>202</v>
      </c>
      <c r="C193" s="25"/>
      <c r="D193" s="25"/>
      <c r="E193" s="25"/>
      <c r="F193" s="25"/>
      <c r="G193" s="25"/>
      <c r="H193" s="25"/>
      <c r="I193" s="25"/>
      <c r="J193" s="25"/>
      <c r="K193" s="25"/>
      <c r="L193" s="25"/>
      <c r="M193" s="25"/>
      <c r="N193" s="25"/>
      <c r="O193" s="25"/>
      <c r="P193" s="25"/>
      <c r="Q193" s="25"/>
      <c r="R193" s="25"/>
      <c r="S193" s="25"/>
      <c r="T193" s="25"/>
      <c r="U193" s="25"/>
      <c r="V193" s="66">
        <v>5.26</v>
      </c>
      <c r="W193" s="25" t="s">
        <v>118</v>
      </c>
      <c r="X193" s="5"/>
    </row>
    <row r="194" spans="1:24" ht="15.6" x14ac:dyDescent="0.3">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5"/>
    </row>
    <row r="195" spans="1:24" ht="15.6" x14ac:dyDescent="0.3">
      <c r="A195" s="24"/>
      <c r="B195" s="25"/>
      <c r="C195" s="25"/>
      <c r="D195" s="25"/>
      <c r="E195" s="25"/>
      <c r="F195" s="25"/>
      <c r="G195" s="25"/>
      <c r="H195" s="25"/>
      <c r="I195" s="25"/>
      <c r="J195" s="25"/>
      <c r="K195" s="25"/>
      <c r="L195" s="25"/>
      <c r="M195" s="25"/>
      <c r="N195" s="25"/>
      <c r="O195" s="25"/>
      <c r="P195" s="25"/>
      <c r="Q195" s="25"/>
      <c r="R195" s="25"/>
      <c r="S195" s="25"/>
      <c r="T195" s="25"/>
      <c r="U195" s="25"/>
      <c r="V195" s="25"/>
      <c r="W195" s="25"/>
      <c r="X195" s="5"/>
    </row>
    <row r="196" spans="1:24" ht="15.6" x14ac:dyDescent="0.3">
      <c r="A196" s="6"/>
      <c r="B196" s="8"/>
      <c r="C196" s="8"/>
      <c r="D196" s="8"/>
      <c r="E196" s="8"/>
      <c r="F196" s="8"/>
      <c r="G196" s="8"/>
      <c r="H196" s="8"/>
      <c r="I196" s="8"/>
      <c r="J196" s="8"/>
      <c r="K196" s="8"/>
      <c r="L196" s="8"/>
      <c r="M196" s="8"/>
      <c r="N196" s="8"/>
      <c r="O196" s="8"/>
      <c r="P196" s="8"/>
      <c r="Q196" s="8"/>
      <c r="R196" s="8"/>
      <c r="S196" s="8"/>
      <c r="T196" s="8"/>
      <c r="U196" s="8"/>
      <c r="V196" s="8"/>
      <c r="W196" s="8"/>
      <c r="X196" s="5"/>
    </row>
    <row r="197" spans="1:24" ht="18" thickBot="1" x14ac:dyDescent="0.35">
      <c r="A197" s="101"/>
      <c r="B197" s="102" t="str">
        <f>B138</f>
        <v>PM13 INVESTOR REPORT QUARTER ENDING SEPTEMBER 2009</v>
      </c>
      <c r="C197" s="165"/>
      <c r="D197" s="165"/>
      <c r="E197" s="165"/>
      <c r="F197" s="165"/>
      <c r="G197" s="165"/>
      <c r="H197" s="165"/>
      <c r="I197" s="165"/>
      <c r="J197" s="165"/>
      <c r="K197" s="165"/>
      <c r="L197" s="165"/>
      <c r="M197" s="165"/>
      <c r="N197" s="165"/>
      <c r="O197" s="165"/>
      <c r="P197" s="165"/>
      <c r="Q197" s="165"/>
      <c r="R197" s="165"/>
      <c r="S197" s="165"/>
      <c r="T197" s="165"/>
      <c r="U197" s="165"/>
      <c r="V197" s="165"/>
      <c r="W197" s="166"/>
      <c r="X197" s="5"/>
    </row>
    <row r="198" spans="1:24" ht="15.6" x14ac:dyDescent="0.3">
      <c r="A198" s="67"/>
      <c r="B198" s="60" t="s">
        <v>70</v>
      </c>
      <c r="C198" s="68"/>
      <c r="D198" s="68"/>
      <c r="E198" s="68"/>
      <c r="F198" s="68"/>
      <c r="G198" s="69"/>
      <c r="H198" s="69"/>
      <c r="I198" s="69"/>
      <c r="J198" s="69"/>
      <c r="K198" s="69"/>
      <c r="L198" s="69"/>
      <c r="M198" s="69"/>
      <c r="N198" s="69"/>
      <c r="O198" s="69"/>
      <c r="P198" s="69"/>
      <c r="Q198" s="69"/>
      <c r="R198" s="69"/>
      <c r="S198" s="69"/>
      <c r="T198" s="70">
        <v>40086</v>
      </c>
      <c r="U198" s="4"/>
      <c r="V198" s="4"/>
      <c r="W198" s="4"/>
      <c r="X198" s="5"/>
    </row>
    <row r="199" spans="1:24" ht="15.6" x14ac:dyDescent="0.3">
      <c r="A199" s="71"/>
      <c r="B199" s="72"/>
      <c r="C199" s="73"/>
      <c r="D199" s="73"/>
      <c r="E199" s="73"/>
      <c r="F199" s="73"/>
      <c r="G199" s="74"/>
      <c r="H199" s="74"/>
      <c r="I199" s="74"/>
      <c r="J199" s="74"/>
      <c r="K199" s="74"/>
      <c r="L199" s="74"/>
      <c r="M199" s="74"/>
      <c r="N199" s="74"/>
      <c r="O199" s="74"/>
      <c r="P199" s="74"/>
      <c r="Q199" s="74"/>
      <c r="R199" s="74"/>
      <c r="S199" s="74"/>
      <c r="T199" s="74"/>
      <c r="U199" s="8"/>
      <c r="V199" s="8"/>
      <c r="W199" s="8"/>
      <c r="X199" s="5"/>
    </row>
    <row r="200" spans="1:24" ht="15.6" x14ac:dyDescent="0.3">
      <c r="A200" s="75"/>
      <c r="B200" s="76" t="s">
        <v>71</v>
      </c>
      <c r="C200" s="77"/>
      <c r="D200" s="77"/>
      <c r="E200" s="77"/>
      <c r="F200" s="77"/>
      <c r="G200" s="64"/>
      <c r="H200" s="64"/>
      <c r="I200" s="64"/>
      <c r="J200" s="64"/>
      <c r="K200" s="64"/>
      <c r="L200" s="64"/>
      <c r="M200" s="64"/>
      <c r="N200" s="64"/>
      <c r="O200" s="64"/>
      <c r="P200" s="64"/>
      <c r="Q200" s="64"/>
      <c r="R200" s="64"/>
      <c r="S200" s="64"/>
      <c r="T200" s="78">
        <v>5.4539999999999998E-2</v>
      </c>
      <c r="U200" s="25"/>
      <c r="V200" s="25"/>
      <c r="W200" s="25"/>
      <c r="X200" s="5"/>
    </row>
    <row r="201" spans="1:24" ht="15.6" x14ac:dyDescent="0.3">
      <c r="A201" s="75"/>
      <c r="B201" s="76" t="s">
        <v>154</v>
      </c>
      <c r="C201" s="77"/>
      <c r="D201" s="77"/>
      <c r="E201" s="77"/>
      <c r="F201" s="77"/>
      <c r="G201" s="64"/>
      <c r="H201" s="64"/>
      <c r="I201" s="64"/>
      <c r="J201" s="64"/>
      <c r="K201" s="64"/>
      <c r="L201" s="64"/>
      <c r="M201" s="64"/>
      <c r="N201" s="64"/>
      <c r="O201" s="64"/>
      <c r="P201" s="64"/>
      <c r="Q201" s="64"/>
      <c r="R201" s="64"/>
      <c r="S201" s="64"/>
      <c r="T201" s="39">
        <f>'Dec 06'!T199</f>
        <v>5.238600504269459E-2</v>
      </c>
      <c r="U201" s="25"/>
      <c r="V201" s="25"/>
      <c r="W201" s="25"/>
      <c r="X201" s="5"/>
    </row>
    <row r="202" spans="1:24" ht="15.6" x14ac:dyDescent="0.3">
      <c r="A202" s="75"/>
      <c r="B202" s="76" t="s">
        <v>72</v>
      </c>
      <c r="C202" s="77"/>
      <c r="D202" s="77"/>
      <c r="E202" s="77"/>
      <c r="F202" s="77"/>
      <c r="G202" s="64"/>
      <c r="H202" s="64"/>
      <c r="I202" s="64"/>
      <c r="J202" s="64"/>
      <c r="K202" s="64"/>
      <c r="L202" s="64"/>
      <c r="M202" s="64"/>
      <c r="N202" s="64"/>
      <c r="O202" s="64"/>
      <c r="P202" s="64"/>
      <c r="Q202" s="64"/>
      <c r="R202" s="64"/>
      <c r="S202" s="64"/>
      <c r="T202" s="78">
        <f>+T200-T201</f>
        <v>2.1539949573054079E-3</v>
      </c>
      <c r="U202" s="25"/>
      <c r="V202" s="25"/>
      <c r="W202" s="25"/>
      <c r="X202" s="5"/>
    </row>
    <row r="203" spans="1:24" ht="15.6" x14ac:dyDescent="0.3">
      <c r="A203" s="75"/>
      <c r="B203" s="76" t="s">
        <v>73</v>
      </c>
      <c r="C203" s="77"/>
      <c r="D203" s="77"/>
      <c r="E203" s="77"/>
      <c r="F203" s="77"/>
      <c r="G203" s="64"/>
      <c r="H203" s="64"/>
      <c r="I203" s="64"/>
      <c r="J203" s="64"/>
      <c r="K203" s="64"/>
      <c r="L203" s="64"/>
      <c r="M203" s="64"/>
      <c r="N203" s="64"/>
      <c r="O203" s="64"/>
      <c r="P203" s="64"/>
      <c r="Q203" s="64"/>
      <c r="R203" s="64"/>
      <c r="S203" s="64"/>
      <c r="T203" s="78">
        <v>2.9239999999999999E-2</v>
      </c>
      <c r="U203" s="25"/>
      <c r="V203" s="25"/>
      <c r="W203" s="25"/>
      <c r="X203" s="5"/>
    </row>
    <row r="204" spans="1:24" ht="15.6" x14ac:dyDescent="0.3">
      <c r="A204" s="75"/>
      <c r="B204" s="76" t="s">
        <v>222</v>
      </c>
      <c r="C204" s="77"/>
      <c r="D204" s="77"/>
      <c r="E204" s="77"/>
      <c r="F204" s="77"/>
      <c r="G204" s="64"/>
      <c r="H204" s="64"/>
      <c r="I204" s="64"/>
      <c r="J204" s="64"/>
      <c r="K204" s="64"/>
      <c r="L204" s="64"/>
      <c r="M204" s="64"/>
      <c r="N204" s="64"/>
      <c r="O204" s="64"/>
      <c r="P204" s="64"/>
      <c r="Q204" s="64"/>
      <c r="R204" s="64"/>
      <c r="S204" s="64"/>
      <c r="T204" s="78">
        <f>V43</f>
        <v>1.1587032826778008E-2</v>
      </c>
      <c r="U204" s="25"/>
      <c r="V204" s="25"/>
      <c r="W204" s="25"/>
      <c r="X204" s="5"/>
    </row>
    <row r="205" spans="1:24" ht="15.6" x14ac:dyDescent="0.3">
      <c r="A205" s="75"/>
      <c r="B205" s="76" t="s">
        <v>74</v>
      </c>
      <c r="C205" s="77"/>
      <c r="D205" s="77"/>
      <c r="E205" s="77"/>
      <c r="F205" s="77"/>
      <c r="G205" s="64"/>
      <c r="H205" s="64"/>
      <c r="I205" s="64"/>
      <c r="J205" s="64"/>
      <c r="K205" s="64"/>
      <c r="L205" s="64"/>
      <c r="M205" s="64"/>
      <c r="N205" s="64"/>
      <c r="O205" s="64"/>
      <c r="P205" s="64"/>
      <c r="Q205" s="64"/>
      <c r="R205" s="64"/>
      <c r="S205" s="64"/>
      <c r="T205" s="78">
        <f>T203-T204</f>
        <v>1.7652967173221991E-2</v>
      </c>
      <c r="U205" s="25"/>
      <c r="V205" s="25"/>
      <c r="W205" s="25"/>
      <c r="X205" s="5"/>
    </row>
    <row r="206" spans="1:24" ht="15.6" x14ac:dyDescent="0.3">
      <c r="A206" s="75"/>
      <c r="B206" s="76" t="s">
        <v>274</v>
      </c>
      <c r="C206" s="77"/>
      <c r="D206" s="77"/>
      <c r="E206" s="77"/>
      <c r="F206" s="77"/>
      <c r="G206" s="64"/>
      <c r="H206" s="64"/>
      <c r="I206" s="64"/>
      <c r="J206" s="64"/>
      <c r="K206" s="64"/>
      <c r="L206" s="64"/>
      <c r="M206" s="64"/>
      <c r="N206" s="64"/>
      <c r="O206" s="64"/>
      <c r="P206" s="64"/>
      <c r="Q206" s="64"/>
      <c r="R206" s="64"/>
      <c r="S206" s="64"/>
      <c r="T206" s="78">
        <f>+V101/N72</f>
        <v>8.0808287666706072E-3</v>
      </c>
      <c r="U206" s="25"/>
      <c r="V206" s="25"/>
      <c r="W206" s="25"/>
      <c r="X206" s="5"/>
    </row>
    <row r="207" spans="1:24" ht="15.6" x14ac:dyDescent="0.3">
      <c r="A207" s="75"/>
      <c r="B207" s="76" t="s">
        <v>211</v>
      </c>
      <c r="C207" s="77"/>
      <c r="D207" s="77"/>
      <c r="E207" s="77"/>
      <c r="F207" s="77"/>
      <c r="G207" s="64"/>
      <c r="H207" s="64"/>
      <c r="I207" s="64"/>
      <c r="J207" s="64"/>
      <c r="K207" s="64"/>
      <c r="L207" s="64"/>
      <c r="M207" s="64"/>
      <c r="N207" s="64"/>
      <c r="O207" s="64"/>
      <c r="P207" s="64"/>
      <c r="Q207" s="64"/>
      <c r="R207" s="64"/>
      <c r="S207" s="64"/>
      <c r="T207" s="129">
        <v>50771</v>
      </c>
      <c r="U207" s="25"/>
      <c r="V207" s="25"/>
      <c r="W207" s="25"/>
      <c r="X207" s="5"/>
    </row>
    <row r="208" spans="1:24" ht="15.6" x14ac:dyDescent="0.3">
      <c r="A208" s="75"/>
      <c r="B208" s="76" t="s">
        <v>212</v>
      </c>
      <c r="C208" s="77"/>
      <c r="D208" s="77"/>
      <c r="E208" s="77"/>
      <c r="F208" s="77"/>
      <c r="G208" s="64"/>
      <c r="H208" s="64"/>
      <c r="I208" s="64"/>
      <c r="J208" s="64"/>
      <c r="K208" s="64"/>
      <c r="L208" s="64"/>
      <c r="M208" s="64"/>
      <c r="N208" s="64"/>
      <c r="O208" s="64"/>
      <c r="P208" s="64"/>
      <c r="Q208" s="64"/>
      <c r="R208" s="64"/>
      <c r="S208" s="64"/>
      <c r="T208" s="129">
        <v>50771</v>
      </c>
      <c r="U208" s="25"/>
      <c r="V208" s="25"/>
      <c r="W208" s="25"/>
      <c r="X208" s="5"/>
    </row>
    <row r="209" spans="1:24" ht="15.6" x14ac:dyDescent="0.3">
      <c r="A209" s="75"/>
      <c r="B209" s="76" t="s">
        <v>213</v>
      </c>
      <c r="C209" s="77"/>
      <c r="D209" s="77"/>
      <c r="E209" s="77"/>
      <c r="F209" s="77"/>
      <c r="G209" s="64"/>
      <c r="H209" s="64"/>
      <c r="I209" s="64"/>
      <c r="J209" s="64"/>
      <c r="K209" s="64"/>
      <c r="L209" s="64"/>
      <c r="M209" s="64"/>
      <c r="N209" s="64"/>
      <c r="O209" s="64"/>
      <c r="P209" s="64"/>
      <c r="Q209" s="64"/>
      <c r="R209" s="64"/>
      <c r="S209" s="64"/>
      <c r="T209" s="129">
        <v>50771</v>
      </c>
      <c r="U209" s="25"/>
      <c r="V209" s="25"/>
      <c r="W209" s="25"/>
      <c r="X209" s="5"/>
    </row>
    <row r="210" spans="1:24" ht="15.6" x14ac:dyDescent="0.3">
      <c r="A210" s="75"/>
      <c r="B210" s="76" t="s">
        <v>75</v>
      </c>
      <c r="C210" s="77"/>
      <c r="D210" s="77"/>
      <c r="E210" s="77"/>
      <c r="F210" s="77"/>
      <c r="G210" s="64"/>
      <c r="H210" s="64"/>
      <c r="I210" s="64"/>
      <c r="J210" s="64"/>
      <c r="K210" s="64"/>
      <c r="L210" s="64"/>
      <c r="M210" s="64"/>
      <c r="N210" s="64"/>
      <c r="O210" s="64"/>
      <c r="P210" s="64"/>
      <c r="Q210" s="64"/>
      <c r="R210" s="64"/>
      <c r="S210" s="64"/>
      <c r="T210" s="133">
        <v>20.66</v>
      </c>
      <c r="U210" s="25" t="s">
        <v>113</v>
      </c>
      <c r="V210" s="25"/>
      <c r="W210" s="25"/>
      <c r="X210" s="5"/>
    </row>
    <row r="211" spans="1:24" ht="15.6" x14ac:dyDescent="0.3">
      <c r="A211" s="75"/>
      <c r="B211" s="76" t="s">
        <v>76</v>
      </c>
      <c r="C211" s="77"/>
      <c r="D211" s="77"/>
      <c r="E211" s="77"/>
      <c r="F211" s="77"/>
      <c r="G211" s="64"/>
      <c r="H211" s="64"/>
      <c r="I211" s="64"/>
      <c r="J211" s="64"/>
      <c r="K211" s="64"/>
      <c r="L211" s="64"/>
      <c r="M211" s="64"/>
      <c r="N211" s="64"/>
      <c r="O211" s="64"/>
      <c r="P211" s="64"/>
      <c r="Q211" s="64"/>
      <c r="R211" s="64"/>
      <c r="S211" s="64"/>
      <c r="T211" s="133">
        <v>18.010000000000002</v>
      </c>
      <c r="U211" s="25" t="s">
        <v>113</v>
      </c>
      <c r="V211" s="25"/>
      <c r="W211" s="25"/>
      <c r="X211" s="5"/>
    </row>
    <row r="212" spans="1:24" ht="15.6" x14ac:dyDescent="0.3">
      <c r="A212" s="75"/>
      <c r="B212" s="76" t="s">
        <v>77</v>
      </c>
      <c r="C212" s="77"/>
      <c r="D212" s="77"/>
      <c r="E212" s="77"/>
      <c r="F212" s="77"/>
      <c r="G212" s="64"/>
      <c r="H212" s="64"/>
      <c r="I212" s="64"/>
      <c r="J212" s="64"/>
      <c r="K212" s="64"/>
      <c r="L212" s="64"/>
      <c r="M212" s="64"/>
      <c r="N212" s="64"/>
      <c r="O212" s="64"/>
      <c r="P212" s="64"/>
      <c r="Q212" s="64"/>
      <c r="R212" s="64"/>
      <c r="S212" s="64"/>
      <c r="T212" s="78">
        <f>+P69/N69</f>
        <v>7.7764362995929332E-3</v>
      </c>
      <c r="U212" s="25"/>
      <c r="V212" s="25"/>
      <c r="W212" s="25"/>
      <c r="X212" s="5"/>
    </row>
    <row r="213" spans="1:24" ht="15.6" x14ac:dyDescent="0.3">
      <c r="A213" s="75"/>
      <c r="B213" s="76" t="s">
        <v>78</v>
      </c>
      <c r="C213" s="77"/>
      <c r="D213" s="77"/>
      <c r="E213" s="77"/>
      <c r="F213" s="77"/>
      <c r="G213" s="64"/>
      <c r="H213" s="64"/>
      <c r="I213" s="64"/>
      <c r="J213" s="64"/>
      <c r="K213" s="64"/>
      <c r="L213" s="64"/>
      <c r="M213" s="64"/>
      <c r="N213" s="64"/>
      <c r="O213" s="64"/>
      <c r="P213" s="64"/>
      <c r="Q213" s="64"/>
      <c r="R213" s="64"/>
      <c r="S213" s="64"/>
      <c r="T213" s="78">
        <v>0.12529999999999999</v>
      </c>
      <c r="U213" s="25"/>
      <c r="V213" s="25"/>
      <c r="W213" s="25"/>
      <c r="X213" s="5"/>
    </row>
    <row r="214" spans="1:24" ht="15.6" x14ac:dyDescent="0.3">
      <c r="A214" s="75"/>
      <c r="B214" s="76"/>
      <c r="C214" s="76"/>
      <c r="D214" s="76"/>
      <c r="E214" s="76"/>
      <c r="F214" s="76"/>
      <c r="G214" s="25"/>
      <c r="H214" s="25"/>
      <c r="I214" s="25"/>
      <c r="J214" s="25"/>
      <c r="K214" s="25"/>
      <c r="L214" s="25"/>
      <c r="M214" s="25"/>
      <c r="N214" s="25"/>
      <c r="O214" s="25"/>
      <c r="P214" s="25"/>
      <c r="Q214" s="25"/>
      <c r="R214" s="25"/>
      <c r="S214" s="25"/>
      <c r="T214" s="61"/>
      <c r="U214" s="25"/>
      <c r="V214" s="79"/>
      <c r="W214" s="25"/>
      <c r="X214" s="5"/>
    </row>
    <row r="215" spans="1:24" ht="15.6" x14ac:dyDescent="0.3">
      <c r="A215" s="80"/>
      <c r="B215" s="14" t="s">
        <v>79</v>
      </c>
      <c r="C215" s="81"/>
      <c r="D215" s="81"/>
      <c r="E215" s="81"/>
      <c r="F215" s="82"/>
      <c r="G215" s="81"/>
      <c r="H215" s="17"/>
      <c r="I215" s="17"/>
      <c r="J215" s="17"/>
      <c r="K215" s="17"/>
      <c r="L215" s="17"/>
      <c r="M215" s="17"/>
      <c r="N215" s="17"/>
      <c r="O215" s="17"/>
      <c r="P215" s="17"/>
      <c r="Q215" s="17"/>
      <c r="R215" s="17"/>
      <c r="S215" s="17" t="s">
        <v>103</v>
      </c>
      <c r="T215" s="83" t="s">
        <v>110</v>
      </c>
      <c r="U215" s="8"/>
      <c r="V215" s="8"/>
      <c r="W215" s="8"/>
      <c r="X215" s="5"/>
    </row>
    <row r="216" spans="1:24" ht="15.6" x14ac:dyDescent="0.3">
      <c r="A216" s="84"/>
      <c r="B216" s="76" t="s">
        <v>80</v>
      </c>
      <c r="C216" s="54"/>
      <c r="D216" s="54"/>
      <c r="E216" s="54"/>
      <c r="F216" s="25"/>
      <c r="G216" s="25"/>
      <c r="H216" s="30"/>
      <c r="I216" s="30"/>
      <c r="J216" s="30"/>
      <c r="K216" s="30"/>
      <c r="L216" s="30"/>
      <c r="M216" s="30"/>
      <c r="N216" s="30"/>
      <c r="O216" s="30"/>
      <c r="P216" s="30"/>
      <c r="Q216" s="30"/>
      <c r="R216" s="30"/>
      <c r="S216" s="30">
        <v>1</v>
      </c>
      <c r="T216" s="85">
        <v>361</v>
      </c>
      <c r="U216" s="25"/>
      <c r="V216" s="79"/>
      <c r="W216" s="86"/>
      <c r="X216" s="5"/>
    </row>
    <row r="217" spans="1:24" ht="15.6" x14ac:dyDescent="0.3">
      <c r="A217" s="84"/>
      <c r="B217" s="76" t="s">
        <v>148</v>
      </c>
      <c r="C217" s="54"/>
      <c r="D217" s="54"/>
      <c r="E217" s="54"/>
      <c r="F217" s="25"/>
      <c r="G217" s="25"/>
      <c r="H217" s="30"/>
      <c r="I217" s="30"/>
      <c r="J217" s="30"/>
      <c r="K217" s="30"/>
      <c r="L217" s="30"/>
      <c r="M217" s="30"/>
      <c r="N217" s="30"/>
      <c r="O217" s="30"/>
      <c r="P217" s="30"/>
      <c r="Q217" s="30"/>
      <c r="R217" s="30"/>
      <c r="S217" s="152">
        <f>+R257</f>
        <v>303</v>
      </c>
      <c r="T217" s="85">
        <f>+T257</f>
        <v>40400</v>
      </c>
      <c r="U217" s="25"/>
      <c r="V217" s="79"/>
      <c r="W217" s="86"/>
      <c r="X217" s="5"/>
    </row>
    <row r="218" spans="1:24" ht="15.6" x14ac:dyDescent="0.3">
      <c r="A218" s="84"/>
      <c r="B218" s="76" t="s">
        <v>81</v>
      </c>
      <c r="C218" s="54"/>
      <c r="D218" s="54"/>
      <c r="E218" s="54"/>
      <c r="F218" s="25"/>
      <c r="G218" s="25"/>
      <c r="H218" s="30"/>
      <c r="I218" s="30"/>
      <c r="J218" s="30"/>
      <c r="K218" s="30"/>
      <c r="L218" s="30"/>
      <c r="M218" s="30"/>
      <c r="N218" s="30"/>
      <c r="O218" s="30"/>
      <c r="P218" s="30"/>
      <c r="Q218" s="30"/>
      <c r="R218" s="30"/>
      <c r="S218" s="152">
        <v>0</v>
      </c>
      <c r="T218" s="85">
        <v>0</v>
      </c>
      <c r="U218" s="25"/>
      <c r="V218" s="79"/>
      <c r="W218" s="86"/>
      <c r="X218" s="5"/>
    </row>
    <row r="219" spans="1:24" ht="15.6" x14ac:dyDescent="0.3">
      <c r="A219" s="84"/>
      <c r="B219" s="122" t="s">
        <v>82</v>
      </c>
      <c r="C219" s="54"/>
      <c r="D219" s="54"/>
      <c r="E219" s="54"/>
      <c r="F219" s="25"/>
      <c r="G219" s="25"/>
      <c r="H219" s="25"/>
      <c r="I219" s="25"/>
      <c r="J219" s="25"/>
      <c r="K219" s="25"/>
      <c r="L219" s="25"/>
      <c r="M219" s="25"/>
      <c r="N219" s="25"/>
      <c r="O219" s="25"/>
      <c r="P219" s="25"/>
      <c r="Q219" s="25"/>
      <c r="R219" s="25"/>
      <c r="S219" s="25"/>
      <c r="T219" s="85">
        <v>0</v>
      </c>
      <c r="U219" s="25"/>
      <c r="V219" s="79"/>
      <c r="W219" s="86"/>
      <c r="X219" s="5"/>
    </row>
    <row r="220" spans="1:24" ht="15.6" x14ac:dyDescent="0.3">
      <c r="A220" s="84"/>
      <c r="B220" s="122" t="s">
        <v>275</v>
      </c>
      <c r="C220" s="54"/>
      <c r="D220" s="54"/>
      <c r="E220" s="54"/>
      <c r="F220" s="25"/>
      <c r="G220" s="25"/>
      <c r="H220" s="25"/>
      <c r="I220" s="25"/>
      <c r="J220" s="25"/>
      <c r="K220" s="25"/>
      <c r="L220" s="25"/>
      <c r="M220" s="25"/>
      <c r="N220" s="25"/>
      <c r="O220" s="25"/>
      <c r="P220" s="25"/>
      <c r="Q220" s="25"/>
      <c r="R220" s="25"/>
      <c r="S220" s="25"/>
      <c r="T220" s="85">
        <f>+N82</f>
        <v>0</v>
      </c>
      <c r="U220" s="25"/>
      <c r="V220" s="79"/>
      <c r="W220" s="86"/>
      <c r="X220" s="5"/>
    </row>
    <row r="221" spans="1:24" ht="15.6" x14ac:dyDescent="0.3">
      <c r="A221" s="87"/>
      <c r="B221" s="122" t="s">
        <v>83</v>
      </c>
      <c r="C221" s="76"/>
      <c r="D221" s="76"/>
      <c r="E221" s="76"/>
      <c r="F221" s="76"/>
      <c r="G221" s="25"/>
      <c r="H221" s="25"/>
      <c r="I221" s="25"/>
      <c r="J221" s="25"/>
      <c r="K221" s="25"/>
      <c r="L221" s="25"/>
      <c r="M221" s="25"/>
      <c r="N221" s="25"/>
      <c r="O221" s="25"/>
      <c r="P221" s="25"/>
      <c r="Q221" s="25"/>
      <c r="R221" s="25"/>
      <c r="S221" s="25"/>
      <c r="T221" s="85"/>
      <c r="U221" s="25"/>
      <c r="V221" s="79"/>
      <c r="W221" s="88"/>
      <c r="X221" s="5"/>
    </row>
    <row r="222" spans="1:24" ht="15.6" x14ac:dyDescent="0.3">
      <c r="A222" s="87"/>
      <c r="B222" s="131" t="s">
        <v>84</v>
      </c>
      <c r="C222" s="76"/>
      <c r="D222" s="76"/>
      <c r="E222" s="76"/>
      <c r="F222" s="76"/>
      <c r="G222" s="25"/>
      <c r="H222" s="25"/>
      <c r="I222" s="25"/>
      <c r="J222" s="25"/>
      <c r="K222" s="25"/>
      <c r="L222" s="25"/>
      <c r="M222" s="25"/>
      <c r="N222" s="25"/>
      <c r="O222" s="25"/>
      <c r="P222" s="25"/>
      <c r="Q222" s="25"/>
      <c r="R222" s="25"/>
      <c r="S222" s="30"/>
      <c r="T222" s="85">
        <f>V167</f>
        <v>132</v>
      </c>
      <c r="U222" s="25"/>
      <c r="V222" s="79"/>
      <c r="W222" s="88"/>
      <c r="X222" s="5"/>
    </row>
    <row r="223" spans="1:24" ht="15.6" x14ac:dyDescent="0.3">
      <c r="A223" s="84"/>
      <c r="B223" s="76" t="s">
        <v>85</v>
      </c>
      <c r="C223" s="54"/>
      <c r="D223" s="54"/>
      <c r="E223" s="54"/>
      <c r="F223" s="54"/>
      <c r="G223" s="25"/>
      <c r="H223" s="25"/>
      <c r="I223" s="25"/>
      <c r="J223" s="25"/>
      <c r="K223" s="25"/>
      <c r="L223" s="25"/>
      <c r="M223" s="25"/>
      <c r="N223" s="25"/>
      <c r="O223" s="25"/>
      <c r="P223" s="25"/>
      <c r="Q223" s="25"/>
      <c r="R223" s="25"/>
      <c r="S223" s="30"/>
      <c r="T223" s="85">
        <f>'June 09'!T223+T222</f>
        <v>468</v>
      </c>
      <c r="U223" s="25"/>
      <c r="V223" s="79"/>
      <c r="W223" s="88"/>
      <c r="X223" s="5"/>
    </row>
    <row r="224" spans="1:24" ht="15.6" x14ac:dyDescent="0.3">
      <c r="A224" s="87"/>
      <c r="B224" s="122" t="s">
        <v>297</v>
      </c>
      <c r="C224" s="76"/>
      <c r="D224" s="76"/>
      <c r="E224" s="76"/>
      <c r="F224" s="76"/>
      <c r="G224" s="25"/>
      <c r="H224" s="25"/>
      <c r="I224" s="25"/>
      <c r="J224" s="25"/>
      <c r="K224" s="25"/>
      <c r="L224" s="25"/>
      <c r="M224" s="25"/>
      <c r="N224" s="25"/>
      <c r="O224" s="25"/>
      <c r="P224" s="25"/>
      <c r="Q224" s="25"/>
      <c r="R224" s="25"/>
      <c r="S224" s="30"/>
      <c r="T224" s="85"/>
      <c r="U224" s="25"/>
      <c r="V224" s="79"/>
      <c r="W224" s="88"/>
      <c r="X224" s="5"/>
    </row>
    <row r="225" spans="1:25" ht="15.6" x14ac:dyDescent="0.3">
      <c r="A225" s="87"/>
      <c r="B225" s="76" t="s">
        <v>295</v>
      </c>
      <c r="C225" s="76"/>
      <c r="D225" s="76"/>
      <c r="E225" s="76"/>
      <c r="F225" s="76"/>
      <c r="G225" s="25"/>
      <c r="H225" s="25"/>
      <c r="I225" s="25"/>
      <c r="J225" s="25"/>
      <c r="K225" s="25"/>
      <c r="L225" s="25"/>
      <c r="M225" s="25"/>
      <c r="N225" s="25"/>
      <c r="O225" s="25"/>
      <c r="P225" s="25"/>
      <c r="Q225" s="25"/>
      <c r="R225" s="25"/>
      <c r="S225" s="30">
        <v>0</v>
      </c>
      <c r="T225" s="85">
        <v>0</v>
      </c>
      <c r="U225" s="25"/>
      <c r="V225" s="79"/>
      <c r="W225" s="88"/>
      <c r="X225" s="5"/>
    </row>
    <row r="226" spans="1:25" ht="15.6" x14ac:dyDescent="0.3">
      <c r="A226" s="84"/>
      <c r="B226" s="76" t="s">
        <v>87</v>
      </c>
      <c r="C226" s="89"/>
      <c r="D226" s="89"/>
      <c r="E226" s="89"/>
      <c r="F226" s="90"/>
      <c r="G226" s="25"/>
      <c r="H226" s="25"/>
      <c r="I226" s="25"/>
      <c r="J226" s="25"/>
      <c r="K226" s="25"/>
      <c r="L226" s="25"/>
      <c r="M226" s="25"/>
      <c r="N226" s="25"/>
      <c r="O226" s="25"/>
      <c r="P226" s="25"/>
      <c r="Q226" s="25"/>
      <c r="R226" s="25"/>
      <c r="S226" s="25"/>
      <c r="T226" s="62">
        <v>0</v>
      </c>
      <c r="U226" s="25"/>
      <c r="V226" s="79"/>
      <c r="W226" s="88"/>
      <c r="X226" s="5"/>
    </row>
    <row r="227" spans="1:25" ht="15.6" x14ac:dyDescent="0.3">
      <c r="A227" s="84"/>
      <c r="B227" s="76" t="s">
        <v>88</v>
      </c>
      <c r="C227" s="89"/>
      <c r="D227" s="89"/>
      <c r="E227" s="89"/>
      <c r="F227" s="90"/>
      <c r="G227" s="25"/>
      <c r="H227" s="25"/>
      <c r="I227" s="25"/>
      <c r="J227" s="25"/>
      <c r="K227" s="25"/>
      <c r="L227" s="25"/>
      <c r="M227" s="25"/>
      <c r="N227" s="25"/>
      <c r="O227" s="25"/>
      <c r="P227" s="25"/>
      <c r="Q227" s="25"/>
      <c r="R227" s="25"/>
      <c r="S227" s="25"/>
      <c r="T227" s="62">
        <v>0</v>
      </c>
      <c r="U227" s="25"/>
      <c r="V227" s="79"/>
      <c r="W227" s="88"/>
      <c r="X227" s="5"/>
    </row>
    <row r="228" spans="1:25" ht="15.6" x14ac:dyDescent="0.3">
      <c r="A228" s="84"/>
      <c r="B228" s="122" t="s">
        <v>220</v>
      </c>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5.6" x14ac:dyDescent="0.3">
      <c r="A229" s="84"/>
      <c r="B229" s="76" t="s">
        <v>295</v>
      </c>
      <c r="C229" s="89"/>
      <c r="D229" s="89"/>
      <c r="E229" s="89"/>
      <c r="F229" s="90"/>
      <c r="G229" s="25"/>
      <c r="H229" s="25"/>
      <c r="I229" s="25"/>
      <c r="J229" s="25"/>
      <c r="K229" s="25"/>
      <c r="L229" s="25"/>
      <c r="M229" s="25"/>
      <c r="N229" s="25"/>
      <c r="O229" s="25"/>
      <c r="P229" s="25"/>
      <c r="Q229" s="25"/>
      <c r="R229" s="25"/>
      <c r="S229" s="30">
        <v>5</v>
      </c>
      <c r="T229" s="85">
        <v>821</v>
      </c>
      <c r="U229" s="25"/>
      <c r="V229" s="79"/>
      <c r="W229" s="88"/>
      <c r="X229" s="5"/>
    </row>
    <row r="230" spans="1:25" ht="15.6" x14ac:dyDescent="0.3">
      <c r="A230" s="84"/>
      <c r="B230" s="76" t="s">
        <v>221</v>
      </c>
      <c r="C230" s="89"/>
      <c r="D230" s="89"/>
      <c r="E230" s="89"/>
      <c r="F230" s="90"/>
      <c r="G230" s="25"/>
      <c r="H230" s="25"/>
      <c r="I230" s="25"/>
      <c r="J230" s="25"/>
      <c r="K230" s="25"/>
      <c r="L230" s="25"/>
      <c r="M230" s="25"/>
      <c r="N230" s="25"/>
      <c r="O230" s="25"/>
      <c r="P230" s="25"/>
      <c r="Q230" s="25"/>
      <c r="R230" s="25"/>
      <c r="S230" s="25"/>
      <c r="T230" s="62">
        <v>9.64</v>
      </c>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7.399999999999999" x14ac:dyDescent="0.3">
      <c r="A233" s="84"/>
      <c r="B233" s="149" t="s">
        <v>171</v>
      </c>
      <c r="C233" s="89"/>
      <c r="D233" s="89"/>
      <c r="E233" s="89"/>
      <c r="F233" s="90"/>
      <c r="G233" s="25"/>
      <c r="H233" s="25"/>
      <c r="I233" s="25"/>
      <c r="J233" s="25"/>
      <c r="K233" s="25"/>
      <c r="L233" s="25"/>
      <c r="M233" s="25"/>
      <c r="N233" s="25"/>
      <c r="O233" s="25"/>
      <c r="P233" s="150" t="s">
        <v>170</v>
      </c>
      <c r="Q233" s="25"/>
      <c r="R233" s="25"/>
      <c r="S233" s="25"/>
      <c r="T233" s="91"/>
      <c r="U233" s="25"/>
      <c r="V233" s="79"/>
      <c r="W233" s="88"/>
      <c r="X233" s="5"/>
    </row>
    <row r="234" spans="1:25" ht="15.6" x14ac:dyDescent="0.3">
      <c r="A234" s="84"/>
      <c r="B234" s="76"/>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5" ht="15.6" x14ac:dyDescent="0.3">
      <c r="A235" s="6"/>
      <c r="B235" s="14" t="s">
        <v>165</v>
      </c>
      <c r="C235" s="81"/>
      <c r="D235" s="81"/>
      <c r="E235" s="81"/>
      <c r="F235" s="82"/>
      <c r="G235" s="81"/>
      <c r="H235" s="17"/>
      <c r="I235" s="17"/>
      <c r="J235" s="17"/>
      <c r="K235" s="17"/>
      <c r="L235" s="17"/>
      <c r="M235" s="17"/>
      <c r="N235" s="17"/>
      <c r="O235" s="17"/>
      <c r="P235" s="17"/>
      <c r="Q235" s="17"/>
      <c r="R235" s="83" t="s">
        <v>103</v>
      </c>
      <c r="S235" s="17" t="s">
        <v>104</v>
      </c>
      <c r="T235" s="83" t="s">
        <v>111</v>
      </c>
      <c r="U235" s="17" t="s">
        <v>104</v>
      </c>
      <c r="V235" s="8"/>
      <c r="W235" s="92"/>
      <c r="X235" s="5"/>
    </row>
    <row r="236" spans="1:25" ht="15.6" x14ac:dyDescent="0.3">
      <c r="A236" s="24"/>
      <c r="B236" s="54" t="s">
        <v>89</v>
      </c>
      <c r="C236" s="93"/>
      <c r="D236" s="93"/>
      <c r="E236" s="93"/>
      <c r="F236" s="25"/>
      <c r="G236" s="93"/>
      <c r="H236" s="93"/>
      <c r="I236" s="93"/>
      <c r="J236" s="93"/>
      <c r="K236" s="93"/>
      <c r="L236" s="93"/>
      <c r="M236" s="93"/>
      <c r="N236" s="93"/>
      <c r="O236" s="93"/>
      <c r="P236" s="93"/>
      <c r="Q236" s="93"/>
      <c r="R236" s="54">
        <v>7969</v>
      </c>
      <c r="S236" s="94">
        <f t="shared" ref="S236:S243" si="1">R236/$R$245</f>
        <v>0.98638445352147541</v>
      </c>
      <c r="T236" s="53">
        <v>1008966</v>
      </c>
      <c r="U236" s="132">
        <f t="shared" ref="U236:U243" si="2">T236/$T$245</f>
        <v>0.98220102214650762</v>
      </c>
      <c r="V236" s="79"/>
      <c r="W236" s="88"/>
      <c r="X236" s="5"/>
    </row>
    <row r="237" spans="1:25" ht="15.6" x14ac:dyDescent="0.3">
      <c r="A237" s="24"/>
      <c r="B237" s="54" t="s">
        <v>90</v>
      </c>
      <c r="C237" s="93"/>
      <c r="D237" s="93"/>
      <c r="E237" s="93"/>
      <c r="F237" s="25"/>
      <c r="G237" s="94"/>
      <c r="H237" s="93"/>
      <c r="I237" s="93"/>
      <c r="J237" s="93"/>
      <c r="K237" s="93"/>
      <c r="L237" s="93"/>
      <c r="M237" s="93"/>
      <c r="N237" s="93"/>
      <c r="O237" s="93"/>
      <c r="P237" s="93"/>
      <c r="Q237" s="93"/>
      <c r="R237" s="54">
        <v>77</v>
      </c>
      <c r="S237" s="94">
        <f t="shared" si="1"/>
        <v>9.5308825349671982E-3</v>
      </c>
      <c r="T237" s="53">
        <v>12760</v>
      </c>
      <c r="U237" s="132">
        <f t="shared" si="2"/>
        <v>1.242151375030421E-2</v>
      </c>
      <c r="V237" s="79"/>
      <c r="W237" s="88"/>
      <c r="X237" s="5"/>
      <c r="Y237" s="109"/>
    </row>
    <row r="238" spans="1:25" ht="15.6" x14ac:dyDescent="0.3">
      <c r="A238" s="24"/>
      <c r="B238" s="54" t="s">
        <v>91</v>
      </c>
      <c r="C238" s="93"/>
      <c r="D238" s="93"/>
      <c r="E238" s="93"/>
      <c r="F238" s="25"/>
      <c r="G238" s="94"/>
      <c r="H238" s="93"/>
      <c r="I238" s="93"/>
      <c r="J238" s="93"/>
      <c r="K238" s="93"/>
      <c r="L238" s="93"/>
      <c r="M238" s="93"/>
      <c r="N238" s="93"/>
      <c r="O238" s="93"/>
      <c r="P238" s="93"/>
      <c r="Q238" s="93"/>
      <c r="R238" s="54">
        <v>18</v>
      </c>
      <c r="S238" s="94">
        <f t="shared" si="1"/>
        <v>2.2279985146676567E-3</v>
      </c>
      <c r="T238" s="53">
        <v>2617</v>
      </c>
      <c r="U238" s="132">
        <f t="shared" si="2"/>
        <v>2.5475784862496959E-3</v>
      </c>
      <c r="V238" s="79"/>
      <c r="W238" s="88"/>
      <c r="X238" s="5"/>
    </row>
    <row r="239" spans="1:25" ht="15.6" x14ac:dyDescent="0.3">
      <c r="A239" s="24"/>
      <c r="B239" s="54" t="s">
        <v>159</v>
      </c>
      <c r="C239" s="93"/>
      <c r="D239" s="93"/>
      <c r="E239" s="93"/>
      <c r="F239" s="25"/>
      <c r="G239" s="94"/>
      <c r="H239" s="93"/>
      <c r="I239" s="93"/>
      <c r="J239" s="93"/>
      <c r="K239" s="93"/>
      <c r="L239" s="93"/>
      <c r="M239" s="93"/>
      <c r="N239" s="93"/>
      <c r="O239" s="93"/>
      <c r="P239" s="93"/>
      <c r="Q239" s="93"/>
      <c r="R239" s="54">
        <v>4</v>
      </c>
      <c r="S239" s="94">
        <f t="shared" si="1"/>
        <v>4.9511078103725711E-4</v>
      </c>
      <c r="T239" s="53">
        <v>331</v>
      </c>
      <c r="U239" s="132">
        <f t="shared" si="2"/>
        <v>3.2221951813093209E-4</v>
      </c>
      <c r="V239" s="79"/>
      <c r="W239" s="88"/>
      <c r="X239" s="5"/>
      <c r="Y239" s="109"/>
    </row>
    <row r="240" spans="1:25" ht="15.6" x14ac:dyDescent="0.3">
      <c r="A240" s="24"/>
      <c r="B240" s="54" t="s">
        <v>160</v>
      </c>
      <c r="C240" s="93"/>
      <c r="D240" s="93"/>
      <c r="E240" s="93"/>
      <c r="F240" s="25"/>
      <c r="G240" s="94"/>
      <c r="H240" s="93"/>
      <c r="I240" s="93"/>
      <c r="J240" s="93"/>
      <c r="K240" s="93"/>
      <c r="L240" s="93"/>
      <c r="M240" s="93"/>
      <c r="N240" s="93"/>
      <c r="O240" s="93"/>
      <c r="P240" s="93"/>
      <c r="Q240" s="93"/>
      <c r="R240" s="54">
        <v>4</v>
      </c>
      <c r="S240" s="94">
        <f t="shared" si="1"/>
        <v>4.9511078103725711E-4</v>
      </c>
      <c r="T240" s="53">
        <v>1233</v>
      </c>
      <c r="U240" s="132">
        <f t="shared" si="2"/>
        <v>1.2002920418593332E-3</v>
      </c>
      <c r="V240" s="79"/>
      <c r="W240" s="88"/>
      <c r="X240" s="5"/>
    </row>
    <row r="241" spans="1:25" ht="15.6" x14ac:dyDescent="0.3">
      <c r="A241" s="24"/>
      <c r="B241" s="54" t="s">
        <v>161</v>
      </c>
      <c r="C241" s="93"/>
      <c r="D241" s="93"/>
      <c r="E241" s="93"/>
      <c r="F241" s="25"/>
      <c r="G241" s="94"/>
      <c r="H241" s="93"/>
      <c r="I241" s="93"/>
      <c r="J241" s="93"/>
      <c r="K241" s="93"/>
      <c r="L241" s="93"/>
      <c r="M241" s="93"/>
      <c r="N241" s="93"/>
      <c r="O241" s="93"/>
      <c r="P241" s="93"/>
      <c r="Q241" s="93"/>
      <c r="R241" s="54">
        <v>2</v>
      </c>
      <c r="S241" s="94">
        <f t="shared" si="1"/>
        <v>2.4755539051862855E-4</v>
      </c>
      <c r="T241" s="53">
        <v>212</v>
      </c>
      <c r="U241" s="132">
        <f t="shared" si="2"/>
        <v>2.0637624726210758E-4</v>
      </c>
      <c r="V241" s="79"/>
      <c r="W241" s="88"/>
      <c r="X241" s="5"/>
      <c r="Y241" s="109"/>
    </row>
    <row r="242" spans="1:25" ht="15.6" x14ac:dyDescent="0.3">
      <c r="A242" s="24"/>
      <c r="B242" s="54" t="s">
        <v>162</v>
      </c>
      <c r="C242" s="93"/>
      <c r="D242" s="93"/>
      <c r="E242" s="93"/>
      <c r="F242" s="25"/>
      <c r="G242" s="94"/>
      <c r="H242" s="93"/>
      <c r="I242" s="93"/>
      <c r="J242" s="93"/>
      <c r="K242" s="93"/>
      <c r="L242" s="93"/>
      <c r="M242" s="93"/>
      <c r="N242" s="93"/>
      <c r="O242" s="93"/>
      <c r="P242" s="93"/>
      <c r="Q242" s="93"/>
      <c r="R242" s="54">
        <v>2</v>
      </c>
      <c r="S242" s="94">
        <f t="shared" si="1"/>
        <v>2.4755539051862855E-4</v>
      </c>
      <c r="T242" s="53">
        <v>459</v>
      </c>
      <c r="U242" s="132">
        <f t="shared" si="2"/>
        <v>4.4682404477975176E-4</v>
      </c>
      <c r="V242" s="79"/>
      <c r="W242" s="88"/>
      <c r="X242" s="5"/>
    </row>
    <row r="243" spans="1:25" ht="15.6" x14ac:dyDescent="0.3">
      <c r="A243" s="24"/>
      <c r="B243" s="54" t="s">
        <v>163</v>
      </c>
      <c r="C243" s="93"/>
      <c r="D243" s="93"/>
      <c r="E243" s="93"/>
      <c r="F243" s="25"/>
      <c r="G243" s="94"/>
      <c r="H243" s="93"/>
      <c r="I243" s="93"/>
      <c r="J243" s="93"/>
      <c r="K243" s="93"/>
      <c r="L243" s="93"/>
      <c r="M243" s="93"/>
      <c r="N243" s="93"/>
      <c r="O243" s="93"/>
      <c r="P243" s="93"/>
      <c r="Q243" s="93"/>
      <c r="R243" s="54">
        <v>3</v>
      </c>
      <c r="S243" s="94">
        <f t="shared" si="1"/>
        <v>3.713330857779428E-4</v>
      </c>
      <c r="T243" s="53">
        <v>672</v>
      </c>
      <c r="U243" s="132">
        <f t="shared" si="2"/>
        <v>6.541737649063032E-4</v>
      </c>
      <c r="V243" s="79"/>
      <c r="W243" s="88"/>
      <c r="X243" s="5"/>
      <c r="Y243" s="109"/>
    </row>
    <row r="244" spans="1:25" ht="15.6" x14ac:dyDescent="0.3">
      <c r="A244" s="24"/>
      <c r="B244" s="54"/>
      <c r="C244" s="93"/>
      <c r="D244" s="93"/>
      <c r="E244" s="93"/>
      <c r="F244" s="25"/>
      <c r="G244" s="94"/>
      <c r="H244" s="93"/>
      <c r="I244" s="93"/>
      <c r="J244" s="93"/>
      <c r="K244" s="93"/>
      <c r="L244" s="93"/>
      <c r="M244" s="93"/>
      <c r="N244" s="93"/>
      <c r="O244" s="93"/>
      <c r="P244" s="93"/>
      <c r="Q244" s="93"/>
      <c r="R244" s="54"/>
      <c r="S244" s="94"/>
      <c r="T244" s="53"/>
      <c r="U244" s="132"/>
      <c r="V244" s="79"/>
      <c r="W244" s="88"/>
      <c r="X244" s="5"/>
    </row>
    <row r="245" spans="1:25" ht="15.6" x14ac:dyDescent="0.3">
      <c r="A245" s="24"/>
      <c r="B245" s="25" t="s">
        <v>117</v>
      </c>
      <c r="C245" s="25"/>
      <c r="D245" s="25"/>
      <c r="E245" s="25"/>
      <c r="F245" s="25"/>
      <c r="G245" s="25"/>
      <c r="H245" s="95"/>
      <c r="I245" s="95"/>
      <c r="J245" s="95"/>
      <c r="K245" s="95"/>
      <c r="L245" s="95"/>
      <c r="M245" s="95"/>
      <c r="N245" s="95"/>
      <c r="O245" s="95"/>
      <c r="P245" s="95"/>
      <c r="Q245" s="95"/>
      <c r="R245" s="34">
        <f>SUM(R236:R244)</f>
        <v>8079</v>
      </c>
      <c r="S245" s="132">
        <f>SUM(S236:S244)</f>
        <v>1</v>
      </c>
      <c r="T245" s="53">
        <f>SUM(T236:T244)</f>
        <v>1027250</v>
      </c>
      <c r="U245" s="132">
        <f>SUM(U236:U244)</f>
        <v>0.99999999999999989</v>
      </c>
      <c r="V245" s="25"/>
      <c r="W245" s="25"/>
      <c r="X245" s="5"/>
    </row>
    <row r="246" spans="1:25" ht="15.6" x14ac:dyDescent="0.3">
      <c r="A246" s="24"/>
      <c r="B246" s="25"/>
      <c r="C246" s="25"/>
      <c r="D246" s="25"/>
      <c r="E246" s="25"/>
      <c r="F246" s="25"/>
      <c r="G246" s="25"/>
      <c r="H246" s="95"/>
      <c r="I246" s="95"/>
      <c r="J246" s="95"/>
      <c r="K246" s="95"/>
      <c r="L246" s="95"/>
      <c r="M246" s="95"/>
      <c r="N246" s="95"/>
      <c r="O246" s="95"/>
      <c r="P246" s="95"/>
      <c r="Q246" s="95"/>
      <c r="R246" s="34"/>
      <c r="S246" s="132"/>
      <c r="T246" s="53"/>
      <c r="U246" s="132"/>
      <c r="V246" s="25"/>
      <c r="W246" s="25"/>
      <c r="X246" s="5"/>
    </row>
    <row r="247" spans="1:25" ht="15.6" x14ac:dyDescent="0.3">
      <c r="A247" s="141"/>
      <c r="B247" s="14" t="s">
        <v>279</v>
      </c>
      <c r="C247" s="81"/>
      <c r="D247" s="81"/>
      <c r="E247" s="81"/>
      <c r="F247" s="82"/>
      <c r="G247" s="81"/>
      <c r="H247" s="17"/>
      <c r="I247" s="17"/>
      <c r="J247" s="17"/>
      <c r="K247" s="17"/>
      <c r="L247" s="17"/>
      <c r="M247" s="17"/>
      <c r="N247" s="17"/>
      <c r="O247" s="17"/>
      <c r="P247" s="17"/>
      <c r="Q247" s="17"/>
      <c r="R247" s="83" t="s">
        <v>103</v>
      </c>
      <c r="S247" s="17" t="s">
        <v>104</v>
      </c>
      <c r="T247" s="83" t="s">
        <v>111</v>
      </c>
      <c r="U247" s="17" t="s">
        <v>104</v>
      </c>
      <c r="V247" s="139"/>
      <c r="W247" s="140"/>
      <c r="X247" s="5"/>
    </row>
    <row r="248" spans="1:25" ht="15.6" x14ac:dyDescent="0.3">
      <c r="A248" s="24"/>
      <c r="B248" s="54" t="s">
        <v>89</v>
      </c>
      <c r="C248" s="93"/>
      <c r="D248" s="93"/>
      <c r="E248" s="93"/>
      <c r="F248" s="25"/>
      <c r="G248" s="93"/>
      <c r="H248" s="93"/>
      <c r="I248" s="93"/>
      <c r="J248" s="93"/>
      <c r="K248" s="93"/>
      <c r="L248" s="93"/>
      <c r="M248" s="93"/>
      <c r="N248" s="93"/>
      <c r="O248" s="93"/>
      <c r="P248" s="93"/>
      <c r="Q248" s="93"/>
      <c r="R248" s="54">
        <v>101</v>
      </c>
      <c r="S248" s="94">
        <f t="shared" ref="S248:S255" si="3">R248/$R$257</f>
        <v>0.33333333333333331</v>
      </c>
      <c r="T248" s="53">
        <v>9984</v>
      </c>
      <c r="U248" s="132">
        <f t="shared" ref="U248:U255" si="4">T248/$T$257</f>
        <v>0.24712871287128713</v>
      </c>
      <c r="V248" s="25"/>
      <c r="W248" s="25"/>
      <c r="X248" s="5"/>
    </row>
    <row r="249" spans="1:25" ht="15.6" x14ac:dyDescent="0.3">
      <c r="A249" s="24"/>
      <c r="B249" s="54" t="s">
        <v>90</v>
      </c>
      <c r="C249" s="93"/>
      <c r="D249" s="93"/>
      <c r="E249" s="93"/>
      <c r="F249" s="25"/>
      <c r="G249" s="94"/>
      <c r="H249" s="93"/>
      <c r="I249" s="93"/>
      <c r="J249" s="93"/>
      <c r="K249" s="93"/>
      <c r="L249" s="93"/>
      <c r="M249" s="93"/>
      <c r="N249" s="93"/>
      <c r="O249" s="93"/>
      <c r="P249" s="93"/>
      <c r="Q249" s="93"/>
      <c r="R249" s="54">
        <v>64</v>
      </c>
      <c r="S249" s="94">
        <f t="shared" si="3"/>
        <v>0.21122112211221122</v>
      </c>
      <c r="T249" s="53">
        <v>12555</v>
      </c>
      <c r="U249" s="132">
        <f t="shared" si="4"/>
        <v>0.31076732673267327</v>
      </c>
      <c r="V249" s="25"/>
      <c r="W249" s="25"/>
      <c r="X249" s="5"/>
    </row>
    <row r="250" spans="1:25" ht="15.6" x14ac:dyDescent="0.3">
      <c r="A250" s="24"/>
      <c r="B250" s="54" t="s">
        <v>91</v>
      </c>
      <c r="C250" s="93"/>
      <c r="D250" s="93"/>
      <c r="E250" s="93"/>
      <c r="F250" s="25"/>
      <c r="G250" s="94"/>
      <c r="H250" s="93"/>
      <c r="I250" s="93"/>
      <c r="J250" s="93"/>
      <c r="K250" s="93"/>
      <c r="L250" s="93"/>
      <c r="M250" s="93"/>
      <c r="N250" s="93"/>
      <c r="O250" s="93"/>
      <c r="P250" s="93"/>
      <c r="Q250" s="93"/>
      <c r="R250" s="54">
        <v>16</v>
      </c>
      <c r="S250" s="94">
        <f t="shared" si="3"/>
        <v>5.2805280528052806E-2</v>
      </c>
      <c r="T250" s="53">
        <v>1764</v>
      </c>
      <c r="U250" s="132">
        <f t="shared" si="4"/>
        <v>4.3663366336633661E-2</v>
      </c>
      <c r="V250" s="25"/>
      <c r="W250" s="25"/>
      <c r="X250" s="5"/>
    </row>
    <row r="251" spans="1:25" ht="15.6" x14ac:dyDescent="0.3">
      <c r="A251" s="24"/>
      <c r="B251" s="54" t="s">
        <v>159</v>
      </c>
      <c r="C251" s="93"/>
      <c r="D251" s="93"/>
      <c r="E251" s="93"/>
      <c r="F251" s="25"/>
      <c r="G251" s="94"/>
      <c r="H251" s="93"/>
      <c r="I251" s="93"/>
      <c r="J251" s="93"/>
      <c r="K251" s="93"/>
      <c r="L251" s="93"/>
      <c r="M251" s="93"/>
      <c r="N251" s="93"/>
      <c r="O251" s="93"/>
      <c r="P251" s="93"/>
      <c r="Q251" s="93"/>
      <c r="R251" s="54">
        <v>3</v>
      </c>
      <c r="S251" s="94">
        <f t="shared" si="3"/>
        <v>9.9009900990099011E-3</v>
      </c>
      <c r="T251" s="53">
        <v>429</v>
      </c>
      <c r="U251" s="132">
        <f t="shared" si="4"/>
        <v>1.061881188118812E-2</v>
      </c>
      <c r="V251" s="25"/>
      <c r="W251" s="25"/>
      <c r="X251" s="5"/>
    </row>
    <row r="252" spans="1:25" ht="15.6" x14ac:dyDescent="0.3">
      <c r="A252" s="24"/>
      <c r="B252" s="54" t="s">
        <v>160</v>
      </c>
      <c r="C252" s="93"/>
      <c r="D252" s="93"/>
      <c r="E252" s="93"/>
      <c r="F252" s="25"/>
      <c r="G252" s="94"/>
      <c r="H252" s="93"/>
      <c r="I252" s="93"/>
      <c r="J252" s="93"/>
      <c r="K252" s="93"/>
      <c r="L252" s="93"/>
      <c r="M252" s="93"/>
      <c r="N252" s="93"/>
      <c r="O252" s="93"/>
      <c r="P252" s="93"/>
      <c r="Q252" s="93"/>
      <c r="R252" s="54">
        <v>10</v>
      </c>
      <c r="S252" s="94">
        <f t="shared" si="3"/>
        <v>3.3003300330033E-2</v>
      </c>
      <c r="T252" s="53">
        <v>1475</v>
      </c>
      <c r="U252" s="132">
        <f t="shared" si="4"/>
        <v>3.6509900990099008E-2</v>
      </c>
      <c r="V252" s="25"/>
      <c r="W252" s="25"/>
      <c r="X252" s="5"/>
    </row>
    <row r="253" spans="1:25" ht="15.6" x14ac:dyDescent="0.3">
      <c r="A253" s="24"/>
      <c r="B253" s="54" t="s">
        <v>161</v>
      </c>
      <c r="C253" s="93"/>
      <c r="D253" s="93"/>
      <c r="E253" s="93"/>
      <c r="F253" s="25"/>
      <c r="G253" s="94"/>
      <c r="H253" s="93"/>
      <c r="I253" s="93"/>
      <c r="J253" s="93"/>
      <c r="K253" s="93"/>
      <c r="L253" s="93"/>
      <c r="M253" s="93"/>
      <c r="N253" s="93"/>
      <c r="O253" s="93"/>
      <c r="P253" s="93"/>
      <c r="Q253" s="93"/>
      <c r="R253" s="54">
        <v>11</v>
      </c>
      <c r="S253" s="94">
        <f t="shared" si="3"/>
        <v>3.6303630363036306E-2</v>
      </c>
      <c r="T253" s="53">
        <v>1104</v>
      </c>
      <c r="U253" s="132">
        <f t="shared" si="4"/>
        <v>2.7326732673267327E-2</v>
      </c>
      <c r="V253" s="25"/>
      <c r="W253" s="25"/>
      <c r="X253" s="5"/>
    </row>
    <row r="254" spans="1:25" ht="15.6" x14ac:dyDescent="0.3">
      <c r="A254" s="24"/>
      <c r="B254" s="54" t="s">
        <v>162</v>
      </c>
      <c r="C254" s="93"/>
      <c r="D254" s="93"/>
      <c r="E254" s="93"/>
      <c r="F254" s="25"/>
      <c r="G254" s="94"/>
      <c r="H254" s="93"/>
      <c r="I254" s="93"/>
      <c r="J254" s="93"/>
      <c r="K254" s="93"/>
      <c r="L254" s="93"/>
      <c r="M254" s="93"/>
      <c r="N254" s="93"/>
      <c r="O254" s="93"/>
      <c r="P254" s="93"/>
      <c r="Q254" s="93"/>
      <c r="R254" s="54">
        <v>44</v>
      </c>
      <c r="S254" s="94">
        <f t="shared" si="3"/>
        <v>0.14521452145214522</v>
      </c>
      <c r="T254" s="53">
        <v>5564</v>
      </c>
      <c r="U254" s="132">
        <f t="shared" si="4"/>
        <v>0.13772277227722773</v>
      </c>
      <c r="V254" s="25"/>
      <c r="W254" s="25"/>
      <c r="X254" s="5"/>
    </row>
    <row r="255" spans="1:25" ht="15.6" x14ac:dyDescent="0.3">
      <c r="A255" s="24"/>
      <c r="B255" s="54" t="s">
        <v>163</v>
      </c>
      <c r="C255" s="93"/>
      <c r="D255" s="93"/>
      <c r="E255" s="93"/>
      <c r="F255" s="25"/>
      <c r="G255" s="94"/>
      <c r="H255" s="93"/>
      <c r="I255" s="93"/>
      <c r="J255" s="93"/>
      <c r="K255" s="93"/>
      <c r="L255" s="93"/>
      <c r="M255" s="93"/>
      <c r="N255" s="93"/>
      <c r="O255" s="93"/>
      <c r="P255" s="93"/>
      <c r="Q255" s="93"/>
      <c r="R255" s="54">
        <v>54</v>
      </c>
      <c r="S255" s="94">
        <f t="shared" si="3"/>
        <v>0.17821782178217821</v>
      </c>
      <c r="T255" s="53">
        <v>7525</v>
      </c>
      <c r="U255" s="132">
        <f t="shared" si="4"/>
        <v>0.18626237623762376</v>
      </c>
      <c r="V255" s="25"/>
      <c r="W255" s="25"/>
      <c r="X255" s="5"/>
    </row>
    <row r="256" spans="1:25" ht="15.6" x14ac:dyDescent="0.3">
      <c r="A256" s="24"/>
      <c r="B256" s="54"/>
      <c r="C256" s="93"/>
      <c r="D256" s="93"/>
      <c r="E256" s="93"/>
      <c r="F256" s="25"/>
      <c r="G256" s="94"/>
      <c r="H256" s="93"/>
      <c r="I256" s="93"/>
      <c r="J256" s="93"/>
      <c r="K256" s="93"/>
      <c r="L256" s="93"/>
      <c r="M256" s="93"/>
      <c r="N256" s="93"/>
      <c r="O256" s="93"/>
      <c r="P256" s="93"/>
      <c r="Q256" s="93"/>
      <c r="R256" s="54"/>
      <c r="S256" s="94"/>
      <c r="T256" s="53"/>
      <c r="U256" s="132"/>
      <c r="V256" s="25"/>
      <c r="W256" s="25"/>
      <c r="X256" s="5"/>
    </row>
    <row r="257" spans="1:24" ht="15.6" x14ac:dyDescent="0.3">
      <c r="A257" s="24"/>
      <c r="B257" s="25" t="s">
        <v>117</v>
      </c>
      <c r="C257" s="25"/>
      <c r="D257" s="25"/>
      <c r="E257" s="25"/>
      <c r="F257" s="25"/>
      <c r="G257" s="25"/>
      <c r="H257" s="95"/>
      <c r="I257" s="95"/>
      <c r="J257" s="95"/>
      <c r="K257" s="95"/>
      <c r="L257" s="95"/>
      <c r="M257" s="95"/>
      <c r="N257" s="95"/>
      <c r="O257" s="95"/>
      <c r="P257" s="95"/>
      <c r="Q257" s="95"/>
      <c r="R257" s="34">
        <f>SUM(R248:R256)</f>
        <v>303</v>
      </c>
      <c r="S257" s="132">
        <f>SUM(S248:S256)</f>
        <v>1</v>
      </c>
      <c r="T257" s="53">
        <f>SUM(T248:T256)</f>
        <v>40400</v>
      </c>
      <c r="U257" s="132">
        <f>SUM(U248:U256)</f>
        <v>1</v>
      </c>
      <c r="V257" s="25"/>
      <c r="W257" s="25"/>
      <c r="X257" s="5"/>
    </row>
    <row r="258" spans="1:24" ht="15.6" x14ac:dyDescent="0.3">
      <c r="A258" s="24"/>
      <c r="B258" s="25"/>
      <c r="C258" s="25"/>
      <c r="D258" s="25"/>
      <c r="E258" s="25"/>
      <c r="F258" s="25"/>
      <c r="G258" s="25"/>
      <c r="H258" s="95"/>
      <c r="I258" s="95"/>
      <c r="J258" s="95"/>
      <c r="K258" s="95"/>
      <c r="L258" s="95"/>
      <c r="M258" s="95"/>
      <c r="N258" s="95"/>
      <c r="O258" s="95"/>
      <c r="P258" s="95"/>
      <c r="Q258" s="95"/>
      <c r="R258" s="34"/>
      <c r="S258" s="132"/>
      <c r="T258" s="53"/>
      <c r="U258" s="132"/>
      <c r="V258" s="25"/>
      <c r="W258" s="25"/>
      <c r="X258" s="5"/>
    </row>
    <row r="259" spans="1:24" ht="15.6" x14ac:dyDescent="0.3">
      <c r="A259" s="141"/>
      <c r="B259" s="14" t="s">
        <v>166</v>
      </c>
      <c r="C259" s="139"/>
      <c r="D259" s="139"/>
      <c r="E259" s="139"/>
      <c r="F259" s="139"/>
      <c r="G259" s="139"/>
      <c r="H259" s="145"/>
      <c r="I259" s="145"/>
      <c r="J259" s="145"/>
      <c r="K259" s="145"/>
      <c r="L259" s="145"/>
      <c r="M259" s="145"/>
      <c r="N259" s="145"/>
      <c r="O259" s="145"/>
      <c r="P259" s="145"/>
      <c r="Q259" s="145"/>
      <c r="R259" s="83" t="s">
        <v>103</v>
      </c>
      <c r="S259" s="17" t="s">
        <v>104</v>
      </c>
      <c r="T259" s="83" t="s">
        <v>111</v>
      </c>
      <c r="U259" s="17" t="s">
        <v>104</v>
      </c>
      <c r="V259" s="139"/>
      <c r="W259" s="140"/>
      <c r="X259" s="5"/>
    </row>
    <row r="260" spans="1:24" ht="15.6" x14ac:dyDescent="0.3">
      <c r="A260" s="24"/>
      <c r="B260" s="54" t="s">
        <v>89</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90</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91</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159</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160</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161</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t="s">
        <v>162</v>
      </c>
      <c r="C266" s="25"/>
      <c r="D266" s="25"/>
      <c r="E266" s="25"/>
      <c r="F266" s="25"/>
      <c r="G266" s="25"/>
      <c r="H266" s="95"/>
      <c r="I266" s="95"/>
      <c r="J266" s="95"/>
      <c r="K266" s="95"/>
      <c r="L266" s="95"/>
      <c r="M266" s="95"/>
      <c r="N266" s="95"/>
      <c r="O266" s="95"/>
      <c r="P266" s="95"/>
      <c r="Q266" s="95"/>
      <c r="R266" s="54">
        <v>0</v>
      </c>
      <c r="S266" s="94">
        <v>0</v>
      </c>
      <c r="T266" s="53">
        <v>0</v>
      </c>
      <c r="U266" s="94">
        <v>0</v>
      </c>
      <c r="V266" s="25"/>
      <c r="W266" s="25"/>
      <c r="X266" s="5"/>
    </row>
    <row r="267" spans="1:24" ht="15.6" x14ac:dyDescent="0.3">
      <c r="A267" s="24"/>
      <c r="B267" s="54" t="s">
        <v>163</v>
      </c>
      <c r="C267" s="25"/>
      <c r="D267" s="25"/>
      <c r="E267" s="25"/>
      <c r="F267" s="25"/>
      <c r="G267" s="25"/>
      <c r="H267" s="95"/>
      <c r="I267" s="95"/>
      <c r="J267" s="95"/>
      <c r="K267" s="95"/>
      <c r="L267" s="95"/>
      <c r="M267" s="95"/>
      <c r="N267" s="95"/>
      <c r="O267" s="95"/>
      <c r="P267" s="95"/>
      <c r="Q267" s="95"/>
      <c r="R267" s="54">
        <v>0</v>
      </c>
      <c r="S267" s="94">
        <v>0</v>
      </c>
      <c r="T267" s="53">
        <v>0</v>
      </c>
      <c r="U267" s="94">
        <v>0</v>
      </c>
      <c r="V267" s="25"/>
      <c r="W267" s="25"/>
      <c r="X267" s="5"/>
    </row>
    <row r="268" spans="1:24" ht="15.6" x14ac:dyDescent="0.3">
      <c r="A268" s="24"/>
      <c r="B268" s="54"/>
      <c r="C268" s="25"/>
      <c r="D268" s="25"/>
      <c r="E268" s="25"/>
      <c r="F268" s="25"/>
      <c r="G268" s="25"/>
      <c r="H268" s="95"/>
      <c r="I268" s="95"/>
      <c r="J268" s="95"/>
      <c r="K268" s="95"/>
      <c r="L268" s="95"/>
      <c r="M268" s="95"/>
      <c r="N268" s="95"/>
      <c r="O268" s="95"/>
      <c r="P268" s="95"/>
      <c r="Q268" s="95"/>
      <c r="R268" s="54"/>
      <c r="S268" s="94"/>
      <c r="T268" s="53"/>
      <c r="U268" s="132"/>
      <c r="V268" s="25"/>
      <c r="W268" s="25"/>
      <c r="X268" s="5"/>
    </row>
    <row r="269" spans="1:24" ht="15.6" x14ac:dyDescent="0.3">
      <c r="A269" s="24"/>
      <c r="B269" s="25" t="s">
        <v>117</v>
      </c>
      <c r="C269" s="25"/>
      <c r="D269" s="25"/>
      <c r="E269" s="25"/>
      <c r="F269" s="25"/>
      <c r="G269" s="25"/>
      <c r="H269" s="95"/>
      <c r="I269" s="95"/>
      <c r="J269" s="95"/>
      <c r="K269" s="95"/>
      <c r="L269" s="95"/>
      <c r="M269" s="95"/>
      <c r="N269" s="95"/>
      <c r="O269" s="95"/>
      <c r="P269" s="95"/>
      <c r="Q269" s="95"/>
      <c r="R269" s="34">
        <f>SUM(R260:R267)</f>
        <v>0</v>
      </c>
      <c r="S269" s="94">
        <f>SUM(S260:S267)</f>
        <v>0</v>
      </c>
      <c r="T269" s="53">
        <f>SUM(T260:T267)</f>
        <v>0</v>
      </c>
      <c r="U269" s="132">
        <f>SUM(U260:U267)</f>
        <v>0</v>
      </c>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34"/>
      <c r="S270" s="132"/>
      <c r="T270" s="53"/>
      <c r="U270" s="132"/>
      <c r="V270" s="25"/>
      <c r="W270" s="25"/>
      <c r="X270" s="5"/>
    </row>
    <row r="271" spans="1:24" ht="15.6" x14ac:dyDescent="0.3">
      <c r="A271" s="24"/>
      <c r="B271" s="142" t="s">
        <v>167</v>
      </c>
      <c r="C271" s="25"/>
      <c r="D271" s="25"/>
      <c r="E271" s="25"/>
      <c r="F271" s="25"/>
      <c r="G271" s="25"/>
      <c r="H271" s="95"/>
      <c r="I271" s="95"/>
      <c r="J271" s="95"/>
      <c r="K271" s="95"/>
      <c r="L271" s="95"/>
      <c r="M271" s="95"/>
      <c r="N271" s="95"/>
      <c r="O271" s="95"/>
      <c r="P271" s="95"/>
      <c r="Q271" s="95"/>
      <c r="R271" s="161">
        <f>R269+R257+R245</f>
        <v>8382</v>
      </c>
      <c r="S271" s="143"/>
      <c r="T271" s="144">
        <f>+T269+T257+T245</f>
        <v>1067650</v>
      </c>
      <c r="U271" s="143"/>
      <c r="V271" s="25"/>
      <c r="W271" s="25"/>
      <c r="X271" s="5"/>
    </row>
    <row r="272" spans="1:24" ht="15.6" x14ac:dyDescent="0.3">
      <c r="A272" s="24"/>
      <c r="B272" s="25"/>
      <c r="C272" s="25"/>
      <c r="D272" s="25"/>
      <c r="E272" s="25"/>
      <c r="F272" s="25"/>
      <c r="G272" s="25"/>
      <c r="H272" s="95"/>
      <c r="I272" s="95"/>
      <c r="J272" s="95"/>
      <c r="K272" s="95"/>
      <c r="L272" s="95"/>
      <c r="M272" s="95"/>
      <c r="N272" s="95"/>
      <c r="O272" s="95"/>
      <c r="P272" s="95"/>
      <c r="Q272" s="95"/>
      <c r="R272" s="95"/>
      <c r="S272" s="95"/>
      <c r="T272" s="53"/>
      <c r="U272" s="95"/>
      <c r="V272" s="25"/>
      <c r="W272" s="25"/>
      <c r="X272" s="5"/>
    </row>
    <row r="273" spans="1:24" ht="15.6" x14ac:dyDescent="0.3">
      <c r="A273" s="6"/>
      <c r="B273" s="8"/>
      <c r="C273" s="8"/>
      <c r="D273" s="8"/>
      <c r="E273" s="8"/>
      <c r="F273" s="8"/>
      <c r="G273" s="8"/>
      <c r="H273" s="96"/>
      <c r="I273" s="96"/>
      <c r="J273" s="96"/>
      <c r="K273" s="96"/>
      <c r="L273" s="96"/>
      <c r="M273" s="96"/>
      <c r="N273" s="96"/>
      <c r="O273" s="96"/>
      <c r="P273" s="96"/>
      <c r="Q273" s="96"/>
      <c r="R273" s="96"/>
      <c r="S273" s="96"/>
      <c r="T273" s="97"/>
      <c r="U273" s="96"/>
      <c r="V273" s="8"/>
      <c r="W273" s="8"/>
      <c r="X273" s="5"/>
    </row>
    <row r="274" spans="1:24" ht="15.6" x14ac:dyDescent="0.3">
      <c r="A274" s="167"/>
      <c r="B274" s="14" t="s">
        <v>92</v>
      </c>
      <c r="C274" s="15"/>
      <c r="D274" s="15"/>
      <c r="E274" s="15"/>
      <c r="F274" s="17" t="s">
        <v>98</v>
      </c>
      <c r="G274" s="15"/>
      <c r="H274" s="14" t="s">
        <v>100</v>
      </c>
      <c r="I274" s="14"/>
      <c r="J274" s="14"/>
      <c r="K274" s="162"/>
      <c r="L274" s="162"/>
      <c r="M274" s="162"/>
      <c r="N274" s="162"/>
      <c r="O274" s="162"/>
      <c r="P274" s="162"/>
      <c r="Q274" s="162"/>
      <c r="R274" s="162"/>
      <c r="S274" s="162"/>
      <c r="T274" s="162"/>
      <c r="U274" s="162"/>
      <c r="V274" s="162"/>
      <c r="W274" s="162"/>
      <c r="X274" s="5"/>
    </row>
    <row r="275" spans="1:24" ht="15.6" x14ac:dyDescent="0.3">
      <c r="A275" s="167"/>
      <c r="B275" s="13" t="s">
        <v>93</v>
      </c>
      <c r="C275" s="8"/>
      <c r="D275" s="8"/>
      <c r="E275" s="8"/>
      <c r="F275" s="130" t="s">
        <v>151</v>
      </c>
      <c r="G275" s="8"/>
      <c r="H275" s="13" t="s">
        <v>155</v>
      </c>
      <c r="I275" s="13"/>
      <c r="J275" s="13"/>
      <c r="K275" s="162"/>
      <c r="L275" s="162"/>
      <c r="M275" s="162"/>
      <c r="N275" s="162"/>
      <c r="O275" s="162"/>
      <c r="P275" s="162"/>
      <c r="Q275" s="162"/>
      <c r="R275" s="162"/>
      <c r="S275" s="162"/>
      <c r="T275" s="162"/>
      <c r="U275" s="162"/>
      <c r="V275" s="162"/>
      <c r="W275" s="162"/>
      <c r="X275" s="5"/>
    </row>
    <row r="276" spans="1:24" ht="15.6" x14ac:dyDescent="0.3">
      <c r="A276" s="167"/>
      <c r="B276" s="13" t="s">
        <v>281</v>
      </c>
      <c r="C276" s="13"/>
      <c r="D276" s="13"/>
      <c r="E276" s="13"/>
      <c r="F276" s="130" t="s">
        <v>282</v>
      </c>
      <c r="G276" s="13"/>
      <c r="H276" s="13" t="s">
        <v>283</v>
      </c>
      <c r="I276" s="162"/>
      <c r="J276" s="13"/>
      <c r="K276" s="162"/>
      <c r="L276" s="162"/>
      <c r="M276" s="162"/>
      <c r="N276" s="162"/>
      <c r="O276" s="162"/>
      <c r="P276" s="162"/>
      <c r="Q276" s="162"/>
      <c r="R276" s="162"/>
      <c r="S276" s="162"/>
      <c r="T276" s="162"/>
      <c r="U276" s="162"/>
      <c r="V276" s="162"/>
      <c r="W276" s="162"/>
      <c r="X276" s="5"/>
    </row>
    <row r="277" spans="1:24" ht="15.6" x14ac:dyDescent="0.3">
      <c r="A277" s="167"/>
      <c r="B277" s="13" t="s">
        <v>94</v>
      </c>
      <c r="C277" s="13"/>
      <c r="D277" s="13"/>
      <c r="E277" s="13"/>
      <c r="F277" s="130" t="s">
        <v>150</v>
      </c>
      <c r="G277" s="13"/>
      <c r="H277" s="13" t="s">
        <v>156</v>
      </c>
      <c r="I277" s="13"/>
      <c r="J277" s="13"/>
      <c r="K277" s="162"/>
      <c r="L277" s="162"/>
      <c r="M277" s="162"/>
      <c r="N277" s="162"/>
      <c r="O277" s="162"/>
      <c r="P277" s="162"/>
      <c r="Q277" s="162"/>
      <c r="R277" s="162"/>
      <c r="S277" s="162"/>
      <c r="T277" s="162"/>
      <c r="U277" s="162"/>
      <c r="V277" s="162"/>
      <c r="W277" s="162"/>
      <c r="X277" s="5"/>
    </row>
    <row r="278" spans="1:24" ht="15.6" x14ac:dyDescent="0.3">
      <c r="A278" s="167"/>
      <c r="B278" s="13"/>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ht="15.6" x14ac:dyDescent="0.3">
      <c r="A279" s="167"/>
      <c r="B279" s="13"/>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ht="18" thickBot="1" x14ac:dyDescent="0.35">
      <c r="A280" s="167"/>
      <c r="B280" s="49" t="str">
        <f>B197</f>
        <v>PM13 INVESTOR REPORT QUARTER ENDING SEPTEMBER 2009</v>
      </c>
      <c r="C280" s="13"/>
      <c r="D280" s="13"/>
      <c r="E280" s="13"/>
      <c r="F280" s="13"/>
      <c r="G280" s="99"/>
      <c r="H280" s="162"/>
      <c r="I280" s="162"/>
      <c r="J280" s="162"/>
      <c r="K280" s="162"/>
      <c r="L280" s="162"/>
      <c r="M280" s="162"/>
      <c r="N280" s="162"/>
      <c r="O280" s="162"/>
      <c r="P280" s="162"/>
      <c r="Q280" s="162"/>
      <c r="R280" s="162"/>
      <c r="S280" s="162"/>
      <c r="T280" s="162"/>
      <c r="U280" s="162"/>
      <c r="V280" s="162"/>
      <c r="W280" s="162"/>
      <c r="X280" s="5"/>
    </row>
    <row r="281" spans="1:24" x14ac:dyDescent="0.25">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row>
  </sheetData>
  <phoneticPr fontId="0" type="noConversion"/>
  <hyperlinks>
    <hyperlink ref="P233" r:id="rId1" xr:uid="{00000000-0004-0000-0B00-000000000000}"/>
    <hyperlink ref="I9" r:id="rId2" xr:uid="{00000000-0004-0000-0B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8" max="14" man="1"/>
    <brk id="197" max="14"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9CB31"/>
  </sheetPr>
  <dimension ref="A1:Z282"/>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238</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239</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140</v>
      </c>
      <c r="C5" s="8"/>
      <c r="D5" s="8"/>
      <c r="E5" s="8"/>
      <c r="F5" s="8"/>
      <c r="G5" s="8"/>
      <c r="H5" s="8"/>
      <c r="I5" s="8"/>
      <c r="J5" s="8"/>
      <c r="K5" s="8"/>
      <c r="L5" s="8"/>
      <c r="M5" s="8"/>
      <c r="N5" s="8"/>
      <c r="O5" s="8"/>
      <c r="P5" s="8"/>
      <c r="Q5" s="8"/>
      <c r="R5" s="8"/>
      <c r="S5" s="8"/>
      <c r="T5" s="8"/>
      <c r="U5" s="8"/>
      <c r="V5" s="8"/>
      <c r="W5" s="8"/>
      <c r="X5" s="5"/>
    </row>
    <row r="6" spans="1:24" ht="15.6" x14ac:dyDescent="0.3">
      <c r="A6" s="6"/>
      <c r="B6" s="11" t="s">
        <v>142</v>
      </c>
      <c r="C6" s="8"/>
      <c r="D6" s="8"/>
      <c r="E6" s="8"/>
      <c r="F6" s="8"/>
      <c r="G6" s="8"/>
      <c r="H6" s="8"/>
      <c r="I6" s="8"/>
      <c r="J6" s="8"/>
      <c r="K6" s="8"/>
      <c r="L6" s="8"/>
      <c r="M6" s="8"/>
      <c r="N6" s="8"/>
      <c r="O6" s="8"/>
      <c r="P6" s="8"/>
      <c r="Q6" s="8"/>
      <c r="R6" s="8"/>
      <c r="S6" s="8"/>
      <c r="T6" s="8"/>
      <c r="U6" s="8"/>
      <c r="V6" s="8"/>
      <c r="W6" s="8"/>
      <c r="X6" s="5"/>
    </row>
    <row r="7" spans="1:24" ht="15.6" x14ac:dyDescent="0.3">
      <c r="A7" s="6"/>
      <c r="B7" s="11" t="s">
        <v>141</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169</v>
      </c>
      <c r="C9" s="8"/>
      <c r="D9" s="8"/>
      <c r="E9" s="8"/>
      <c r="F9" s="8"/>
      <c r="G9" s="8"/>
      <c r="H9" s="8"/>
      <c r="I9" s="148" t="s">
        <v>170</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240</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105</v>
      </c>
      <c r="S15" s="137">
        <v>0.57609999999999995</v>
      </c>
      <c r="T15" s="17" t="s">
        <v>143</v>
      </c>
      <c r="U15" s="137">
        <v>0.4239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105</v>
      </c>
      <c r="S16" s="137">
        <v>0.62739999999999996</v>
      </c>
      <c r="T16" s="17" t="s">
        <v>143</v>
      </c>
      <c r="U16" s="137">
        <v>0.37259999999999999</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39016</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40200</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106</v>
      </c>
      <c r="U20" s="8"/>
      <c r="V20" s="16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180</v>
      </c>
      <c r="E22" s="112"/>
      <c r="F22" s="112" t="s">
        <v>181</v>
      </c>
      <c r="G22" s="112"/>
      <c r="H22" s="112" t="s">
        <v>182</v>
      </c>
      <c r="I22" s="112"/>
      <c r="J22" s="112" t="s">
        <v>223</v>
      </c>
      <c r="K22" s="112"/>
      <c r="L22" s="112" t="s">
        <v>183</v>
      </c>
      <c r="M22" s="112"/>
      <c r="N22" s="112" t="s">
        <v>184</v>
      </c>
      <c r="O22" s="112"/>
      <c r="P22" s="112" t="s">
        <v>224</v>
      </c>
      <c r="Q22" s="112"/>
      <c r="R22" s="112" t="s">
        <v>185</v>
      </c>
      <c r="S22" s="113"/>
      <c r="T22" s="23"/>
      <c r="U22" s="162"/>
      <c r="V22" s="162"/>
      <c r="W22" s="8"/>
      <c r="X22" s="5"/>
    </row>
    <row r="23" spans="1:24" ht="15.6" x14ac:dyDescent="0.3">
      <c r="A23" s="24"/>
      <c r="B23" s="25" t="s">
        <v>7</v>
      </c>
      <c r="C23" s="26"/>
      <c r="D23" s="26" t="s">
        <v>216</v>
      </c>
      <c r="E23" s="26"/>
      <c r="F23" s="26" t="s">
        <v>144</v>
      </c>
      <c r="G23" s="26"/>
      <c r="H23" s="26" t="s">
        <v>144</v>
      </c>
      <c r="I23" s="26"/>
      <c r="J23" s="26" t="s">
        <v>144</v>
      </c>
      <c r="K23" s="26"/>
      <c r="L23" s="26" t="s">
        <v>186</v>
      </c>
      <c r="M23" s="26"/>
      <c r="N23" s="26" t="s">
        <v>186</v>
      </c>
      <c r="O23" s="26"/>
      <c r="P23" s="26" t="s">
        <v>145</v>
      </c>
      <c r="Q23" s="26"/>
      <c r="R23" s="26" t="s">
        <v>145</v>
      </c>
      <c r="S23" s="26"/>
      <c r="T23" s="26"/>
      <c r="U23" s="163"/>
      <c r="V23" s="163"/>
      <c r="W23" s="25"/>
      <c r="X23" s="5"/>
    </row>
    <row r="24" spans="1:24" ht="15.6" x14ac:dyDescent="0.3">
      <c r="A24" s="24"/>
      <c r="B24" s="25" t="s">
        <v>8</v>
      </c>
      <c r="C24" s="26"/>
      <c r="D24" s="26" t="s">
        <v>217</v>
      </c>
      <c r="E24" s="26"/>
      <c r="F24" s="26" t="s">
        <v>146</v>
      </c>
      <c r="G24" s="26"/>
      <c r="H24" s="26" t="s">
        <v>146</v>
      </c>
      <c r="I24" s="26"/>
      <c r="J24" s="26" t="s">
        <v>146</v>
      </c>
      <c r="K24" s="26"/>
      <c r="L24" s="26" t="s">
        <v>168</v>
      </c>
      <c r="M24" s="26"/>
      <c r="N24" s="26" t="s">
        <v>168</v>
      </c>
      <c r="O24" s="26"/>
      <c r="P24" s="26" t="s">
        <v>147</v>
      </c>
      <c r="Q24" s="26"/>
      <c r="R24" s="26" t="s">
        <v>147</v>
      </c>
      <c r="S24" s="26"/>
      <c r="T24" s="26"/>
      <c r="U24" s="163"/>
      <c r="V24" s="163"/>
      <c r="W24" s="25"/>
      <c r="X24" s="5"/>
    </row>
    <row r="25" spans="1:24" ht="15.6" x14ac:dyDescent="0.3">
      <c r="A25" s="28"/>
      <c r="B25" s="131" t="s">
        <v>193</v>
      </c>
      <c r="C25" s="123"/>
      <c r="D25" s="26" t="s">
        <v>218</v>
      </c>
      <c r="E25" s="26"/>
      <c r="F25" s="26" t="s">
        <v>146</v>
      </c>
      <c r="G25" s="26"/>
      <c r="H25" s="26" t="s">
        <v>146</v>
      </c>
      <c r="I25" s="26"/>
      <c r="J25" s="26" t="s">
        <v>146</v>
      </c>
      <c r="K25" s="26"/>
      <c r="L25" s="26" t="s">
        <v>168</v>
      </c>
      <c r="M25" s="26"/>
      <c r="N25" s="26" t="s">
        <v>168</v>
      </c>
      <c r="O25" s="26"/>
      <c r="P25" s="26" t="s">
        <v>147</v>
      </c>
      <c r="Q25" s="26"/>
      <c r="R25" s="26" t="s">
        <v>147</v>
      </c>
      <c r="S25" s="123"/>
      <c r="T25" s="26"/>
      <c r="U25" s="163"/>
      <c r="V25" s="163"/>
      <c r="W25" s="25"/>
      <c r="X25" s="5"/>
    </row>
    <row r="26" spans="1:24" ht="15.6" x14ac:dyDescent="0.3">
      <c r="A26" s="28"/>
      <c r="B26" s="29" t="s">
        <v>9</v>
      </c>
      <c r="C26" s="123"/>
      <c r="D26" s="123" t="s">
        <v>216</v>
      </c>
      <c r="E26" s="123"/>
      <c r="F26" s="123" t="s">
        <v>144</v>
      </c>
      <c r="G26" s="123"/>
      <c r="H26" s="123" t="s">
        <v>144</v>
      </c>
      <c r="I26" s="123"/>
      <c r="J26" s="123" t="s">
        <v>144</v>
      </c>
      <c r="K26" s="123"/>
      <c r="L26" s="123" t="s">
        <v>186</v>
      </c>
      <c r="M26" s="123"/>
      <c r="N26" s="123" t="s">
        <v>186</v>
      </c>
      <c r="O26" s="123"/>
      <c r="P26" s="123" t="s">
        <v>145</v>
      </c>
      <c r="Q26" s="123"/>
      <c r="R26" s="123" t="s">
        <v>145</v>
      </c>
      <c r="S26" s="123"/>
      <c r="T26" s="26"/>
      <c r="U26" s="163"/>
      <c r="V26" s="163"/>
      <c r="W26" s="25"/>
      <c r="X26" s="5"/>
    </row>
    <row r="27" spans="1:24" ht="15.6" x14ac:dyDescent="0.3">
      <c r="A27" s="24"/>
      <c r="B27" s="29" t="s">
        <v>194</v>
      </c>
      <c r="C27" s="26"/>
      <c r="D27" s="123" t="s">
        <v>217</v>
      </c>
      <c r="E27" s="123"/>
      <c r="F27" s="123" t="s">
        <v>146</v>
      </c>
      <c r="G27" s="123"/>
      <c r="H27" s="123" t="s">
        <v>146</v>
      </c>
      <c r="I27" s="123"/>
      <c r="J27" s="123" t="s">
        <v>146</v>
      </c>
      <c r="K27" s="123"/>
      <c r="L27" s="123" t="s">
        <v>168</v>
      </c>
      <c r="M27" s="123"/>
      <c r="N27" s="123" t="s">
        <v>168</v>
      </c>
      <c r="O27" s="123"/>
      <c r="P27" s="123" t="s">
        <v>147</v>
      </c>
      <c r="Q27" s="123"/>
      <c r="R27" s="123" t="s">
        <v>147</v>
      </c>
      <c r="S27" s="26"/>
      <c r="T27" s="30"/>
      <c r="U27" s="163"/>
      <c r="V27" s="163"/>
      <c r="W27" s="25"/>
      <c r="X27" s="5"/>
    </row>
    <row r="28" spans="1:24" ht="15.6" x14ac:dyDescent="0.3">
      <c r="A28" s="24"/>
      <c r="B28" s="153" t="s">
        <v>195</v>
      </c>
      <c r="C28" s="26"/>
      <c r="D28" s="123" t="s">
        <v>218</v>
      </c>
      <c r="E28" s="123"/>
      <c r="F28" s="123" t="s">
        <v>146</v>
      </c>
      <c r="G28" s="123"/>
      <c r="H28" s="123" t="s">
        <v>146</v>
      </c>
      <c r="I28" s="123"/>
      <c r="J28" s="123" t="s">
        <v>146</v>
      </c>
      <c r="K28" s="123"/>
      <c r="L28" s="123" t="s">
        <v>168</v>
      </c>
      <c r="M28" s="123"/>
      <c r="N28" s="123" t="s">
        <v>168</v>
      </c>
      <c r="O28" s="123"/>
      <c r="P28" s="123" t="s">
        <v>147</v>
      </c>
      <c r="Q28" s="123"/>
      <c r="R28" s="123" t="s">
        <v>147</v>
      </c>
      <c r="S28" s="26"/>
      <c r="T28" s="30"/>
      <c r="U28" s="163"/>
      <c r="V28" s="163"/>
      <c r="W28" s="25"/>
      <c r="X28" s="5"/>
    </row>
    <row r="29" spans="1:24" ht="15.6" x14ac:dyDescent="0.3">
      <c r="A29" s="24"/>
      <c r="B29" s="25" t="s">
        <v>10</v>
      </c>
      <c r="C29" s="32"/>
      <c r="D29" s="26" t="s">
        <v>348</v>
      </c>
      <c r="E29" s="26"/>
      <c r="F29" s="30" t="s">
        <v>242</v>
      </c>
      <c r="G29" s="26"/>
      <c r="H29" s="26" t="s">
        <v>243</v>
      </c>
      <c r="I29" s="26"/>
      <c r="J29" s="26" t="s">
        <v>245</v>
      </c>
      <c r="K29" s="26"/>
      <c r="L29" s="26" t="s">
        <v>246</v>
      </c>
      <c r="M29" s="26"/>
      <c r="N29" s="26" t="s">
        <v>247</v>
      </c>
      <c r="O29" s="26"/>
      <c r="P29" s="26" t="s">
        <v>248</v>
      </c>
      <c r="Q29" s="26"/>
      <c r="R29" s="26" t="s">
        <v>249</v>
      </c>
      <c r="S29" s="31"/>
      <c r="T29" s="31"/>
      <c r="U29" s="164"/>
      <c r="V29" s="31"/>
      <c r="W29" s="34"/>
      <c r="X29" s="5"/>
    </row>
    <row r="30" spans="1:24" ht="15.6" x14ac:dyDescent="0.3">
      <c r="A30" s="24"/>
      <c r="B30" s="25" t="s">
        <v>10</v>
      </c>
      <c r="C30" s="32"/>
      <c r="D30" s="26" t="s">
        <v>241</v>
      </c>
      <c r="E30" s="26"/>
      <c r="F30" s="30" t="s">
        <v>121</v>
      </c>
      <c r="G30" s="26"/>
      <c r="H30" s="26" t="s">
        <v>121</v>
      </c>
      <c r="I30" s="26"/>
      <c r="J30" s="26" t="s">
        <v>244</v>
      </c>
      <c r="K30" s="26"/>
      <c r="L30" s="26" t="s">
        <v>121</v>
      </c>
      <c r="M30" s="26"/>
      <c r="N30" s="26" t="s">
        <v>121</v>
      </c>
      <c r="O30" s="26"/>
      <c r="P30" s="26" t="s">
        <v>121</v>
      </c>
      <c r="Q30" s="26"/>
      <c r="R30" s="26" t="s">
        <v>121</v>
      </c>
      <c r="S30" s="31"/>
      <c r="T30" s="31"/>
      <c r="U30" s="164"/>
      <c r="V30" s="31"/>
      <c r="W30" s="34"/>
      <c r="X30" s="5"/>
    </row>
    <row r="31" spans="1:24" ht="15.6" x14ac:dyDescent="0.3">
      <c r="A31" s="28"/>
      <c r="B31" s="25" t="s">
        <v>136</v>
      </c>
      <c r="C31" s="36"/>
      <c r="D31" s="146">
        <v>1500000</v>
      </c>
      <c r="E31" s="32"/>
      <c r="F31" s="31">
        <v>125000</v>
      </c>
      <c r="G31" s="31"/>
      <c r="H31" s="124">
        <v>315000</v>
      </c>
      <c r="I31" s="124"/>
      <c r="J31" s="146">
        <v>350000</v>
      </c>
      <c r="K31" s="31"/>
      <c r="L31" s="31">
        <v>56000</v>
      </c>
      <c r="M31" s="31"/>
      <c r="N31" s="124">
        <v>84000</v>
      </c>
      <c r="O31" s="31"/>
      <c r="P31" s="31">
        <v>13000</v>
      </c>
      <c r="Q31" s="31"/>
      <c r="R31" s="124">
        <v>81000</v>
      </c>
      <c r="S31" s="35"/>
      <c r="T31" s="35"/>
      <c r="U31" s="37"/>
      <c r="V31" s="35"/>
      <c r="W31" s="34"/>
      <c r="X31" s="5"/>
    </row>
    <row r="32" spans="1:24" ht="15.6" x14ac:dyDescent="0.3">
      <c r="A32" s="24"/>
      <c r="B32" s="25" t="s">
        <v>135</v>
      </c>
      <c r="C32" s="32"/>
      <c r="D32" s="146">
        <f>D31*D38</f>
        <v>1008644.55</v>
      </c>
      <c r="E32" s="32"/>
      <c r="F32" s="31">
        <f>F31*F38</f>
        <v>84053.8</v>
      </c>
      <c r="G32" s="31"/>
      <c r="H32" s="124">
        <f>H31*H38</f>
        <v>211815.576</v>
      </c>
      <c r="I32" s="124"/>
      <c r="J32" s="146">
        <f>J31*J38</f>
        <v>235350.39500000002</v>
      </c>
      <c r="K32" s="31"/>
      <c r="L32" s="31">
        <f>L31*L38</f>
        <v>56000</v>
      </c>
      <c r="M32" s="31"/>
      <c r="N32" s="124">
        <f>N31*N38</f>
        <v>84000</v>
      </c>
      <c r="O32" s="31"/>
      <c r="P32" s="31">
        <f>P31*P38</f>
        <v>13000</v>
      </c>
      <c r="Q32" s="31"/>
      <c r="R32" s="124">
        <f>R31*R38</f>
        <v>81000</v>
      </c>
      <c r="S32" s="31"/>
      <c r="T32" s="31"/>
      <c r="U32" s="164"/>
      <c r="V32" s="31"/>
      <c r="W32" s="34"/>
      <c r="X32" s="5"/>
    </row>
    <row r="33" spans="1:24" ht="15.6" x14ac:dyDescent="0.3">
      <c r="A33" s="24"/>
      <c r="B33" s="29" t="s">
        <v>137</v>
      </c>
      <c r="C33" s="32"/>
      <c r="D33" s="151">
        <f>D37*D31</f>
        <v>1000147.2000000001</v>
      </c>
      <c r="E33" s="36"/>
      <c r="F33" s="35">
        <f>F37*F31</f>
        <v>83345.7</v>
      </c>
      <c r="G33" s="35"/>
      <c r="H33" s="125">
        <f>H31*H37</f>
        <v>210031.16399999999</v>
      </c>
      <c r="I33" s="125"/>
      <c r="J33" s="151">
        <f>J37*J31</f>
        <v>233367.68000000002</v>
      </c>
      <c r="K33" s="35"/>
      <c r="L33" s="35">
        <f>L31*L37</f>
        <v>56000</v>
      </c>
      <c r="M33" s="35"/>
      <c r="N33" s="125">
        <f>N31*N37</f>
        <v>84000</v>
      </c>
      <c r="O33" s="35"/>
      <c r="P33" s="35">
        <f>P31*P37</f>
        <v>13000</v>
      </c>
      <c r="Q33" s="35"/>
      <c r="R33" s="125">
        <f>R31*R37</f>
        <v>81000</v>
      </c>
      <c r="S33" s="31"/>
      <c r="T33" s="31"/>
      <c r="U33" s="164"/>
      <c r="V33" s="31"/>
      <c r="W33" s="34"/>
      <c r="X33" s="5"/>
    </row>
    <row r="34" spans="1:24" ht="15.6" x14ac:dyDescent="0.3">
      <c r="A34" s="28"/>
      <c r="B34" s="25" t="s">
        <v>298</v>
      </c>
      <c r="C34" s="36"/>
      <c r="D34" s="31">
        <v>797872</v>
      </c>
      <c r="E34" s="32"/>
      <c r="F34" s="31">
        <v>125000</v>
      </c>
      <c r="G34" s="31"/>
      <c r="H34" s="31">
        <v>211409</v>
      </c>
      <c r="I34" s="31"/>
      <c r="J34" s="31">
        <v>186170</v>
      </c>
      <c r="K34" s="31"/>
      <c r="L34" s="31">
        <v>56000</v>
      </c>
      <c r="M34" s="31"/>
      <c r="N34" s="31">
        <v>56376</v>
      </c>
      <c r="O34" s="31"/>
      <c r="P34" s="31">
        <v>13000</v>
      </c>
      <c r="Q34" s="31"/>
      <c r="R34" s="31">
        <v>54363</v>
      </c>
      <c r="S34" s="35"/>
      <c r="T34" s="35"/>
      <c r="U34" s="37"/>
      <c r="V34" s="154">
        <f>SUM(C34:R34)</f>
        <v>1500190</v>
      </c>
      <c r="W34" s="34"/>
      <c r="X34" s="5"/>
    </row>
    <row r="35" spans="1:24" ht="15.6" x14ac:dyDescent="0.3">
      <c r="A35" s="28"/>
      <c r="B35" s="25" t="s">
        <v>299</v>
      </c>
      <c r="C35" s="126"/>
      <c r="D35" s="31">
        <f>D34*D38</f>
        <v>536512.82959840004</v>
      </c>
      <c r="E35" s="32"/>
      <c r="F35" s="31">
        <f>F34*F38</f>
        <v>84053.8</v>
      </c>
      <c r="G35" s="31"/>
      <c r="H35" s="31">
        <f>H34*H38</f>
        <v>142157.8384336</v>
      </c>
      <c r="I35" s="31"/>
      <c r="J35" s="31">
        <f>J34*J38</f>
        <v>125186.237249</v>
      </c>
      <c r="K35" s="31"/>
      <c r="L35" s="31">
        <f>L34*L38</f>
        <v>56000</v>
      </c>
      <c r="M35" s="31"/>
      <c r="N35" s="31">
        <f>N34*N38</f>
        <v>56376</v>
      </c>
      <c r="O35" s="31"/>
      <c r="P35" s="31">
        <f>P34*P38</f>
        <v>13000</v>
      </c>
      <c r="Q35" s="31"/>
      <c r="R35" s="31">
        <f>R34*R38</f>
        <v>54363</v>
      </c>
      <c r="S35" s="31"/>
      <c r="T35" s="31"/>
      <c r="U35" s="164"/>
      <c r="V35" s="154">
        <f>SUM(C35:R35)</f>
        <v>1067649.7052810001</v>
      </c>
      <c r="W35" s="34"/>
      <c r="X35" s="5"/>
    </row>
    <row r="36" spans="1:24" ht="15.6" x14ac:dyDescent="0.3">
      <c r="A36" s="28"/>
      <c r="B36" s="29" t="s">
        <v>304</v>
      </c>
      <c r="C36" s="126"/>
      <c r="D36" s="35">
        <f>D34*D37</f>
        <v>531992.96450560004</v>
      </c>
      <c r="E36" s="36"/>
      <c r="F36" s="35">
        <f>F34*F37</f>
        <v>83345.7</v>
      </c>
      <c r="G36" s="35"/>
      <c r="H36" s="35">
        <f>H34*H37</f>
        <v>140960.2487304</v>
      </c>
      <c r="I36" s="35"/>
      <c r="J36" s="35">
        <f>J34*J37</f>
        <v>124131.60281600001</v>
      </c>
      <c r="K36" s="35"/>
      <c r="L36" s="35">
        <v>56000</v>
      </c>
      <c r="M36" s="35"/>
      <c r="N36" s="35">
        <v>56376</v>
      </c>
      <c r="O36" s="35"/>
      <c r="P36" s="35">
        <v>13000</v>
      </c>
      <c r="Q36" s="35"/>
      <c r="R36" s="35">
        <v>54363</v>
      </c>
      <c r="S36" s="128"/>
      <c r="T36" s="128"/>
      <c r="U36" s="164"/>
      <c r="V36" s="155">
        <f>SUM(C36:R36)</f>
        <v>1060169.516052</v>
      </c>
      <c r="W36" s="34"/>
      <c r="X36" s="5"/>
    </row>
    <row r="37" spans="1:24" ht="15.6" x14ac:dyDescent="0.3">
      <c r="A37" s="24"/>
      <c r="B37" s="122" t="s">
        <v>133</v>
      </c>
      <c r="C37" s="25"/>
      <c r="D37" s="168">
        <v>0.66676480000000005</v>
      </c>
      <c r="E37" s="136"/>
      <c r="F37" s="168">
        <v>0.66676559999999996</v>
      </c>
      <c r="G37" s="135"/>
      <c r="H37" s="168">
        <v>0.66676559999999996</v>
      </c>
      <c r="I37" s="135"/>
      <c r="J37" s="168">
        <v>0.66676480000000005</v>
      </c>
      <c r="K37" s="135"/>
      <c r="L37" s="168">
        <v>1</v>
      </c>
      <c r="M37" s="135"/>
      <c r="N37" s="168">
        <v>1</v>
      </c>
      <c r="O37" s="135"/>
      <c r="P37" s="168">
        <v>1</v>
      </c>
      <c r="Q37" s="135"/>
      <c r="R37" s="168">
        <v>1</v>
      </c>
      <c r="S37" s="30"/>
      <c r="T37" s="30"/>
      <c r="U37" s="163"/>
      <c r="V37" s="163"/>
      <c r="W37" s="25"/>
      <c r="X37" s="5"/>
    </row>
    <row r="38" spans="1:24" ht="15.6" x14ac:dyDescent="0.3">
      <c r="A38" s="24"/>
      <c r="B38" s="122" t="s">
        <v>134</v>
      </c>
      <c r="C38" s="25"/>
      <c r="D38" s="168">
        <v>0.67242970000000002</v>
      </c>
      <c r="E38" s="136"/>
      <c r="F38" s="168">
        <v>0.67243039999999998</v>
      </c>
      <c r="G38" s="135"/>
      <c r="H38" s="168">
        <v>0.67243039999999998</v>
      </c>
      <c r="I38" s="135"/>
      <c r="J38" s="168">
        <v>0.67242970000000002</v>
      </c>
      <c r="K38" s="135"/>
      <c r="L38" s="135">
        <v>1</v>
      </c>
      <c r="M38" s="135"/>
      <c r="N38" s="135">
        <v>1</v>
      </c>
      <c r="O38" s="135"/>
      <c r="P38" s="135">
        <v>1</v>
      </c>
      <c r="Q38" s="135"/>
      <c r="R38" s="135">
        <v>1</v>
      </c>
      <c r="S38" s="39"/>
      <c r="T38" s="38"/>
      <c r="U38" s="163"/>
      <c r="V38" s="39"/>
      <c r="W38" s="25"/>
      <c r="X38" s="5"/>
    </row>
    <row r="39" spans="1:24" ht="15.6" x14ac:dyDescent="0.3">
      <c r="A39" s="24"/>
      <c r="B39" s="25" t="s">
        <v>11</v>
      </c>
      <c r="C39" s="25"/>
      <c r="D39" s="30" t="s">
        <v>225</v>
      </c>
      <c r="E39" s="25"/>
      <c r="F39" s="30" t="s">
        <v>225</v>
      </c>
      <c r="G39" s="30"/>
      <c r="H39" s="30" t="s">
        <v>225</v>
      </c>
      <c r="I39" s="30"/>
      <c r="J39" s="30" t="s">
        <v>251</v>
      </c>
      <c r="K39" s="30"/>
      <c r="L39" s="30" t="s">
        <v>252</v>
      </c>
      <c r="M39" s="30"/>
      <c r="N39" s="30" t="s">
        <v>253</v>
      </c>
      <c r="O39" s="30"/>
      <c r="P39" s="30" t="s">
        <v>254</v>
      </c>
      <c r="Q39" s="30"/>
      <c r="R39" s="30" t="s">
        <v>255</v>
      </c>
      <c r="S39" s="39"/>
      <c r="T39" s="38"/>
      <c r="U39" s="163"/>
      <c r="V39" s="163"/>
      <c r="W39" s="25"/>
      <c r="X39" s="5"/>
    </row>
    <row r="40" spans="1:24" ht="15.6" x14ac:dyDescent="0.3">
      <c r="A40" s="24"/>
      <c r="B40" s="25" t="s">
        <v>12</v>
      </c>
      <c r="C40" s="25"/>
      <c r="D40" s="38">
        <v>3.5312999999999998E-3</v>
      </c>
      <c r="E40" s="25"/>
      <c r="F40" s="38">
        <v>6.8812999999999999E-3</v>
      </c>
      <c r="G40" s="39"/>
      <c r="H40" s="38">
        <v>8.6199999999999992E-3</v>
      </c>
      <c r="I40" s="38"/>
      <c r="J40" s="38">
        <v>3.7437999999999998E-3</v>
      </c>
      <c r="K40" s="39"/>
      <c r="L40" s="38">
        <v>7.6813000000000003E-3</v>
      </c>
      <c r="M40" s="39"/>
      <c r="N40" s="38">
        <v>9.3200000000000002E-3</v>
      </c>
      <c r="O40" s="39"/>
      <c r="P40" s="38">
        <v>9.6813000000000003E-3</v>
      </c>
      <c r="Q40" s="39"/>
      <c r="R40" s="38">
        <v>1.132E-2</v>
      </c>
      <c r="S40" s="39"/>
      <c r="T40" s="38"/>
      <c r="U40" s="163"/>
      <c r="V40" s="30"/>
      <c r="W40" s="25"/>
      <c r="X40" s="5"/>
    </row>
    <row r="41" spans="1:24" ht="15.6" x14ac:dyDescent="0.3">
      <c r="A41" s="24"/>
      <c r="B41" s="25" t="s">
        <v>13</v>
      </c>
      <c r="C41" s="25"/>
      <c r="D41" s="38">
        <v>3.6338E-3</v>
      </c>
      <c r="E41" s="25"/>
      <c r="F41" s="38">
        <v>1.1121300000000001E-2</v>
      </c>
      <c r="G41" s="39"/>
      <c r="H41" s="38">
        <v>1.116E-2</v>
      </c>
      <c r="I41" s="38"/>
      <c r="J41" s="38">
        <v>5.9937999999999996E-3</v>
      </c>
      <c r="K41" s="39"/>
      <c r="L41" s="38">
        <v>1.1921299999999999E-2</v>
      </c>
      <c r="M41" s="39"/>
      <c r="N41" s="38">
        <v>1.1860000000000001E-2</v>
      </c>
      <c r="O41" s="39"/>
      <c r="P41" s="38">
        <v>1.3921299999999999E-2</v>
      </c>
      <c r="Q41" s="39"/>
      <c r="R41" s="38">
        <v>1.3860000000000001E-2</v>
      </c>
      <c r="S41" s="39"/>
      <c r="T41" s="38"/>
      <c r="U41" s="163"/>
      <c r="V41" s="39" t="s">
        <v>196</v>
      </c>
      <c r="W41" s="25"/>
      <c r="X41" s="5"/>
    </row>
    <row r="42" spans="1:24" ht="15.6" x14ac:dyDescent="0.3">
      <c r="A42" s="24"/>
      <c r="B42" s="25" t="s">
        <v>300</v>
      </c>
      <c r="C42" s="25"/>
      <c r="D42" s="30" t="s">
        <v>292</v>
      </c>
      <c r="E42" s="25"/>
      <c r="F42" s="30" t="s">
        <v>225</v>
      </c>
      <c r="G42" s="30"/>
      <c r="H42" s="30" t="s">
        <v>263</v>
      </c>
      <c r="I42" s="30"/>
      <c r="J42" s="30" t="s">
        <v>262</v>
      </c>
      <c r="K42" s="30"/>
      <c r="L42" s="30" t="s">
        <v>252</v>
      </c>
      <c r="M42" s="30"/>
      <c r="N42" s="30" t="s">
        <v>264</v>
      </c>
      <c r="O42" s="30"/>
      <c r="P42" s="30" t="s">
        <v>254</v>
      </c>
      <c r="Q42" s="30"/>
      <c r="R42" s="30" t="s">
        <v>260</v>
      </c>
      <c r="S42" s="39"/>
      <c r="T42" s="38"/>
      <c r="U42" s="163"/>
      <c r="V42" s="163"/>
      <c r="W42" s="25"/>
      <c r="X42" s="5"/>
    </row>
    <row r="43" spans="1:24" ht="15.6" x14ac:dyDescent="0.3">
      <c r="A43" s="24"/>
      <c r="B43" s="25" t="s">
        <v>301</v>
      </c>
      <c r="C43" s="110"/>
      <c r="D43" s="38">
        <v>7.2205000000000004E-3</v>
      </c>
      <c r="E43" s="38"/>
      <c r="F43" s="38">
        <f>+F40</f>
        <v>6.8812999999999999E-3</v>
      </c>
      <c r="G43" s="38"/>
      <c r="H43" s="38">
        <v>7.0032999999999996E-3</v>
      </c>
      <c r="I43" s="38"/>
      <c r="J43" s="38">
        <v>6.9213E-3</v>
      </c>
      <c r="K43" s="38"/>
      <c r="L43" s="38">
        <f>+L40</f>
        <v>7.6813000000000003E-3</v>
      </c>
      <c r="M43" s="38"/>
      <c r="N43" s="38">
        <v>7.7713000000000001E-3</v>
      </c>
      <c r="O43" s="38"/>
      <c r="P43" s="38">
        <f>+P40</f>
        <v>9.6813000000000003E-3</v>
      </c>
      <c r="Q43" s="39"/>
      <c r="R43" s="38">
        <v>9.8813000000000008E-3</v>
      </c>
      <c r="S43" s="30"/>
      <c r="T43" s="30"/>
      <c r="U43" s="163"/>
      <c r="V43" s="39">
        <f>SUMPRODUCT(D43:R43,D35:R35)/V35</f>
        <v>7.3484939636300041E-3</v>
      </c>
      <c r="W43" s="25"/>
      <c r="X43" s="5"/>
    </row>
    <row r="44" spans="1:24" ht="15.6" x14ac:dyDescent="0.3">
      <c r="A44" s="24"/>
      <c r="B44" s="25" t="s">
        <v>302</v>
      </c>
      <c r="C44" s="110"/>
      <c r="D44" s="38">
        <v>1.14605E-2</v>
      </c>
      <c r="E44" s="38"/>
      <c r="F44" s="38">
        <f>+F41</f>
        <v>1.1121300000000001E-2</v>
      </c>
      <c r="G44" s="38"/>
      <c r="H44" s="38">
        <v>1.1243299999999999E-2</v>
      </c>
      <c r="I44" s="38"/>
      <c r="J44" s="38">
        <v>1.1161300000000001E-2</v>
      </c>
      <c r="K44" s="38"/>
      <c r="L44" s="38">
        <f>+L41</f>
        <v>1.1921299999999999E-2</v>
      </c>
      <c r="M44" s="38"/>
      <c r="N44" s="38">
        <v>1.2011300000000001E-2</v>
      </c>
      <c r="O44" s="38"/>
      <c r="P44" s="38">
        <f>+P41</f>
        <v>1.3921299999999999E-2</v>
      </c>
      <c r="Q44" s="39"/>
      <c r="R44" s="38">
        <v>1.41213E-2</v>
      </c>
      <c r="S44" s="30"/>
      <c r="T44" s="30"/>
      <c r="U44" s="163"/>
      <c r="V44" s="163"/>
      <c r="W44" s="25"/>
      <c r="X44" s="5"/>
    </row>
    <row r="45" spans="1:24" ht="15.6" x14ac:dyDescent="0.3">
      <c r="A45" s="24"/>
      <c r="B45" s="25" t="s">
        <v>14</v>
      </c>
      <c r="C45" s="25"/>
      <c r="D45" s="110">
        <v>40466</v>
      </c>
      <c r="E45" s="110"/>
      <c r="F45" s="110">
        <v>40466</v>
      </c>
      <c r="G45" s="110"/>
      <c r="H45" s="110">
        <v>40466</v>
      </c>
      <c r="I45" s="110"/>
      <c r="J45" s="110">
        <v>40466</v>
      </c>
      <c r="K45" s="110"/>
      <c r="L45" s="110">
        <v>40466</v>
      </c>
      <c r="M45" s="110"/>
      <c r="N45" s="110">
        <v>40466</v>
      </c>
      <c r="O45" s="110"/>
      <c r="P45" s="110">
        <v>40466</v>
      </c>
      <c r="Q45" s="110"/>
      <c r="R45" s="110">
        <v>40466</v>
      </c>
      <c r="S45" s="30"/>
      <c r="T45" s="30"/>
      <c r="U45" s="163"/>
      <c r="V45" s="163"/>
      <c r="W45" s="25"/>
      <c r="X45" s="5"/>
    </row>
    <row r="46" spans="1:24" ht="15.6" x14ac:dyDescent="0.3">
      <c r="A46" s="24"/>
      <c r="B46" s="25" t="s">
        <v>15</v>
      </c>
      <c r="C46" s="25"/>
      <c r="D46" s="110" t="s">
        <v>121</v>
      </c>
      <c r="E46" s="110"/>
      <c r="F46" s="110">
        <v>40831</v>
      </c>
      <c r="G46" s="110"/>
      <c r="H46" s="110">
        <v>40831</v>
      </c>
      <c r="I46" s="110"/>
      <c r="J46" s="110">
        <v>40831</v>
      </c>
      <c r="K46" s="30"/>
      <c r="L46" s="110">
        <v>40831</v>
      </c>
      <c r="M46" s="30"/>
      <c r="N46" s="110">
        <v>40831</v>
      </c>
      <c r="O46" s="30"/>
      <c r="P46" s="110">
        <v>40831</v>
      </c>
      <c r="Q46" s="30"/>
      <c r="R46" s="110">
        <v>40831</v>
      </c>
      <c r="S46" s="30"/>
      <c r="T46" s="30"/>
      <c r="U46" s="163"/>
      <c r="V46" s="163"/>
      <c r="W46" s="25"/>
      <c r="X46" s="5"/>
    </row>
    <row r="47" spans="1:24" ht="15.6" x14ac:dyDescent="0.3">
      <c r="A47" s="24"/>
      <c r="B47" s="25" t="s">
        <v>122</v>
      </c>
      <c r="C47" s="25"/>
      <c r="D47" s="160" t="s">
        <v>121</v>
      </c>
      <c r="E47" s="25"/>
      <c r="F47" s="30" t="s">
        <v>226</v>
      </c>
      <c r="G47" s="30"/>
      <c r="H47" s="30" t="s">
        <v>226</v>
      </c>
      <c r="I47" s="30"/>
      <c r="J47" s="30" t="s">
        <v>256</v>
      </c>
      <c r="K47" s="30"/>
      <c r="L47" s="30" t="s">
        <v>254</v>
      </c>
      <c r="M47" s="30"/>
      <c r="N47" s="30" t="s">
        <v>257</v>
      </c>
      <c r="O47" s="30"/>
      <c r="P47" s="30" t="s">
        <v>258</v>
      </c>
      <c r="Q47" s="30"/>
      <c r="R47" s="30" t="s">
        <v>259</v>
      </c>
      <c r="S47" s="40"/>
      <c r="T47" s="40"/>
      <c r="U47" s="40"/>
      <c r="V47" s="40"/>
      <c r="W47" s="25"/>
      <c r="X47" s="5"/>
    </row>
    <row r="48" spans="1:24" ht="15.6" x14ac:dyDescent="0.3">
      <c r="A48" s="24"/>
      <c r="B48" s="25" t="s">
        <v>303</v>
      </c>
      <c r="C48" s="25"/>
      <c r="D48" s="30" t="s">
        <v>203</v>
      </c>
      <c r="E48" s="25"/>
      <c r="F48" s="30" t="s">
        <v>226</v>
      </c>
      <c r="G48" s="30"/>
      <c r="H48" s="30" t="s">
        <v>227</v>
      </c>
      <c r="I48" s="30"/>
      <c r="J48" s="30" t="s">
        <v>237</v>
      </c>
      <c r="K48" s="30"/>
      <c r="L48" s="30" t="s">
        <v>254</v>
      </c>
      <c r="M48" s="30"/>
      <c r="N48" s="30" t="s">
        <v>260</v>
      </c>
      <c r="O48" s="30"/>
      <c r="P48" s="30" t="s">
        <v>258</v>
      </c>
      <c r="Q48" s="30"/>
      <c r="R48" s="30" t="s">
        <v>261</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196</v>
      </c>
      <c r="W49" s="25"/>
      <c r="X49" s="5"/>
    </row>
    <row r="50" spans="1:25" ht="15.6" x14ac:dyDescent="0.3">
      <c r="A50" s="24"/>
      <c r="B50" s="25" t="s">
        <v>172</v>
      </c>
      <c r="C50" s="25"/>
      <c r="D50" s="30"/>
      <c r="E50" s="25"/>
      <c r="F50" s="30"/>
      <c r="G50" s="30"/>
      <c r="H50" s="30"/>
      <c r="I50" s="30"/>
      <c r="J50" s="30"/>
      <c r="K50" s="30"/>
      <c r="L50" s="30"/>
      <c r="M50" s="30"/>
      <c r="N50" s="30"/>
      <c r="O50" s="30"/>
      <c r="P50" s="30"/>
      <c r="Q50" s="30"/>
      <c r="R50" s="30"/>
      <c r="S50" s="25"/>
      <c r="T50" s="25"/>
      <c r="U50" s="25"/>
      <c r="V50" s="39">
        <f>SUM(L34:R34)/SUM(D34:J34)</f>
        <v>0.13611940162868597</v>
      </c>
      <c r="W50" s="25"/>
      <c r="X50" s="5"/>
    </row>
    <row r="51" spans="1:25" ht="15.6" x14ac:dyDescent="0.3">
      <c r="A51" s="24"/>
      <c r="B51" s="25" t="s">
        <v>173</v>
      </c>
      <c r="C51" s="25"/>
      <c r="D51" s="25"/>
      <c r="E51" s="25"/>
      <c r="F51" s="41"/>
      <c r="G51" s="25"/>
      <c r="H51" s="25"/>
      <c r="I51" s="25"/>
      <c r="J51" s="25"/>
      <c r="K51" s="25"/>
      <c r="L51" s="25"/>
      <c r="M51" s="25"/>
      <c r="N51" s="25"/>
      <c r="O51" s="25"/>
      <c r="P51" s="25"/>
      <c r="Q51" s="25"/>
      <c r="R51" s="25"/>
      <c r="S51" s="25"/>
      <c r="T51" s="25"/>
      <c r="U51" s="25"/>
      <c r="V51" s="39">
        <f>SUM(L36:R36)/SUM(D36:J36)</f>
        <v>0.20414898929898548</v>
      </c>
      <c r="W51" s="25"/>
      <c r="X51" s="5"/>
    </row>
    <row r="52" spans="1:25" ht="15.6" x14ac:dyDescent="0.3">
      <c r="A52" s="24"/>
      <c r="B52" s="25" t="s">
        <v>174</v>
      </c>
      <c r="C52" s="25"/>
      <c r="D52" s="25"/>
      <c r="E52" s="25"/>
      <c r="F52" s="25"/>
      <c r="G52" s="25"/>
      <c r="H52" s="25"/>
      <c r="I52" s="25"/>
      <c r="J52" s="25"/>
      <c r="K52" s="25"/>
      <c r="L52" s="25"/>
      <c r="M52" s="25"/>
      <c r="N52" s="25"/>
      <c r="O52" s="25"/>
      <c r="P52" s="25"/>
      <c r="Q52" s="25"/>
      <c r="R52" s="25"/>
      <c r="S52" s="25"/>
      <c r="T52" s="30" t="s">
        <v>107</v>
      </c>
      <c r="U52" s="30" t="s">
        <v>112</v>
      </c>
      <c r="V52" s="31">
        <f>+V34/2-SUM(L34:R34)</f>
        <v>570356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205</v>
      </c>
      <c r="C54" s="25"/>
      <c r="D54" s="25"/>
      <c r="E54" s="25"/>
      <c r="F54" s="25"/>
      <c r="G54" s="25"/>
      <c r="H54" s="25"/>
      <c r="I54" s="25"/>
      <c r="J54" s="25"/>
      <c r="K54" s="25"/>
      <c r="L54" s="25"/>
      <c r="M54" s="25"/>
      <c r="N54" s="25"/>
      <c r="O54" s="25"/>
      <c r="P54" s="25"/>
      <c r="Q54" s="25"/>
      <c r="R54" s="25"/>
      <c r="S54" s="25"/>
      <c r="T54" s="25"/>
      <c r="U54" s="25"/>
      <c r="V54" s="156" t="s">
        <v>206</v>
      </c>
      <c r="W54" s="25"/>
      <c r="X54" s="5"/>
    </row>
    <row r="55" spans="1:25" ht="15.6" x14ac:dyDescent="0.3">
      <c r="A55" s="24"/>
      <c r="B55" s="25" t="s">
        <v>236</v>
      </c>
      <c r="C55" s="25"/>
      <c r="D55" s="25"/>
      <c r="E55" s="25"/>
      <c r="F55" s="25"/>
      <c r="G55" s="25"/>
      <c r="H55" s="25"/>
      <c r="I55" s="25"/>
      <c r="J55" s="25"/>
      <c r="K55" s="25"/>
      <c r="L55" s="25"/>
      <c r="M55" s="25"/>
      <c r="N55" s="25"/>
      <c r="O55" s="25"/>
      <c r="P55" s="25"/>
      <c r="Q55" s="25"/>
      <c r="R55" s="25"/>
      <c r="S55" s="25"/>
      <c r="T55" s="30"/>
      <c r="U55" s="30"/>
      <c r="V55" s="157" t="s">
        <v>114</v>
      </c>
      <c r="W55" s="25"/>
      <c r="X55" s="5"/>
    </row>
    <row r="56" spans="1:25" ht="15.6" x14ac:dyDescent="0.3">
      <c r="A56" s="24"/>
      <c r="B56" s="29" t="s">
        <v>204</v>
      </c>
      <c r="C56" s="29"/>
      <c r="D56" s="29"/>
      <c r="E56" s="29"/>
      <c r="F56" s="29"/>
      <c r="G56" s="29"/>
      <c r="H56" s="29"/>
      <c r="I56" s="29"/>
      <c r="J56" s="29"/>
      <c r="K56" s="29"/>
      <c r="L56" s="29"/>
      <c r="M56" s="29"/>
      <c r="N56" s="29"/>
      <c r="O56" s="29"/>
      <c r="P56" s="29"/>
      <c r="Q56" s="29"/>
      <c r="R56" s="29"/>
      <c r="S56" s="29"/>
      <c r="T56" s="43"/>
      <c r="U56" s="43"/>
      <c r="V56" s="44">
        <v>40193</v>
      </c>
      <c r="W56" s="25"/>
      <c r="X56" s="5"/>
    </row>
    <row r="57" spans="1:25" ht="15.6" x14ac:dyDescent="0.3">
      <c r="A57" s="24"/>
      <c r="B57" s="25" t="s">
        <v>124</v>
      </c>
      <c r="C57" s="25"/>
      <c r="D57" s="25"/>
      <c r="E57" s="25"/>
      <c r="F57" s="25"/>
      <c r="G57" s="25"/>
      <c r="H57" s="58"/>
      <c r="I57" s="58"/>
      <c r="J57" s="58"/>
      <c r="K57" s="58"/>
      <c r="L57" s="58"/>
      <c r="M57" s="58"/>
      <c r="N57" s="58"/>
      <c r="O57" s="58"/>
      <c r="P57" s="58"/>
      <c r="Q57" s="58"/>
      <c r="R57" s="25">
        <f>+V57-T57+1</f>
        <v>92</v>
      </c>
      <c r="S57" s="58"/>
      <c r="T57" s="45">
        <v>40009</v>
      </c>
      <c r="U57" s="46"/>
      <c r="V57" s="45">
        <v>40100</v>
      </c>
      <c r="W57" s="25"/>
      <c r="X57" s="5"/>
    </row>
    <row r="58" spans="1:25" ht="15.6" x14ac:dyDescent="0.3">
      <c r="A58" s="24"/>
      <c r="B58" s="25" t="s">
        <v>125</v>
      </c>
      <c r="C58" s="25"/>
      <c r="D58" s="25"/>
      <c r="E58" s="25"/>
      <c r="F58" s="25"/>
      <c r="G58" s="25"/>
      <c r="H58" s="25"/>
      <c r="I58" s="25"/>
      <c r="J58" s="25"/>
      <c r="K58" s="25"/>
      <c r="L58" s="25"/>
      <c r="M58" s="25"/>
      <c r="N58" s="25"/>
      <c r="O58" s="25"/>
      <c r="P58" s="25"/>
      <c r="Q58" s="25"/>
      <c r="R58" s="25">
        <f>+V58-T58+1</f>
        <v>92</v>
      </c>
      <c r="S58" s="25"/>
      <c r="T58" s="45">
        <v>40101</v>
      </c>
      <c r="U58" s="46"/>
      <c r="V58" s="45">
        <v>40192</v>
      </c>
      <c r="W58" s="25"/>
      <c r="X58" s="5"/>
    </row>
    <row r="59" spans="1:25" ht="15.6" x14ac:dyDescent="0.3">
      <c r="A59" s="24"/>
      <c r="B59" s="25" t="s">
        <v>235</v>
      </c>
      <c r="C59" s="25"/>
      <c r="D59" s="25"/>
      <c r="E59" s="25"/>
      <c r="F59" s="25"/>
      <c r="G59" s="25"/>
      <c r="H59" s="25"/>
      <c r="I59" s="25"/>
      <c r="J59" s="25"/>
      <c r="K59" s="25"/>
      <c r="L59" s="25"/>
      <c r="M59" s="25"/>
      <c r="N59" s="25"/>
      <c r="O59" s="25"/>
      <c r="P59" s="25"/>
      <c r="Q59" s="25"/>
      <c r="R59" s="25"/>
      <c r="S59" s="25"/>
      <c r="T59" s="45"/>
      <c r="U59" s="46"/>
      <c r="V59" s="45" t="s">
        <v>123</v>
      </c>
      <c r="W59" s="25"/>
      <c r="X59" s="5"/>
    </row>
    <row r="60" spans="1:25" ht="15.6" x14ac:dyDescent="0.3">
      <c r="A60" s="24"/>
      <c r="B60" s="25" t="s">
        <v>234</v>
      </c>
      <c r="C60" s="25"/>
      <c r="D60" s="25"/>
      <c r="E60" s="25"/>
      <c r="F60" s="25"/>
      <c r="G60" s="25"/>
      <c r="H60" s="25"/>
      <c r="I60" s="25"/>
      <c r="J60" s="25"/>
      <c r="K60" s="25"/>
      <c r="L60" s="25"/>
      <c r="M60" s="25"/>
      <c r="N60" s="25"/>
      <c r="O60" s="25"/>
      <c r="P60" s="25"/>
      <c r="Q60" s="25"/>
      <c r="R60" s="25"/>
      <c r="S60" s="25"/>
      <c r="T60" s="45"/>
      <c r="U60" s="46"/>
      <c r="V60" s="45" t="s">
        <v>157</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40182</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306</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95</v>
      </c>
      <c r="M68" s="115"/>
      <c r="N68" s="115" t="s">
        <v>97</v>
      </c>
      <c r="O68" s="115"/>
      <c r="P68" s="115" t="s">
        <v>99</v>
      </c>
      <c r="Q68" s="115"/>
      <c r="R68" s="115" t="s">
        <v>101</v>
      </c>
      <c r="S68" s="115"/>
      <c r="T68" s="115" t="s">
        <v>108</v>
      </c>
      <c r="U68" s="115"/>
      <c r="V68" s="116" t="s">
        <v>115</v>
      </c>
      <c r="W68" s="117"/>
      <c r="X68" s="5"/>
    </row>
    <row r="69" spans="1:24" ht="15.6" x14ac:dyDescent="0.3">
      <c r="A69" s="24"/>
      <c r="B69" s="25" t="s">
        <v>19</v>
      </c>
      <c r="C69" s="34"/>
      <c r="D69" s="34"/>
      <c r="E69" s="34"/>
      <c r="F69" s="34"/>
      <c r="G69" s="34"/>
      <c r="H69" s="34"/>
      <c r="I69" s="34"/>
      <c r="J69" s="34"/>
      <c r="K69" s="34"/>
      <c r="L69" s="34">
        <f>1085286</f>
        <v>1085286</v>
      </c>
      <c r="M69" s="34"/>
      <c r="N69" s="53">
        <v>1067650</v>
      </c>
      <c r="O69" s="34"/>
      <c r="P69" s="34">
        <f>7480+683+950</f>
        <v>9113</v>
      </c>
      <c r="Q69" s="34"/>
      <c r="R69" s="34">
        <f>683+950</f>
        <v>1633</v>
      </c>
      <c r="S69" s="34"/>
      <c r="T69" s="34">
        <v>0</v>
      </c>
      <c r="U69" s="34"/>
      <c r="V69" s="53">
        <f>+N69-P69+R69-T69</f>
        <v>1060170</v>
      </c>
      <c r="W69" s="25"/>
      <c r="X69" s="5"/>
    </row>
    <row r="70" spans="1:24" ht="15.6" x14ac:dyDescent="0.3">
      <c r="A70" s="24"/>
      <c r="B70" s="25" t="s">
        <v>20</v>
      </c>
      <c r="C70" s="34"/>
      <c r="D70" s="34"/>
      <c r="E70" s="34"/>
      <c r="F70" s="34"/>
      <c r="G70" s="34"/>
      <c r="H70" s="34"/>
      <c r="I70" s="34"/>
      <c r="J70" s="34"/>
      <c r="K70" s="34"/>
      <c r="L70" s="34">
        <v>35</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1085321</v>
      </c>
      <c r="M72" s="34"/>
      <c r="N72" s="54">
        <f>N69+N70</f>
        <v>1067650</v>
      </c>
      <c r="O72" s="34"/>
      <c r="P72" s="34">
        <f>SUM(P69:P71)</f>
        <v>9113</v>
      </c>
      <c r="Q72" s="34"/>
      <c r="R72" s="34">
        <f>SUM(R69:R71)</f>
        <v>1633</v>
      </c>
      <c r="S72" s="34"/>
      <c r="T72" s="34">
        <f>SUM(T69:T71)</f>
        <v>0</v>
      </c>
      <c r="U72" s="34"/>
      <c r="V72" s="54">
        <f>SUM(V69:V71)</f>
        <v>1060170</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120</v>
      </c>
      <c r="C82" s="34"/>
      <c r="D82" s="34"/>
      <c r="E82" s="34"/>
      <c r="F82" s="34"/>
      <c r="G82" s="34"/>
      <c r="H82" s="34"/>
      <c r="I82" s="34"/>
      <c r="J82" s="34"/>
      <c r="K82" s="34"/>
      <c r="L82" s="34">
        <f>414862+7</f>
        <v>414869</v>
      </c>
      <c r="M82" s="34"/>
      <c r="N82" s="34">
        <v>0</v>
      </c>
      <c r="O82" s="34"/>
      <c r="P82" s="34">
        <v>0</v>
      </c>
      <c r="Q82" s="34"/>
      <c r="R82" s="34"/>
      <c r="S82" s="34"/>
      <c r="T82" s="34"/>
      <c r="U82" s="34"/>
      <c r="V82" s="54">
        <f>SUM(N82:R82)</f>
        <v>0</v>
      </c>
      <c r="W82" s="25"/>
      <c r="X82" s="5"/>
    </row>
    <row r="83" spans="1:24" ht="15.6" x14ac:dyDescent="0.3">
      <c r="A83" s="24"/>
      <c r="B83" s="25" t="s">
        <v>149</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1500190</v>
      </c>
      <c r="M85" s="34"/>
      <c r="N85" s="54">
        <f>SUM(N72:N84)</f>
        <v>1067650</v>
      </c>
      <c r="O85" s="34"/>
      <c r="P85" s="34"/>
      <c r="Q85" s="34"/>
      <c r="R85" s="34"/>
      <c r="S85" s="34"/>
      <c r="T85" s="54"/>
      <c r="U85" s="34"/>
      <c r="V85" s="54">
        <f>SUM(V72:V84)</f>
        <v>1060170</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96</v>
      </c>
      <c r="M88" s="17"/>
      <c r="N88" s="158">
        <f>+T199</f>
        <v>40178</v>
      </c>
      <c r="O88" s="17"/>
      <c r="P88" s="17"/>
      <c r="Q88" s="17"/>
      <c r="R88" s="17"/>
      <c r="S88" s="17"/>
      <c r="T88" s="17" t="s">
        <v>109</v>
      </c>
      <c r="U88" s="17"/>
      <c r="V88" s="17" t="s">
        <v>116</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9113-235</f>
        <v>8878</v>
      </c>
      <c r="U90" s="25"/>
      <c r="V90" s="53"/>
      <c r="W90" s="25"/>
      <c r="X90" s="5"/>
    </row>
    <row r="91" spans="1:24" ht="15.6" x14ac:dyDescent="0.3">
      <c r="A91" s="24"/>
      <c r="B91" s="25" t="s">
        <v>219</v>
      </c>
      <c r="C91" s="25"/>
      <c r="D91" s="25"/>
      <c r="E91" s="25"/>
      <c r="F91" s="25"/>
      <c r="G91" s="25"/>
      <c r="H91" s="40"/>
      <c r="I91" s="40"/>
      <c r="J91" s="40"/>
      <c r="K91" s="57"/>
      <c r="L91" s="40"/>
      <c r="M91" s="25"/>
      <c r="N91" s="127"/>
      <c r="O91" s="25"/>
      <c r="P91" s="25"/>
      <c r="Q91" s="25"/>
      <c r="R91" s="25"/>
      <c r="S91" s="25"/>
      <c r="T91" s="34"/>
      <c r="U91" s="25"/>
      <c r="V91" s="53">
        <f>4768+4061-634-1328+43+2</f>
        <v>6912</v>
      </c>
      <c r="W91" s="25"/>
      <c r="X91" s="5"/>
    </row>
    <row r="92" spans="1:24" ht="15.6" x14ac:dyDescent="0.3">
      <c r="A92" s="24"/>
      <c r="B92" s="25" t="s">
        <v>214</v>
      </c>
      <c r="C92" s="25"/>
      <c r="D92" s="25"/>
      <c r="E92" s="25"/>
      <c r="F92" s="25"/>
      <c r="G92" s="25"/>
      <c r="H92" s="40"/>
      <c r="I92" s="40"/>
      <c r="J92" s="40"/>
      <c r="K92" s="57"/>
      <c r="L92" s="40"/>
      <c r="M92" s="25"/>
      <c r="N92" s="127"/>
      <c r="O92" s="25"/>
      <c r="P92" s="25"/>
      <c r="Q92" s="25"/>
      <c r="R92" s="25"/>
      <c r="S92" s="25"/>
      <c r="T92" s="34"/>
      <c r="U92" s="25"/>
      <c r="V92" s="53">
        <f>72+40</f>
        <v>112</v>
      </c>
      <c r="W92" s="25"/>
      <c r="X92" s="5"/>
    </row>
    <row r="93" spans="1:24" ht="15.6" x14ac:dyDescent="0.3">
      <c r="A93" s="24"/>
      <c r="B93" s="25" t="s">
        <v>215</v>
      </c>
      <c r="C93" s="25"/>
      <c r="D93" s="25"/>
      <c r="E93" s="25"/>
      <c r="F93" s="25"/>
      <c r="G93" s="25"/>
      <c r="H93" s="40"/>
      <c r="I93" s="40"/>
      <c r="J93" s="40"/>
      <c r="K93" s="57"/>
      <c r="L93" s="40"/>
      <c r="M93" s="25"/>
      <c r="N93" s="127"/>
      <c r="O93" s="25"/>
      <c r="P93" s="25"/>
      <c r="Q93" s="25"/>
      <c r="R93" s="25"/>
      <c r="S93" s="25"/>
      <c r="T93" s="34"/>
      <c r="U93" s="25"/>
      <c r="V93" s="53">
        <v>75</v>
      </c>
      <c r="W93" s="25"/>
      <c r="X93" s="5"/>
    </row>
    <row r="94" spans="1:24" ht="15.6" x14ac:dyDescent="0.3">
      <c r="A94" s="24"/>
      <c r="B94" s="25" t="s">
        <v>277</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138</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265</v>
      </c>
      <c r="C96" s="25"/>
      <c r="D96" s="25"/>
      <c r="E96" s="25"/>
      <c r="F96" s="25"/>
      <c r="G96" s="25"/>
      <c r="H96" s="25"/>
      <c r="I96" s="25"/>
      <c r="J96" s="25"/>
      <c r="K96" s="25"/>
      <c r="L96" s="25"/>
      <c r="M96" s="25"/>
      <c r="N96" s="25"/>
      <c r="O96" s="25"/>
      <c r="P96" s="25"/>
      <c r="Q96" s="25"/>
      <c r="R96" s="25"/>
      <c r="S96" s="25"/>
      <c r="T96" s="34"/>
      <c r="U96" s="25"/>
      <c r="V96" s="53">
        <v>0</v>
      </c>
      <c r="W96" s="25"/>
      <c r="X96" s="5"/>
    </row>
    <row r="97" spans="1:26" ht="15.6" x14ac:dyDescent="0.3">
      <c r="A97" s="24"/>
      <c r="B97" s="25" t="s">
        <v>30</v>
      </c>
      <c r="C97" s="25"/>
      <c r="D97" s="25"/>
      <c r="E97" s="25"/>
      <c r="F97" s="25"/>
      <c r="G97" s="25"/>
      <c r="H97" s="25"/>
      <c r="I97" s="25"/>
      <c r="J97" s="25"/>
      <c r="K97" s="25"/>
      <c r="L97" s="25"/>
      <c r="M97" s="25"/>
      <c r="N97" s="25"/>
      <c r="O97" s="25"/>
      <c r="P97" s="25"/>
      <c r="Q97" s="25"/>
      <c r="R97" s="25"/>
      <c r="S97" s="25"/>
      <c r="T97" s="34">
        <f>SUM(T89:T96)</f>
        <v>8878</v>
      </c>
      <c r="U97" s="25"/>
      <c r="V97" s="54">
        <f>SUM(V89:V96)</f>
        <v>7099</v>
      </c>
      <c r="W97" s="25"/>
      <c r="X97" s="5"/>
    </row>
    <row r="98" spans="1:26" ht="15.6" x14ac:dyDescent="0.3">
      <c r="A98" s="24"/>
      <c r="B98" s="25" t="s">
        <v>164</v>
      </c>
      <c r="C98" s="25"/>
      <c r="D98" s="25"/>
      <c r="E98" s="25"/>
      <c r="F98" s="25"/>
      <c r="G98" s="25"/>
      <c r="H98" s="25"/>
      <c r="I98" s="25"/>
      <c r="J98" s="25"/>
      <c r="K98" s="25"/>
      <c r="L98" s="25"/>
      <c r="M98" s="25"/>
      <c r="N98" s="25"/>
      <c r="O98" s="25"/>
      <c r="P98" s="25"/>
      <c r="Q98" s="25"/>
      <c r="R98" s="25"/>
      <c r="S98" s="25"/>
      <c r="T98" s="34">
        <f>-V98</f>
        <v>-361</v>
      </c>
      <c r="U98" s="25"/>
      <c r="V98" s="54">
        <v>361</v>
      </c>
      <c r="W98" s="25"/>
      <c r="X98" s="5"/>
    </row>
    <row r="99" spans="1:26"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6" ht="15.6" x14ac:dyDescent="0.3">
      <c r="A100" s="24"/>
      <c r="B100" s="25" t="s">
        <v>288</v>
      </c>
      <c r="C100" s="25"/>
      <c r="D100" s="25"/>
      <c r="E100" s="25"/>
      <c r="F100" s="25"/>
      <c r="G100" s="25"/>
      <c r="H100" s="25"/>
      <c r="I100" s="25"/>
      <c r="J100" s="25"/>
      <c r="K100" s="25"/>
      <c r="L100" s="25"/>
      <c r="M100" s="25"/>
      <c r="N100" s="25"/>
      <c r="O100" s="25"/>
      <c r="P100" s="25"/>
      <c r="Q100" s="25"/>
      <c r="R100" s="25"/>
      <c r="S100" s="25"/>
      <c r="T100" s="34"/>
      <c r="U100" s="25"/>
      <c r="V100" s="53">
        <v>-256</v>
      </c>
      <c r="W100" s="25"/>
      <c r="X100" s="5"/>
    </row>
    <row r="101" spans="1:26"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8517</v>
      </c>
      <c r="U101" s="25"/>
      <c r="V101" s="54">
        <f>V97+V99+V98+V100</f>
        <v>7204</v>
      </c>
      <c r="W101" s="25"/>
      <c r="X101" s="5"/>
    </row>
    <row r="102" spans="1:26"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6"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6" ht="15.6" x14ac:dyDescent="0.3">
      <c r="A104" s="24">
        <f>+A103+1</f>
        <v>2</v>
      </c>
      <c r="B104" s="25" t="s">
        <v>231</v>
      </c>
      <c r="C104" s="25"/>
      <c r="D104" s="25"/>
      <c r="E104" s="25"/>
      <c r="F104" s="25"/>
      <c r="G104" s="25"/>
      <c r="H104" s="25"/>
      <c r="I104" s="25"/>
      <c r="J104" s="25"/>
      <c r="K104" s="25"/>
      <c r="L104" s="25"/>
      <c r="M104" s="25"/>
      <c r="N104" s="25"/>
      <c r="O104" s="25"/>
      <c r="P104" s="25"/>
      <c r="Q104" s="25"/>
      <c r="R104" s="25"/>
      <c r="S104" s="25"/>
      <c r="T104" s="25"/>
      <c r="U104" s="25"/>
      <c r="V104" s="53">
        <f>-2</f>
        <v>-2</v>
      </c>
      <c r="W104" s="25"/>
      <c r="X104" s="5"/>
    </row>
    <row r="105" spans="1:26" ht="15.6" x14ac:dyDescent="0.3">
      <c r="A105" s="24">
        <f>+A104+1</f>
        <v>3</v>
      </c>
      <c r="B105" s="25" t="s">
        <v>207</v>
      </c>
      <c r="C105" s="25"/>
      <c r="D105" s="25"/>
      <c r="E105" s="25"/>
      <c r="F105" s="25"/>
      <c r="G105" s="25"/>
      <c r="H105" s="25"/>
      <c r="I105" s="25"/>
      <c r="J105" s="25"/>
      <c r="K105" s="25"/>
      <c r="L105" s="25"/>
      <c r="M105" s="25"/>
      <c r="N105" s="25"/>
      <c r="O105" s="25"/>
      <c r="P105" s="25"/>
      <c r="Q105" s="25"/>
      <c r="R105" s="25"/>
      <c r="S105" s="25"/>
      <c r="T105" s="25"/>
      <c r="U105" s="25"/>
      <c r="V105" s="53">
        <f>-405-273-12</f>
        <v>-690</v>
      </c>
      <c r="W105" s="25"/>
      <c r="X105" s="5"/>
    </row>
    <row r="106" spans="1:26" ht="15.6" x14ac:dyDescent="0.3">
      <c r="A106" s="24" t="s">
        <v>130</v>
      </c>
      <c r="B106" s="25" t="s">
        <v>119</v>
      </c>
      <c r="C106" s="25"/>
      <c r="D106" s="25"/>
      <c r="E106" s="25"/>
      <c r="F106" s="25"/>
      <c r="G106" s="25"/>
      <c r="H106" s="25"/>
      <c r="I106" s="25"/>
      <c r="J106" s="25"/>
      <c r="K106" s="25"/>
      <c r="L106" s="25"/>
      <c r="M106" s="25"/>
      <c r="N106" s="25"/>
      <c r="O106" s="25"/>
      <c r="P106" s="25"/>
      <c r="Q106" s="25"/>
      <c r="R106" s="25"/>
      <c r="S106" s="25"/>
      <c r="T106" s="25"/>
      <c r="U106" s="25"/>
      <c r="V106" s="53">
        <v>-1135</v>
      </c>
      <c r="W106" s="25"/>
      <c r="X106" s="5"/>
    </row>
    <row r="107" spans="1:26" ht="15.6" x14ac:dyDescent="0.3">
      <c r="A107" s="24" t="s">
        <v>131</v>
      </c>
      <c r="B107" s="25" t="s">
        <v>228</v>
      </c>
      <c r="C107" s="25"/>
      <c r="D107" s="25"/>
      <c r="E107" s="25"/>
      <c r="F107" s="25"/>
      <c r="G107" s="25"/>
      <c r="H107" s="25"/>
      <c r="I107" s="25"/>
      <c r="J107" s="25"/>
      <c r="K107" s="25"/>
      <c r="L107" s="25"/>
      <c r="M107" s="25"/>
      <c r="N107" s="25"/>
      <c r="O107" s="25"/>
      <c r="P107" s="25"/>
      <c r="Q107" s="25"/>
      <c r="R107" s="25"/>
      <c r="S107" s="25"/>
      <c r="T107" s="25"/>
      <c r="U107" s="25"/>
      <c r="V107" s="53">
        <f>-1592+146</f>
        <v>-1446</v>
      </c>
      <c r="W107" s="25"/>
      <c r="X107" s="5"/>
      <c r="Y107" s="109"/>
      <c r="Z107" s="109"/>
    </row>
    <row r="108" spans="1:26" ht="15.6" x14ac:dyDescent="0.3">
      <c r="A108" s="24" t="s">
        <v>153</v>
      </c>
      <c r="B108" s="25" t="s">
        <v>187</v>
      </c>
      <c r="C108" s="25"/>
      <c r="D108" s="25"/>
      <c r="E108" s="25"/>
      <c r="F108" s="25"/>
      <c r="G108" s="25"/>
      <c r="H108" s="25"/>
      <c r="I108" s="25"/>
      <c r="J108" s="25"/>
      <c r="K108" s="25"/>
      <c r="L108" s="25"/>
      <c r="M108" s="25"/>
      <c r="N108" s="25"/>
      <c r="O108" s="25"/>
      <c r="P108" s="25"/>
      <c r="Q108" s="25"/>
      <c r="R108" s="25"/>
      <c r="S108" s="25"/>
      <c r="T108" s="25"/>
      <c r="U108" s="25"/>
      <c r="V108" s="53">
        <v>-146</v>
      </c>
      <c r="W108" s="25"/>
      <c r="X108" s="5"/>
      <c r="Y108" s="109"/>
    </row>
    <row r="109" spans="1:26" ht="15.6" x14ac:dyDescent="0.3">
      <c r="A109" s="24" t="s">
        <v>266</v>
      </c>
      <c r="B109" s="25" t="s">
        <v>269</v>
      </c>
      <c r="C109" s="25"/>
      <c r="D109" s="25"/>
      <c r="E109" s="25"/>
      <c r="F109" s="25"/>
      <c r="G109" s="25"/>
      <c r="H109" s="25"/>
      <c r="I109" s="25"/>
      <c r="J109" s="25"/>
      <c r="K109" s="25"/>
      <c r="L109" s="25"/>
      <c r="M109" s="25"/>
      <c r="N109" s="25"/>
      <c r="O109" s="25"/>
      <c r="P109" s="25"/>
      <c r="Q109" s="25"/>
      <c r="R109" s="25"/>
      <c r="S109" s="25"/>
      <c r="T109" s="25"/>
      <c r="U109" s="25"/>
      <c r="V109" s="53">
        <v>-2</v>
      </c>
      <c r="W109" s="25"/>
      <c r="X109" s="5"/>
    </row>
    <row r="110" spans="1:26" ht="15.6" x14ac:dyDescent="0.3">
      <c r="A110" s="24" t="s">
        <v>208</v>
      </c>
      <c r="B110" s="25" t="s">
        <v>188</v>
      </c>
      <c r="C110" s="25"/>
      <c r="D110" s="25"/>
      <c r="E110" s="25"/>
      <c r="F110" s="25"/>
      <c r="G110" s="25"/>
      <c r="H110" s="25"/>
      <c r="I110" s="25"/>
      <c r="J110" s="25"/>
      <c r="K110" s="25"/>
      <c r="L110" s="25"/>
      <c r="M110" s="25"/>
      <c r="N110" s="25"/>
      <c r="O110" s="25"/>
      <c r="P110" s="25"/>
      <c r="Q110" s="25"/>
      <c r="R110" s="25"/>
      <c r="S110" s="25"/>
      <c r="T110" s="25"/>
      <c r="U110" s="25"/>
      <c r="V110" s="53">
        <v>-110</v>
      </c>
      <c r="W110" s="25"/>
      <c r="X110" s="5"/>
      <c r="Y110" s="109"/>
    </row>
    <row r="111" spans="1:26" ht="15.6" x14ac:dyDescent="0.3">
      <c r="A111" s="24" t="s">
        <v>209</v>
      </c>
      <c r="B111" s="25" t="s">
        <v>189</v>
      </c>
      <c r="C111" s="25"/>
      <c r="D111" s="25"/>
      <c r="E111" s="25"/>
      <c r="F111" s="25"/>
      <c r="G111" s="25"/>
      <c r="H111" s="25"/>
      <c r="I111" s="25"/>
      <c r="J111" s="25"/>
      <c r="K111" s="25"/>
      <c r="L111" s="25"/>
      <c r="M111" s="25"/>
      <c r="N111" s="25"/>
      <c r="O111" s="25"/>
      <c r="P111" s="25"/>
      <c r="Q111" s="25"/>
      <c r="R111" s="25"/>
      <c r="S111" s="25"/>
      <c r="T111" s="25"/>
      <c r="U111" s="25"/>
      <c r="V111" s="53">
        <v>-109</v>
      </c>
      <c r="W111" s="25"/>
      <c r="X111" s="5"/>
      <c r="Y111" s="109"/>
    </row>
    <row r="112" spans="1:26" ht="15.6" x14ac:dyDescent="0.3">
      <c r="A112" s="24" t="s">
        <v>210</v>
      </c>
      <c r="B112" s="25" t="s">
        <v>199</v>
      </c>
      <c r="C112" s="25"/>
      <c r="D112" s="25"/>
      <c r="E112" s="25"/>
      <c r="F112" s="25"/>
      <c r="G112" s="25"/>
      <c r="H112" s="25"/>
      <c r="I112" s="25"/>
      <c r="J112" s="25"/>
      <c r="K112" s="25"/>
      <c r="L112" s="25"/>
      <c r="M112" s="25"/>
      <c r="N112" s="25"/>
      <c r="O112" s="25"/>
      <c r="P112" s="25"/>
      <c r="Q112" s="25"/>
      <c r="R112" s="25"/>
      <c r="S112" s="25"/>
      <c r="T112" s="25"/>
      <c r="U112" s="25"/>
      <c r="V112" s="53">
        <v>-136</v>
      </c>
      <c r="W112" s="25"/>
      <c r="X112" s="5"/>
      <c r="Y112" s="109"/>
    </row>
    <row r="113" spans="1:25" ht="15.6" x14ac:dyDescent="0.3">
      <c r="A113" s="24" t="s">
        <v>230</v>
      </c>
      <c r="B113" s="25" t="s">
        <v>229</v>
      </c>
      <c r="C113" s="25"/>
      <c r="D113" s="25"/>
      <c r="E113" s="25"/>
      <c r="F113" s="25"/>
      <c r="G113" s="25"/>
      <c r="H113" s="25"/>
      <c r="I113" s="25"/>
      <c r="J113" s="25"/>
      <c r="K113" s="25"/>
      <c r="L113" s="25"/>
      <c r="M113" s="25"/>
      <c r="N113" s="25"/>
      <c r="O113" s="25"/>
      <c r="P113" s="25"/>
      <c r="Q113" s="25"/>
      <c r="R113" s="25"/>
      <c r="S113" s="25"/>
      <c r="T113" s="25"/>
      <c r="U113" s="25"/>
      <c r="V113" s="53">
        <v>-32</v>
      </c>
      <c r="W113" s="25"/>
      <c r="X113" s="5"/>
      <c r="Y113" s="109"/>
    </row>
    <row r="114" spans="1:25" ht="15.6" x14ac:dyDescent="0.3">
      <c r="A114" s="24">
        <v>7</v>
      </c>
      <c r="B114" s="25" t="s">
        <v>35</v>
      </c>
      <c r="C114" s="25"/>
      <c r="D114" s="25"/>
      <c r="E114" s="25"/>
      <c r="F114" s="25"/>
      <c r="G114" s="25"/>
      <c r="H114" s="25"/>
      <c r="I114" s="25"/>
      <c r="J114" s="25"/>
      <c r="K114" s="25"/>
      <c r="L114" s="25"/>
      <c r="M114" s="25"/>
      <c r="N114" s="25"/>
      <c r="O114" s="25"/>
      <c r="P114" s="25"/>
      <c r="Q114" s="25"/>
      <c r="R114" s="25"/>
      <c r="S114" s="25"/>
      <c r="T114" s="25"/>
      <c r="U114" s="25"/>
      <c r="V114" s="53">
        <v>-10</v>
      </c>
      <c r="W114" s="25"/>
      <c r="X114" s="5"/>
    </row>
    <row r="115" spans="1:25" ht="15.6" x14ac:dyDescent="0.3">
      <c r="A115" s="24">
        <f t="shared" ref="A115:A121" si="0">+A114+1</f>
        <v>8</v>
      </c>
      <c r="B115" s="25" t="s">
        <v>45</v>
      </c>
      <c r="C115" s="25"/>
      <c r="D115" s="25"/>
      <c r="E115" s="25"/>
      <c r="F115" s="25"/>
      <c r="G115" s="25"/>
      <c r="H115" s="25"/>
      <c r="I115" s="25"/>
      <c r="J115" s="25"/>
      <c r="K115" s="25"/>
      <c r="L115" s="25"/>
      <c r="M115" s="25"/>
      <c r="N115" s="25"/>
      <c r="O115" s="25"/>
      <c r="P115" s="25"/>
      <c r="Q115" s="25"/>
      <c r="R115" s="25"/>
      <c r="S115" s="25"/>
      <c r="T115" s="34">
        <f>-V115</f>
        <v>235</v>
      </c>
      <c r="U115" s="25"/>
      <c r="V115" s="53">
        <v>-235</v>
      </c>
      <c r="W115" s="25"/>
      <c r="X115" s="5"/>
    </row>
    <row r="116" spans="1:25" ht="15.6" x14ac:dyDescent="0.3">
      <c r="A116" s="24">
        <f t="shared" si="0"/>
        <v>9</v>
      </c>
      <c r="B116" s="25" t="s">
        <v>128</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5" ht="15.6" x14ac:dyDescent="0.3">
      <c r="A117" s="24">
        <f t="shared" si="0"/>
        <v>10</v>
      </c>
      <c r="B117" s="25" t="s">
        <v>271</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11</v>
      </c>
      <c r="B118" s="25" t="s">
        <v>36</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12</v>
      </c>
      <c r="B119" s="25" t="s">
        <v>270</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13</v>
      </c>
      <c r="B120" s="25" t="s">
        <v>152</v>
      </c>
      <c r="C120" s="25"/>
      <c r="D120" s="25"/>
      <c r="E120" s="25"/>
      <c r="F120" s="25"/>
      <c r="G120" s="25"/>
      <c r="H120" s="25"/>
      <c r="I120" s="25"/>
      <c r="J120" s="25"/>
      <c r="K120" s="25"/>
      <c r="L120" s="25"/>
      <c r="M120" s="25"/>
      <c r="N120" s="25"/>
      <c r="O120" s="25"/>
      <c r="P120" s="25"/>
      <c r="Q120" s="25"/>
      <c r="R120" s="25"/>
      <c r="S120" s="25"/>
      <c r="T120" s="25"/>
      <c r="U120" s="25"/>
      <c r="V120" s="53">
        <v>-405</v>
      </c>
      <c r="W120" s="25"/>
      <c r="X120" s="5"/>
    </row>
    <row r="121" spans="1:25" ht="15.6" x14ac:dyDescent="0.3">
      <c r="A121" s="24">
        <f t="shared" si="0"/>
        <v>14</v>
      </c>
      <c r="B121" s="25" t="s">
        <v>129</v>
      </c>
      <c r="C121" s="25"/>
      <c r="D121" s="25"/>
      <c r="E121" s="25"/>
      <c r="F121" s="25"/>
      <c r="G121" s="25"/>
      <c r="H121" s="25"/>
      <c r="I121" s="25"/>
      <c r="J121" s="25"/>
      <c r="K121" s="25"/>
      <c r="L121" s="25"/>
      <c r="M121" s="25"/>
      <c r="N121" s="25"/>
      <c r="O121" s="25"/>
      <c r="P121" s="25"/>
      <c r="Q121" s="25"/>
      <c r="R121" s="25"/>
      <c r="S121" s="25"/>
      <c r="T121" s="25"/>
      <c r="U121" s="25"/>
      <c r="V121" s="53">
        <f>-V101-SUM(V103:V120)</f>
        <v>-2746</v>
      </c>
      <c r="W121" s="25"/>
      <c r="X121" s="5"/>
    </row>
    <row r="122" spans="1:25" ht="15.6" x14ac:dyDescent="0.3">
      <c r="A122" s="24"/>
      <c r="B122" s="118" t="s">
        <v>37</v>
      </c>
      <c r="C122" s="25"/>
      <c r="D122" s="25"/>
      <c r="E122" s="25"/>
      <c r="F122" s="25"/>
      <c r="G122" s="25"/>
      <c r="H122" s="25"/>
      <c r="I122" s="25"/>
      <c r="J122" s="25"/>
      <c r="K122" s="25"/>
      <c r="L122" s="25"/>
      <c r="M122" s="25"/>
      <c r="N122" s="25"/>
      <c r="O122" s="25"/>
      <c r="P122" s="25"/>
      <c r="Q122" s="25"/>
      <c r="R122" s="25"/>
      <c r="S122" s="25"/>
      <c r="T122" s="25"/>
      <c r="U122" s="25"/>
      <c r="V122" s="59"/>
      <c r="W122" s="25"/>
      <c r="X122" s="5"/>
    </row>
    <row r="123" spans="1:25" ht="15.6" x14ac:dyDescent="0.3">
      <c r="A123" s="24"/>
      <c r="B123" s="25" t="s">
        <v>176</v>
      </c>
      <c r="C123" s="25"/>
      <c r="D123" s="25"/>
      <c r="E123" s="25"/>
      <c r="F123" s="25"/>
      <c r="G123" s="25"/>
      <c r="H123" s="25"/>
      <c r="I123" s="25"/>
      <c r="J123" s="25"/>
      <c r="K123" s="25"/>
      <c r="L123" s="25"/>
      <c r="M123" s="25"/>
      <c r="N123" s="25"/>
      <c r="O123" s="25"/>
      <c r="P123" s="25"/>
      <c r="Q123" s="25"/>
      <c r="R123" s="25"/>
      <c r="S123" s="25"/>
      <c r="T123" s="34">
        <f>-T183</f>
        <v>-130</v>
      </c>
      <c r="U123" s="34"/>
      <c r="V123" s="53"/>
      <c r="W123" s="25"/>
      <c r="X123" s="5"/>
    </row>
    <row r="124" spans="1:25" ht="15.6" x14ac:dyDescent="0.3">
      <c r="A124" s="24"/>
      <c r="B124" s="25" t="s">
        <v>177</v>
      </c>
      <c r="C124" s="25"/>
      <c r="D124" s="25"/>
      <c r="E124" s="25"/>
      <c r="F124" s="25"/>
      <c r="G124" s="25"/>
      <c r="H124" s="25"/>
      <c r="I124" s="25"/>
      <c r="J124" s="25"/>
      <c r="K124" s="25"/>
      <c r="L124" s="25"/>
      <c r="M124" s="25"/>
      <c r="N124" s="25"/>
      <c r="O124" s="25"/>
      <c r="P124" s="25"/>
      <c r="Q124" s="25"/>
      <c r="R124" s="25"/>
      <c r="S124" s="25"/>
      <c r="T124" s="34">
        <v>-224</v>
      </c>
      <c r="U124" s="34"/>
      <c r="V124" s="53"/>
      <c r="W124" s="25"/>
      <c r="X124" s="5"/>
    </row>
    <row r="125" spans="1:25" ht="15.6" x14ac:dyDescent="0.3">
      <c r="A125" s="24"/>
      <c r="B125" s="25" t="s">
        <v>38</v>
      </c>
      <c r="C125" s="25"/>
      <c r="D125" s="25"/>
      <c r="E125" s="25"/>
      <c r="F125" s="25"/>
      <c r="G125" s="25"/>
      <c r="H125" s="25"/>
      <c r="I125" s="25"/>
      <c r="J125" s="25"/>
      <c r="K125" s="25"/>
      <c r="L125" s="25"/>
      <c r="M125" s="25"/>
      <c r="N125" s="25"/>
      <c r="O125" s="25"/>
      <c r="P125" s="25"/>
      <c r="Q125" s="25"/>
      <c r="R125" s="25"/>
      <c r="S125" s="25"/>
      <c r="T125" s="34">
        <f>-S183</f>
        <v>-918</v>
      </c>
      <c r="U125" s="34"/>
      <c r="V125" s="53"/>
      <c r="W125" s="25"/>
      <c r="X125" s="5"/>
    </row>
    <row r="126" spans="1:25" ht="15.6" x14ac:dyDescent="0.3">
      <c r="A126" s="24"/>
      <c r="B126" s="25" t="s">
        <v>200</v>
      </c>
      <c r="C126" s="25"/>
      <c r="D126" s="25"/>
      <c r="E126" s="25"/>
      <c r="F126" s="25"/>
      <c r="G126" s="25"/>
      <c r="H126" s="25"/>
      <c r="I126" s="25"/>
      <c r="J126" s="25"/>
      <c r="K126" s="25"/>
      <c r="L126" s="25"/>
      <c r="M126" s="25"/>
      <c r="N126" s="25"/>
      <c r="O126" s="25"/>
      <c r="P126" s="25"/>
      <c r="Q126" s="25"/>
      <c r="R126" s="25"/>
      <c r="S126" s="25"/>
      <c r="T126" s="34">
        <v>-4520</v>
      </c>
      <c r="U126" s="34"/>
      <c r="V126" s="53"/>
      <c r="W126" s="25"/>
      <c r="X126" s="5"/>
    </row>
    <row r="127" spans="1:25" ht="15.6" x14ac:dyDescent="0.3">
      <c r="A127" s="24"/>
      <c r="B127" s="25" t="s">
        <v>198</v>
      </c>
      <c r="C127" s="25"/>
      <c r="D127" s="25"/>
      <c r="E127" s="25"/>
      <c r="F127" s="25"/>
      <c r="G127" s="25"/>
      <c r="H127" s="25"/>
      <c r="I127" s="25"/>
      <c r="J127" s="25"/>
      <c r="K127" s="25"/>
      <c r="L127" s="25"/>
      <c r="M127" s="25"/>
      <c r="N127" s="25"/>
      <c r="O127" s="25"/>
      <c r="P127" s="25"/>
      <c r="Q127" s="25"/>
      <c r="R127" s="25"/>
      <c r="S127" s="25"/>
      <c r="T127" s="34">
        <v>-708</v>
      </c>
      <c r="U127" s="34"/>
      <c r="V127" s="53"/>
      <c r="W127" s="25"/>
      <c r="X127" s="5"/>
    </row>
    <row r="128" spans="1:25" ht="15.6" x14ac:dyDescent="0.3">
      <c r="A128" s="24"/>
      <c r="B128" s="25" t="s">
        <v>197</v>
      </c>
      <c r="C128" s="25"/>
      <c r="D128" s="25"/>
      <c r="E128" s="25"/>
      <c r="F128" s="25"/>
      <c r="G128" s="25"/>
      <c r="H128" s="25"/>
      <c r="I128" s="25"/>
      <c r="J128" s="25"/>
      <c r="K128" s="25"/>
      <c r="L128" s="25"/>
      <c r="M128" s="25"/>
      <c r="N128" s="25"/>
      <c r="O128" s="25"/>
      <c r="P128" s="25"/>
      <c r="Q128" s="25"/>
      <c r="R128" s="25"/>
      <c r="S128" s="25"/>
      <c r="T128" s="34">
        <v>-1198</v>
      </c>
      <c r="U128" s="34"/>
      <c r="V128" s="53"/>
      <c r="W128" s="25"/>
      <c r="X128" s="5"/>
    </row>
    <row r="129" spans="1:24" ht="15.6" x14ac:dyDescent="0.3">
      <c r="A129" s="24"/>
      <c r="B129" s="25" t="s">
        <v>232</v>
      </c>
      <c r="C129" s="25"/>
      <c r="D129" s="25"/>
      <c r="E129" s="25"/>
      <c r="F129" s="25"/>
      <c r="G129" s="25"/>
      <c r="H129" s="25"/>
      <c r="I129" s="25"/>
      <c r="J129" s="25"/>
      <c r="K129" s="25"/>
      <c r="L129" s="25"/>
      <c r="M129" s="25"/>
      <c r="N129" s="25"/>
      <c r="O129" s="25"/>
      <c r="P129" s="25"/>
      <c r="Q129" s="25"/>
      <c r="R129" s="25"/>
      <c r="S129" s="25"/>
      <c r="T129" s="34">
        <v>-1054</v>
      </c>
      <c r="U129" s="34"/>
      <c r="V129" s="53"/>
      <c r="W129" s="25"/>
      <c r="X129" s="5"/>
    </row>
    <row r="130" spans="1:24" ht="15.6" x14ac:dyDescent="0.3">
      <c r="A130" s="24"/>
      <c r="B130" s="25" t="s">
        <v>192</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191</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233</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190</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39</v>
      </c>
      <c r="C134" s="25"/>
      <c r="D134" s="25"/>
      <c r="E134" s="25"/>
      <c r="F134" s="25"/>
      <c r="G134" s="25"/>
      <c r="H134" s="25"/>
      <c r="I134" s="25"/>
      <c r="J134" s="25"/>
      <c r="K134" s="25"/>
      <c r="L134" s="25"/>
      <c r="M134" s="25"/>
      <c r="N134" s="25"/>
      <c r="O134" s="25"/>
      <c r="P134" s="25"/>
      <c r="Q134" s="25"/>
      <c r="R134" s="25"/>
      <c r="S134" s="25"/>
      <c r="T134" s="34">
        <f>SUM(T123:T133)</f>
        <v>-8752</v>
      </c>
      <c r="U134" s="34"/>
      <c r="V134" s="34">
        <f>SUM(V102:V131)</f>
        <v>-7204</v>
      </c>
      <c r="W134" s="25"/>
      <c r="X134" s="5"/>
    </row>
    <row r="135" spans="1:24" ht="15.6" x14ac:dyDescent="0.3">
      <c r="A135" s="24"/>
      <c r="B135" s="25" t="s">
        <v>40</v>
      </c>
      <c r="C135" s="25"/>
      <c r="D135" s="25"/>
      <c r="E135" s="25"/>
      <c r="F135" s="25"/>
      <c r="G135" s="25"/>
      <c r="H135" s="25"/>
      <c r="I135" s="25"/>
      <c r="J135" s="25"/>
      <c r="K135" s="25"/>
      <c r="L135" s="25"/>
      <c r="M135" s="25"/>
      <c r="N135" s="25"/>
      <c r="O135" s="25"/>
      <c r="P135" s="25"/>
      <c r="Q135" s="25"/>
      <c r="R135" s="25"/>
      <c r="S135" s="25"/>
      <c r="T135" s="34">
        <f>T101+T134+T115</f>
        <v>0</v>
      </c>
      <c r="U135" s="34"/>
      <c r="V135" s="34">
        <f>V101+V134</f>
        <v>0</v>
      </c>
      <c r="W135" s="25"/>
      <c r="X135" s="5"/>
    </row>
    <row r="136" spans="1:24" ht="15.6" x14ac:dyDescent="0.3">
      <c r="A136" s="24"/>
      <c r="B136" s="25"/>
      <c r="C136" s="25"/>
      <c r="D136" s="25"/>
      <c r="E136" s="25"/>
      <c r="F136" s="25"/>
      <c r="G136" s="25"/>
      <c r="H136" s="25"/>
      <c r="I136" s="25"/>
      <c r="J136" s="25"/>
      <c r="K136" s="25"/>
      <c r="L136" s="25"/>
      <c r="M136" s="25"/>
      <c r="N136" s="25"/>
      <c r="O136" s="25"/>
      <c r="P136" s="25"/>
      <c r="Q136" s="25"/>
      <c r="R136" s="25"/>
      <c r="S136" s="25"/>
      <c r="T136" s="34"/>
      <c r="U136" s="34"/>
      <c r="V136" s="34"/>
      <c r="W136" s="25"/>
      <c r="X136" s="5"/>
    </row>
    <row r="137" spans="1:24" ht="15.6" x14ac:dyDescent="0.3">
      <c r="A137" s="6"/>
      <c r="B137" s="8"/>
      <c r="C137" s="8"/>
      <c r="D137" s="8"/>
      <c r="E137" s="8"/>
      <c r="F137" s="8"/>
      <c r="G137" s="8"/>
      <c r="H137" s="8"/>
      <c r="I137" s="8"/>
      <c r="J137" s="8"/>
      <c r="K137" s="8"/>
      <c r="L137" s="8"/>
      <c r="M137" s="8"/>
      <c r="N137" s="8"/>
      <c r="O137" s="8"/>
      <c r="P137" s="8"/>
      <c r="Q137" s="8"/>
      <c r="R137" s="8"/>
      <c r="S137" s="8"/>
      <c r="T137" s="8"/>
      <c r="U137" s="8"/>
      <c r="V137" s="52"/>
      <c r="W137" s="8"/>
      <c r="X137" s="5"/>
    </row>
    <row r="138" spans="1:24" ht="18" thickBot="1" x14ac:dyDescent="0.35">
      <c r="A138" s="101"/>
      <c r="B138" s="102" t="str">
        <f>B64</f>
        <v>PM13 INVESTOR REPORT QUARTER ENDING DECEMBER 2009</v>
      </c>
      <c r="C138" s="103"/>
      <c r="D138" s="103"/>
      <c r="E138" s="103"/>
      <c r="F138" s="103"/>
      <c r="G138" s="103"/>
      <c r="H138" s="103"/>
      <c r="I138" s="103"/>
      <c r="J138" s="103"/>
      <c r="K138" s="103"/>
      <c r="L138" s="103"/>
      <c r="M138" s="103"/>
      <c r="N138" s="103"/>
      <c r="O138" s="103"/>
      <c r="P138" s="103"/>
      <c r="Q138" s="103"/>
      <c r="R138" s="103"/>
      <c r="S138" s="103"/>
      <c r="T138" s="103"/>
      <c r="U138" s="103"/>
      <c r="V138" s="106"/>
      <c r="W138" s="105"/>
      <c r="X138" s="5"/>
    </row>
    <row r="139" spans="1:24" ht="15.6" x14ac:dyDescent="0.3">
      <c r="A139" s="2"/>
      <c r="B139" s="60" t="s">
        <v>41</v>
      </c>
      <c r="C139" s="4"/>
      <c r="D139" s="4"/>
      <c r="E139" s="4"/>
      <c r="F139" s="4"/>
      <c r="G139" s="4"/>
      <c r="H139" s="4"/>
      <c r="I139" s="4"/>
      <c r="J139" s="4"/>
      <c r="K139" s="4"/>
      <c r="L139" s="4"/>
      <c r="M139" s="4"/>
      <c r="N139" s="4"/>
      <c r="O139" s="4"/>
      <c r="P139" s="4"/>
      <c r="Q139" s="4"/>
      <c r="R139" s="4"/>
      <c r="S139" s="4"/>
      <c r="T139" s="4"/>
      <c r="U139" s="4"/>
      <c r="V139" s="50"/>
      <c r="W139" s="4"/>
      <c r="X139" s="5"/>
    </row>
    <row r="140" spans="1:24" ht="15.6" x14ac:dyDescent="0.3">
      <c r="A140" s="6"/>
      <c r="B140" s="21"/>
      <c r="C140" s="8"/>
      <c r="D140" s="8"/>
      <c r="E140" s="8"/>
      <c r="F140" s="8"/>
      <c r="G140" s="8"/>
      <c r="H140" s="8"/>
      <c r="I140" s="8"/>
      <c r="J140" s="8"/>
      <c r="K140" s="8"/>
      <c r="L140" s="8"/>
      <c r="M140" s="8"/>
      <c r="N140" s="8"/>
      <c r="O140" s="8"/>
      <c r="P140" s="8"/>
      <c r="Q140" s="8"/>
      <c r="R140" s="8"/>
      <c r="S140" s="8"/>
      <c r="T140" s="8"/>
      <c r="U140" s="8"/>
      <c r="V140" s="52"/>
      <c r="W140" s="8"/>
      <c r="X140" s="5"/>
    </row>
    <row r="141" spans="1:24" ht="15.6" x14ac:dyDescent="0.3">
      <c r="A141" s="6"/>
      <c r="B141" s="119" t="s">
        <v>42</v>
      </c>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24"/>
      <c r="B142" s="25" t="s">
        <v>43</v>
      </c>
      <c r="C142" s="25"/>
      <c r="D142" s="25"/>
      <c r="E142" s="25"/>
      <c r="F142" s="25"/>
      <c r="G142" s="25"/>
      <c r="H142" s="25"/>
      <c r="I142" s="25"/>
      <c r="J142" s="25"/>
      <c r="K142" s="25"/>
      <c r="L142" s="25"/>
      <c r="M142" s="25"/>
      <c r="N142" s="25"/>
      <c r="O142" s="25"/>
      <c r="P142" s="25"/>
      <c r="Q142" s="25"/>
      <c r="R142" s="25"/>
      <c r="S142" s="25"/>
      <c r="T142" s="25"/>
      <c r="U142" s="25"/>
      <c r="V142" s="53">
        <f>+V34*0.019</f>
        <v>28503.61</v>
      </c>
      <c r="W142" s="25"/>
      <c r="X142" s="5"/>
    </row>
    <row r="143" spans="1:24" ht="15.6" x14ac:dyDescent="0.3">
      <c r="A143" s="24"/>
      <c r="B143" s="25" t="s">
        <v>44</v>
      </c>
      <c r="C143" s="25"/>
      <c r="D143" s="25"/>
      <c r="E143" s="25"/>
      <c r="F143" s="25"/>
      <c r="G143" s="25"/>
      <c r="H143" s="25"/>
      <c r="I143" s="25"/>
      <c r="J143" s="25"/>
      <c r="K143" s="25"/>
      <c r="L143" s="25"/>
      <c r="M143" s="25"/>
      <c r="N143" s="25"/>
      <c r="O143" s="25"/>
      <c r="P143" s="25"/>
      <c r="Q143" s="25"/>
      <c r="R143" s="25"/>
      <c r="S143" s="25"/>
      <c r="T143" s="25"/>
      <c r="U143" s="25"/>
      <c r="V143" s="53">
        <v>28504</v>
      </c>
      <c r="W143" s="25"/>
      <c r="X143" s="5"/>
    </row>
    <row r="144" spans="1:24" ht="15.6" x14ac:dyDescent="0.3">
      <c r="A144" s="24"/>
      <c r="B144" s="25" t="s">
        <v>139</v>
      </c>
      <c r="C144" s="25"/>
      <c r="D144" s="25"/>
      <c r="E144" s="25"/>
      <c r="F144" s="25"/>
      <c r="G144" s="25"/>
      <c r="H144" s="25"/>
      <c r="I144" s="25"/>
      <c r="J144" s="25"/>
      <c r="K144" s="25"/>
      <c r="L144" s="25"/>
      <c r="M144" s="25"/>
      <c r="N144" s="25"/>
      <c r="O144" s="25"/>
      <c r="P144" s="25"/>
      <c r="Q144" s="25"/>
      <c r="R144" s="25"/>
      <c r="S144" s="25"/>
      <c r="T144" s="25"/>
      <c r="U144" s="25"/>
      <c r="V144" s="53"/>
      <c r="W144" s="25"/>
      <c r="X144" s="5"/>
    </row>
    <row r="145" spans="1:25" ht="15.6" x14ac:dyDescent="0.3">
      <c r="A145" s="24"/>
      <c r="B145" s="25" t="s">
        <v>126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127</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178</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45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132</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267</v>
      </c>
      <c r="C150" s="25"/>
      <c r="D150" s="25"/>
      <c r="E150" s="25"/>
      <c r="F150" s="25"/>
      <c r="G150" s="25"/>
      <c r="H150" s="25"/>
      <c r="I150" s="25"/>
      <c r="J150" s="25"/>
      <c r="K150" s="25"/>
      <c r="L150" s="25"/>
      <c r="M150" s="25"/>
      <c r="N150" s="25"/>
      <c r="O150" s="25"/>
      <c r="P150" s="25"/>
      <c r="Q150" s="25"/>
      <c r="R150" s="25"/>
      <c r="S150" s="25"/>
      <c r="T150" s="25"/>
      <c r="U150" s="25"/>
      <c r="V150" s="53">
        <v>0</v>
      </c>
      <c r="W150" s="25"/>
      <c r="X150" s="5"/>
      <c r="Y150" s="109"/>
    </row>
    <row r="151" spans="1:25" ht="15.6" x14ac:dyDescent="0.3">
      <c r="A151" s="24"/>
      <c r="B151" s="25" t="s">
        <v>46</v>
      </c>
      <c r="C151" s="25"/>
      <c r="D151" s="25"/>
      <c r="E151" s="25"/>
      <c r="F151" s="25"/>
      <c r="G151" s="25"/>
      <c r="H151" s="25"/>
      <c r="I151" s="25"/>
      <c r="J151" s="25"/>
      <c r="K151" s="25"/>
      <c r="L151" s="25"/>
      <c r="M151" s="25"/>
      <c r="N151" s="25"/>
      <c r="O151" s="25"/>
      <c r="P151" s="25"/>
      <c r="Q151" s="25"/>
      <c r="R151" s="25"/>
      <c r="S151" s="25"/>
      <c r="T151" s="25"/>
      <c r="U151" s="25"/>
      <c r="V151" s="53">
        <f>SUM(V143:V150)</f>
        <v>28504</v>
      </c>
      <c r="W151" s="25"/>
      <c r="X151" s="5"/>
    </row>
    <row r="152" spans="1:25" ht="15.6" x14ac:dyDescent="0.3">
      <c r="A152" s="24"/>
      <c r="B152" s="25"/>
      <c r="C152" s="25"/>
      <c r="D152" s="25"/>
      <c r="E152" s="25"/>
      <c r="F152" s="25"/>
      <c r="G152" s="25"/>
      <c r="H152" s="25"/>
      <c r="I152" s="25"/>
      <c r="J152" s="25"/>
      <c r="K152" s="25"/>
      <c r="L152" s="25"/>
      <c r="M152" s="25"/>
      <c r="N152" s="25"/>
      <c r="O152" s="25"/>
      <c r="P152" s="25"/>
      <c r="Q152" s="25"/>
      <c r="R152" s="25"/>
      <c r="S152" s="25"/>
      <c r="T152" s="25"/>
      <c r="U152" s="25"/>
      <c r="V152" s="53"/>
      <c r="W152" s="25"/>
      <c r="X152" s="5"/>
    </row>
    <row r="153" spans="1:25" ht="15.6" x14ac:dyDescent="0.3">
      <c r="A153" s="24"/>
      <c r="B153" s="138" t="s">
        <v>268</v>
      </c>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25" t="s">
        <v>158</v>
      </c>
      <c r="C154" s="25"/>
      <c r="D154" s="25"/>
      <c r="E154" s="25"/>
      <c r="F154" s="25"/>
      <c r="G154" s="25"/>
      <c r="H154" s="25"/>
      <c r="I154" s="25"/>
      <c r="J154" s="25"/>
      <c r="K154" s="25"/>
      <c r="L154" s="25"/>
      <c r="M154" s="25"/>
      <c r="N154" s="25"/>
      <c r="O154" s="25"/>
      <c r="P154" s="25"/>
      <c r="Q154" s="25"/>
      <c r="R154" s="25"/>
      <c r="S154" s="25"/>
      <c r="T154" s="25"/>
      <c r="U154" s="25"/>
      <c r="V154" s="53">
        <v>15000</v>
      </c>
      <c r="W154" s="25"/>
      <c r="X154" s="5"/>
    </row>
    <row r="155" spans="1:25" ht="15.6" x14ac:dyDescent="0.3">
      <c r="A155" s="24"/>
      <c r="B155" s="25" t="s">
        <v>175</v>
      </c>
      <c r="C155" s="25"/>
      <c r="D155" s="25"/>
      <c r="E155" s="25"/>
      <c r="F155" s="25"/>
      <c r="G155" s="25"/>
      <c r="H155" s="25"/>
      <c r="I155" s="25"/>
      <c r="J155" s="25"/>
      <c r="K155" s="25"/>
      <c r="L155" s="25"/>
      <c r="M155" s="25"/>
      <c r="N155" s="25"/>
      <c r="O155" s="25"/>
      <c r="P155" s="25"/>
      <c r="Q155" s="25"/>
      <c r="R155" s="25"/>
      <c r="S155" s="25"/>
      <c r="T155" s="25"/>
      <c r="U155" s="25"/>
      <c r="V155" s="53">
        <v>0</v>
      </c>
      <c r="W155" s="25"/>
      <c r="X155" s="5"/>
    </row>
    <row r="156" spans="1:25" ht="15.6" x14ac:dyDescent="0.3">
      <c r="A156" s="24"/>
      <c r="B156" s="25" t="s">
        <v>272</v>
      </c>
      <c r="C156" s="25"/>
      <c r="D156" s="25"/>
      <c r="E156" s="25"/>
      <c r="F156" s="25"/>
      <c r="G156" s="25"/>
      <c r="H156" s="25"/>
      <c r="I156" s="25"/>
      <c r="J156" s="25"/>
      <c r="K156" s="25"/>
      <c r="L156" s="25"/>
      <c r="M156" s="25"/>
      <c r="N156" s="25"/>
      <c r="O156" s="25"/>
      <c r="P156" s="25"/>
      <c r="Q156" s="25"/>
      <c r="R156" s="25"/>
      <c r="S156" s="25"/>
      <c r="T156" s="25"/>
      <c r="U156" s="25"/>
      <c r="V156" s="53">
        <v>6000</v>
      </c>
      <c r="W156" s="25"/>
      <c r="X156" s="5"/>
    </row>
    <row r="157" spans="1:25" ht="15.6" x14ac:dyDescent="0.3">
      <c r="A157" s="24"/>
      <c r="B157" s="25"/>
      <c r="C157" s="25"/>
      <c r="D157" s="25"/>
      <c r="E157" s="25"/>
      <c r="F157" s="25"/>
      <c r="G157" s="25"/>
      <c r="H157" s="25"/>
      <c r="I157" s="25"/>
      <c r="J157" s="25"/>
      <c r="K157" s="25"/>
      <c r="L157" s="25"/>
      <c r="M157" s="25"/>
      <c r="N157" s="25"/>
      <c r="O157" s="25"/>
      <c r="P157" s="25"/>
      <c r="Q157" s="25"/>
      <c r="R157" s="25"/>
      <c r="S157" s="25"/>
      <c r="T157" s="25"/>
      <c r="U157" s="25"/>
      <c r="V157" s="53"/>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61"/>
      <c r="W158" s="25"/>
      <c r="X158" s="5"/>
    </row>
    <row r="159" spans="1:25" ht="15.6" x14ac:dyDescent="0.3">
      <c r="A159" s="6"/>
      <c r="B159" s="119" t="s">
        <v>24</v>
      </c>
      <c r="C159" s="8"/>
      <c r="D159" s="8"/>
      <c r="E159" s="8"/>
      <c r="F159" s="8"/>
      <c r="G159" s="8"/>
      <c r="H159" s="8"/>
      <c r="I159" s="8"/>
      <c r="J159" s="8"/>
      <c r="K159" s="8"/>
      <c r="L159" s="8"/>
      <c r="M159" s="8"/>
      <c r="N159" s="8"/>
      <c r="O159" s="8"/>
      <c r="P159" s="8"/>
      <c r="Q159" s="8"/>
      <c r="R159" s="8"/>
      <c r="S159" s="8"/>
      <c r="T159" s="8"/>
      <c r="U159" s="8"/>
      <c r="V159" s="52"/>
      <c r="W159" s="8"/>
      <c r="X159" s="5"/>
    </row>
    <row r="160" spans="1:25" ht="15.6" x14ac:dyDescent="0.3">
      <c r="A160" s="24"/>
      <c r="B160" s="25" t="s">
        <v>47</v>
      </c>
      <c r="C160" s="25"/>
      <c r="D160" s="25"/>
      <c r="E160" s="25"/>
      <c r="F160" s="25"/>
      <c r="G160" s="25"/>
      <c r="H160" s="25"/>
      <c r="I160" s="25"/>
      <c r="J160" s="25"/>
      <c r="K160" s="25"/>
      <c r="L160" s="25"/>
      <c r="M160" s="25"/>
      <c r="N160" s="25"/>
      <c r="O160" s="25"/>
      <c r="P160" s="25"/>
      <c r="Q160" s="25"/>
      <c r="R160" s="25"/>
      <c r="S160" s="25"/>
      <c r="T160" s="25"/>
      <c r="U160" s="25"/>
      <c r="V160" s="59" t="s">
        <v>121</v>
      </c>
      <c r="W160" s="25"/>
      <c r="X160" s="5"/>
    </row>
    <row r="161" spans="1:24" ht="15.6" x14ac:dyDescent="0.3">
      <c r="A161" s="24"/>
      <c r="B161" s="25" t="s">
        <v>48</v>
      </c>
      <c r="C161" s="163"/>
      <c r="D161" s="163"/>
      <c r="E161" s="163"/>
      <c r="F161" s="163"/>
      <c r="G161" s="163"/>
      <c r="H161" s="163"/>
      <c r="I161" s="163"/>
      <c r="J161" s="163"/>
      <c r="K161" s="163"/>
      <c r="L161" s="163"/>
      <c r="M161" s="163"/>
      <c r="N161" s="163"/>
      <c r="O161" s="163"/>
      <c r="P161" s="163"/>
      <c r="Q161" s="163"/>
      <c r="R161" s="163"/>
      <c r="S161" s="163"/>
      <c r="T161" s="163"/>
      <c r="U161" s="163"/>
      <c r="V161" s="59" t="s">
        <v>121</v>
      </c>
      <c r="W161" s="25"/>
      <c r="X161" s="5"/>
    </row>
    <row r="162" spans="1:24" ht="15.6" x14ac:dyDescent="0.3">
      <c r="A162" s="24"/>
      <c r="B162" s="25" t="s">
        <v>49</v>
      </c>
      <c r="C162" s="25"/>
      <c r="D162" s="25"/>
      <c r="E162" s="25"/>
      <c r="F162" s="25"/>
      <c r="G162" s="25"/>
      <c r="H162" s="25"/>
      <c r="I162" s="25"/>
      <c r="J162" s="25"/>
      <c r="K162" s="25"/>
      <c r="L162" s="25"/>
      <c r="M162" s="25"/>
      <c r="N162" s="25"/>
      <c r="O162" s="25"/>
      <c r="P162" s="25"/>
      <c r="Q162" s="25"/>
      <c r="R162" s="25"/>
      <c r="S162" s="25"/>
      <c r="T162" s="25"/>
      <c r="U162" s="25"/>
      <c r="V162" s="59" t="s">
        <v>121</v>
      </c>
      <c r="W162" s="25"/>
      <c r="X162" s="5"/>
    </row>
    <row r="163" spans="1:24" ht="15.6" x14ac:dyDescent="0.3">
      <c r="A163" s="24"/>
      <c r="B163" s="25" t="s">
        <v>50</v>
      </c>
      <c r="C163" s="25"/>
      <c r="D163" s="25"/>
      <c r="E163" s="25"/>
      <c r="F163" s="25"/>
      <c r="G163" s="25"/>
      <c r="H163" s="25"/>
      <c r="I163" s="25"/>
      <c r="J163" s="25"/>
      <c r="K163" s="25"/>
      <c r="L163" s="25"/>
      <c r="M163" s="25"/>
      <c r="N163" s="25"/>
      <c r="O163" s="25"/>
      <c r="P163" s="25"/>
      <c r="Q163" s="25"/>
      <c r="R163" s="25"/>
      <c r="S163" s="25"/>
      <c r="T163" s="25"/>
      <c r="U163" s="25"/>
      <c r="V163" s="59" t="s">
        <v>121</v>
      </c>
      <c r="W163" s="25"/>
      <c r="X163" s="5"/>
    </row>
    <row r="164" spans="1:24" ht="15.6" x14ac:dyDescent="0.3">
      <c r="A164" s="24"/>
      <c r="B164" s="25"/>
      <c r="C164" s="25"/>
      <c r="D164" s="25"/>
      <c r="E164" s="25"/>
      <c r="F164" s="25"/>
      <c r="G164" s="25"/>
      <c r="H164" s="25"/>
      <c r="I164" s="25"/>
      <c r="J164" s="25"/>
      <c r="K164" s="25"/>
      <c r="L164" s="25"/>
      <c r="M164" s="25"/>
      <c r="N164" s="25"/>
      <c r="O164" s="25"/>
      <c r="P164" s="25"/>
      <c r="Q164" s="25"/>
      <c r="R164" s="25"/>
      <c r="S164" s="25"/>
      <c r="T164" s="25"/>
      <c r="U164" s="25"/>
      <c r="V164" s="61"/>
      <c r="W164" s="25"/>
      <c r="X164" s="5"/>
    </row>
    <row r="165" spans="1:24" ht="15.6" x14ac:dyDescent="0.3">
      <c r="A165" s="6"/>
      <c r="B165" s="119" t="s">
        <v>51</v>
      </c>
      <c r="C165" s="8"/>
      <c r="D165" s="8"/>
      <c r="E165" s="8"/>
      <c r="F165" s="8"/>
      <c r="G165" s="8"/>
      <c r="H165" s="8"/>
      <c r="I165" s="8"/>
      <c r="J165" s="8"/>
      <c r="K165" s="8"/>
      <c r="L165" s="8"/>
      <c r="M165" s="8"/>
      <c r="N165" s="8"/>
      <c r="O165" s="8"/>
      <c r="P165" s="8"/>
      <c r="Q165" s="8"/>
      <c r="R165" s="8"/>
      <c r="S165" s="8"/>
      <c r="T165" s="8"/>
      <c r="U165" s="8"/>
      <c r="V165" s="63"/>
      <c r="W165" s="8"/>
      <c r="X165" s="5"/>
    </row>
    <row r="166" spans="1:24" ht="15.6" x14ac:dyDescent="0.3">
      <c r="A166" s="24"/>
      <c r="B166" s="25" t="s">
        <v>52</v>
      </c>
      <c r="C166" s="25"/>
      <c r="D166" s="25"/>
      <c r="E166" s="25"/>
      <c r="F166" s="25"/>
      <c r="G166" s="25"/>
      <c r="H166" s="25"/>
      <c r="I166" s="25"/>
      <c r="J166" s="25"/>
      <c r="K166" s="25"/>
      <c r="L166" s="25"/>
      <c r="M166" s="25"/>
      <c r="N166" s="25"/>
      <c r="O166" s="25"/>
      <c r="P166" s="25"/>
      <c r="Q166" s="25"/>
      <c r="R166" s="25"/>
      <c r="S166" s="25"/>
      <c r="T166" s="25"/>
      <c r="U166" s="25"/>
      <c r="V166" s="53">
        <v>0</v>
      </c>
      <c r="W166" s="25"/>
      <c r="X166" s="5"/>
    </row>
    <row r="167" spans="1:24" ht="15.6" x14ac:dyDescent="0.3">
      <c r="A167" s="24"/>
      <c r="B167" s="25" t="s">
        <v>53</v>
      </c>
      <c r="C167" s="25"/>
      <c r="D167" s="25"/>
      <c r="E167" s="25"/>
      <c r="F167" s="25"/>
      <c r="G167" s="25"/>
      <c r="H167" s="25"/>
      <c r="I167" s="25"/>
      <c r="J167" s="25"/>
      <c r="K167" s="25"/>
      <c r="L167" s="25"/>
      <c r="M167" s="25"/>
      <c r="N167" s="25"/>
      <c r="O167" s="25"/>
      <c r="P167" s="25"/>
      <c r="Q167" s="25"/>
      <c r="R167" s="25"/>
      <c r="S167" s="25"/>
      <c r="T167" s="25"/>
      <c r="U167" s="25"/>
      <c r="V167" s="53">
        <v>235</v>
      </c>
      <c r="W167" s="25"/>
      <c r="X167" s="5"/>
    </row>
    <row r="168" spans="1:24" ht="15.6" x14ac:dyDescent="0.3">
      <c r="A168" s="24"/>
      <c r="B168" s="25" t="s">
        <v>54</v>
      </c>
      <c r="C168" s="25"/>
      <c r="D168" s="25"/>
      <c r="E168" s="25"/>
      <c r="F168" s="25"/>
      <c r="G168" s="25"/>
      <c r="H168" s="25"/>
      <c r="I168" s="25"/>
      <c r="J168" s="25"/>
      <c r="K168" s="25"/>
      <c r="L168" s="25"/>
      <c r="M168" s="25"/>
      <c r="N168" s="25"/>
      <c r="O168" s="25"/>
      <c r="P168" s="25"/>
      <c r="Q168" s="25"/>
      <c r="R168" s="25"/>
      <c r="S168" s="25"/>
      <c r="T168" s="25"/>
      <c r="U168" s="25"/>
      <c r="V168" s="53">
        <f>V167+V166</f>
        <v>235</v>
      </c>
      <c r="W168" s="25"/>
      <c r="X168" s="5"/>
    </row>
    <row r="169" spans="1:24" ht="15.6" x14ac:dyDescent="0.3">
      <c r="A169" s="24"/>
      <c r="B169" s="391" t="s">
        <v>318</v>
      </c>
      <c r="C169" s="25"/>
      <c r="D169" s="25"/>
      <c r="E169" s="25"/>
      <c r="F169" s="25"/>
      <c r="G169" s="25"/>
      <c r="H169" s="25"/>
      <c r="I169" s="25"/>
      <c r="J169" s="25"/>
      <c r="K169" s="25"/>
      <c r="L169" s="25"/>
      <c r="M169" s="25"/>
      <c r="N169" s="25"/>
      <c r="O169" s="25"/>
      <c r="P169" s="25"/>
      <c r="Q169" s="25"/>
      <c r="R169" s="25"/>
      <c r="S169" s="25"/>
      <c r="T169" s="25"/>
      <c r="U169" s="25"/>
      <c r="V169" s="53">
        <f>V115</f>
        <v>-235</v>
      </c>
      <c r="W169" s="25"/>
      <c r="X169" s="5"/>
    </row>
    <row r="170" spans="1:24" ht="15.6" x14ac:dyDescent="0.3">
      <c r="A170" s="24"/>
      <c r="B170" s="25" t="s">
        <v>55</v>
      </c>
      <c r="C170" s="25"/>
      <c r="D170" s="25"/>
      <c r="E170" s="25"/>
      <c r="F170" s="25"/>
      <c r="G170" s="25"/>
      <c r="H170" s="25"/>
      <c r="I170" s="25"/>
      <c r="J170" s="25"/>
      <c r="K170" s="25"/>
      <c r="L170" s="25"/>
      <c r="M170" s="25"/>
      <c r="N170" s="25"/>
      <c r="O170" s="25"/>
      <c r="P170" s="25"/>
      <c r="Q170" s="25"/>
      <c r="R170" s="25"/>
      <c r="S170" s="25"/>
      <c r="T170" s="25"/>
      <c r="U170" s="25"/>
      <c r="V170" s="53">
        <f>V168+V169</f>
        <v>0</v>
      </c>
      <c r="W170" s="25"/>
      <c r="X170" s="5"/>
    </row>
    <row r="171" spans="1:24" ht="15.6" x14ac:dyDescent="0.3">
      <c r="A171" s="24"/>
      <c r="B171" s="25" t="s">
        <v>288</v>
      </c>
      <c r="C171" s="25"/>
      <c r="D171" s="25"/>
      <c r="E171" s="25"/>
      <c r="F171" s="25"/>
      <c r="G171" s="25"/>
      <c r="H171" s="25"/>
      <c r="I171" s="25"/>
      <c r="J171" s="25"/>
      <c r="K171" s="25"/>
      <c r="L171" s="25"/>
      <c r="M171" s="25"/>
      <c r="N171" s="25"/>
      <c r="O171" s="25"/>
      <c r="P171" s="25"/>
      <c r="Q171" s="25"/>
      <c r="R171" s="25"/>
      <c r="S171" s="25"/>
      <c r="T171" s="25"/>
      <c r="U171" s="25"/>
      <c r="V171" s="53">
        <f>-V100</f>
        <v>256</v>
      </c>
      <c r="W171" s="25"/>
      <c r="X171" s="5"/>
    </row>
    <row r="172" spans="1:24" ht="16.2" thickBot="1" x14ac:dyDescent="0.35">
      <c r="A172" s="24"/>
      <c r="B172" s="25"/>
      <c r="C172" s="25"/>
      <c r="D172" s="25"/>
      <c r="E172" s="25"/>
      <c r="F172" s="25"/>
      <c r="G172" s="25"/>
      <c r="H172" s="25"/>
      <c r="I172" s="25"/>
      <c r="J172" s="25"/>
      <c r="K172" s="25"/>
      <c r="L172" s="25"/>
      <c r="M172" s="25"/>
      <c r="N172" s="25"/>
      <c r="O172" s="25"/>
      <c r="P172" s="25"/>
      <c r="Q172" s="25"/>
      <c r="R172" s="25"/>
      <c r="S172" s="25"/>
      <c r="T172" s="25"/>
      <c r="U172" s="25"/>
      <c r="V172" s="61"/>
      <c r="W172" s="25"/>
      <c r="X172" s="5"/>
    </row>
    <row r="173" spans="1:24" ht="15.6" x14ac:dyDescent="0.3">
      <c r="A173" s="2"/>
      <c r="B173" s="4"/>
      <c r="C173" s="4"/>
      <c r="D173" s="4"/>
      <c r="E173" s="4"/>
      <c r="F173" s="4"/>
      <c r="G173" s="4"/>
      <c r="H173" s="4"/>
      <c r="I173" s="4"/>
      <c r="J173" s="4"/>
      <c r="K173" s="4"/>
      <c r="L173" s="4"/>
      <c r="M173" s="4"/>
      <c r="N173" s="4"/>
      <c r="O173" s="4"/>
      <c r="P173" s="4"/>
      <c r="Q173" s="4"/>
      <c r="R173" s="4"/>
      <c r="S173" s="4"/>
      <c r="T173" s="4"/>
      <c r="U173" s="4"/>
      <c r="V173" s="50"/>
      <c r="W173" s="4"/>
      <c r="X173" s="5"/>
    </row>
    <row r="174" spans="1:24" ht="15.6" x14ac:dyDescent="0.3">
      <c r="A174" s="6"/>
      <c r="B174" s="119" t="s">
        <v>56</v>
      </c>
      <c r="C174" s="8"/>
      <c r="D174" s="8"/>
      <c r="E174" s="8"/>
      <c r="F174" s="8"/>
      <c r="G174" s="8"/>
      <c r="H174" s="8"/>
      <c r="I174" s="8"/>
      <c r="J174" s="8"/>
      <c r="K174" s="8"/>
      <c r="L174" s="8"/>
      <c r="M174" s="8"/>
      <c r="N174" s="8"/>
      <c r="O174" s="8"/>
      <c r="P174" s="8"/>
      <c r="Q174" s="8"/>
      <c r="R174" s="8"/>
      <c r="S174" s="8"/>
      <c r="T174" s="8"/>
      <c r="U174" s="8"/>
      <c r="V174" s="52"/>
      <c r="W174" s="8"/>
      <c r="X174" s="5"/>
    </row>
    <row r="175" spans="1:24" ht="15.6" x14ac:dyDescent="0.3">
      <c r="A175" s="6"/>
      <c r="B175" s="21"/>
      <c r="C175" s="8"/>
      <c r="D175" s="8"/>
      <c r="E175" s="8"/>
      <c r="F175" s="8"/>
      <c r="G175" s="8"/>
      <c r="H175" s="8"/>
      <c r="I175" s="8"/>
      <c r="J175" s="8"/>
      <c r="K175" s="8"/>
      <c r="L175" s="8"/>
      <c r="M175" s="8"/>
      <c r="N175" s="8"/>
      <c r="O175" s="8"/>
      <c r="P175" s="8"/>
      <c r="Q175" s="8"/>
      <c r="R175" s="8"/>
      <c r="S175" s="8"/>
      <c r="T175" s="8"/>
      <c r="U175" s="8"/>
      <c r="V175" s="52"/>
      <c r="W175" s="8"/>
      <c r="X175" s="5"/>
    </row>
    <row r="176" spans="1:24" ht="15.6" x14ac:dyDescent="0.3">
      <c r="A176" s="24"/>
      <c r="B176" s="25" t="s">
        <v>57</v>
      </c>
      <c r="C176" s="25"/>
      <c r="D176" s="25"/>
      <c r="E176" s="25"/>
      <c r="F176" s="25"/>
      <c r="G176" s="25"/>
      <c r="H176" s="25"/>
      <c r="I176" s="25"/>
      <c r="J176" s="25"/>
      <c r="K176" s="25"/>
      <c r="L176" s="25"/>
      <c r="M176" s="25"/>
      <c r="N176" s="25"/>
      <c r="O176" s="25"/>
      <c r="P176" s="25"/>
      <c r="Q176" s="25"/>
      <c r="R176" s="25"/>
      <c r="S176" s="25"/>
      <c r="T176" s="25"/>
      <c r="U176" s="25"/>
      <c r="V176" s="53">
        <f>V72</f>
        <v>1060170</v>
      </c>
      <c r="W176" s="25"/>
      <c r="X176" s="5"/>
    </row>
    <row r="177" spans="1:24" ht="15.6" x14ac:dyDescent="0.3">
      <c r="A177" s="24"/>
      <c r="B177" s="25" t="s">
        <v>58</v>
      </c>
      <c r="C177" s="25"/>
      <c r="D177" s="25"/>
      <c r="E177" s="25"/>
      <c r="F177" s="25"/>
      <c r="G177" s="25"/>
      <c r="H177" s="25"/>
      <c r="I177" s="25"/>
      <c r="J177" s="25"/>
      <c r="K177" s="25"/>
      <c r="L177" s="25"/>
      <c r="M177" s="25"/>
      <c r="N177" s="25"/>
      <c r="O177" s="25"/>
      <c r="P177" s="25"/>
      <c r="Q177" s="25"/>
      <c r="R177" s="25"/>
      <c r="S177" s="25"/>
      <c r="T177" s="25"/>
      <c r="U177" s="25"/>
      <c r="V177" s="53">
        <f>V85</f>
        <v>1060170</v>
      </c>
      <c r="W177" s="25"/>
      <c r="X177" s="5"/>
    </row>
    <row r="178" spans="1:24" ht="16.2" thickBot="1" x14ac:dyDescent="0.35">
      <c r="A178" s="24"/>
      <c r="B178" s="25"/>
      <c r="C178" s="25"/>
      <c r="D178" s="25"/>
      <c r="E178" s="25"/>
      <c r="F178" s="25"/>
      <c r="G178" s="25"/>
      <c r="H178" s="25"/>
      <c r="I178" s="25"/>
      <c r="J178" s="25"/>
      <c r="K178" s="25"/>
      <c r="L178" s="25"/>
      <c r="M178" s="25"/>
      <c r="N178" s="25"/>
      <c r="O178" s="25"/>
      <c r="P178" s="25"/>
      <c r="Q178" s="25"/>
      <c r="R178" s="25"/>
      <c r="S178" s="25"/>
      <c r="T178" s="25"/>
      <c r="U178" s="25"/>
      <c r="V178" s="61"/>
      <c r="W178" s="25"/>
      <c r="X178" s="5"/>
    </row>
    <row r="179" spans="1:24" ht="15.6" x14ac:dyDescent="0.3">
      <c r="A179" s="2"/>
      <c r="B179" s="4"/>
      <c r="C179" s="4"/>
      <c r="D179" s="4"/>
      <c r="E179" s="4"/>
      <c r="F179" s="4"/>
      <c r="G179" s="4"/>
      <c r="H179" s="4"/>
      <c r="I179" s="4"/>
      <c r="J179" s="4"/>
      <c r="K179" s="4"/>
      <c r="L179" s="4"/>
      <c r="M179" s="4"/>
      <c r="N179" s="4"/>
      <c r="O179" s="4"/>
      <c r="P179" s="4"/>
      <c r="Q179" s="4"/>
      <c r="R179" s="4"/>
      <c r="S179" s="4"/>
      <c r="T179" s="4"/>
      <c r="U179" s="4"/>
      <c r="V179" s="50"/>
      <c r="W179" s="4"/>
      <c r="X179" s="5"/>
    </row>
    <row r="180" spans="1:24" ht="15.6" x14ac:dyDescent="0.3">
      <c r="A180" s="6"/>
      <c r="B180" s="119" t="s">
        <v>59</v>
      </c>
      <c r="C180" s="117"/>
      <c r="D180" s="117"/>
      <c r="E180" s="117"/>
      <c r="F180" s="117"/>
      <c r="G180" s="117"/>
      <c r="H180" s="120"/>
      <c r="I180" s="120"/>
      <c r="J180" s="120"/>
      <c r="K180" s="120"/>
      <c r="L180" s="120"/>
      <c r="M180" s="120"/>
      <c r="N180" s="120"/>
      <c r="O180" s="120"/>
      <c r="P180" s="120"/>
      <c r="Q180" s="120"/>
      <c r="R180" s="120"/>
      <c r="S180" s="120" t="s">
        <v>102</v>
      </c>
      <c r="T180" s="120" t="s">
        <v>179</v>
      </c>
      <c r="U180" s="111"/>
      <c r="V180" s="121" t="s">
        <v>117</v>
      </c>
      <c r="W180" s="10"/>
      <c r="X180" s="5"/>
    </row>
    <row r="181" spans="1:24" ht="15.6" x14ac:dyDescent="0.3">
      <c r="A181" s="24"/>
      <c r="B181" s="25" t="s">
        <v>60</v>
      </c>
      <c r="C181" s="25"/>
      <c r="D181" s="25"/>
      <c r="E181" s="25"/>
      <c r="F181" s="25"/>
      <c r="G181" s="25"/>
      <c r="H181" s="25"/>
      <c r="I181" s="25"/>
      <c r="J181" s="25"/>
      <c r="K181" s="25"/>
      <c r="L181" s="25"/>
      <c r="M181" s="25"/>
      <c r="N181" s="25"/>
      <c r="O181" s="25"/>
      <c r="P181" s="25"/>
      <c r="Q181" s="25"/>
      <c r="R181" s="25"/>
      <c r="S181" s="53">
        <f>+V34*0.16</f>
        <v>240030.4</v>
      </c>
      <c r="T181" s="40"/>
      <c r="U181" s="25"/>
      <c r="V181" s="53"/>
      <c r="W181" s="25"/>
      <c r="X181" s="5"/>
    </row>
    <row r="182" spans="1:24" ht="15.6" x14ac:dyDescent="0.3">
      <c r="A182" s="24"/>
      <c r="B182" s="25" t="s">
        <v>61</v>
      </c>
      <c r="C182" s="25"/>
      <c r="D182" s="25"/>
      <c r="E182" s="25"/>
      <c r="F182" s="25"/>
      <c r="G182" s="25"/>
      <c r="H182" s="25"/>
      <c r="I182" s="25"/>
      <c r="J182" s="25"/>
      <c r="K182" s="25"/>
      <c r="L182" s="25"/>
      <c r="M182" s="25"/>
      <c r="N182" s="25"/>
      <c r="O182" s="25"/>
      <c r="P182" s="25"/>
      <c r="Q182" s="25"/>
      <c r="R182" s="25"/>
      <c r="S182" s="53">
        <f>+'September 09'!S183</f>
        <v>41999</v>
      </c>
      <c r="T182" s="53">
        <f>+'September 09'!T183</f>
        <v>8297</v>
      </c>
      <c r="U182" s="25"/>
      <c r="V182" s="53">
        <f>S182+T182</f>
        <v>50296</v>
      </c>
      <c r="W182" s="25"/>
      <c r="X182" s="5"/>
    </row>
    <row r="183" spans="1:24" ht="15.6" x14ac:dyDescent="0.3">
      <c r="A183" s="24"/>
      <c r="B183" s="25" t="s">
        <v>62</v>
      </c>
      <c r="C183" s="25"/>
      <c r="D183" s="25"/>
      <c r="E183" s="25"/>
      <c r="F183" s="25"/>
      <c r="G183" s="25"/>
      <c r="H183" s="25"/>
      <c r="I183" s="25"/>
      <c r="J183" s="25"/>
      <c r="K183" s="25"/>
      <c r="L183" s="25"/>
      <c r="M183" s="25"/>
      <c r="N183" s="25"/>
      <c r="O183" s="25"/>
      <c r="P183" s="25"/>
      <c r="Q183" s="25"/>
      <c r="R183" s="25"/>
      <c r="S183" s="34">
        <f>553+365</f>
        <v>918</v>
      </c>
      <c r="T183" s="34">
        <v>130</v>
      </c>
      <c r="U183" s="25"/>
      <c r="V183" s="53">
        <f>S183+T183</f>
        <v>1048</v>
      </c>
      <c r="W183" s="25"/>
      <c r="X183" s="5"/>
    </row>
    <row r="184" spans="1:24" ht="15.6" x14ac:dyDescent="0.3">
      <c r="A184" s="24"/>
      <c r="B184" s="25" t="s">
        <v>63</v>
      </c>
      <c r="C184" s="25"/>
      <c r="D184" s="25"/>
      <c r="E184" s="25"/>
      <c r="F184" s="25"/>
      <c r="G184" s="25"/>
      <c r="H184" s="25"/>
      <c r="I184" s="25"/>
      <c r="J184" s="25"/>
      <c r="K184" s="25"/>
      <c r="L184" s="25"/>
      <c r="M184" s="25"/>
      <c r="N184" s="25"/>
      <c r="O184" s="25"/>
      <c r="P184" s="25"/>
      <c r="Q184" s="25"/>
      <c r="R184" s="25"/>
      <c r="S184" s="53">
        <f>S182+S183</f>
        <v>42917</v>
      </c>
      <c r="T184" s="53">
        <f>T183+T182</f>
        <v>8427</v>
      </c>
      <c r="U184" s="25"/>
      <c r="V184" s="53">
        <f>S184+T184</f>
        <v>51344</v>
      </c>
      <c r="W184" s="25"/>
      <c r="X184" s="5"/>
    </row>
    <row r="185" spans="1:24" ht="15.6" x14ac:dyDescent="0.3">
      <c r="A185" s="24"/>
      <c r="B185" s="25" t="s">
        <v>64</v>
      </c>
      <c r="C185" s="25"/>
      <c r="D185" s="25"/>
      <c r="E185" s="25"/>
      <c r="F185" s="25"/>
      <c r="G185" s="25"/>
      <c r="H185" s="25"/>
      <c r="I185" s="25"/>
      <c r="J185" s="25"/>
      <c r="K185" s="25"/>
      <c r="L185" s="25"/>
      <c r="M185" s="25"/>
      <c r="N185" s="25"/>
      <c r="O185" s="25"/>
      <c r="P185" s="25"/>
      <c r="Q185" s="25"/>
      <c r="R185" s="25"/>
      <c r="S185" s="53">
        <f>S181-S184-T184</f>
        <v>188686.4</v>
      </c>
      <c r="T185" s="40"/>
      <c r="U185" s="25"/>
      <c r="V185" s="53"/>
      <c r="W185" s="25"/>
      <c r="X185" s="5"/>
    </row>
    <row r="186" spans="1:24" ht="16.2" thickBot="1" x14ac:dyDescent="0.35">
      <c r="A186" s="24"/>
      <c r="B186" s="25"/>
      <c r="C186" s="25"/>
      <c r="D186" s="25"/>
      <c r="E186" s="25"/>
      <c r="F186" s="25"/>
      <c r="G186" s="25"/>
      <c r="H186" s="25"/>
      <c r="I186" s="25"/>
      <c r="J186" s="25"/>
      <c r="K186" s="25"/>
      <c r="L186" s="25"/>
      <c r="M186" s="25"/>
      <c r="N186" s="25"/>
      <c r="O186" s="25"/>
      <c r="P186" s="25"/>
      <c r="Q186" s="25"/>
      <c r="R186" s="25"/>
      <c r="S186" s="25"/>
      <c r="T186" s="25"/>
      <c r="U186" s="25"/>
      <c r="V186" s="61"/>
      <c r="W186" s="25"/>
      <c r="X186" s="5"/>
    </row>
    <row r="187" spans="1:24" ht="15.6" x14ac:dyDescent="0.3">
      <c r="A187" s="2"/>
      <c r="B187" s="4"/>
      <c r="C187" s="4"/>
      <c r="D187" s="4"/>
      <c r="E187" s="4"/>
      <c r="F187" s="4"/>
      <c r="G187" s="4"/>
      <c r="H187" s="4"/>
      <c r="I187" s="4"/>
      <c r="J187" s="4"/>
      <c r="K187" s="4"/>
      <c r="L187" s="4"/>
      <c r="M187" s="4"/>
      <c r="N187" s="4"/>
      <c r="O187" s="4"/>
      <c r="P187" s="4"/>
      <c r="Q187" s="4"/>
      <c r="R187" s="4"/>
      <c r="S187" s="4"/>
      <c r="T187" s="4"/>
      <c r="U187" s="4"/>
      <c r="V187" s="50"/>
      <c r="W187" s="4"/>
      <c r="X187" s="5"/>
    </row>
    <row r="188" spans="1:24" ht="15.6" x14ac:dyDescent="0.3">
      <c r="A188" s="6"/>
      <c r="B188" s="119" t="s">
        <v>65</v>
      </c>
      <c r="C188" s="8"/>
      <c r="D188" s="8"/>
      <c r="E188" s="8"/>
      <c r="F188" s="8"/>
      <c r="G188" s="8"/>
      <c r="H188" s="8"/>
      <c r="I188" s="8"/>
      <c r="J188" s="8"/>
      <c r="K188" s="8"/>
      <c r="L188" s="8"/>
      <c r="M188" s="8"/>
      <c r="N188" s="8"/>
      <c r="O188" s="8"/>
      <c r="P188" s="8"/>
      <c r="Q188" s="8"/>
      <c r="R188" s="8"/>
      <c r="S188" s="8"/>
      <c r="T188" s="8"/>
      <c r="U188" s="8"/>
      <c r="V188" s="65"/>
      <c r="W188" s="8"/>
      <c r="X188" s="5"/>
    </row>
    <row r="189" spans="1:24" ht="15.6" x14ac:dyDescent="0.3">
      <c r="A189" s="24"/>
      <c r="B189" s="25" t="s">
        <v>66</v>
      </c>
      <c r="C189" s="25"/>
      <c r="D189" s="25"/>
      <c r="E189" s="25"/>
      <c r="F189" s="25"/>
      <c r="G189" s="25"/>
      <c r="H189" s="25"/>
      <c r="I189" s="25"/>
      <c r="J189" s="25"/>
      <c r="K189" s="25"/>
      <c r="L189" s="25"/>
      <c r="M189" s="25"/>
      <c r="N189" s="25"/>
      <c r="O189" s="25"/>
      <c r="P189" s="25"/>
      <c r="Q189" s="25"/>
      <c r="R189" s="25"/>
      <c r="S189" s="25"/>
      <c r="T189" s="25"/>
      <c r="U189" s="25"/>
      <c r="V189" s="59">
        <f>(V101+V103+V104+V105+V106)/-(V107+V108)</f>
        <v>3.3775125628140703</v>
      </c>
      <c r="W189" s="25" t="s">
        <v>118</v>
      </c>
      <c r="X189" s="5"/>
    </row>
    <row r="190" spans="1:24" ht="15.6" x14ac:dyDescent="0.3">
      <c r="A190" s="24"/>
      <c r="B190" s="25" t="s">
        <v>67</v>
      </c>
      <c r="C190" s="25"/>
      <c r="D190" s="25"/>
      <c r="E190" s="25"/>
      <c r="F190" s="25"/>
      <c r="G190" s="25"/>
      <c r="H190" s="25"/>
      <c r="I190" s="25"/>
      <c r="J190" s="25"/>
      <c r="K190" s="25"/>
      <c r="L190" s="25"/>
      <c r="M190" s="25"/>
      <c r="N190" s="25"/>
      <c r="O190" s="25"/>
      <c r="P190" s="25"/>
      <c r="Q190" s="25"/>
      <c r="R190" s="25"/>
      <c r="S190" s="25"/>
      <c r="T190" s="25"/>
      <c r="U190" s="25"/>
      <c r="V190" s="66">
        <v>1.44</v>
      </c>
      <c r="W190" s="25" t="s">
        <v>118</v>
      </c>
      <c r="X190" s="5"/>
    </row>
    <row r="191" spans="1:24" ht="15.6" x14ac:dyDescent="0.3">
      <c r="A191" s="24"/>
      <c r="B191" s="25" t="s">
        <v>68</v>
      </c>
      <c r="C191" s="25"/>
      <c r="D191" s="25"/>
      <c r="E191" s="25"/>
      <c r="F191" s="25"/>
      <c r="G191" s="25"/>
      <c r="H191" s="25"/>
      <c r="I191" s="25"/>
      <c r="J191" s="25"/>
      <c r="K191" s="25"/>
      <c r="L191" s="25"/>
      <c r="M191" s="25"/>
      <c r="N191" s="25"/>
      <c r="O191" s="25"/>
      <c r="P191" s="25"/>
      <c r="Q191" s="25"/>
      <c r="R191" s="25"/>
      <c r="S191" s="25"/>
      <c r="T191" s="25"/>
      <c r="U191" s="25"/>
      <c r="V191" s="59">
        <f>(V101+V103+V104+V105+V106+V107+V108)/-(V110+V111)</f>
        <v>17.283105022831052</v>
      </c>
      <c r="W191" s="25" t="s">
        <v>118</v>
      </c>
      <c r="X191" s="5"/>
    </row>
    <row r="192" spans="1:24" ht="15.6" x14ac:dyDescent="0.3">
      <c r="A192" s="24"/>
      <c r="B192" s="25" t="s">
        <v>69</v>
      </c>
      <c r="C192" s="25"/>
      <c r="D192" s="25"/>
      <c r="E192" s="25"/>
      <c r="F192" s="25"/>
      <c r="G192" s="25"/>
      <c r="H192" s="25"/>
      <c r="I192" s="25"/>
      <c r="J192" s="25"/>
      <c r="K192" s="25"/>
      <c r="L192" s="25"/>
      <c r="M192" s="25"/>
      <c r="N192" s="25"/>
      <c r="O192" s="25"/>
      <c r="P192" s="25"/>
      <c r="Q192" s="25"/>
      <c r="R192" s="25"/>
      <c r="S192" s="25"/>
      <c r="T192" s="25"/>
      <c r="U192" s="25"/>
      <c r="V192" s="66">
        <v>4.46</v>
      </c>
      <c r="W192" s="25" t="s">
        <v>118</v>
      </c>
      <c r="X192" s="5"/>
    </row>
    <row r="193" spans="1:24" ht="15.6" x14ac:dyDescent="0.3">
      <c r="A193" s="24"/>
      <c r="B193" s="25" t="s">
        <v>201</v>
      </c>
      <c r="C193" s="25"/>
      <c r="D193" s="25"/>
      <c r="E193" s="25"/>
      <c r="F193" s="25"/>
      <c r="G193" s="25"/>
      <c r="H193" s="25"/>
      <c r="I193" s="25"/>
      <c r="J193" s="25"/>
      <c r="K193" s="25"/>
      <c r="L193" s="25"/>
      <c r="M193" s="25"/>
      <c r="N193" s="25"/>
      <c r="O193" s="25"/>
      <c r="P193" s="25"/>
      <c r="Q193" s="25"/>
      <c r="R193" s="25"/>
      <c r="S193" s="25"/>
      <c r="T193" s="25"/>
      <c r="U193" s="25"/>
      <c r="V193" s="59">
        <f>(V101+V103+V104+V105+V106+V107+V108+V110+V111)/-(V112+V113)</f>
        <v>21.226190476190474</v>
      </c>
      <c r="W193" s="25" t="s">
        <v>118</v>
      </c>
      <c r="X193" s="5"/>
    </row>
    <row r="194" spans="1:24" ht="15.6" x14ac:dyDescent="0.3">
      <c r="A194" s="24"/>
      <c r="B194" s="25" t="s">
        <v>202</v>
      </c>
      <c r="C194" s="25"/>
      <c r="D194" s="25"/>
      <c r="E194" s="25"/>
      <c r="F194" s="25"/>
      <c r="G194" s="25"/>
      <c r="H194" s="25"/>
      <c r="I194" s="25"/>
      <c r="J194" s="25"/>
      <c r="K194" s="25"/>
      <c r="L194" s="25"/>
      <c r="M194" s="25"/>
      <c r="N194" s="25"/>
      <c r="O194" s="25"/>
      <c r="P194" s="25"/>
      <c r="Q194" s="25"/>
      <c r="R194" s="25"/>
      <c r="S194" s="25"/>
      <c r="T194" s="25"/>
      <c r="U194" s="25"/>
      <c r="V194" s="66">
        <v>5.51</v>
      </c>
      <c r="W194" s="25" t="s">
        <v>118</v>
      </c>
      <c r="X194" s="5"/>
    </row>
    <row r="195" spans="1:24" ht="15.6" x14ac:dyDescent="0.3">
      <c r="A195" s="24"/>
      <c r="B195" s="25"/>
      <c r="C195" s="25"/>
      <c r="D195" s="25"/>
      <c r="E195" s="25"/>
      <c r="F195" s="25"/>
      <c r="G195" s="25"/>
      <c r="H195" s="25"/>
      <c r="I195" s="25"/>
      <c r="J195" s="25"/>
      <c r="K195" s="25"/>
      <c r="L195" s="25"/>
      <c r="M195" s="25"/>
      <c r="N195" s="25"/>
      <c r="O195" s="25"/>
      <c r="P195" s="25"/>
      <c r="Q195" s="25"/>
      <c r="R195" s="25"/>
      <c r="S195" s="25"/>
      <c r="T195" s="25"/>
      <c r="U195" s="25"/>
      <c r="V195" s="25"/>
      <c r="W195" s="25"/>
      <c r="X195" s="5"/>
    </row>
    <row r="196" spans="1:24" ht="15.6" x14ac:dyDescent="0.3">
      <c r="A196" s="24"/>
      <c r="B196" s="25"/>
      <c r="C196" s="25"/>
      <c r="D196" s="25"/>
      <c r="E196" s="25"/>
      <c r="F196" s="25"/>
      <c r="G196" s="25"/>
      <c r="H196" s="25"/>
      <c r="I196" s="25"/>
      <c r="J196" s="25"/>
      <c r="K196" s="25"/>
      <c r="L196" s="25"/>
      <c r="M196" s="25"/>
      <c r="N196" s="25"/>
      <c r="O196" s="25"/>
      <c r="P196" s="25"/>
      <c r="Q196" s="25"/>
      <c r="R196" s="25"/>
      <c r="S196" s="25"/>
      <c r="T196" s="25"/>
      <c r="U196" s="25"/>
      <c r="V196" s="25"/>
      <c r="W196" s="25"/>
      <c r="X196" s="5"/>
    </row>
    <row r="197" spans="1:24" ht="15.6" x14ac:dyDescent="0.3">
      <c r="A197" s="6"/>
      <c r="B197" s="8"/>
      <c r="C197" s="8"/>
      <c r="D197" s="8"/>
      <c r="E197" s="8"/>
      <c r="F197" s="8"/>
      <c r="G197" s="8"/>
      <c r="H197" s="8"/>
      <c r="I197" s="8"/>
      <c r="J197" s="8"/>
      <c r="K197" s="8"/>
      <c r="L197" s="8"/>
      <c r="M197" s="8"/>
      <c r="N197" s="8"/>
      <c r="O197" s="8"/>
      <c r="P197" s="8"/>
      <c r="Q197" s="8"/>
      <c r="R197" s="8"/>
      <c r="S197" s="8"/>
      <c r="T197" s="8"/>
      <c r="U197" s="8"/>
      <c r="V197" s="8"/>
      <c r="W197" s="8"/>
      <c r="X197" s="5"/>
    </row>
    <row r="198" spans="1:24" ht="18" thickBot="1" x14ac:dyDescent="0.35">
      <c r="A198" s="101"/>
      <c r="B198" s="102" t="str">
        <f>B138</f>
        <v>PM13 INVESTOR REPORT QUARTER ENDING DECEMBER 2009</v>
      </c>
      <c r="C198" s="165"/>
      <c r="D198" s="165"/>
      <c r="E198" s="165"/>
      <c r="F198" s="165"/>
      <c r="G198" s="165"/>
      <c r="H198" s="165"/>
      <c r="I198" s="165"/>
      <c r="J198" s="165"/>
      <c r="K198" s="165"/>
      <c r="L198" s="165"/>
      <c r="M198" s="165"/>
      <c r="N198" s="165"/>
      <c r="O198" s="165"/>
      <c r="P198" s="165"/>
      <c r="Q198" s="165"/>
      <c r="R198" s="165"/>
      <c r="S198" s="165"/>
      <c r="T198" s="165"/>
      <c r="U198" s="165"/>
      <c r="V198" s="165"/>
      <c r="W198" s="166"/>
      <c r="X198" s="5"/>
    </row>
    <row r="199" spans="1:24" ht="15.6" x14ac:dyDescent="0.3">
      <c r="A199" s="67"/>
      <c r="B199" s="60" t="s">
        <v>70</v>
      </c>
      <c r="C199" s="68"/>
      <c r="D199" s="68"/>
      <c r="E199" s="68"/>
      <c r="F199" s="68"/>
      <c r="G199" s="69"/>
      <c r="H199" s="69"/>
      <c r="I199" s="69"/>
      <c r="J199" s="69"/>
      <c r="K199" s="69"/>
      <c r="L199" s="69"/>
      <c r="M199" s="69"/>
      <c r="N199" s="69"/>
      <c r="O199" s="69"/>
      <c r="P199" s="69"/>
      <c r="Q199" s="69"/>
      <c r="R199" s="69"/>
      <c r="S199" s="69"/>
      <c r="T199" s="70">
        <v>40178</v>
      </c>
      <c r="U199" s="4"/>
      <c r="V199" s="4"/>
      <c r="W199" s="4"/>
      <c r="X199" s="5"/>
    </row>
    <row r="200" spans="1:24" ht="15.6" x14ac:dyDescent="0.3">
      <c r="A200" s="71"/>
      <c r="B200" s="72"/>
      <c r="C200" s="73"/>
      <c r="D200" s="73"/>
      <c r="E200" s="73"/>
      <c r="F200" s="73"/>
      <c r="G200" s="74"/>
      <c r="H200" s="74"/>
      <c r="I200" s="74"/>
      <c r="J200" s="74"/>
      <c r="K200" s="74"/>
      <c r="L200" s="74"/>
      <c r="M200" s="74"/>
      <c r="N200" s="74"/>
      <c r="O200" s="74"/>
      <c r="P200" s="74"/>
      <c r="Q200" s="74"/>
      <c r="R200" s="74"/>
      <c r="S200" s="74"/>
      <c r="T200" s="74"/>
      <c r="U200" s="8"/>
      <c r="V200" s="8"/>
      <c r="W200" s="8"/>
      <c r="X200" s="5"/>
    </row>
    <row r="201" spans="1:24" ht="15.6" x14ac:dyDescent="0.3">
      <c r="A201" s="75"/>
      <c r="B201" s="76" t="s">
        <v>71</v>
      </c>
      <c r="C201" s="77"/>
      <c r="D201" s="77"/>
      <c r="E201" s="77"/>
      <c r="F201" s="77"/>
      <c r="G201" s="64"/>
      <c r="H201" s="64"/>
      <c r="I201" s="64"/>
      <c r="J201" s="64"/>
      <c r="K201" s="64"/>
      <c r="L201" s="64"/>
      <c r="M201" s="64"/>
      <c r="N201" s="64"/>
      <c r="O201" s="64"/>
      <c r="P201" s="64"/>
      <c r="Q201" s="64"/>
      <c r="R201" s="64"/>
      <c r="S201" s="64"/>
      <c r="T201" s="78">
        <v>5.4539999999999998E-2</v>
      </c>
      <c r="U201" s="25"/>
      <c r="V201" s="25"/>
      <c r="W201" s="25"/>
      <c r="X201" s="5"/>
    </row>
    <row r="202" spans="1:24" ht="15.6" x14ac:dyDescent="0.3">
      <c r="A202" s="75"/>
      <c r="B202" s="76" t="s">
        <v>154</v>
      </c>
      <c r="C202" s="77"/>
      <c r="D202" s="77"/>
      <c r="E202" s="77"/>
      <c r="F202" s="77"/>
      <c r="G202" s="64"/>
      <c r="H202" s="64"/>
      <c r="I202" s="64"/>
      <c r="J202" s="64"/>
      <c r="K202" s="64"/>
      <c r="L202" s="64"/>
      <c r="M202" s="64"/>
      <c r="N202" s="64"/>
      <c r="O202" s="64"/>
      <c r="P202" s="64"/>
      <c r="Q202" s="64"/>
      <c r="R202" s="64"/>
      <c r="S202" s="64"/>
      <c r="T202" s="39">
        <f>'Dec 06'!T199</f>
        <v>5.238600504269459E-2</v>
      </c>
      <c r="U202" s="25"/>
      <c r="V202" s="25"/>
      <c r="W202" s="25"/>
      <c r="X202" s="5"/>
    </row>
    <row r="203" spans="1:24" ht="15.6" x14ac:dyDescent="0.3">
      <c r="A203" s="75"/>
      <c r="B203" s="76" t="s">
        <v>72</v>
      </c>
      <c r="C203" s="77"/>
      <c r="D203" s="77"/>
      <c r="E203" s="77"/>
      <c r="F203" s="77"/>
      <c r="G203" s="64"/>
      <c r="H203" s="64"/>
      <c r="I203" s="64"/>
      <c r="J203" s="64"/>
      <c r="K203" s="64"/>
      <c r="L203" s="64"/>
      <c r="M203" s="64"/>
      <c r="N203" s="64"/>
      <c r="O203" s="64"/>
      <c r="P203" s="64"/>
      <c r="Q203" s="64"/>
      <c r="R203" s="64"/>
      <c r="S203" s="64"/>
      <c r="T203" s="78">
        <f>+T201-T202</f>
        <v>2.1539949573054079E-3</v>
      </c>
      <c r="U203" s="25"/>
      <c r="V203" s="25"/>
      <c r="W203" s="25"/>
      <c r="X203" s="5"/>
    </row>
    <row r="204" spans="1:24" ht="15.6" x14ac:dyDescent="0.3">
      <c r="A204" s="75"/>
      <c r="B204" s="76" t="s">
        <v>73</v>
      </c>
      <c r="C204" s="77"/>
      <c r="D204" s="77"/>
      <c r="E204" s="77"/>
      <c r="F204" s="77"/>
      <c r="G204" s="64"/>
      <c r="H204" s="64"/>
      <c r="I204" s="64"/>
      <c r="J204" s="64"/>
      <c r="K204" s="64"/>
      <c r="L204" s="64"/>
      <c r="M204" s="64"/>
      <c r="N204" s="64"/>
      <c r="O204" s="64"/>
      <c r="P204" s="64"/>
      <c r="Q204" s="64"/>
      <c r="R204" s="64"/>
      <c r="S204" s="64"/>
      <c r="T204" s="78">
        <v>2.605E-2</v>
      </c>
      <c r="U204" s="25"/>
      <c r="V204" s="25"/>
      <c r="W204" s="25"/>
      <c r="X204" s="5"/>
    </row>
    <row r="205" spans="1:24" ht="15.6" x14ac:dyDescent="0.3">
      <c r="A205" s="75"/>
      <c r="B205" s="76" t="s">
        <v>222</v>
      </c>
      <c r="C205" s="77"/>
      <c r="D205" s="77"/>
      <c r="E205" s="77"/>
      <c r="F205" s="77"/>
      <c r="G205" s="64"/>
      <c r="H205" s="64"/>
      <c r="I205" s="64"/>
      <c r="J205" s="64"/>
      <c r="K205" s="64"/>
      <c r="L205" s="64"/>
      <c r="M205" s="64"/>
      <c r="N205" s="64"/>
      <c r="O205" s="64"/>
      <c r="P205" s="64"/>
      <c r="Q205" s="64"/>
      <c r="R205" s="64"/>
      <c r="S205" s="64"/>
      <c r="T205" s="78">
        <f>V43</f>
        <v>7.3484939636300041E-3</v>
      </c>
      <c r="U205" s="25"/>
      <c r="V205" s="25"/>
      <c r="W205" s="25"/>
      <c r="X205" s="5"/>
    </row>
    <row r="206" spans="1:24" ht="15.6" x14ac:dyDescent="0.3">
      <c r="A206" s="75"/>
      <c r="B206" s="76" t="s">
        <v>74</v>
      </c>
      <c r="C206" s="77"/>
      <c r="D206" s="77"/>
      <c r="E206" s="77"/>
      <c r="F206" s="77"/>
      <c r="G206" s="64"/>
      <c r="H206" s="64"/>
      <c r="I206" s="64"/>
      <c r="J206" s="64"/>
      <c r="K206" s="64"/>
      <c r="L206" s="64"/>
      <c r="M206" s="64"/>
      <c r="N206" s="64"/>
      <c r="O206" s="64"/>
      <c r="P206" s="64"/>
      <c r="Q206" s="64"/>
      <c r="R206" s="64"/>
      <c r="S206" s="64"/>
      <c r="T206" s="78">
        <f>T204-T205</f>
        <v>1.8701506036369997E-2</v>
      </c>
      <c r="U206" s="25"/>
      <c r="V206" s="25"/>
      <c r="W206" s="25"/>
      <c r="X206" s="5"/>
    </row>
    <row r="207" spans="1:24" ht="15.6" x14ac:dyDescent="0.3">
      <c r="A207" s="75"/>
      <c r="B207" s="76" t="s">
        <v>274</v>
      </c>
      <c r="C207" s="77"/>
      <c r="D207" s="77"/>
      <c r="E207" s="77"/>
      <c r="F207" s="77"/>
      <c r="G207" s="64"/>
      <c r="H207" s="64"/>
      <c r="I207" s="64"/>
      <c r="J207" s="64"/>
      <c r="K207" s="64"/>
      <c r="L207" s="64"/>
      <c r="M207" s="64"/>
      <c r="N207" s="64"/>
      <c r="O207" s="64"/>
      <c r="P207" s="64"/>
      <c r="Q207" s="64"/>
      <c r="R207" s="64"/>
      <c r="S207" s="64"/>
      <c r="T207" s="78">
        <f>+V101/N72</f>
        <v>6.7475296211305207E-3</v>
      </c>
      <c r="U207" s="25"/>
      <c r="V207" s="25"/>
      <c r="W207" s="25"/>
      <c r="X207" s="5"/>
    </row>
    <row r="208" spans="1:24" ht="15.6" x14ac:dyDescent="0.3">
      <c r="A208" s="75"/>
      <c r="B208" s="76" t="s">
        <v>211</v>
      </c>
      <c r="C208" s="77"/>
      <c r="D208" s="77"/>
      <c r="E208" s="77"/>
      <c r="F208" s="77"/>
      <c r="G208" s="64"/>
      <c r="H208" s="64"/>
      <c r="I208" s="64"/>
      <c r="J208" s="64"/>
      <c r="K208" s="64"/>
      <c r="L208" s="64"/>
      <c r="M208" s="64"/>
      <c r="N208" s="64"/>
      <c r="O208" s="64"/>
      <c r="P208" s="64"/>
      <c r="Q208" s="64"/>
      <c r="R208" s="64"/>
      <c r="S208" s="64"/>
      <c r="T208" s="129">
        <v>50771</v>
      </c>
      <c r="U208" s="25"/>
      <c r="V208" s="25"/>
      <c r="W208" s="25"/>
      <c r="X208" s="5"/>
    </row>
    <row r="209" spans="1:24" ht="15.6" x14ac:dyDescent="0.3">
      <c r="A209" s="75"/>
      <c r="B209" s="76" t="s">
        <v>212</v>
      </c>
      <c r="C209" s="77"/>
      <c r="D209" s="77"/>
      <c r="E209" s="77"/>
      <c r="F209" s="77"/>
      <c r="G209" s="64"/>
      <c r="H209" s="64"/>
      <c r="I209" s="64"/>
      <c r="J209" s="64"/>
      <c r="K209" s="64"/>
      <c r="L209" s="64"/>
      <c r="M209" s="64"/>
      <c r="N209" s="64"/>
      <c r="O209" s="64"/>
      <c r="P209" s="64"/>
      <c r="Q209" s="64"/>
      <c r="R209" s="64"/>
      <c r="S209" s="64"/>
      <c r="T209" s="129">
        <v>50771</v>
      </c>
      <c r="U209" s="25"/>
      <c r="V209" s="25"/>
      <c r="W209" s="25"/>
      <c r="X209" s="5"/>
    </row>
    <row r="210" spans="1:24" ht="15.6" x14ac:dyDescent="0.3">
      <c r="A210" s="75"/>
      <c r="B210" s="76" t="s">
        <v>213</v>
      </c>
      <c r="C210" s="77"/>
      <c r="D210" s="77"/>
      <c r="E210" s="77"/>
      <c r="F210" s="77"/>
      <c r="G210" s="64"/>
      <c r="H210" s="64"/>
      <c r="I210" s="64"/>
      <c r="J210" s="64"/>
      <c r="K210" s="64"/>
      <c r="L210" s="64"/>
      <c r="M210" s="64"/>
      <c r="N210" s="64"/>
      <c r="O210" s="64"/>
      <c r="P210" s="64"/>
      <c r="Q210" s="64"/>
      <c r="R210" s="64"/>
      <c r="S210" s="64"/>
      <c r="T210" s="129">
        <v>50771</v>
      </c>
      <c r="U210" s="25"/>
      <c r="V210" s="25"/>
      <c r="W210" s="25"/>
      <c r="X210" s="5"/>
    </row>
    <row r="211" spans="1:24" ht="15.6" x14ac:dyDescent="0.3">
      <c r="A211" s="75"/>
      <c r="B211" s="76" t="s">
        <v>75</v>
      </c>
      <c r="C211" s="77"/>
      <c r="D211" s="77"/>
      <c r="E211" s="77"/>
      <c r="F211" s="77"/>
      <c r="G211" s="64"/>
      <c r="H211" s="64"/>
      <c r="I211" s="64"/>
      <c r="J211" s="64"/>
      <c r="K211" s="64"/>
      <c r="L211" s="64"/>
      <c r="M211" s="64"/>
      <c r="N211" s="64"/>
      <c r="O211" s="64"/>
      <c r="P211" s="64"/>
      <c r="Q211" s="64"/>
      <c r="R211" s="64"/>
      <c r="S211" s="64"/>
      <c r="T211" s="133">
        <v>20.66</v>
      </c>
      <c r="U211" s="25" t="s">
        <v>113</v>
      </c>
      <c r="V211" s="25"/>
      <c r="W211" s="25"/>
      <c r="X211" s="5"/>
    </row>
    <row r="212" spans="1:24" ht="15.6" x14ac:dyDescent="0.3">
      <c r="A212" s="75"/>
      <c r="B212" s="76" t="s">
        <v>76</v>
      </c>
      <c r="C212" s="77"/>
      <c r="D212" s="77"/>
      <c r="E212" s="77"/>
      <c r="F212" s="77"/>
      <c r="G212" s="64"/>
      <c r="H212" s="64"/>
      <c r="I212" s="64"/>
      <c r="J212" s="64"/>
      <c r="K212" s="64"/>
      <c r="L212" s="64"/>
      <c r="M212" s="64"/>
      <c r="N212" s="64"/>
      <c r="O212" s="64"/>
      <c r="P212" s="64"/>
      <c r="Q212" s="64"/>
      <c r="R212" s="64"/>
      <c r="S212" s="64"/>
      <c r="T212" s="133">
        <v>17.77</v>
      </c>
      <c r="U212" s="25" t="s">
        <v>113</v>
      </c>
      <c r="V212" s="25"/>
      <c r="W212" s="25"/>
      <c r="X212" s="5"/>
    </row>
    <row r="213" spans="1:24" ht="15.6" x14ac:dyDescent="0.3">
      <c r="A213" s="75"/>
      <c r="B213" s="76" t="s">
        <v>77</v>
      </c>
      <c r="C213" s="77"/>
      <c r="D213" s="77"/>
      <c r="E213" s="77"/>
      <c r="F213" s="77"/>
      <c r="G213" s="64"/>
      <c r="H213" s="64"/>
      <c r="I213" s="64"/>
      <c r="J213" s="64"/>
      <c r="K213" s="64"/>
      <c r="L213" s="64"/>
      <c r="M213" s="64"/>
      <c r="N213" s="64"/>
      <c r="O213" s="64"/>
      <c r="P213" s="64"/>
      <c r="Q213" s="64"/>
      <c r="R213" s="64"/>
      <c r="S213" s="64"/>
      <c r="T213" s="78">
        <f>+P69/N69</f>
        <v>8.535568772537817E-3</v>
      </c>
      <c r="U213" s="25"/>
      <c r="V213" s="25"/>
      <c r="W213" s="25"/>
      <c r="X213" s="5"/>
    </row>
    <row r="214" spans="1:24" ht="15.6" x14ac:dyDescent="0.3">
      <c r="A214" s="75"/>
      <c r="B214" s="76" t="s">
        <v>78</v>
      </c>
      <c r="C214" s="77"/>
      <c r="D214" s="77"/>
      <c r="E214" s="77"/>
      <c r="F214" s="77"/>
      <c r="G214" s="64"/>
      <c r="H214" s="64"/>
      <c r="I214" s="64"/>
      <c r="J214" s="64"/>
      <c r="K214" s="64"/>
      <c r="L214" s="64"/>
      <c r="M214" s="64"/>
      <c r="N214" s="64"/>
      <c r="O214" s="64"/>
      <c r="P214" s="64"/>
      <c r="Q214" s="64"/>
      <c r="R214" s="64"/>
      <c r="S214" s="64"/>
      <c r="T214" s="78">
        <v>0.11840000000000001</v>
      </c>
      <c r="U214" s="25"/>
      <c r="V214" s="25"/>
      <c r="W214" s="25"/>
      <c r="X214" s="5"/>
    </row>
    <row r="215" spans="1:24" ht="15.6" x14ac:dyDescent="0.3">
      <c r="A215" s="75"/>
      <c r="B215" s="76"/>
      <c r="C215" s="76"/>
      <c r="D215" s="76"/>
      <c r="E215" s="76"/>
      <c r="F215" s="76"/>
      <c r="G215" s="25"/>
      <c r="H215" s="25"/>
      <c r="I215" s="25"/>
      <c r="J215" s="25"/>
      <c r="K215" s="25"/>
      <c r="L215" s="25"/>
      <c r="M215" s="25"/>
      <c r="N215" s="25"/>
      <c r="O215" s="25"/>
      <c r="P215" s="25"/>
      <c r="Q215" s="25"/>
      <c r="R215" s="25"/>
      <c r="S215" s="25"/>
      <c r="T215" s="61"/>
      <c r="U215" s="25"/>
      <c r="V215" s="79"/>
      <c r="W215" s="25"/>
      <c r="X215" s="5"/>
    </row>
    <row r="216" spans="1:24" ht="15.6" x14ac:dyDescent="0.3">
      <c r="A216" s="80"/>
      <c r="B216" s="14" t="s">
        <v>79</v>
      </c>
      <c r="C216" s="81"/>
      <c r="D216" s="81"/>
      <c r="E216" s="81"/>
      <c r="F216" s="82"/>
      <c r="G216" s="81"/>
      <c r="H216" s="17"/>
      <c r="I216" s="17"/>
      <c r="J216" s="17"/>
      <c r="K216" s="17"/>
      <c r="L216" s="17"/>
      <c r="M216" s="17"/>
      <c r="N216" s="17"/>
      <c r="O216" s="17"/>
      <c r="P216" s="17"/>
      <c r="Q216" s="17"/>
      <c r="R216" s="17"/>
      <c r="S216" s="17" t="s">
        <v>103</v>
      </c>
      <c r="T216" s="83" t="s">
        <v>110</v>
      </c>
      <c r="U216" s="8"/>
      <c r="V216" s="8"/>
      <c r="W216" s="8"/>
      <c r="X216" s="5"/>
    </row>
    <row r="217" spans="1:24" ht="15.6" x14ac:dyDescent="0.3">
      <c r="A217" s="84"/>
      <c r="B217" s="76" t="s">
        <v>80</v>
      </c>
      <c r="C217" s="54"/>
      <c r="D217" s="54"/>
      <c r="E217" s="54"/>
      <c r="F217" s="25"/>
      <c r="G217" s="25"/>
      <c r="H217" s="30"/>
      <c r="I217" s="30"/>
      <c r="J217" s="30"/>
      <c r="K217" s="30"/>
      <c r="L217" s="30"/>
      <c r="M217" s="30"/>
      <c r="N217" s="30"/>
      <c r="O217" s="30"/>
      <c r="P217" s="30"/>
      <c r="Q217" s="30"/>
      <c r="R217" s="30"/>
      <c r="S217" s="30">
        <v>1</v>
      </c>
      <c r="T217" s="85">
        <v>91</v>
      </c>
      <c r="U217" s="25"/>
      <c r="V217" s="79"/>
      <c r="W217" s="86"/>
      <c r="X217" s="5"/>
    </row>
    <row r="218" spans="1:24" ht="15.6" x14ac:dyDescent="0.3">
      <c r="A218" s="84"/>
      <c r="B218" s="76" t="s">
        <v>148</v>
      </c>
      <c r="C218" s="54"/>
      <c r="D218" s="54"/>
      <c r="E218" s="54"/>
      <c r="F218" s="25"/>
      <c r="G218" s="25"/>
      <c r="H218" s="30"/>
      <c r="I218" s="30"/>
      <c r="J218" s="30"/>
      <c r="K218" s="30"/>
      <c r="L218" s="30"/>
      <c r="M218" s="30"/>
      <c r="N218" s="30"/>
      <c r="O218" s="30"/>
      <c r="P218" s="30"/>
      <c r="Q218" s="30"/>
      <c r="R218" s="30"/>
      <c r="S218" s="152">
        <f>+R258</f>
        <v>304</v>
      </c>
      <c r="T218" s="85">
        <f>+T258</f>
        <v>41572</v>
      </c>
      <c r="U218" s="25"/>
      <c r="V218" s="79"/>
      <c r="W218" s="86"/>
      <c r="X218" s="5"/>
    </row>
    <row r="219" spans="1:24" ht="15.6" x14ac:dyDescent="0.3">
      <c r="A219" s="84"/>
      <c r="B219" s="76" t="s">
        <v>81</v>
      </c>
      <c r="C219" s="54"/>
      <c r="D219" s="54"/>
      <c r="E219" s="54"/>
      <c r="F219" s="25"/>
      <c r="G219" s="25"/>
      <c r="H219" s="30"/>
      <c r="I219" s="30"/>
      <c r="J219" s="30"/>
      <c r="K219" s="30"/>
      <c r="L219" s="30"/>
      <c r="M219" s="30"/>
      <c r="N219" s="30"/>
      <c r="O219" s="30"/>
      <c r="P219" s="30"/>
      <c r="Q219" s="30"/>
      <c r="R219" s="30"/>
      <c r="S219" s="152">
        <v>0</v>
      </c>
      <c r="T219" s="85">
        <v>0</v>
      </c>
      <c r="U219" s="25"/>
      <c r="V219" s="79"/>
      <c r="W219" s="86"/>
      <c r="X219" s="5"/>
    </row>
    <row r="220" spans="1:24" ht="15.6" x14ac:dyDescent="0.3">
      <c r="A220" s="84"/>
      <c r="B220" s="122" t="s">
        <v>82</v>
      </c>
      <c r="C220" s="54"/>
      <c r="D220" s="54"/>
      <c r="E220" s="54"/>
      <c r="F220" s="25"/>
      <c r="G220" s="25"/>
      <c r="H220" s="25"/>
      <c r="I220" s="25"/>
      <c r="J220" s="25"/>
      <c r="K220" s="25"/>
      <c r="L220" s="25"/>
      <c r="M220" s="25"/>
      <c r="N220" s="25"/>
      <c r="O220" s="25"/>
      <c r="P220" s="25"/>
      <c r="Q220" s="25"/>
      <c r="R220" s="25"/>
      <c r="S220" s="25"/>
      <c r="T220" s="85">
        <v>0</v>
      </c>
      <c r="U220" s="25"/>
      <c r="V220" s="79"/>
      <c r="W220" s="86"/>
      <c r="X220" s="5"/>
    </row>
    <row r="221" spans="1:24" ht="15.6" x14ac:dyDescent="0.3">
      <c r="A221" s="84"/>
      <c r="B221" s="122" t="s">
        <v>275</v>
      </c>
      <c r="C221" s="54"/>
      <c r="D221" s="54"/>
      <c r="E221" s="54"/>
      <c r="F221" s="25"/>
      <c r="G221" s="25"/>
      <c r="H221" s="25"/>
      <c r="I221" s="25"/>
      <c r="J221" s="25"/>
      <c r="K221" s="25"/>
      <c r="L221" s="25"/>
      <c r="M221" s="25"/>
      <c r="N221" s="25"/>
      <c r="O221" s="25"/>
      <c r="P221" s="25"/>
      <c r="Q221" s="25"/>
      <c r="R221" s="25"/>
      <c r="S221" s="25"/>
      <c r="T221" s="85">
        <f>+N82</f>
        <v>0</v>
      </c>
      <c r="U221" s="25"/>
      <c r="V221" s="79"/>
      <c r="W221" s="86"/>
      <c r="X221" s="5"/>
    </row>
    <row r="222" spans="1:24" ht="15.6" x14ac:dyDescent="0.3">
      <c r="A222" s="87"/>
      <c r="B222" s="122" t="s">
        <v>83</v>
      </c>
      <c r="C222" s="76"/>
      <c r="D222" s="76"/>
      <c r="E222" s="76"/>
      <c r="F222" s="76"/>
      <c r="G222" s="25"/>
      <c r="H222" s="25"/>
      <c r="I222" s="25"/>
      <c r="J222" s="25"/>
      <c r="K222" s="25"/>
      <c r="L222" s="25"/>
      <c r="M222" s="25"/>
      <c r="N222" s="25"/>
      <c r="O222" s="25"/>
      <c r="P222" s="25"/>
      <c r="Q222" s="25"/>
      <c r="R222" s="25"/>
      <c r="S222" s="25"/>
      <c r="T222" s="85"/>
      <c r="U222" s="25"/>
      <c r="V222" s="79"/>
      <c r="W222" s="88"/>
      <c r="X222" s="5"/>
    </row>
    <row r="223" spans="1:24" ht="15.6" x14ac:dyDescent="0.3">
      <c r="A223" s="87"/>
      <c r="B223" s="131" t="s">
        <v>84</v>
      </c>
      <c r="C223" s="76"/>
      <c r="D223" s="76"/>
      <c r="E223" s="76"/>
      <c r="F223" s="76"/>
      <c r="G223" s="25"/>
      <c r="H223" s="25"/>
      <c r="I223" s="25"/>
      <c r="J223" s="25"/>
      <c r="K223" s="25"/>
      <c r="L223" s="25"/>
      <c r="M223" s="25"/>
      <c r="N223" s="25"/>
      <c r="O223" s="25"/>
      <c r="P223" s="25"/>
      <c r="Q223" s="25"/>
      <c r="R223" s="25"/>
      <c r="S223" s="30"/>
      <c r="T223" s="85">
        <f>V167</f>
        <v>235</v>
      </c>
      <c r="U223" s="25"/>
      <c r="V223" s="79"/>
      <c r="W223" s="88"/>
      <c r="X223" s="5"/>
    </row>
    <row r="224" spans="1:24" ht="15.6" x14ac:dyDescent="0.3">
      <c r="A224" s="84"/>
      <c r="B224" s="76" t="s">
        <v>85</v>
      </c>
      <c r="C224" s="54"/>
      <c r="D224" s="54"/>
      <c r="E224" s="54"/>
      <c r="F224" s="54"/>
      <c r="G224" s="25"/>
      <c r="H224" s="25"/>
      <c r="I224" s="25"/>
      <c r="J224" s="25"/>
      <c r="K224" s="25"/>
      <c r="L224" s="25"/>
      <c r="M224" s="25"/>
      <c r="N224" s="25"/>
      <c r="O224" s="25"/>
      <c r="P224" s="25"/>
      <c r="Q224" s="25"/>
      <c r="R224" s="25"/>
      <c r="S224" s="30"/>
      <c r="T224" s="85">
        <f>'September 09'!T223+T223</f>
        <v>703</v>
      </c>
      <c r="U224" s="25"/>
      <c r="V224" s="79"/>
      <c r="W224" s="88"/>
      <c r="X224" s="5"/>
    </row>
    <row r="225" spans="1:25" ht="15.6" x14ac:dyDescent="0.3">
      <c r="A225" s="87"/>
      <c r="B225" s="122" t="s">
        <v>297</v>
      </c>
      <c r="C225" s="76"/>
      <c r="D225" s="76"/>
      <c r="E225" s="76"/>
      <c r="F225" s="76"/>
      <c r="G225" s="25"/>
      <c r="H225" s="25"/>
      <c r="I225" s="25"/>
      <c r="J225" s="25"/>
      <c r="K225" s="25"/>
      <c r="L225" s="25"/>
      <c r="M225" s="25"/>
      <c r="N225" s="25"/>
      <c r="O225" s="25"/>
      <c r="P225" s="25"/>
      <c r="Q225" s="25"/>
      <c r="R225" s="25"/>
      <c r="S225" s="30"/>
      <c r="T225" s="85"/>
      <c r="U225" s="25"/>
      <c r="V225" s="79"/>
      <c r="W225" s="88"/>
      <c r="X225" s="5"/>
    </row>
    <row r="226" spans="1:25" ht="15.6" x14ac:dyDescent="0.3">
      <c r="A226" s="87"/>
      <c r="B226" s="76" t="s">
        <v>295</v>
      </c>
      <c r="C226" s="76"/>
      <c r="D226" s="76"/>
      <c r="E226" s="76"/>
      <c r="F226" s="76"/>
      <c r="G226" s="25"/>
      <c r="H226" s="25"/>
      <c r="I226" s="25"/>
      <c r="J226" s="25"/>
      <c r="K226" s="25"/>
      <c r="L226" s="25"/>
      <c r="M226" s="25"/>
      <c r="N226" s="25"/>
      <c r="O226" s="25"/>
      <c r="P226" s="25"/>
      <c r="Q226" s="25"/>
      <c r="R226" s="25"/>
      <c r="S226" s="30">
        <v>0</v>
      </c>
      <c r="T226" s="171">
        <v>0</v>
      </c>
      <c r="U226" s="25"/>
      <c r="V226" s="79"/>
      <c r="W226" s="88"/>
      <c r="X226" s="5"/>
    </row>
    <row r="227" spans="1:25" ht="15.6" x14ac:dyDescent="0.3">
      <c r="A227" s="84"/>
      <c r="B227" s="76" t="s">
        <v>87</v>
      </c>
      <c r="C227" s="89"/>
      <c r="D227" s="89"/>
      <c r="E227" s="89"/>
      <c r="F227" s="90"/>
      <c r="G227" s="25"/>
      <c r="H227" s="25"/>
      <c r="I227" s="25"/>
      <c r="J227" s="25"/>
      <c r="K227" s="25"/>
      <c r="L227" s="25"/>
      <c r="M227" s="25"/>
      <c r="N227" s="25"/>
      <c r="O227" s="25"/>
      <c r="P227" s="25"/>
      <c r="Q227" s="25"/>
      <c r="R227" s="25"/>
      <c r="S227" s="25"/>
      <c r="T227" s="172">
        <v>0</v>
      </c>
      <c r="U227" s="25"/>
      <c r="V227" s="79"/>
      <c r="W227" s="88"/>
      <c r="X227" s="5"/>
    </row>
    <row r="228" spans="1:25" ht="15.6" x14ac:dyDescent="0.3">
      <c r="A228" s="84"/>
      <c r="B228" s="76" t="s">
        <v>88</v>
      </c>
      <c r="C228" s="89"/>
      <c r="D228" s="89"/>
      <c r="E228" s="89"/>
      <c r="F228" s="90"/>
      <c r="G228" s="25"/>
      <c r="H228" s="25"/>
      <c r="I228" s="25"/>
      <c r="J228" s="25"/>
      <c r="K228" s="25"/>
      <c r="L228" s="25"/>
      <c r="M228" s="25"/>
      <c r="N228" s="25"/>
      <c r="O228" s="25"/>
      <c r="P228" s="25"/>
      <c r="Q228" s="25"/>
      <c r="R228" s="25"/>
      <c r="S228" s="25"/>
      <c r="T228" s="172">
        <v>0</v>
      </c>
      <c r="U228" s="25"/>
      <c r="V228" s="79"/>
      <c r="W228" s="88"/>
      <c r="X228" s="5"/>
    </row>
    <row r="229" spans="1:25" ht="15.6" x14ac:dyDescent="0.3">
      <c r="A229" s="84"/>
      <c r="B229" s="122" t="s">
        <v>220</v>
      </c>
      <c r="C229" s="89"/>
      <c r="D229" s="89"/>
      <c r="E229" s="89"/>
      <c r="F229" s="90"/>
      <c r="G229" s="25"/>
      <c r="H229" s="25"/>
      <c r="I229" s="25"/>
      <c r="J229" s="25"/>
      <c r="K229" s="25"/>
      <c r="L229" s="25"/>
      <c r="M229" s="25"/>
      <c r="N229" s="25"/>
      <c r="O229" s="25"/>
      <c r="P229" s="25"/>
      <c r="Q229" s="25"/>
      <c r="R229" s="25"/>
      <c r="S229" s="169"/>
      <c r="T229" s="170"/>
      <c r="U229" s="25"/>
      <c r="V229" s="79"/>
      <c r="W229" s="88"/>
      <c r="X229" s="5"/>
    </row>
    <row r="230" spans="1:25" ht="15.6" x14ac:dyDescent="0.3">
      <c r="A230" s="84"/>
      <c r="B230" s="76" t="s">
        <v>295</v>
      </c>
      <c r="C230" s="89"/>
      <c r="D230" s="89"/>
      <c r="E230" s="89"/>
      <c r="F230" s="90"/>
      <c r="G230" s="25"/>
      <c r="H230" s="25"/>
      <c r="I230" s="25"/>
      <c r="J230" s="25"/>
      <c r="K230" s="25"/>
      <c r="L230" s="25"/>
      <c r="M230" s="25"/>
      <c r="N230" s="25"/>
      <c r="O230" s="25"/>
      <c r="P230" s="25"/>
      <c r="Q230" s="25"/>
      <c r="R230" s="25"/>
      <c r="S230" s="30">
        <v>8</v>
      </c>
      <c r="T230" s="171">
        <v>978</v>
      </c>
      <c r="U230" s="25"/>
      <c r="V230" s="79"/>
      <c r="W230" s="88"/>
      <c r="X230" s="5"/>
    </row>
    <row r="231" spans="1:25" ht="15.6" x14ac:dyDescent="0.3">
      <c r="A231" s="84"/>
      <c r="B231" s="76" t="s">
        <v>221</v>
      </c>
      <c r="C231" s="89"/>
      <c r="D231" s="89"/>
      <c r="E231" s="89"/>
      <c r="F231" s="90"/>
      <c r="G231" s="25"/>
      <c r="H231" s="25"/>
      <c r="I231" s="25"/>
      <c r="J231" s="25"/>
      <c r="K231" s="25"/>
      <c r="L231" s="25"/>
      <c r="M231" s="25"/>
      <c r="N231" s="25"/>
      <c r="O231" s="25"/>
      <c r="P231" s="25"/>
      <c r="Q231" s="25"/>
      <c r="R231" s="25"/>
      <c r="S231" s="25"/>
      <c r="T231" s="172">
        <v>13.35</v>
      </c>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5.6" x14ac:dyDescent="0.3">
      <c r="A233" s="84"/>
      <c r="B233" s="76"/>
      <c r="C233" s="89"/>
      <c r="D233" s="89"/>
      <c r="E233" s="89"/>
      <c r="F233" s="90"/>
      <c r="G233" s="25"/>
      <c r="H233" s="25"/>
      <c r="I233" s="25"/>
      <c r="J233" s="25"/>
      <c r="K233" s="25"/>
      <c r="L233" s="25"/>
      <c r="M233" s="25"/>
      <c r="N233" s="25"/>
      <c r="O233" s="25"/>
      <c r="P233" s="25"/>
      <c r="Q233" s="25"/>
      <c r="R233" s="25"/>
      <c r="S233" s="25"/>
      <c r="T233" s="91"/>
      <c r="U233" s="25"/>
      <c r="V233" s="79"/>
      <c r="W233" s="88"/>
      <c r="X233" s="5"/>
    </row>
    <row r="234" spans="1:25" ht="17.399999999999999" x14ac:dyDescent="0.3">
      <c r="A234" s="84"/>
      <c r="B234" s="149" t="s">
        <v>171</v>
      </c>
      <c r="C234" s="89"/>
      <c r="D234" s="89"/>
      <c r="E234" s="89"/>
      <c r="F234" s="90"/>
      <c r="G234" s="25"/>
      <c r="H234" s="25"/>
      <c r="I234" s="25"/>
      <c r="J234" s="25"/>
      <c r="K234" s="25"/>
      <c r="L234" s="25"/>
      <c r="M234" s="25"/>
      <c r="N234" s="25"/>
      <c r="O234" s="25"/>
      <c r="P234" s="150" t="s">
        <v>170</v>
      </c>
      <c r="Q234" s="25"/>
      <c r="R234" s="25"/>
      <c r="S234" s="25"/>
      <c r="T234" s="91"/>
      <c r="U234" s="25"/>
      <c r="V234" s="79"/>
      <c r="W234" s="88"/>
      <c r="X234" s="5"/>
    </row>
    <row r="235" spans="1:25" ht="15.6" x14ac:dyDescent="0.3">
      <c r="A235" s="84"/>
      <c r="B235" s="76"/>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5" ht="15.6" x14ac:dyDescent="0.3">
      <c r="A236" s="6"/>
      <c r="B236" s="14" t="s">
        <v>165</v>
      </c>
      <c r="C236" s="81"/>
      <c r="D236" s="81"/>
      <c r="E236" s="81"/>
      <c r="F236" s="82"/>
      <c r="G236" s="81"/>
      <c r="H236" s="17"/>
      <c r="I236" s="17"/>
      <c r="J236" s="17"/>
      <c r="K236" s="17"/>
      <c r="L236" s="17"/>
      <c r="M236" s="17"/>
      <c r="N236" s="17"/>
      <c r="O236" s="17"/>
      <c r="P236" s="17"/>
      <c r="Q236" s="17"/>
      <c r="R236" s="83" t="s">
        <v>103</v>
      </c>
      <c r="S236" s="17" t="s">
        <v>104</v>
      </c>
      <c r="T236" s="83" t="s">
        <v>111</v>
      </c>
      <c r="U236" s="17" t="s">
        <v>104</v>
      </c>
      <c r="V236" s="8"/>
      <c r="W236" s="92"/>
      <c r="X236" s="5"/>
    </row>
    <row r="237" spans="1:25" ht="15.6" x14ac:dyDescent="0.3">
      <c r="A237" s="24"/>
      <c r="B237" s="54" t="s">
        <v>89</v>
      </c>
      <c r="C237" s="93"/>
      <c r="D237" s="93"/>
      <c r="E237" s="93"/>
      <c r="F237" s="25"/>
      <c r="G237" s="93"/>
      <c r="H237" s="93"/>
      <c r="I237" s="93"/>
      <c r="J237" s="93"/>
      <c r="K237" s="93"/>
      <c r="L237" s="93"/>
      <c r="M237" s="93"/>
      <c r="N237" s="93"/>
      <c r="O237" s="93"/>
      <c r="P237" s="93"/>
      <c r="Q237" s="93"/>
      <c r="R237" s="54">
        <v>7908</v>
      </c>
      <c r="S237" s="94">
        <f t="shared" ref="S237:S244" si="1">R237/$R$246</f>
        <v>0.98615787504676389</v>
      </c>
      <c r="T237" s="53">
        <v>1001205</v>
      </c>
      <c r="U237" s="132">
        <f t="shared" ref="U237:U244" si="2">T237/$T$246</f>
        <v>0.98292456886818946</v>
      </c>
      <c r="V237" s="79"/>
      <c r="W237" s="88"/>
      <c r="X237" s="5"/>
    </row>
    <row r="238" spans="1:25" ht="15.6" x14ac:dyDescent="0.3">
      <c r="A238" s="24"/>
      <c r="B238" s="54" t="s">
        <v>90</v>
      </c>
      <c r="C238" s="93"/>
      <c r="D238" s="93"/>
      <c r="E238" s="93"/>
      <c r="F238" s="25"/>
      <c r="G238" s="94"/>
      <c r="H238" s="93"/>
      <c r="I238" s="93"/>
      <c r="J238" s="93"/>
      <c r="K238" s="93"/>
      <c r="L238" s="93"/>
      <c r="M238" s="93"/>
      <c r="N238" s="93"/>
      <c r="O238" s="93"/>
      <c r="P238" s="93"/>
      <c r="Q238" s="93"/>
      <c r="R238" s="54">
        <v>79</v>
      </c>
      <c r="S238" s="94">
        <f t="shared" si="1"/>
        <v>9.8516024441950376E-3</v>
      </c>
      <c r="T238" s="53">
        <v>12111</v>
      </c>
      <c r="U238" s="132">
        <f t="shared" si="2"/>
        <v>1.1889872157612719E-2</v>
      </c>
      <c r="V238" s="79"/>
      <c r="W238" s="88"/>
      <c r="X238" s="5"/>
      <c r="Y238" s="109"/>
    </row>
    <row r="239" spans="1:25" ht="15.6" x14ac:dyDescent="0.3">
      <c r="A239" s="24"/>
      <c r="B239" s="54" t="s">
        <v>91</v>
      </c>
      <c r="C239" s="93"/>
      <c r="D239" s="93"/>
      <c r="E239" s="93"/>
      <c r="F239" s="25"/>
      <c r="G239" s="94"/>
      <c r="H239" s="93"/>
      <c r="I239" s="93"/>
      <c r="J239" s="93"/>
      <c r="K239" s="93"/>
      <c r="L239" s="93"/>
      <c r="M239" s="93"/>
      <c r="N239" s="93"/>
      <c r="O239" s="93"/>
      <c r="P239" s="93"/>
      <c r="Q239" s="93"/>
      <c r="R239" s="54">
        <v>22</v>
      </c>
      <c r="S239" s="94">
        <f t="shared" si="1"/>
        <v>2.7434842249657062E-3</v>
      </c>
      <c r="T239" s="53">
        <v>3969</v>
      </c>
      <c r="U239" s="132">
        <f t="shared" si="2"/>
        <v>3.8965322924254713E-3</v>
      </c>
      <c r="V239" s="79"/>
      <c r="W239" s="88"/>
      <c r="X239" s="5"/>
    </row>
    <row r="240" spans="1:25" ht="15.6" x14ac:dyDescent="0.3">
      <c r="A240" s="24"/>
      <c r="B240" s="54" t="s">
        <v>159</v>
      </c>
      <c r="C240" s="93"/>
      <c r="D240" s="93"/>
      <c r="E240" s="93"/>
      <c r="F240" s="25"/>
      <c r="G240" s="94"/>
      <c r="H240" s="93"/>
      <c r="I240" s="93"/>
      <c r="J240" s="93"/>
      <c r="K240" s="93"/>
      <c r="L240" s="93"/>
      <c r="M240" s="93"/>
      <c r="N240" s="93"/>
      <c r="O240" s="93"/>
      <c r="P240" s="93"/>
      <c r="Q240" s="93"/>
      <c r="R240" s="54">
        <v>6</v>
      </c>
      <c r="S240" s="94">
        <f t="shared" si="1"/>
        <v>7.4822297044519262E-4</v>
      </c>
      <c r="T240" s="53">
        <v>808</v>
      </c>
      <c r="U240" s="132">
        <f t="shared" si="2"/>
        <v>7.9324718878301349E-4</v>
      </c>
      <c r="V240" s="79"/>
      <c r="W240" s="88"/>
      <c r="X240" s="5"/>
      <c r="Y240" s="109"/>
    </row>
    <row r="241" spans="1:25" ht="15.6" x14ac:dyDescent="0.3">
      <c r="A241" s="24"/>
      <c r="B241" s="54" t="s">
        <v>160</v>
      </c>
      <c r="C241" s="93"/>
      <c r="D241" s="93"/>
      <c r="E241" s="93"/>
      <c r="F241" s="25"/>
      <c r="G241" s="94"/>
      <c r="H241" s="93"/>
      <c r="I241" s="93"/>
      <c r="J241" s="93"/>
      <c r="K241" s="93"/>
      <c r="L241" s="93"/>
      <c r="M241" s="93"/>
      <c r="N241" s="93"/>
      <c r="O241" s="93"/>
      <c r="P241" s="93"/>
      <c r="Q241" s="93"/>
      <c r="R241" s="54">
        <v>1</v>
      </c>
      <c r="S241" s="94">
        <f t="shared" si="1"/>
        <v>1.2470382840753212E-4</v>
      </c>
      <c r="T241" s="53">
        <v>77</v>
      </c>
      <c r="U241" s="132">
        <f t="shared" si="2"/>
        <v>7.5594100911252521E-5</v>
      </c>
      <c r="V241" s="79"/>
      <c r="W241" s="88"/>
      <c r="X241" s="5"/>
    </row>
    <row r="242" spans="1:25" ht="15.6" x14ac:dyDescent="0.3">
      <c r="A242" s="24"/>
      <c r="B242" s="54" t="s">
        <v>161</v>
      </c>
      <c r="C242" s="93"/>
      <c r="D242" s="93"/>
      <c r="E242" s="93"/>
      <c r="F242" s="25"/>
      <c r="G242" s="94"/>
      <c r="H242" s="93"/>
      <c r="I242" s="93"/>
      <c r="J242" s="93"/>
      <c r="K242" s="93"/>
      <c r="L242" s="93"/>
      <c r="M242" s="93"/>
      <c r="N242" s="93"/>
      <c r="O242" s="93"/>
      <c r="P242" s="93"/>
      <c r="Q242" s="93"/>
      <c r="R242" s="54">
        <v>0</v>
      </c>
      <c r="S242" s="94">
        <f t="shared" si="1"/>
        <v>0</v>
      </c>
      <c r="T242" s="53">
        <v>0</v>
      </c>
      <c r="U242" s="132">
        <f t="shared" si="2"/>
        <v>0</v>
      </c>
      <c r="V242" s="79"/>
      <c r="W242" s="88"/>
      <c r="X242" s="5"/>
      <c r="Y242" s="109"/>
    </row>
    <row r="243" spans="1:25" ht="15.6" x14ac:dyDescent="0.3">
      <c r="A243" s="24"/>
      <c r="B243" s="54" t="s">
        <v>162</v>
      </c>
      <c r="C243" s="93"/>
      <c r="D243" s="93"/>
      <c r="E243" s="93"/>
      <c r="F243" s="25"/>
      <c r="G243" s="94"/>
      <c r="H243" s="93"/>
      <c r="I243" s="93"/>
      <c r="J243" s="93"/>
      <c r="K243" s="93"/>
      <c r="L243" s="93"/>
      <c r="M243" s="93"/>
      <c r="N243" s="93"/>
      <c r="O243" s="93"/>
      <c r="P243" s="93"/>
      <c r="Q243" s="93"/>
      <c r="R243" s="54">
        <v>1</v>
      </c>
      <c r="S243" s="94">
        <f t="shared" si="1"/>
        <v>1.2470382840753212E-4</v>
      </c>
      <c r="T243" s="53">
        <v>117</v>
      </c>
      <c r="U243" s="132">
        <f t="shared" si="2"/>
        <v>1.1486376372229279E-4</v>
      </c>
      <c r="V243" s="79"/>
      <c r="W243" s="88"/>
      <c r="X243" s="5"/>
    </row>
    <row r="244" spans="1:25" ht="15.6" x14ac:dyDescent="0.3">
      <c r="A244" s="24"/>
      <c r="B244" s="54" t="s">
        <v>163</v>
      </c>
      <c r="C244" s="93"/>
      <c r="D244" s="93"/>
      <c r="E244" s="93"/>
      <c r="F244" s="25"/>
      <c r="G244" s="94"/>
      <c r="H244" s="93"/>
      <c r="I244" s="93"/>
      <c r="J244" s="93"/>
      <c r="K244" s="93"/>
      <c r="L244" s="93"/>
      <c r="M244" s="93"/>
      <c r="N244" s="93"/>
      <c r="O244" s="93"/>
      <c r="P244" s="93"/>
      <c r="Q244" s="93"/>
      <c r="R244" s="54">
        <v>2</v>
      </c>
      <c r="S244" s="94">
        <f t="shared" si="1"/>
        <v>2.4940765681506424E-4</v>
      </c>
      <c r="T244" s="53">
        <v>311</v>
      </c>
      <c r="U244" s="132">
        <f t="shared" si="2"/>
        <v>3.0532162835583812E-4</v>
      </c>
      <c r="V244" s="79"/>
      <c r="W244" s="88"/>
      <c r="X244" s="5"/>
      <c r="Y244" s="109"/>
    </row>
    <row r="245" spans="1:25" ht="15.6" x14ac:dyDescent="0.3">
      <c r="A245" s="24"/>
      <c r="B245" s="54"/>
      <c r="C245" s="93"/>
      <c r="D245" s="93"/>
      <c r="E245" s="93"/>
      <c r="F245" s="25"/>
      <c r="G245" s="94"/>
      <c r="H245" s="93"/>
      <c r="I245" s="93"/>
      <c r="J245" s="93"/>
      <c r="K245" s="93"/>
      <c r="L245" s="93"/>
      <c r="M245" s="93"/>
      <c r="N245" s="93"/>
      <c r="O245" s="93"/>
      <c r="P245" s="93"/>
      <c r="Q245" s="93"/>
      <c r="R245" s="54"/>
      <c r="S245" s="94"/>
      <c r="T245" s="53"/>
      <c r="U245" s="132"/>
      <c r="V245" s="79"/>
      <c r="W245" s="88"/>
      <c r="X245" s="5"/>
    </row>
    <row r="246" spans="1:25" ht="15.6" x14ac:dyDescent="0.3">
      <c r="A246" s="24"/>
      <c r="B246" s="25" t="s">
        <v>117</v>
      </c>
      <c r="C246" s="25"/>
      <c r="D246" s="25"/>
      <c r="E246" s="25"/>
      <c r="F246" s="25"/>
      <c r="G246" s="25"/>
      <c r="H246" s="95"/>
      <c r="I246" s="95"/>
      <c r="J246" s="95"/>
      <c r="K246" s="95"/>
      <c r="L246" s="95"/>
      <c r="M246" s="95"/>
      <c r="N246" s="95"/>
      <c r="O246" s="95"/>
      <c r="P246" s="95"/>
      <c r="Q246" s="95"/>
      <c r="R246" s="34">
        <f>SUM(R237:R245)</f>
        <v>8019</v>
      </c>
      <c r="S246" s="132">
        <f>SUM(S237:S245)</f>
        <v>1</v>
      </c>
      <c r="T246" s="53">
        <f>SUM(T237:T245)</f>
        <v>1018598</v>
      </c>
      <c r="U246" s="132">
        <f>SUM(U237:U245)</f>
        <v>1.0000000000000002</v>
      </c>
      <c r="V246" s="25"/>
      <c r="W246" s="25"/>
      <c r="X246" s="5"/>
    </row>
    <row r="247" spans="1:25" ht="15.6" x14ac:dyDescent="0.3">
      <c r="A247" s="24"/>
      <c r="B247" s="25"/>
      <c r="C247" s="25"/>
      <c r="D247" s="25"/>
      <c r="E247" s="25"/>
      <c r="F247" s="25"/>
      <c r="G247" s="25"/>
      <c r="H247" s="95"/>
      <c r="I247" s="95"/>
      <c r="J247" s="95"/>
      <c r="K247" s="95"/>
      <c r="L247" s="95"/>
      <c r="M247" s="95"/>
      <c r="N247" s="95"/>
      <c r="O247" s="95"/>
      <c r="P247" s="95"/>
      <c r="Q247" s="95"/>
      <c r="R247" s="34"/>
      <c r="S247" s="132"/>
      <c r="T247" s="53"/>
      <c r="U247" s="132"/>
      <c r="V247" s="25"/>
      <c r="W247" s="25"/>
      <c r="X247" s="5"/>
    </row>
    <row r="248" spans="1:25" ht="15.6" x14ac:dyDescent="0.3">
      <c r="A248" s="141"/>
      <c r="B248" s="14" t="s">
        <v>279</v>
      </c>
      <c r="C248" s="81"/>
      <c r="D248" s="81"/>
      <c r="E248" s="81"/>
      <c r="F248" s="82"/>
      <c r="G248" s="81"/>
      <c r="H248" s="17"/>
      <c r="I248" s="17"/>
      <c r="J248" s="17"/>
      <c r="K248" s="17"/>
      <c r="L248" s="17"/>
      <c r="M248" s="17"/>
      <c r="N248" s="17"/>
      <c r="O248" s="17"/>
      <c r="P248" s="17"/>
      <c r="Q248" s="17"/>
      <c r="R248" s="83" t="s">
        <v>103</v>
      </c>
      <c r="S248" s="17" t="s">
        <v>104</v>
      </c>
      <c r="T248" s="83" t="s">
        <v>111</v>
      </c>
      <c r="U248" s="17" t="s">
        <v>104</v>
      </c>
      <c r="V248" s="139"/>
      <c r="W248" s="140"/>
      <c r="X248" s="5"/>
    </row>
    <row r="249" spans="1:25" ht="15.6" x14ac:dyDescent="0.3">
      <c r="A249" s="24"/>
      <c r="B249" s="54" t="s">
        <v>89</v>
      </c>
      <c r="C249" s="93"/>
      <c r="D249" s="93"/>
      <c r="E249" s="93"/>
      <c r="F249" s="25"/>
      <c r="G249" s="93"/>
      <c r="H249" s="93"/>
      <c r="I249" s="93"/>
      <c r="J249" s="93"/>
      <c r="K249" s="93"/>
      <c r="L249" s="93"/>
      <c r="M249" s="93"/>
      <c r="N249" s="93"/>
      <c r="O249" s="93"/>
      <c r="P249" s="93"/>
      <c r="Q249" s="93"/>
      <c r="R249" s="54">
        <v>157</v>
      </c>
      <c r="S249" s="94">
        <f t="shared" ref="S249:S256" si="3">R249/$R$258</f>
        <v>0.51644736842105265</v>
      </c>
      <c r="T249" s="53">
        <v>20490</v>
      </c>
      <c r="U249" s="132">
        <f t="shared" ref="U249:U256" si="4">T249/$T$258</f>
        <v>0.49287982295776001</v>
      </c>
      <c r="V249" s="25"/>
      <c r="W249" s="25"/>
      <c r="X249" s="5"/>
    </row>
    <row r="250" spans="1:25" ht="15.6" x14ac:dyDescent="0.3">
      <c r="A250" s="24"/>
      <c r="B250" s="54" t="s">
        <v>90</v>
      </c>
      <c r="C250" s="93"/>
      <c r="D250" s="93"/>
      <c r="E250" s="93"/>
      <c r="F250" s="25"/>
      <c r="G250" s="94"/>
      <c r="H250" s="93"/>
      <c r="I250" s="93"/>
      <c r="J250" s="93"/>
      <c r="K250" s="93"/>
      <c r="L250" s="93"/>
      <c r="M250" s="93"/>
      <c r="N250" s="93"/>
      <c r="O250" s="93"/>
      <c r="P250" s="93"/>
      <c r="Q250" s="93"/>
      <c r="R250" s="54">
        <v>31</v>
      </c>
      <c r="S250" s="94">
        <f t="shared" si="3"/>
        <v>0.10197368421052631</v>
      </c>
      <c r="T250" s="53">
        <v>4572</v>
      </c>
      <c r="U250" s="132">
        <f t="shared" si="4"/>
        <v>0.10997786972000385</v>
      </c>
      <c r="V250" s="25"/>
      <c r="W250" s="25"/>
      <c r="X250" s="5"/>
    </row>
    <row r="251" spans="1:25" ht="15.6" x14ac:dyDescent="0.3">
      <c r="A251" s="24"/>
      <c r="B251" s="54" t="s">
        <v>91</v>
      </c>
      <c r="C251" s="93"/>
      <c r="D251" s="93"/>
      <c r="E251" s="93"/>
      <c r="F251" s="25"/>
      <c r="G251" s="94"/>
      <c r="H251" s="93"/>
      <c r="I251" s="93"/>
      <c r="J251" s="93"/>
      <c r="K251" s="93"/>
      <c r="L251" s="93"/>
      <c r="M251" s="93"/>
      <c r="N251" s="93"/>
      <c r="O251" s="93"/>
      <c r="P251" s="93"/>
      <c r="Q251" s="93"/>
      <c r="R251" s="54">
        <v>18</v>
      </c>
      <c r="S251" s="94">
        <f t="shared" si="3"/>
        <v>5.921052631578947E-2</v>
      </c>
      <c r="T251" s="53">
        <v>2579</v>
      </c>
      <c r="U251" s="132">
        <f t="shared" si="4"/>
        <v>6.2036947945732702E-2</v>
      </c>
      <c r="V251" s="25"/>
      <c r="W251" s="25"/>
      <c r="X251" s="5"/>
    </row>
    <row r="252" spans="1:25" ht="15.6" x14ac:dyDescent="0.3">
      <c r="A252" s="24"/>
      <c r="B252" s="54" t="s">
        <v>159</v>
      </c>
      <c r="C252" s="93"/>
      <c r="D252" s="93"/>
      <c r="E252" s="93"/>
      <c r="F252" s="25"/>
      <c r="G252" s="94"/>
      <c r="H252" s="93"/>
      <c r="I252" s="93"/>
      <c r="J252" s="93"/>
      <c r="K252" s="93"/>
      <c r="L252" s="93"/>
      <c r="M252" s="93"/>
      <c r="N252" s="93"/>
      <c r="O252" s="93"/>
      <c r="P252" s="93"/>
      <c r="Q252" s="93"/>
      <c r="R252" s="54">
        <v>4</v>
      </c>
      <c r="S252" s="94">
        <f t="shared" si="3"/>
        <v>1.3157894736842105E-2</v>
      </c>
      <c r="T252" s="53">
        <v>656</v>
      </c>
      <c r="U252" s="132">
        <f t="shared" si="4"/>
        <v>1.5779851823342635E-2</v>
      </c>
      <c r="V252" s="25"/>
      <c r="W252" s="25"/>
      <c r="X252" s="5"/>
    </row>
    <row r="253" spans="1:25" ht="15.6" x14ac:dyDescent="0.3">
      <c r="A253" s="24"/>
      <c r="B253" s="54" t="s">
        <v>160</v>
      </c>
      <c r="C253" s="93"/>
      <c r="D253" s="93"/>
      <c r="E253" s="93"/>
      <c r="F253" s="25"/>
      <c r="G253" s="94"/>
      <c r="H253" s="93"/>
      <c r="I253" s="93"/>
      <c r="J253" s="93"/>
      <c r="K253" s="93"/>
      <c r="L253" s="93"/>
      <c r="M253" s="93"/>
      <c r="N253" s="93"/>
      <c r="O253" s="93"/>
      <c r="P253" s="93"/>
      <c r="Q253" s="93"/>
      <c r="R253" s="54">
        <v>2</v>
      </c>
      <c r="S253" s="94">
        <f t="shared" si="3"/>
        <v>6.5789473684210523E-3</v>
      </c>
      <c r="T253" s="53">
        <v>565</v>
      </c>
      <c r="U253" s="132">
        <f t="shared" si="4"/>
        <v>1.3590878475897239E-2</v>
      </c>
      <c r="V253" s="25"/>
      <c r="W253" s="25"/>
      <c r="X253" s="5"/>
    </row>
    <row r="254" spans="1:25" ht="15.6" x14ac:dyDescent="0.3">
      <c r="A254" s="24"/>
      <c r="B254" s="54" t="s">
        <v>161</v>
      </c>
      <c r="C254" s="93"/>
      <c r="D254" s="93"/>
      <c r="E254" s="93"/>
      <c r="F254" s="25"/>
      <c r="G254" s="94"/>
      <c r="H254" s="93"/>
      <c r="I254" s="93"/>
      <c r="J254" s="93"/>
      <c r="K254" s="93"/>
      <c r="L254" s="93"/>
      <c r="M254" s="93"/>
      <c r="N254" s="93"/>
      <c r="O254" s="93"/>
      <c r="P254" s="93"/>
      <c r="Q254" s="93"/>
      <c r="R254" s="54">
        <v>2</v>
      </c>
      <c r="S254" s="94">
        <f t="shared" si="3"/>
        <v>6.5789473684210523E-3</v>
      </c>
      <c r="T254" s="53">
        <v>144</v>
      </c>
      <c r="U254" s="132">
        <f t="shared" si="4"/>
        <v>3.4638699124410659E-3</v>
      </c>
      <c r="V254" s="25"/>
      <c r="W254" s="25"/>
      <c r="X254" s="5"/>
    </row>
    <row r="255" spans="1:25" ht="15.6" x14ac:dyDescent="0.3">
      <c r="A255" s="24"/>
      <c r="B255" s="54" t="s">
        <v>162</v>
      </c>
      <c r="C255" s="93"/>
      <c r="D255" s="93"/>
      <c r="E255" s="93"/>
      <c r="F255" s="25"/>
      <c r="G255" s="94"/>
      <c r="H255" s="93"/>
      <c r="I255" s="93"/>
      <c r="J255" s="93"/>
      <c r="K255" s="93"/>
      <c r="L255" s="93"/>
      <c r="M255" s="93"/>
      <c r="N255" s="93"/>
      <c r="O255" s="93"/>
      <c r="P255" s="93"/>
      <c r="Q255" s="93"/>
      <c r="R255" s="54">
        <v>19</v>
      </c>
      <c r="S255" s="94">
        <f t="shared" si="3"/>
        <v>6.25E-2</v>
      </c>
      <c r="T255" s="53">
        <v>2333</v>
      </c>
      <c r="U255" s="132">
        <f t="shared" si="4"/>
        <v>5.6119503511979217E-2</v>
      </c>
      <c r="V255" s="25"/>
      <c r="W255" s="25"/>
      <c r="X255" s="5"/>
    </row>
    <row r="256" spans="1:25" ht="15.6" x14ac:dyDescent="0.3">
      <c r="A256" s="24"/>
      <c r="B256" s="54" t="s">
        <v>163</v>
      </c>
      <c r="C256" s="93"/>
      <c r="D256" s="93"/>
      <c r="E256" s="93"/>
      <c r="F256" s="25"/>
      <c r="G256" s="94"/>
      <c r="H256" s="93"/>
      <c r="I256" s="93"/>
      <c r="J256" s="93"/>
      <c r="K256" s="93"/>
      <c r="L256" s="93"/>
      <c r="M256" s="93"/>
      <c r="N256" s="93"/>
      <c r="O256" s="93"/>
      <c r="P256" s="93"/>
      <c r="Q256" s="93"/>
      <c r="R256" s="54">
        <v>71</v>
      </c>
      <c r="S256" s="94">
        <f t="shared" si="3"/>
        <v>0.23355263157894737</v>
      </c>
      <c r="T256" s="53">
        <v>10233</v>
      </c>
      <c r="U256" s="132">
        <f t="shared" si="4"/>
        <v>0.24615125565284326</v>
      </c>
      <c r="V256" s="25"/>
      <c r="W256" s="25"/>
      <c r="X256" s="5"/>
    </row>
    <row r="257" spans="1:24" ht="15.6" x14ac:dyDescent="0.3">
      <c r="A257" s="24"/>
      <c r="B257" s="54"/>
      <c r="C257" s="93"/>
      <c r="D257" s="93"/>
      <c r="E257" s="93"/>
      <c r="F257" s="25"/>
      <c r="G257" s="94"/>
      <c r="H257" s="93"/>
      <c r="I257" s="93"/>
      <c r="J257" s="93"/>
      <c r="K257" s="93"/>
      <c r="L257" s="93"/>
      <c r="M257" s="93"/>
      <c r="N257" s="93"/>
      <c r="O257" s="93"/>
      <c r="P257" s="93"/>
      <c r="Q257" s="93"/>
      <c r="R257" s="54"/>
      <c r="S257" s="94"/>
      <c r="T257" s="53"/>
      <c r="U257" s="132"/>
      <c r="V257" s="25"/>
      <c r="W257" s="25"/>
      <c r="X257" s="5"/>
    </row>
    <row r="258" spans="1:24" ht="15.6" x14ac:dyDescent="0.3">
      <c r="A258" s="24"/>
      <c r="B258" s="25" t="s">
        <v>117</v>
      </c>
      <c r="C258" s="25"/>
      <c r="D258" s="25"/>
      <c r="E258" s="25"/>
      <c r="F258" s="25"/>
      <c r="G258" s="25"/>
      <c r="H258" s="95"/>
      <c r="I258" s="95"/>
      <c r="J258" s="95"/>
      <c r="K258" s="95"/>
      <c r="L258" s="95"/>
      <c r="M258" s="95"/>
      <c r="N258" s="95"/>
      <c r="O258" s="95"/>
      <c r="P258" s="95"/>
      <c r="Q258" s="95"/>
      <c r="R258" s="34">
        <f>SUM(R249:R257)</f>
        <v>304</v>
      </c>
      <c r="S258" s="132">
        <f>SUM(S249:S257)</f>
        <v>1</v>
      </c>
      <c r="T258" s="53">
        <f>SUM(T249:T257)</f>
        <v>41572</v>
      </c>
      <c r="U258" s="132">
        <f>SUM(U249:U257)</f>
        <v>1</v>
      </c>
      <c r="V258" s="25"/>
      <c r="W258" s="25"/>
      <c r="X258" s="5"/>
    </row>
    <row r="259" spans="1:24" ht="15.6" x14ac:dyDescent="0.3">
      <c r="A259" s="24"/>
      <c r="B259" s="25"/>
      <c r="C259" s="25"/>
      <c r="D259" s="25"/>
      <c r="E259" s="25"/>
      <c r="F259" s="25"/>
      <c r="G259" s="25"/>
      <c r="H259" s="95"/>
      <c r="I259" s="95"/>
      <c r="J259" s="95"/>
      <c r="K259" s="95"/>
      <c r="L259" s="95"/>
      <c r="M259" s="95"/>
      <c r="N259" s="95"/>
      <c r="O259" s="95"/>
      <c r="P259" s="95"/>
      <c r="Q259" s="95"/>
      <c r="R259" s="34"/>
      <c r="S259" s="132"/>
      <c r="T259" s="53"/>
      <c r="U259" s="132"/>
      <c r="V259" s="25"/>
      <c r="W259" s="25"/>
      <c r="X259" s="5"/>
    </row>
    <row r="260" spans="1:24" ht="15.6" x14ac:dyDescent="0.3">
      <c r="A260" s="141"/>
      <c r="B260" s="14" t="s">
        <v>166</v>
      </c>
      <c r="C260" s="139"/>
      <c r="D260" s="139"/>
      <c r="E260" s="139"/>
      <c r="F260" s="139"/>
      <c r="G260" s="139"/>
      <c r="H260" s="145"/>
      <c r="I260" s="145"/>
      <c r="J260" s="145"/>
      <c r="K260" s="145"/>
      <c r="L260" s="145"/>
      <c r="M260" s="145"/>
      <c r="N260" s="145"/>
      <c r="O260" s="145"/>
      <c r="P260" s="145"/>
      <c r="Q260" s="145"/>
      <c r="R260" s="83" t="s">
        <v>103</v>
      </c>
      <c r="S260" s="17" t="s">
        <v>104</v>
      </c>
      <c r="T260" s="83" t="s">
        <v>111</v>
      </c>
      <c r="U260" s="17" t="s">
        <v>104</v>
      </c>
      <c r="V260" s="139"/>
      <c r="W260" s="140"/>
      <c r="X260" s="5"/>
    </row>
    <row r="261" spans="1:24" ht="15.6" x14ac:dyDescent="0.3">
      <c r="A261" s="24"/>
      <c r="B261" s="54" t="s">
        <v>89</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90</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91</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159</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160</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t="s">
        <v>161</v>
      </c>
      <c r="C266" s="25"/>
      <c r="D266" s="25"/>
      <c r="E266" s="25"/>
      <c r="F266" s="25"/>
      <c r="G266" s="25"/>
      <c r="H266" s="95"/>
      <c r="I266" s="95"/>
      <c r="J266" s="95"/>
      <c r="K266" s="95"/>
      <c r="L266" s="95"/>
      <c r="M266" s="95"/>
      <c r="N266" s="95"/>
      <c r="O266" s="95"/>
      <c r="P266" s="95"/>
      <c r="Q266" s="95"/>
      <c r="R266" s="54">
        <v>0</v>
      </c>
      <c r="S266" s="94">
        <v>0</v>
      </c>
      <c r="T266" s="53">
        <v>0</v>
      </c>
      <c r="U266" s="94">
        <v>0</v>
      </c>
      <c r="V266" s="25"/>
      <c r="W266" s="25"/>
      <c r="X266" s="5"/>
    </row>
    <row r="267" spans="1:24" ht="15.6" x14ac:dyDescent="0.3">
      <c r="A267" s="24"/>
      <c r="B267" s="54" t="s">
        <v>162</v>
      </c>
      <c r="C267" s="25"/>
      <c r="D267" s="25"/>
      <c r="E267" s="25"/>
      <c r="F267" s="25"/>
      <c r="G267" s="25"/>
      <c r="H267" s="95"/>
      <c r="I267" s="95"/>
      <c r="J267" s="95"/>
      <c r="K267" s="95"/>
      <c r="L267" s="95"/>
      <c r="M267" s="95"/>
      <c r="N267" s="95"/>
      <c r="O267" s="95"/>
      <c r="P267" s="95"/>
      <c r="Q267" s="95"/>
      <c r="R267" s="54">
        <v>0</v>
      </c>
      <c r="S267" s="94">
        <v>0</v>
      </c>
      <c r="T267" s="53">
        <v>0</v>
      </c>
      <c r="U267" s="94">
        <v>0</v>
      </c>
      <c r="V267" s="25"/>
      <c r="W267" s="25"/>
      <c r="X267" s="5"/>
    </row>
    <row r="268" spans="1:24" ht="15.6" x14ac:dyDescent="0.3">
      <c r="A268" s="24"/>
      <c r="B268" s="54" t="s">
        <v>163</v>
      </c>
      <c r="C268" s="25"/>
      <c r="D268" s="25"/>
      <c r="E268" s="25"/>
      <c r="F268" s="25"/>
      <c r="G268" s="25"/>
      <c r="H268" s="95"/>
      <c r="I268" s="95"/>
      <c r="J268" s="95"/>
      <c r="K268" s="95"/>
      <c r="L268" s="95"/>
      <c r="M268" s="95"/>
      <c r="N268" s="95"/>
      <c r="O268" s="95"/>
      <c r="P268" s="95"/>
      <c r="Q268" s="95"/>
      <c r="R268" s="54">
        <v>0</v>
      </c>
      <c r="S268" s="94">
        <v>0</v>
      </c>
      <c r="T268" s="53">
        <v>0</v>
      </c>
      <c r="U268" s="94">
        <v>0</v>
      </c>
      <c r="V268" s="25"/>
      <c r="W268" s="25"/>
      <c r="X268" s="5"/>
    </row>
    <row r="269" spans="1:24" ht="15.6" x14ac:dyDescent="0.3">
      <c r="A269" s="24"/>
      <c r="B269" s="54"/>
      <c r="C269" s="25"/>
      <c r="D269" s="25"/>
      <c r="E269" s="25"/>
      <c r="F269" s="25"/>
      <c r="G269" s="25"/>
      <c r="H269" s="95"/>
      <c r="I269" s="95"/>
      <c r="J269" s="95"/>
      <c r="K269" s="95"/>
      <c r="L269" s="95"/>
      <c r="M269" s="95"/>
      <c r="N269" s="95"/>
      <c r="O269" s="95"/>
      <c r="P269" s="95"/>
      <c r="Q269" s="95"/>
      <c r="R269" s="54"/>
      <c r="S269" s="94"/>
      <c r="T269" s="53"/>
      <c r="U269" s="132"/>
      <c r="V269" s="25"/>
      <c r="W269" s="25"/>
      <c r="X269" s="5"/>
    </row>
    <row r="270" spans="1:24" ht="15.6" x14ac:dyDescent="0.3">
      <c r="A270" s="24"/>
      <c r="B270" s="25" t="s">
        <v>117</v>
      </c>
      <c r="C270" s="25"/>
      <c r="D270" s="25"/>
      <c r="E270" s="25"/>
      <c r="F270" s="25"/>
      <c r="G270" s="25"/>
      <c r="H270" s="95"/>
      <c r="I270" s="95"/>
      <c r="J270" s="95"/>
      <c r="K270" s="95"/>
      <c r="L270" s="95"/>
      <c r="M270" s="95"/>
      <c r="N270" s="95"/>
      <c r="O270" s="95"/>
      <c r="P270" s="95"/>
      <c r="Q270" s="95"/>
      <c r="R270" s="34">
        <f>SUM(R261:R268)</f>
        <v>0</v>
      </c>
      <c r="S270" s="94">
        <f>SUM(S261:S268)</f>
        <v>0</v>
      </c>
      <c r="T270" s="53">
        <f>SUM(T261:T268)</f>
        <v>0</v>
      </c>
      <c r="U270" s="132">
        <f>SUM(U261:U268)</f>
        <v>0</v>
      </c>
      <c r="V270" s="25"/>
      <c r="W270" s="25"/>
      <c r="X270" s="5"/>
    </row>
    <row r="271" spans="1:24" ht="15.6" x14ac:dyDescent="0.3">
      <c r="A271" s="24"/>
      <c r="B271" s="25"/>
      <c r="C271" s="25"/>
      <c r="D271" s="25"/>
      <c r="E271" s="25"/>
      <c r="F271" s="25"/>
      <c r="G271" s="25"/>
      <c r="H271" s="95"/>
      <c r="I271" s="95"/>
      <c r="J271" s="95"/>
      <c r="K271" s="95"/>
      <c r="L271" s="95"/>
      <c r="M271" s="95"/>
      <c r="N271" s="95"/>
      <c r="O271" s="95"/>
      <c r="P271" s="95"/>
      <c r="Q271" s="95"/>
      <c r="R271" s="34"/>
      <c r="S271" s="132"/>
      <c r="T271" s="53"/>
      <c r="U271" s="132"/>
      <c r="V271" s="25"/>
      <c r="W271" s="25"/>
      <c r="X271" s="5"/>
    </row>
    <row r="272" spans="1:24" ht="15.6" x14ac:dyDescent="0.3">
      <c r="A272" s="24"/>
      <c r="B272" s="142" t="s">
        <v>167</v>
      </c>
      <c r="C272" s="25"/>
      <c r="D272" s="25"/>
      <c r="E272" s="25"/>
      <c r="F272" s="25"/>
      <c r="G272" s="25"/>
      <c r="H272" s="95"/>
      <c r="I272" s="95"/>
      <c r="J272" s="95"/>
      <c r="K272" s="95"/>
      <c r="L272" s="95"/>
      <c r="M272" s="95"/>
      <c r="N272" s="95"/>
      <c r="O272" s="95"/>
      <c r="P272" s="95"/>
      <c r="Q272" s="95"/>
      <c r="R272" s="161">
        <f>R270+R258+R246</f>
        <v>8323</v>
      </c>
      <c r="S272" s="143"/>
      <c r="T272" s="144">
        <f>+T270+T258+T246</f>
        <v>1060170</v>
      </c>
      <c r="U272" s="143"/>
      <c r="V272" s="25"/>
      <c r="W272" s="25"/>
      <c r="X272" s="5"/>
    </row>
    <row r="273" spans="1:24" ht="15.6" x14ac:dyDescent="0.3">
      <c r="A273" s="24"/>
      <c r="B273" s="25"/>
      <c r="C273" s="25"/>
      <c r="D273" s="25"/>
      <c r="E273" s="25"/>
      <c r="F273" s="25"/>
      <c r="G273" s="25"/>
      <c r="H273" s="95"/>
      <c r="I273" s="95"/>
      <c r="J273" s="95"/>
      <c r="K273" s="95"/>
      <c r="L273" s="95"/>
      <c r="M273" s="95"/>
      <c r="N273" s="95"/>
      <c r="O273" s="95"/>
      <c r="P273" s="95"/>
      <c r="Q273" s="95"/>
      <c r="R273" s="95"/>
      <c r="S273" s="95"/>
      <c r="T273" s="53"/>
      <c r="U273" s="95"/>
      <c r="V273" s="25"/>
      <c r="W273" s="25"/>
      <c r="X273" s="5"/>
    </row>
    <row r="274" spans="1:24" ht="15.6" x14ac:dyDescent="0.3">
      <c r="A274" s="6"/>
      <c r="B274" s="8"/>
      <c r="C274" s="8"/>
      <c r="D274" s="8"/>
      <c r="E274" s="8"/>
      <c r="F274" s="8"/>
      <c r="G274" s="8"/>
      <c r="H274" s="96"/>
      <c r="I274" s="96"/>
      <c r="J274" s="96"/>
      <c r="K274" s="96"/>
      <c r="L274" s="96"/>
      <c r="M274" s="96"/>
      <c r="N274" s="96"/>
      <c r="O274" s="96"/>
      <c r="P274" s="96"/>
      <c r="Q274" s="96"/>
      <c r="R274" s="96"/>
      <c r="S274" s="96"/>
      <c r="T274" s="97"/>
      <c r="U274" s="96"/>
      <c r="V274" s="8"/>
      <c r="W274" s="8"/>
      <c r="X274" s="5"/>
    </row>
    <row r="275" spans="1:24" ht="15.6" x14ac:dyDescent="0.3">
      <c r="A275" s="167"/>
      <c r="B275" s="14" t="s">
        <v>92</v>
      </c>
      <c r="C275" s="15"/>
      <c r="D275" s="15"/>
      <c r="E275" s="15"/>
      <c r="F275" s="17" t="s">
        <v>98</v>
      </c>
      <c r="G275" s="15"/>
      <c r="H275" s="14" t="s">
        <v>100</v>
      </c>
      <c r="I275" s="14"/>
      <c r="J275" s="14"/>
      <c r="K275" s="162"/>
      <c r="L275" s="162"/>
      <c r="M275" s="162"/>
      <c r="N275" s="162"/>
      <c r="O275" s="162"/>
      <c r="P275" s="162"/>
      <c r="Q275" s="162"/>
      <c r="R275" s="162"/>
      <c r="S275" s="162"/>
      <c r="T275" s="162"/>
      <c r="U275" s="162"/>
      <c r="V275" s="162"/>
      <c r="W275" s="162"/>
      <c r="X275" s="5"/>
    </row>
    <row r="276" spans="1:24" ht="15.6" x14ac:dyDescent="0.3">
      <c r="A276" s="167"/>
      <c r="B276" s="13" t="s">
        <v>93</v>
      </c>
      <c r="C276" s="8"/>
      <c r="D276" s="8"/>
      <c r="E276" s="8"/>
      <c r="F276" s="130" t="s">
        <v>151</v>
      </c>
      <c r="G276" s="8"/>
      <c r="H276" s="13" t="s">
        <v>155</v>
      </c>
      <c r="I276" s="13"/>
      <c r="J276" s="13"/>
      <c r="K276" s="162"/>
      <c r="L276" s="162"/>
      <c r="M276" s="162"/>
      <c r="N276" s="162"/>
      <c r="O276" s="162"/>
      <c r="P276" s="162"/>
      <c r="Q276" s="162"/>
      <c r="R276" s="162"/>
      <c r="S276" s="162"/>
      <c r="T276" s="162"/>
      <c r="U276" s="162"/>
      <c r="V276" s="162"/>
      <c r="W276" s="162"/>
      <c r="X276" s="5"/>
    </row>
    <row r="277" spans="1:24" ht="15.6" x14ac:dyDescent="0.3">
      <c r="A277" s="167"/>
      <c r="B277" s="13" t="s">
        <v>281</v>
      </c>
      <c r="C277" s="13"/>
      <c r="D277" s="13"/>
      <c r="E277" s="13"/>
      <c r="F277" s="130" t="s">
        <v>282</v>
      </c>
      <c r="G277" s="13"/>
      <c r="H277" s="13" t="s">
        <v>283</v>
      </c>
      <c r="I277" s="162"/>
      <c r="J277" s="13"/>
      <c r="K277" s="162"/>
      <c r="L277" s="162"/>
      <c r="M277" s="162"/>
      <c r="N277" s="162"/>
      <c r="O277" s="162"/>
      <c r="P277" s="162"/>
      <c r="Q277" s="162"/>
      <c r="R277" s="162"/>
      <c r="S277" s="162"/>
      <c r="T277" s="162"/>
      <c r="U277" s="162"/>
      <c r="V277" s="162"/>
      <c r="W277" s="162"/>
      <c r="X277" s="5"/>
    </row>
    <row r="278" spans="1:24" ht="15.6" x14ac:dyDescent="0.3">
      <c r="A278" s="167"/>
      <c r="B278" s="13" t="s">
        <v>94</v>
      </c>
      <c r="C278" s="13"/>
      <c r="D278" s="13"/>
      <c r="E278" s="13"/>
      <c r="F278" s="130" t="s">
        <v>150</v>
      </c>
      <c r="G278" s="13"/>
      <c r="H278" s="13" t="s">
        <v>156</v>
      </c>
      <c r="I278" s="13"/>
      <c r="J278" s="13"/>
      <c r="K278" s="162"/>
      <c r="L278" s="162"/>
      <c r="M278" s="162"/>
      <c r="N278" s="162"/>
      <c r="O278" s="162"/>
      <c r="P278" s="162"/>
      <c r="Q278" s="162"/>
      <c r="R278" s="162"/>
      <c r="S278" s="162"/>
      <c r="T278" s="162"/>
      <c r="U278" s="162"/>
      <c r="V278" s="162"/>
      <c r="W278" s="162"/>
      <c r="X278" s="5"/>
    </row>
    <row r="279" spans="1:24" ht="15.6" x14ac:dyDescent="0.3">
      <c r="A279" s="167"/>
      <c r="B279" s="13"/>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ht="15.6" x14ac:dyDescent="0.3">
      <c r="A280" s="167"/>
      <c r="B280" s="13"/>
      <c r="C280" s="13"/>
      <c r="D280" s="13"/>
      <c r="E280" s="13"/>
      <c r="F280" s="13"/>
      <c r="G280" s="99"/>
      <c r="H280" s="162"/>
      <c r="I280" s="162"/>
      <c r="J280" s="162"/>
      <c r="K280" s="162"/>
      <c r="L280" s="162"/>
      <c r="M280" s="162"/>
      <c r="N280" s="162"/>
      <c r="O280" s="162"/>
      <c r="P280" s="162"/>
      <c r="Q280" s="162"/>
      <c r="R280" s="162"/>
      <c r="S280" s="162"/>
      <c r="T280" s="162"/>
      <c r="U280" s="162"/>
      <c r="V280" s="162"/>
      <c r="W280" s="162"/>
      <c r="X280" s="5"/>
    </row>
    <row r="281" spans="1:24" ht="18" thickBot="1" x14ac:dyDescent="0.35">
      <c r="A281" s="167"/>
      <c r="B281" s="49" t="str">
        <f>B198</f>
        <v>PM13 INVESTOR REPORT QUARTER ENDING DECEMBER 2009</v>
      </c>
      <c r="C281" s="13"/>
      <c r="D281" s="13"/>
      <c r="E281" s="13"/>
      <c r="F281" s="13"/>
      <c r="G281" s="99"/>
      <c r="H281" s="162"/>
      <c r="I281" s="162"/>
      <c r="J281" s="162"/>
      <c r="K281" s="162"/>
      <c r="L281" s="162"/>
      <c r="M281" s="162"/>
      <c r="N281" s="162"/>
      <c r="O281" s="162"/>
      <c r="P281" s="162"/>
      <c r="Q281" s="162"/>
      <c r="R281" s="162"/>
      <c r="S281" s="162"/>
      <c r="T281" s="162"/>
      <c r="U281" s="162"/>
      <c r="V281" s="162"/>
      <c r="W281" s="162"/>
      <c r="X281" s="5"/>
    </row>
    <row r="282" spans="1:24" x14ac:dyDescent="0.25">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row>
  </sheetData>
  <phoneticPr fontId="0" type="noConversion"/>
  <hyperlinks>
    <hyperlink ref="P234" r:id="rId1" xr:uid="{00000000-0004-0000-0C00-000000000000}"/>
    <hyperlink ref="I9" r:id="rId2" xr:uid="{00000000-0004-0000-0C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8" max="14" man="1"/>
    <brk id="198" max="14"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2D2926"/>
  </sheetPr>
  <dimension ref="A1:Z282"/>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238</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239</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140</v>
      </c>
      <c r="C5" s="8"/>
      <c r="D5" s="8"/>
      <c r="E5" s="8"/>
      <c r="F5" s="8"/>
      <c r="G5" s="8"/>
      <c r="H5" s="8"/>
      <c r="I5" s="8"/>
      <c r="J5" s="8"/>
      <c r="K5" s="8"/>
      <c r="L5" s="8"/>
      <c r="M5" s="8"/>
      <c r="N5" s="8"/>
      <c r="O5" s="8"/>
      <c r="P5" s="8"/>
      <c r="Q5" s="8"/>
      <c r="R5" s="8"/>
      <c r="S5" s="8"/>
      <c r="T5" s="8"/>
      <c r="U5" s="8"/>
      <c r="V5" s="8"/>
      <c r="W5" s="8"/>
      <c r="X5" s="5"/>
    </row>
    <row r="6" spans="1:24" ht="15.6" x14ac:dyDescent="0.3">
      <c r="A6" s="6"/>
      <c r="B6" s="11" t="s">
        <v>142</v>
      </c>
      <c r="C6" s="8"/>
      <c r="D6" s="8"/>
      <c r="E6" s="8"/>
      <c r="F6" s="8"/>
      <c r="G6" s="8"/>
      <c r="H6" s="8"/>
      <c r="I6" s="8"/>
      <c r="J6" s="8"/>
      <c r="K6" s="8"/>
      <c r="L6" s="8"/>
      <c r="M6" s="8"/>
      <c r="N6" s="8"/>
      <c r="O6" s="8"/>
      <c r="P6" s="8"/>
      <c r="Q6" s="8"/>
      <c r="R6" s="8"/>
      <c r="S6" s="8"/>
      <c r="T6" s="8"/>
      <c r="U6" s="8"/>
      <c r="V6" s="8"/>
      <c r="W6" s="8"/>
      <c r="X6" s="5"/>
    </row>
    <row r="7" spans="1:24" ht="15.6" x14ac:dyDescent="0.3">
      <c r="A7" s="6"/>
      <c r="B7" s="11" t="s">
        <v>141</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169</v>
      </c>
      <c r="C9" s="8"/>
      <c r="D9" s="8"/>
      <c r="E9" s="8"/>
      <c r="F9" s="8"/>
      <c r="G9" s="8"/>
      <c r="H9" s="8"/>
      <c r="I9" s="148" t="s">
        <v>170</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240</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105</v>
      </c>
      <c r="S15" s="137">
        <v>0.57609999999999995</v>
      </c>
      <c r="T15" s="17" t="s">
        <v>143</v>
      </c>
      <c r="U15" s="137">
        <v>0.4239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105</v>
      </c>
      <c r="S16" s="137">
        <v>0.62839999999999996</v>
      </c>
      <c r="T16" s="17" t="s">
        <v>143</v>
      </c>
      <c r="U16" s="137">
        <v>0.37159999999999999</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39016</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40289</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106</v>
      </c>
      <c r="U20" s="8"/>
      <c r="V20" s="16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180</v>
      </c>
      <c r="E22" s="112"/>
      <c r="F22" s="112" t="s">
        <v>181</v>
      </c>
      <c r="G22" s="112"/>
      <c r="H22" s="112" t="s">
        <v>182</v>
      </c>
      <c r="I22" s="112"/>
      <c r="J22" s="112" t="s">
        <v>223</v>
      </c>
      <c r="K22" s="112"/>
      <c r="L22" s="112" t="s">
        <v>183</v>
      </c>
      <c r="M22" s="112"/>
      <c r="N22" s="112" t="s">
        <v>184</v>
      </c>
      <c r="O22" s="112"/>
      <c r="P22" s="112" t="s">
        <v>224</v>
      </c>
      <c r="Q22" s="112"/>
      <c r="R22" s="112" t="s">
        <v>185</v>
      </c>
      <c r="S22" s="113"/>
      <c r="T22" s="23"/>
      <c r="U22" s="162"/>
      <c r="V22" s="162"/>
      <c r="W22" s="8"/>
      <c r="X22" s="5"/>
    </row>
    <row r="23" spans="1:24" ht="15.6" x14ac:dyDescent="0.3">
      <c r="A23" s="24"/>
      <c r="B23" s="25" t="s">
        <v>7</v>
      </c>
      <c r="C23" s="26"/>
      <c r="D23" s="26" t="s">
        <v>216</v>
      </c>
      <c r="E23" s="26"/>
      <c r="F23" s="26" t="s">
        <v>144</v>
      </c>
      <c r="G23" s="26"/>
      <c r="H23" s="26" t="s">
        <v>144</v>
      </c>
      <c r="I23" s="26"/>
      <c r="J23" s="26" t="s">
        <v>144</v>
      </c>
      <c r="K23" s="26"/>
      <c r="L23" s="26" t="s">
        <v>186</v>
      </c>
      <c r="M23" s="26"/>
      <c r="N23" s="26" t="s">
        <v>186</v>
      </c>
      <c r="O23" s="26"/>
      <c r="P23" s="26" t="s">
        <v>145</v>
      </c>
      <c r="Q23" s="26"/>
      <c r="R23" s="26" t="s">
        <v>145</v>
      </c>
      <c r="S23" s="26"/>
      <c r="T23" s="26"/>
      <c r="U23" s="163"/>
      <c r="V23" s="163"/>
      <c r="W23" s="25"/>
      <c r="X23" s="5"/>
    </row>
    <row r="24" spans="1:24" ht="15.6" x14ac:dyDescent="0.3">
      <c r="A24" s="24"/>
      <c r="B24" s="25" t="s">
        <v>8</v>
      </c>
      <c r="C24" s="26"/>
      <c r="D24" s="26" t="s">
        <v>217</v>
      </c>
      <c r="E24" s="26"/>
      <c r="F24" s="26" t="s">
        <v>146</v>
      </c>
      <c r="G24" s="26"/>
      <c r="H24" s="26" t="s">
        <v>146</v>
      </c>
      <c r="I24" s="26"/>
      <c r="J24" s="26" t="s">
        <v>146</v>
      </c>
      <c r="K24" s="26"/>
      <c r="L24" s="26" t="s">
        <v>168</v>
      </c>
      <c r="M24" s="26"/>
      <c r="N24" s="26" t="s">
        <v>168</v>
      </c>
      <c r="O24" s="26"/>
      <c r="P24" s="26" t="s">
        <v>147</v>
      </c>
      <c r="Q24" s="26"/>
      <c r="R24" s="26" t="s">
        <v>147</v>
      </c>
      <c r="S24" s="26"/>
      <c r="T24" s="26"/>
      <c r="U24" s="163"/>
      <c r="V24" s="163"/>
      <c r="W24" s="25"/>
      <c r="X24" s="5"/>
    </row>
    <row r="25" spans="1:24" ht="15.6" x14ac:dyDescent="0.3">
      <c r="A25" s="28"/>
      <c r="B25" s="131" t="s">
        <v>193</v>
      </c>
      <c r="C25" s="123"/>
      <c r="D25" s="26" t="s">
        <v>218</v>
      </c>
      <c r="E25" s="26"/>
      <c r="F25" s="26" t="s">
        <v>146</v>
      </c>
      <c r="G25" s="26"/>
      <c r="H25" s="26" t="s">
        <v>146</v>
      </c>
      <c r="I25" s="26"/>
      <c r="J25" s="26" t="s">
        <v>146</v>
      </c>
      <c r="K25" s="26"/>
      <c r="L25" s="26" t="s">
        <v>168</v>
      </c>
      <c r="M25" s="26"/>
      <c r="N25" s="26" t="s">
        <v>168</v>
      </c>
      <c r="O25" s="26"/>
      <c r="P25" s="26" t="s">
        <v>147</v>
      </c>
      <c r="Q25" s="26"/>
      <c r="R25" s="26" t="s">
        <v>147</v>
      </c>
      <c r="S25" s="123"/>
      <c r="T25" s="26"/>
      <c r="U25" s="163"/>
      <c r="V25" s="163"/>
      <c r="W25" s="25"/>
      <c r="X25" s="5"/>
    </row>
    <row r="26" spans="1:24" ht="15.6" x14ac:dyDescent="0.3">
      <c r="A26" s="28"/>
      <c r="B26" s="29" t="s">
        <v>9</v>
      </c>
      <c r="C26" s="123"/>
      <c r="D26" s="123" t="s">
        <v>216</v>
      </c>
      <c r="E26" s="123"/>
      <c r="F26" s="123" t="s">
        <v>144</v>
      </c>
      <c r="G26" s="123"/>
      <c r="H26" s="123" t="s">
        <v>144</v>
      </c>
      <c r="I26" s="123"/>
      <c r="J26" s="123" t="s">
        <v>144</v>
      </c>
      <c r="K26" s="123"/>
      <c r="L26" s="123" t="s">
        <v>186</v>
      </c>
      <c r="M26" s="123"/>
      <c r="N26" s="123" t="s">
        <v>186</v>
      </c>
      <c r="O26" s="123"/>
      <c r="P26" s="123" t="s">
        <v>145</v>
      </c>
      <c r="Q26" s="123"/>
      <c r="R26" s="123" t="s">
        <v>145</v>
      </c>
      <c r="S26" s="123"/>
      <c r="T26" s="26"/>
      <c r="U26" s="163"/>
      <c r="V26" s="163"/>
      <c r="W26" s="25"/>
      <c r="X26" s="5"/>
    </row>
    <row r="27" spans="1:24" ht="15.6" x14ac:dyDescent="0.3">
      <c r="A27" s="24"/>
      <c r="B27" s="29" t="s">
        <v>194</v>
      </c>
      <c r="C27" s="26"/>
      <c r="D27" s="123" t="s">
        <v>217</v>
      </c>
      <c r="E27" s="123"/>
      <c r="F27" s="123" t="s">
        <v>146</v>
      </c>
      <c r="G27" s="123"/>
      <c r="H27" s="123" t="s">
        <v>146</v>
      </c>
      <c r="I27" s="123"/>
      <c r="J27" s="123" t="s">
        <v>146</v>
      </c>
      <c r="K27" s="123"/>
      <c r="L27" s="123" t="s">
        <v>168</v>
      </c>
      <c r="M27" s="123"/>
      <c r="N27" s="123" t="s">
        <v>168</v>
      </c>
      <c r="O27" s="123"/>
      <c r="P27" s="123" t="s">
        <v>147</v>
      </c>
      <c r="Q27" s="123"/>
      <c r="R27" s="123" t="s">
        <v>147</v>
      </c>
      <c r="S27" s="26"/>
      <c r="T27" s="30"/>
      <c r="U27" s="163"/>
      <c r="V27" s="163"/>
      <c r="W27" s="25"/>
      <c r="X27" s="5"/>
    </row>
    <row r="28" spans="1:24" ht="15.6" x14ac:dyDescent="0.3">
      <c r="A28" s="24"/>
      <c r="B28" s="153" t="s">
        <v>195</v>
      </c>
      <c r="C28" s="26"/>
      <c r="D28" s="123" t="s">
        <v>218</v>
      </c>
      <c r="E28" s="123"/>
      <c r="F28" s="123" t="s">
        <v>146</v>
      </c>
      <c r="G28" s="123"/>
      <c r="H28" s="123" t="s">
        <v>146</v>
      </c>
      <c r="I28" s="123"/>
      <c r="J28" s="123" t="s">
        <v>146</v>
      </c>
      <c r="K28" s="123"/>
      <c r="L28" s="123" t="s">
        <v>168</v>
      </c>
      <c r="M28" s="123"/>
      <c r="N28" s="123" t="s">
        <v>168</v>
      </c>
      <c r="O28" s="123"/>
      <c r="P28" s="123" t="s">
        <v>147</v>
      </c>
      <c r="Q28" s="123"/>
      <c r="R28" s="123" t="s">
        <v>147</v>
      </c>
      <c r="S28" s="26"/>
      <c r="T28" s="30"/>
      <c r="U28" s="163"/>
      <c r="V28" s="163"/>
      <c r="W28" s="25"/>
      <c r="X28" s="5"/>
    </row>
    <row r="29" spans="1:24" ht="15.6" x14ac:dyDescent="0.3">
      <c r="A29" s="24"/>
      <c r="B29" s="25" t="s">
        <v>10</v>
      </c>
      <c r="C29" s="32"/>
      <c r="D29" s="26" t="s">
        <v>348</v>
      </c>
      <c r="E29" s="26"/>
      <c r="F29" s="30" t="s">
        <v>242</v>
      </c>
      <c r="G29" s="26"/>
      <c r="H29" s="26" t="s">
        <v>243</v>
      </c>
      <c r="I29" s="26"/>
      <c r="J29" s="26" t="s">
        <v>245</v>
      </c>
      <c r="K29" s="26"/>
      <c r="L29" s="26" t="s">
        <v>246</v>
      </c>
      <c r="M29" s="26"/>
      <c r="N29" s="26" t="s">
        <v>247</v>
      </c>
      <c r="O29" s="26"/>
      <c r="P29" s="26" t="s">
        <v>248</v>
      </c>
      <c r="Q29" s="26"/>
      <c r="R29" s="26" t="s">
        <v>249</v>
      </c>
      <c r="S29" s="31"/>
      <c r="T29" s="31"/>
      <c r="U29" s="164"/>
      <c r="V29" s="31"/>
      <c r="W29" s="34"/>
      <c r="X29" s="5"/>
    </row>
    <row r="30" spans="1:24" ht="15.6" x14ac:dyDescent="0.3">
      <c r="A30" s="24"/>
      <c r="B30" s="25" t="s">
        <v>10</v>
      </c>
      <c r="C30" s="32"/>
      <c r="D30" s="26" t="s">
        <v>241</v>
      </c>
      <c r="E30" s="26"/>
      <c r="F30" s="30" t="s">
        <v>121</v>
      </c>
      <c r="G30" s="26"/>
      <c r="H30" s="26" t="s">
        <v>121</v>
      </c>
      <c r="I30" s="26"/>
      <c r="J30" s="26" t="s">
        <v>244</v>
      </c>
      <c r="K30" s="26"/>
      <c r="L30" s="26" t="s">
        <v>121</v>
      </c>
      <c r="M30" s="26"/>
      <c r="N30" s="26" t="s">
        <v>121</v>
      </c>
      <c r="O30" s="26"/>
      <c r="P30" s="26" t="s">
        <v>121</v>
      </c>
      <c r="Q30" s="26"/>
      <c r="R30" s="26" t="s">
        <v>121</v>
      </c>
      <c r="S30" s="31"/>
      <c r="T30" s="31"/>
      <c r="U30" s="164"/>
      <c r="V30" s="31"/>
      <c r="W30" s="34"/>
      <c r="X30" s="5"/>
    </row>
    <row r="31" spans="1:24" ht="15.6" x14ac:dyDescent="0.3">
      <c r="A31" s="28"/>
      <c r="B31" s="25" t="s">
        <v>136</v>
      </c>
      <c r="C31" s="36"/>
      <c r="D31" s="146">
        <v>1500000</v>
      </c>
      <c r="E31" s="32"/>
      <c r="F31" s="31">
        <v>125000</v>
      </c>
      <c r="G31" s="31"/>
      <c r="H31" s="124">
        <v>315000</v>
      </c>
      <c r="I31" s="124"/>
      <c r="J31" s="146">
        <v>350000</v>
      </c>
      <c r="K31" s="31"/>
      <c r="L31" s="31">
        <v>56000</v>
      </c>
      <c r="M31" s="31"/>
      <c r="N31" s="124">
        <v>84000</v>
      </c>
      <c r="O31" s="31"/>
      <c r="P31" s="31">
        <v>13000</v>
      </c>
      <c r="Q31" s="31"/>
      <c r="R31" s="124">
        <v>81000</v>
      </c>
      <c r="S31" s="35"/>
      <c r="T31" s="35"/>
      <c r="U31" s="37"/>
      <c r="V31" s="35"/>
      <c r="W31" s="34"/>
      <c r="X31" s="5"/>
    </row>
    <row r="32" spans="1:24" ht="15.6" x14ac:dyDescent="0.3">
      <c r="A32" s="24"/>
      <c r="B32" s="25" t="s">
        <v>135</v>
      </c>
      <c r="C32" s="32"/>
      <c r="D32" s="146">
        <f>D31*D38</f>
        <v>1000147.2000000001</v>
      </c>
      <c r="E32" s="32"/>
      <c r="F32" s="31">
        <f>F31*F38</f>
        <v>83345.7</v>
      </c>
      <c r="G32" s="31"/>
      <c r="H32" s="124">
        <f>H31*H38</f>
        <v>210031.16399999999</v>
      </c>
      <c r="I32" s="124"/>
      <c r="J32" s="146">
        <f>J31*J38</f>
        <v>233367.68000000002</v>
      </c>
      <c r="K32" s="31"/>
      <c r="L32" s="31">
        <f>L31*L38</f>
        <v>56000</v>
      </c>
      <c r="M32" s="31"/>
      <c r="N32" s="124">
        <f>N31*N38</f>
        <v>84000</v>
      </c>
      <c r="O32" s="31"/>
      <c r="P32" s="31">
        <f>P31*P38</f>
        <v>13000</v>
      </c>
      <c r="Q32" s="31"/>
      <c r="R32" s="124">
        <f>R31*R38</f>
        <v>81000</v>
      </c>
      <c r="S32" s="31"/>
      <c r="T32" s="31"/>
      <c r="U32" s="164"/>
      <c r="V32" s="31"/>
      <c r="W32" s="34"/>
      <c r="X32" s="5"/>
    </row>
    <row r="33" spans="1:24" ht="15.6" x14ac:dyDescent="0.3">
      <c r="A33" s="24"/>
      <c r="B33" s="29" t="s">
        <v>137</v>
      </c>
      <c r="C33" s="32"/>
      <c r="D33" s="151">
        <f>D37*D31</f>
        <v>991591.2</v>
      </c>
      <c r="E33" s="36"/>
      <c r="F33" s="35">
        <f>F37*F31</f>
        <v>82632.7</v>
      </c>
      <c r="G33" s="35"/>
      <c r="H33" s="125">
        <f>H31*H37</f>
        <v>208234.40400000001</v>
      </c>
      <c r="I33" s="125"/>
      <c r="J33" s="151">
        <f>J37*J31</f>
        <v>231371.28</v>
      </c>
      <c r="K33" s="35"/>
      <c r="L33" s="35">
        <f>L31*L37</f>
        <v>56000</v>
      </c>
      <c r="M33" s="35"/>
      <c r="N33" s="125">
        <f>N31*N37</f>
        <v>84000</v>
      </c>
      <c r="O33" s="35"/>
      <c r="P33" s="35">
        <f>P31*P37</f>
        <v>13000</v>
      </c>
      <c r="Q33" s="35"/>
      <c r="R33" s="125">
        <f>R31*R37</f>
        <v>81000</v>
      </c>
      <c r="S33" s="31"/>
      <c r="T33" s="31"/>
      <c r="U33" s="164"/>
      <c r="V33" s="31"/>
      <c r="W33" s="34"/>
      <c r="X33" s="5"/>
    </row>
    <row r="34" spans="1:24" ht="15.6" x14ac:dyDescent="0.3">
      <c r="A34" s="28"/>
      <c r="B34" s="25" t="s">
        <v>298</v>
      </c>
      <c r="C34" s="36"/>
      <c r="D34" s="31">
        <v>797872</v>
      </c>
      <c r="E34" s="32"/>
      <c r="F34" s="31">
        <v>125000</v>
      </c>
      <c r="G34" s="31"/>
      <c r="H34" s="31">
        <v>211409</v>
      </c>
      <c r="I34" s="31"/>
      <c r="J34" s="31">
        <v>186170</v>
      </c>
      <c r="K34" s="31"/>
      <c r="L34" s="31">
        <v>56000</v>
      </c>
      <c r="M34" s="31"/>
      <c r="N34" s="31">
        <v>56376</v>
      </c>
      <c r="O34" s="31"/>
      <c r="P34" s="31">
        <v>13000</v>
      </c>
      <c r="Q34" s="31"/>
      <c r="R34" s="31">
        <v>54363</v>
      </c>
      <c r="S34" s="35"/>
      <c r="T34" s="35"/>
      <c r="U34" s="37"/>
      <c r="V34" s="154">
        <f>SUM(C34:R34)</f>
        <v>1500190</v>
      </c>
      <c r="W34" s="34"/>
      <c r="X34" s="5"/>
    </row>
    <row r="35" spans="1:24" ht="15.6" x14ac:dyDescent="0.3">
      <c r="A35" s="28"/>
      <c r="B35" s="25" t="s">
        <v>299</v>
      </c>
      <c r="C35" s="126"/>
      <c r="D35" s="31">
        <f>D34*D38</f>
        <v>531992.96450560004</v>
      </c>
      <c r="E35" s="32"/>
      <c r="F35" s="31">
        <f>F34*F38</f>
        <v>83345.7</v>
      </c>
      <c r="G35" s="31"/>
      <c r="H35" s="31">
        <f>H34*H38</f>
        <v>140960.2487304</v>
      </c>
      <c r="I35" s="31"/>
      <c r="J35" s="31">
        <f>J34*J38</f>
        <v>124131.60281600001</v>
      </c>
      <c r="K35" s="31"/>
      <c r="L35" s="31">
        <f>L34*L38</f>
        <v>56000</v>
      </c>
      <c r="M35" s="31"/>
      <c r="N35" s="31">
        <f>N34*N38</f>
        <v>56376</v>
      </c>
      <c r="O35" s="31"/>
      <c r="P35" s="31">
        <f>P34*P38</f>
        <v>13000</v>
      </c>
      <c r="Q35" s="31"/>
      <c r="R35" s="31">
        <f>R34*R38</f>
        <v>54363</v>
      </c>
      <c r="S35" s="31"/>
      <c r="T35" s="31"/>
      <c r="U35" s="164"/>
      <c r="V35" s="154">
        <f>SUM(C35:R35)</f>
        <v>1060169.516052</v>
      </c>
      <c r="W35" s="34"/>
      <c r="X35" s="5"/>
    </row>
    <row r="36" spans="1:24" ht="15.6" x14ac:dyDescent="0.3">
      <c r="A36" s="28"/>
      <c r="B36" s="29" t="s">
        <v>304</v>
      </c>
      <c r="C36" s="126"/>
      <c r="D36" s="35">
        <f>D34*D37</f>
        <v>527441.90261760005</v>
      </c>
      <c r="E36" s="36"/>
      <c r="F36" s="35">
        <f>F34*F37</f>
        <v>82632.7</v>
      </c>
      <c r="G36" s="35"/>
      <c r="H36" s="35">
        <f>H34*H37</f>
        <v>139754.37179440001</v>
      </c>
      <c r="I36" s="35"/>
      <c r="J36" s="35">
        <f>J34*J37</f>
        <v>123069.689136</v>
      </c>
      <c r="K36" s="35"/>
      <c r="L36" s="35">
        <v>56000</v>
      </c>
      <c r="M36" s="35"/>
      <c r="N36" s="35">
        <v>56376</v>
      </c>
      <c r="O36" s="35"/>
      <c r="P36" s="35">
        <v>13000</v>
      </c>
      <c r="Q36" s="35"/>
      <c r="R36" s="35">
        <v>54363</v>
      </c>
      <c r="S36" s="128"/>
      <c r="T36" s="128"/>
      <c r="U36" s="164"/>
      <c r="V36" s="155">
        <f>SUM(C36:R36)</f>
        <v>1052637.6635480002</v>
      </c>
      <c r="W36" s="34"/>
      <c r="X36" s="5"/>
    </row>
    <row r="37" spans="1:24" ht="15.6" x14ac:dyDescent="0.3">
      <c r="A37" s="24"/>
      <c r="B37" s="122" t="s">
        <v>133</v>
      </c>
      <c r="C37" s="25"/>
      <c r="D37" s="168">
        <v>0.6610608</v>
      </c>
      <c r="E37" s="136"/>
      <c r="F37" s="168">
        <v>0.66106160000000003</v>
      </c>
      <c r="G37" s="135"/>
      <c r="H37" s="168">
        <v>0.66106160000000003</v>
      </c>
      <c r="I37" s="135"/>
      <c r="J37" s="168">
        <v>0.6610608</v>
      </c>
      <c r="K37" s="135"/>
      <c r="L37" s="168">
        <v>1</v>
      </c>
      <c r="M37" s="135"/>
      <c r="N37" s="168">
        <v>1</v>
      </c>
      <c r="O37" s="135"/>
      <c r="P37" s="168">
        <v>1</v>
      </c>
      <c r="Q37" s="135"/>
      <c r="R37" s="168">
        <v>1</v>
      </c>
      <c r="S37" s="30"/>
      <c r="T37" s="30"/>
      <c r="U37" s="163"/>
      <c r="V37" s="163"/>
      <c r="W37" s="25"/>
      <c r="X37" s="5"/>
    </row>
    <row r="38" spans="1:24" ht="15.6" x14ac:dyDescent="0.3">
      <c r="A38" s="24"/>
      <c r="B38" s="122" t="s">
        <v>134</v>
      </c>
      <c r="C38" s="25"/>
      <c r="D38" s="168">
        <v>0.66676480000000005</v>
      </c>
      <c r="E38" s="136"/>
      <c r="F38" s="168">
        <v>0.66676559999999996</v>
      </c>
      <c r="G38" s="135"/>
      <c r="H38" s="168">
        <v>0.66676559999999996</v>
      </c>
      <c r="I38" s="135"/>
      <c r="J38" s="168">
        <v>0.66676480000000005</v>
      </c>
      <c r="K38" s="135"/>
      <c r="L38" s="135">
        <v>1</v>
      </c>
      <c r="M38" s="135"/>
      <c r="N38" s="135">
        <v>1</v>
      </c>
      <c r="O38" s="135"/>
      <c r="P38" s="135">
        <v>1</v>
      </c>
      <c r="Q38" s="135"/>
      <c r="R38" s="135">
        <v>1</v>
      </c>
      <c r="S38" s="39"/>
      <c r="T38" s="38"/>
      <c r="U38" s="163"/>
      <c r="V38" s="39"/>
      <c r="W38" s="25"/>
      <c r="X38" s="5"/>
    </row>
    <row r="39" spans="1:24" ht="15.6" x14ac:dyDescent="0.3">
      <c r="A39" s="24"/>
      <c r="B39" s="25" t="s">
        <v>11</v>
      </c>
      <c r="C39" s="25"/>
      <c r="D39" s="30" t="s">
        <v>225</v>
      </c>
      <c r="E39" s="25"/>
      <c r="F39" s="30" t="s">
        <v>225</v>
      </c>
      <c r="G39" s="30"/>
      <c r="H39" s="30" t="s">
        <v>225</v>
      </c>
      <c r="I39" s="30"/>
      <c r="J39" s="30" t="s">
        <v>251</v>
      </c>
      <c r="K39" s="30"/>
      <c r="L39" s="30" t="s">
        <v>252</v>
      </c>
      <c r="M39" s="30"/>
      <c r="N39" s="30" t="s">
        <v>253</v>
      </c>
      <c r="O39" s="30"/>
      <c r="P39" s="30" t="s">
        <v>254</v>
      </c>
      <c r="Q39" s="30"/>
      <c r="R39" s="30" t="s">
        <v>255</v>
      </c>
      <c r="S39" s="39"/>
      <c r="T39" s="38"/>
      <c r="U39" s="163"/>
      <c r="V39" s="163"/>
      <c r="W39" s="25"/>
      <c r="X39" s="5"/>
    </row>
    <row r="40" spans="1:24" ht="15.6" x14ac:dyDescent="0.3">
      <c r="A40" s="24"/>
      <c r="B40" s="25" t="s">
        <v>12</v>
      </c>
      <c r="C40" s="25"/>
      <c r="D40" s="38">
        <v>3.5000000000000001E-3</v>
      </c>
      <c r="E40" s="25"/>
      <c r="F40" s="38">
        <v>7.3000000000000001E-3</v>
      </c>
      <c r="G40" s="39"/>
      <c r="H40" s="38">
        <v>8.0400000000000003E-3</v>
      </c>
      <c r="I40" s="38"/>
      <c r="J40" s="38">
        <v>3.4125000000000002E-3</v>
      </c>
      <c r="K40" s="39"/>
      <c r="L40" s="38">
        <v>8.0999999999999996E-3</v>
      </c>
      <c r="M40" s="39"/>
      <c r="N40" s="38">
        <v>8.7399999999999995E-3</v>
      </c>
      <c r="O40" s="39"/>
      <c r="P40" s="38">
        <v>1.01E-2</v>
      </c>
      <c r="Q40" s="39"/>
      <c r="R40" s="38">
        <v>1.074E-2</v>
      </c>
      <c r="S40" s="39"/>
      <c r="T40" s="38"/>
      <c r="U40" s="163"/>
      <c r="V40" s="30"/>
      <c r="W40" s="25"/>
      <c r="X40" s="5"/>
    </row>
    <row r="41" spans="1:24" ht="15.6" x14ac:dyDescent="0.3">
      <c r="A41" s="24"/>
      <c r="B41" s="25" t="s">
        <v>13</v>
      </c>
      <c r="C41" s="25"/>
      <c r="D41" s="38">
        <v>3.5312999999999998E-3</v>
      </c>
      <c r="E41" s="25"/>
      <c r="F41" s="38">
        <v>6.8812999999999999E-3</v>
      </c>
      <c r="G41" s="39"/>
      <c r="H41" s="38">
        <v>8.6199999999999992E-3</v>
      </c>
      <c r="I41" s="38"/>
      <c r="J41" s="38">
        <v>3.7437999999999998E-3</v>
      </c>
      <c r="K41" s="39"/>
      <c r="L41" s="38">
        <v>7.6813000000000003E-3</v>
      </c>
      <c r="M41" s="39"/>
      <c r="N41" s="38">
        <v>9.3200000000000002E-3</v>
      </c>
      <c r="O41" s="39"/>
      <c r="P41" s="38">
        <v>9.6813000000000003E-3</v>
      </c>
      <c r="Q41" s="39"/>
      <c r="R41" s="38">
        <v>1.132E-2</v>
      </c>
      <c r="S41" s="39"/>
      <c r="T41" s="38"/>
      <c r="U41" s="163"/>
      <c r="V41" s="39" t="s">
        <v>196</v>
      </c>
      <c r="W41" s="25"/>
      <c r="X41" s="5"/>
    </row>
    <row r="42" spans="1:24" ht="15.6" x14ac:dyDescent="0.3">
      <c r="A42" s="24"/>
      <c r="B42" s="25" t="s">
        <v>300</v>
      </c>
      <c r="C42" s="25"/>
      <c r="D42" s="30" t="s">
        <v>292</v>
      </c>
      <c r="E42" s="25"/>
      <c r="F42" s="30" t="s">
        <v>225</v>
      </c>
      <c r="G42" s="30"/>
      <c r="H42" s="30" t="s">
        <v>263</v>
      </c>
      <c r="I42" s="30"/>
      <c r="J42" s="30" t="s">
        <v>262</v>
      </c>
      <c r="K42" s="30"/>
      <c r="L42" s="30" t="s">
        <v>252</v>
      </c>
      <c r="M42" s="30"/>
      <c r="N42" s="30" t="s">
        <v>264</v>
      </c>
      <c r="O42" s="30"/>
      <c r="P42" s="30" t="s">
        <v>254</v>
      </c>
      <c r="Q42" s="30"/>
      <c r="R42" s="30" t="s">
        <v>260</v>
      </c>
      <c r="S42" s="39"/>
      <c r="T42" s="38"/>
      <c r="U42" s="163"/>
      <c r="V42" s="163"/>
      <c r="W42" s="25"/>
      <c r="X42" s="5"/>
    </row>
    <row r="43" spans="1:24" ht="15.6" x14ac:dyDescent="0.3">
      <c r="A43" s="24"/>
      <c r="B43" s="25" t="s">
        <v>301</v>
      </c>
      <c r="C43" s="110"/>
      <c r="D43" s="38">
        <v>7.6391999999999996E-3</v>
      </c>
      <c r="E43" s="38"/>
      <c r="F43" s="38">
        <f>+F40</f>
        <v>7.3000000000000001E-3</v>
      </c>
      <c r="G43" s="38"/>
      <c r="H43" s="38">
        <v>7.4219999999999998E-3</v>
      </c>
      <c r="I43" s="38"/>
      <c r="J43" s="38">
        <v>7.3400000000000002E-3</v>
      </c>
      <c r="K43" s="38"/>
      <c r="L43" s="38">
        <f>+L40</f>
        <v>8.0999999999999996E-3</v>
      </c>
      <c r="M43" s="38"/>
      <c r="N43" s="38">
        <v>8.1899999999999994E-3</v>
      </c>
      <c r="O43" s="38"/>
      <c r="P43" s="38">
        <f>+P40</f>
        <v>1.01E-2</v>
      </c>
      <c r="Q43" s="39"/>
      <c r="R43" s="38">
        <v>1.03E-2</v>
      </c>
      <c r="S43" s="30"/>
      <c r="T43" s="30"/>
      <c r="U43" s="163"/>
      <c r="V43" s="39">
        <f>SUMPRODUCT(D43:R43,D35:R35)/V35</f>
        <v>7.7688665920796641E-3</v>
      </c>
      <c r="W43" s="25"/>
      <c r="X43" s="5"/>
    </row>
    <row r="44" spans="1:24" ht="15.6" x14ac:dyDescent="0.3">
      <c r="A44" s="24"/>
      <c r="B44" s="25" t="s">
        <v>302</v>
      </c>
      <c r="C44" s="110"/>
      <c r="D44" s="38">
        <v>7.2205000000000004E-3</v>
      </c>
      <c r="E44" s="38"/>
      <c r="F44" s="38">
        <f>+F41</f>
        <v>6.8812999999999999E-3</v>
      </c>
      <c r="G44" s="38"/>
      <c r="H44" s="38">
        <v>7.0032999999999996E-3</v>
      </c>
      <c r="I44" s="38"/>
      <c r="J44" s="38">
        <v>6.9213E-3</v>
      </c>
      <c r="K44" s="38"/>
      <c r="L44" s="38">
        <f>+L41</f>
        <v>7.6813000000000003E-3</v>
      </c>
      <c r="M44" s="38"/>
      <c r="N44" s="38">
        <v>7.7713000000000001E-3</v>
      </c>
      <c r="O44" s="38"/>
      <c r="P44" s="38">
        <f>+P41</f>
        <v>9.6813000000000003E-3</v>
      </c>
      <c r="Q44" s="39"/>
      <c r="R44" s="38">
        <v>9.8813000000000008E-3</v>
      </c>
      <c r="S44" s="30"/>
      <c r="T44" s="30"/>
      <c r="U44" s="163"/>
      <c r="V44" s="163"/>
      <c r="W44" s="25"/>
      <c r="X44" s="5"/>
    </row>
    <row r="45" spans="1:24" ht="15.6" x14ac:dyDescent="0.3">
      <c r="A45" s="24"/>
      <c r="B45" s="25" t="s">
        <v>14</v>
      </c>
      <c r="C45" s="25"/>
      <c r="D45" s="110">
        <v>40466</v>
      </c>
      <c r="E45" s="110"/>
      <c r="F45" s="110">
        <v>40466</v>
      </c>
      <c r="G45" s="110"/>
      <c r="H45" s="110">
        <v>40466</v>
      </c>
      <c r="I45" s="110"/>
      <c r="J45" s="110">
        <v>40466</v>
      </c>
      <c r="K45" s="110"/>
      <c r="L45" s="110">
        <v>40466</v>
      </c>
      <c r="M45" s="110"/>
      <c r="N45" s="110">
        <v>40466</v>
      </c>
      <c r="O45" s="110"/>
      <c r="P45" s="110">
        <v>40466</v>
      </c>
      <c r="Q45" s="110"/>
      <c r="R45" s="110">
        <v>40466</v>
      </c>
      <c r="S45" s="30"/>
      <c r="T45" s="30"/>
      <c r="U45" s="163"/>
      <c r="V45" s="163"/>
      <c r="W45" s="25"/>
      <c r="X45" s="5"/>
    </row>
    <row r="46" spans="1:24" ht="15.6" x14ac:dyDescent="0.3">
      <c r="A46" s="24"/>
      <c r="B46" s="25" t="s">
        <v>15</v>
      </c>
      <c r="C46" s="25"/>
      <c r="D46" s="110" t="s">
        <v>121</v>
      </c>
      <c r="E46" s="110"/>
      <c r="F46" s="110">
        <v>40831</v>
      </c>
      <c r="G46" s="110"/>
      <c r="H46" s="110">
        <v>40831</v>
      </c>
      <c r="I46" s="110"/>
      <c r="J46" s="110">
        <v>40831</v>
      </c>
      <c r="K46" s="30"/>
      <c r="L46" s="110">
        <v>40831</v>
      </c>
      <c r="M46" s="30"/>
      <c r="N46" s="110">
        <v>40831</v>
      </c>
      <c r="O46" s="30"/>
      <c r="P46" s="110">
        <v>40831</v>
      </c>
      <c r="Q46" s="30"/>
      <c r="R46" s="110">
        <v>40831</v>
      </c>
      <c r="S46" s="30"/>
      <c r="T46" s="30"/>
      <c r="U46" s="163"/>
      <c r="V46" s="163"/>
      <c r="W46" s="25"/>
      <c r="X46" s="5"/>
    </row>
    <row r="47" spans="1:24" ht="15.6" x14ac:dyDescent="0.3">
      <c r="A47" s="24"/>
      <c r="B47" s="25" t="s">
        <v>122</v>
      </c>
      <c r="C47" s="25"/>
      <c r="D47" s="160" t="s">
        <v>121</v>
      </c>
      <c r="E47" s="25"/>
      <c r="F47" s="30" t="s">
        <v>226</v>
      </c>
      <c r="G47" s="30"/>
      <c r="H47" s="30" t="s">
        <v>226</v>
      </c>
      <c r="I47" s="30"/>
      <c r="J47" s="30" t="s">
        <v>256</v>
      </c>
      <c r="K47" s="30"/>
      <c r="L47" s="30" t="s">
        <v>254</v>
      </c>
      <c r="M47" s="30"/>
      <c r="N47" s="30" t="s">
        <v>257</v>
      </c>
      <c r="O47" s="30"/>
      <c r="P47" s="30" t="s">
        <v>258</v>
      </c>
      <c r="Q47" s="30"/>
      <c r="R47" s="30" t="s">
        <v>259</v>
      </c>
      <c r="S47" s="40"/>
      <c r="T47" s="40"/>
      <c r="U47" s="40"/>
      <c r="V47" s="40"/>
      <c r="W47" s="25"/>
      <c r="X47" s="5"/>
    </row>
    <row r="48" spans="1:24" ht="15.6" x14ac:dyDescent="0.3">
      <c r="A48" s="24"/>
      <c r="B48" s="25" t="s">
        <v>303</v>
      </c>
      <c r="C48" s="25"/>
      <c r="D48" s="30" t="s">
        <v>203</v>
      </c>
      <c r="E48" s="25"/>
      <c r="F48" s="30" t="s">
        <v>226</v>
      </c>
      <c r="G48" s="30"/>
      <c r="H48" s="30" t="s">
        <v>227</v>
      </c>
      <c r="I48" s="30"/>
      <c r="J48" s="30" t="s">
        <v>237</v>
      </c>
      <c r="K48" s="30"/>
      <c r="L48" s="30" t="s">
        <v>254</v>
      </c>
      <c r="M48" s="30"/>
      <c r="N48" s="30" t="s">
        <v>260</v>
      </c>
      <c r="O48" s="30"/>
      <c r="P48" s="30" t="s">
        <v>258</v>
      </c>
      <c r="Q48" s="30"/>
      <c r="R48" s="30" t="s">
        <v>261</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196</v>
      </c>
      <c r="W49" s="25"/>
      <c r="X49" s="5"/>
    </row>
    <row r="50" spans="1:25" ht="15.6" x14ac:dyDescent="0.3">
      <c r="A50" s="24"/>
      <c r="B50" s="25" t="s">
        <v>172</v>
      </c>
      <c r="C50" s="25"/>
      <c r="D50" s="30"/>
      <c r="E50" s="25"/>
      <c r="F50" s="30"/>
      <c r="G50" s="30"/>
      <c r="H50" s="30"/>
      <c r="I50" s="30"/>
      <c r="J50" s="30"/>
      <c r="K50" s="30"/>
      <c r="L50" s="30"/>
      <c r="M50" s="30"/>
      <c r="N50" s="30"/>
      <c r="O50" s="30"/>
      <c r="P50" s="30"/>
      <c r="Q50" s="30"/>
      <c r="R50" s="30"/>
      <c r="S50" s="25"/>
      <c r="T50" s="25"/>
      <c r="U50" s="25"/>
      <c r="V50" s="39">
        <f>SUM(L34:R34)/SUM(D34:J34)</f>
        <v>0.13611940162868597</v>
      </c>
      <c r="W50" s="25"/>
      <c r="X50" s="5"/>
    </row>
    <row r="51" spans="1:25" ht="15.6" x14ac:dyDescent="0.3">
      <c r="A51" s="24"/>
      <c r="B51" s="25" t="s">
        <v>173</v>
      </c>
      <c r="C51" s="25"/>
      <c r="D51" s="25"/>
      <c r="E51" s="25"/>
      <c r="F51" s="41"/>
      <c r="G51" s="25"/>
      <c r="H51" s="25"/>
      <c r="I51" s="25"/>
      <c r="J51" s="25"/>
      <c r="K51" s="25"/>
      <c r="L51" s="25"/>
      <c r="M51" s="25"/>
      <c r="N51" s="25"/>
      <c r="O51" s="25"/>
      <c r="P51" s="25"/>
      <c r="Q51" s="25"/>
      <c r="R51" s="25"/>
      <c r="S51" s="25"/>
      <c r="T51" s="25"/>
      <c r="U51" s="25"/>
      <c r="V51" s="39">
        <f>SUM(L36:R36)/SUM(D36:J36)</f>
        <v>0.20591049970156849</v>
      </c>
      <c r="W51" s="25"/>
      <c r="X51" s="5"/>
    </row>
    <row r="52" spans="1:25" ht="15.6" x14ac:dyDescent="0.3">
      <c r="A52" s="24"/>
      <c r="B52" s="25" t="s">
        <v>174</v>
      </c>
      <c r="C52" s="25"/>
      <c r="D52" s="25"/>
      <c r="E52" s="25"/>
      <c r="F52" s="25"/>
      <c r="G52" s="25"/>
      <c r="H52" s="25"/>
      <c r="I52" s="25"/>
      <c r="J52" s="25"/>
      <c r="K52" s="25"/>
      <c r="L52" s="25"/>
      <c r="M52" s="25"/>
      <c r="N52" s="25"/>
      <c r="O52" s="25"/>
      <c r="P52" s="25"/>
      <c r="Q52" s="25"/>
      <c r="R52" s="25"/>
      <c r="S52" s="25"/>
      <c r="T52" s="30" t="s">
        <v>107</v>
      </c>
      <c r="U52" s="30" t="s">
        <v>112</v>
      </c>
      <c r="V52" s="31">
        <f>+V34/2-SUM(L34:R34)</f>
        <v>570356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205</v>
      </c>
      <c r="C54" s="25"/>
      <c r="D54" s="25"/>
      <c r="E54" s="25"/>
      <c r="F54" s="25"/>
      <c r="G54" s="25"/>
      <c r="H54" s="25"/>
      <c r="I54" s="25"/>
      <c r="J54" s="25"/>
      <c r="K54" s="25"/>
      <c r="L54" s="25"/>
      <c r="M54" s="25"/>
      <c r="N54" s="25"/>
      <c r="O54" s="25"/>
      <c r="P54" s="25"/>
      <c r="Q54" s="25"/>
      <c r="R54" s="25"/>
      <c r="S54" s="25"/>
      <c r="T54" s="25"/>
      <c r="U54" s="25"/>
      <c r="V54" s="156" t="s">
        <v>206</v>
      </c>
      <c r="W54" s="25"/>
      <c r="X54" s="5"/>
    </row>
    <row r="55" spans="1:25" ht="15.6" x14ac:dyDescent="0.3">
      <c r="A55" s="24"/>
      <c r="B55" s="25" t="s">
        <v>236</v>
      </c>
      <c r="C55" s="25"/>
      <c r="D55" s="25"/>
      <c r="E55" s="25"/>
      <c r="F55" s="25"/>
      <c r="G55" s="25"/>
      <c r="H55" s="25"/>
      <c r="I55" s="25"/>
      <c r="J55" s="25"/>
      <c r="K55" s="25"/>
      <c r="L55" s="25"/>
      <c r="M55" s="25"/>
      <c r="N55" s="25"/>
      <c r="O55" s="25"/>
      <c r="P55" s="25"/>
      <c r="Q55" s="25"/>
      <c r="R55" s="25"/>
      <c r="S55" s="25"/>
      <c r="T55" s="30"/>
      <c r="U55" s="30"/>
      <c r="V55" s="157" t="s">
        <v>114</v>
      </c>
      <c r="W55" s="25"/>
      <c r="X55" s="5"/>
    </row>
    <row r="56" spans="1:25" ht="15.6" x14ac:dyDescent="0.3">
      <c r="A56" s="24"/>
      <c r="B56" s="29" t="s">
        <v>204</v>
      </c>
      <c r="C56" s="29"/>
      <c r="D56" s="29"/>
      <c r="E56" s="29"/>
      <c r="F56" s="29"/>
      <c r="G56" s="29"/>
      <c r="H56" s="29"/>
      <c r="I56" s="29"/>
      <c r="J56" s="29"/>
      <c r="K56" s="29"/>
      <c r="L56" s="29"/>
      <c r="M56" s="29"/>
      <c r="N56" s="29"/>
      <c r="O56" s="29"/>
      <c r="P56" s="29"/>
      <c r="Q56" s="29"/>
      <c r="R56" s="29"/>
      <c r="S56" s="29"/>
      <c r="T56" s="43"/>
      <c r="U56" s="43"/>
      <c r="V56" s="44">
        <v>40283</v>
      </c>
      <c r="W56" s="25"/>
      <c r="X56" s="5"/>
    </row>
    <row r="57" spans="1:25" ht="15.6" x14ac:dyDescent="0.3">
      <c r="A57" s="24"/>
      <c r="B57" s="25" t="s">
        <v>124</v>
      </c>
      <c r="C57" s="25"/>
      <c r="D57" s="25"/>
      <c r="E57" s="25"/>
      <c r="F57" s="25"/>
      <c r="G57" s="25"/>
      <c r="H57" s="58"/>
      <c r="I57" s="58"/>
      <c r="J57" s="58"/>
      <c r="K57" s="58"/>
      <c r="L57" s="58"/>
      <c r="M57" s="58"/>
      <c r="N57" s="58"/>
      <c r="O57" s="58"/>
      <c r="P57" s="58"/>
      <c r="Q57" s="58"/>
      <c r="R57" s="25">
        <f>+V57-T57+1</f>
        <v>92</v>
      </c>
      <c r="S57" s="58"/>
      <c r="T57" s="45">
        <v>40101</v>
      </c>
      <c r="U57" s="46"/>
      <c r="V57" s="45">
        <v>40192</v>
      </c>
      <c r="W57" s="25"/>
      <c r="X57" s="5"/>
    </row>
    <row r="58" spans="1:25" ht="15.6" x14ac:dyDescent="0.3">
      <c r="A58" s="24"/>
      <c r="B58" s="25" t="s">
        <v>125</v>
      </c>
      <c r="C58" s="25"/>
      <c r="D58" s="25"/>
      <c r="E58" s="25"/>
      <c r="F58" s="25"/>
      <c r="G58" s="25"/>
      <c r="H58" s="25"/>
      <c r="I58" s="25"/>
      <c r="J58" s="25"/>
      <c r="K58" s="25"/>
      <c r="L58" s="25"/>
      <c r="M58" s="25"/>
      <c r="N58" s="25"/>
      <c r="O58" s="25"/>
      <c r="P58" s="25"/>
      <c r="Q58" s="25"/>
      <c r="R58" s="25">
        <f>+V58-T58+1</f>
        <v>90</v>
      </c>
      <c r="S58" s="25"/>
      <c r="T58" s="45">
        <v>40193</v>
      </c>
      <c r="U58" s="46"/>
      <c r="V58" s="45">
        <v>40282</v>
      </c>
      <c r="W58" s="25"/>
      <c r="X58" s="5"/>
    </row>
    <row r="59" spans="1:25" ht="15.6" x14ac:dyDescent="0.3">
      <c r="A59" s="24"/>
      <c r="B59" s="25" t="s">
        <v>235</v>
      </c>
      <c r="C59" s="25"/>
      <c r="D59" s="25"/>
      <c r="E59" s="25"/>
      <c r="F59" s="25"/>
      <c r="G59" s="25"/>
      <c r="H59" s="25"/>
      <c r="I59" s="25"/>
      <c r="J59" s="25"/>
      <c r="K59" s="25"/>
      <c r="L59" s="25"/>
      <c r="M59" s="25"/>
      <c r="N59" s="25"/>
      <c r="O59" s="25"/>
      <c r="P59" s="25"/>
      <c r="Q59" s="25"/>
      <c r="R59" s="25"/>
      <c r="S59" s="25"/>
      <c r="T59" s="45"/>
      <c r="U59" s="46"/>
      <c r="V59" s="45" t="s">
        <v>123</v>
      </c>
      <c r="W59" s="25"/>
      <c r="X59" s="5"/>
    </row>
    <row r="60" spans="1:25" ht="15.6" x14ac:dyDescent="0.3">
      <c r="A60" s="24"/>
      <c r="B60" s="25" t="s">
        <v>234</v>
      </c>
      <c r="C60" s="25"/>
      <c r="D60" s="25"/>
      <c r="E60" s="25"/>
      <c r="F60" s="25"/>
      <c r="G60" s="25"/>
      <c r="H60" s="25"/>
      <c r="I60" s="25"/>
      <c r="J60" s="25"/>
      <c r="K60" s="25"/>
      <c r="L60" s="25"/>
      <c r="M60" s="25"/>
      <c r="N60" s="25"/>
      <c r="O60" s="25"/>
      <c r="P60" s="25"/>
      <c r="Q60" s="25"/>
      <c r="R60" s="25"/>
      <c r="S60" s="25"/>
      <c r="T60" s="45"/>
      <c r="U60" s="46"/>
      <c r="V60" s="45" t="s">
        <v>157</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40269</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307</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95</v>
      </c>
      <c r="M68" s="115"/>
      <c r="N68" s="115" t="s">
        <v>97</v>
      </c>
      <c r="O68" s="115"/>
      <c r="P68" s="115" t="s">
        <v>99</v>
      </c>
      <c r="Q68" s="115"/>
      <c r="R68" s="115" t="s">
        <v>101</v>
      </c>
      <c r="S68" s="115"/>
      <c r="T68" s="115" t="s">
        <v>108</v>
      </c>
      <c r="U68" s="115"/>
      <c r="V68" s="116" t="s">
        <v>115</v>
      </c>
      <c r="W68" s="117"/>
      <c r="X68" s="5"/>
    </row>
    <row r="69" spans="1:24" ht="15.6" x14ac:dyDescent="0.3">
      <c r="A69" s="24"/>
      <c r="B69" s="25" t="s">
        <v>19</v>
      </c>
      <c r="C69" s="34"/>
      <c r="D69" s="34"/>
      <c r="E69" s="34"/>
      <c r="F69" s="34"/>
      <c r="G69" s="34"/>
      <c r="H69" s="34"/>
      <c r="I69" s="34"/>
      <c r="J69" s="34"/>
      <c r="K69" s="34"/>
      <c r="L69" s="34">
        <f>1085286</f>
        <v>1085286</v>
      </c>
      <c r="M69" s="34"/>
      <c r="N69" s="53">
        <v>1060170</v>
      </c>
      <c r="O69" s="34"/>
      <c r="P69" s="34">
        <f>7532+299+1122</f>
        <v>8953</v>
      </c>
      <c r="Q69" s="34"/>
      <c r="R69" s="34">
        <f>299+1122</f>
        <v>1421</v>
      </c>
      <c r="S69" s="34"/>
      <c r="T69" s="34">
        <v>0</v>
      </c>
      <c r="U69" s="34"/>
      <c r="V69" s="53">
        <f>+N69-P69+R69-T69</f>
        <v>1052638</v>
      </c>
      <c r="W69" s="25"/>
      <c r="X69" s="5"/>
    </row>
    <row r="70" spans="1:24" ht="15.6" x14ac:dyDescent="0.3">
      <c r="A70" s="24"/>
      <c r="B70" s="25" t="s">
        <v>20</v>
      </c>
      <c r="C70" s="34"/>
      <c r="D70" s="34"/>
      <c r="E70" s="34"/>
      <c r="F70" s="34"/>
      <c r="G70" s="34"/>
      <c r="H70" s="34"/>
      <c r="I70" s="34"/>
      <c r="J70" s="34"/>
      <c r="K70" s="34"/>
      <c r="L70" s="34">
        <v>35</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1085321</v>
      </c>
      <c r="M72" s="34"/>
      <c r="N72" s="54">
        <f>N69+N70</f>
        <v>1060170</v>
      </c>
      <c r="O72" s="34"/>
      <c r="P72" s="34">
        <f>SUM(P69:P71)</f>
        <v>8953</v>
      </c>
      <c r="Q72" s="34"/>
      <c r="R72" s="34">
        <f>SUM(R69:R71)</f>
        <v>1421</v>
      </c>
      <c r="S72" s="34"/>
      <c r="T72" s="34">
        <f>SUM(T69:T71)</f>
        <v>0</v>
      </c>
      <c r="U72" s="34"/>
      <c r="V72" s="54">
        <f>SUM(V69:V71)</f>
        <v>1052638</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120</v>
      </c>
      <c r="C82" s="34"/>
      <c r="D82" s="34"/>
      <c r="E82" s="34"/>
      <c r="F82" s="34"/>
      <c r="G82" s="34"/>
      <c r="H82" s="34"/>
      <c r="I82" s="34"/>
      <c r="J82" s="34"/>
      <c r="K82" s="34"/>
      <c r="L82" s="34">
        <f>414862+7</f>
        <v>414869</v>
      </c>
      <c r="M82" s="34"/>
      <c r="N82" s="34">
        <v>0</v>
      </c>
      <c r="O82" s="34"/>
      <c r="P82" s="34">
        <v>0</v>
      </c>
      <c r="Q82" s="34"/>
      <c r="R82" s="34"/>
      <c r="S82" s="34"/>
      <c r="T82" s="34"/>
      <c r="U82" s="34"/>
      <c r="V82" s="54">
        <f>SUM(N82:R82)</f>
        <v>0</v>
      </c>
      <c r="W82" s="25"/>
      <c r="X82" s="5"/>
    </row>
    <row r="83" spans="1:24" ht="15.6" x14ac:dyDescent="0.3">
      <c r="A83" s="24"/>
      <c r="B83" s="25" t="s">
        <v>149</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1500190</v>
      </c>
      <c r="M85" s="34"/>
      <c r="N85" s="54">
        <f>SUM(N72:N84)</f>
        <v>1060170</v>
      </c>
      <c r="O85" s="34"/>
      <c r="P85" s="34"/>
      <c r="Q85" s="34"/>
      <c r="R85" s="34"/>
      <c r="S85" s="34"/>
      <c r="T85" s="54"/>
      <c r="U85" s="34"/>
      <c r="V85" s="54">
        <f>SUM(V72:V84)</f>
        <v>1052638</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96</v>
      </c>
      <c r="M88" s="17"/>
      <c r="N88" s="158">
        <f>+T199</f>
        <v>40268</v>
      </c>
      <c r="O88" s="17"/>
      <c r="P88" s="17"/>
      <c r="Q88" s="17"/>
      <c r="R88" s="17"/>
      <c r="S88" s="17"/>
      <c r="T88" s="17" t="s">
        <v>109</v>
      </c>
      <c r="U88" s="17"/>
      <c r="V88" s="17" t="s">
        <v>116</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8953-185</f>
        <v>8768</v>
      </c>
      <c r="U90" s="25"/>
      <c r="V90" s="53"/>
      <c r="W90" s="25"/>
      <c r="X90" s="5"/>
    </row>
    <row r="91" spans="1:24" ht="15.6" x14ac:dyDescent="0.3">
      <c r="A91" s="24"/>
      <c r="B91" s="25" t="s">
        <v>219</v>
      </c>
      <c r="C91" s="25"/>
      <c r="D91" s="25"/>
      <c r="E91" s="25"/>
      <c r="F91" s="25"/>
      <c r="G91" s="25"/>
      <c r="H91" s="40"/>
      <c r="I91" s="40"/>
      <c r="J91" s="40"/>
      <c r="K91" s="57"/>
      <c r="L91" s="40"/>
      <c r="M91" s="25"/>
      <c r="N91" s="127"/>
      <c r="O91" s="25"/>
      <c r="P91" s="25"/>
      <c r="Q91" s="25"/>
      <c r="R91" s="25"/>
      <c r="S91" s="25"/>
      <c r="T91" s="34"/>
      <c r="U91" s="25"/>
      <c r="V91" s="53">
        <f>4485+4130-492-1729+149+1</f>
        <v>6544</v>
      </c>
      <c r="W91" s="25"/>
      <c r="X91" s="5"/>
    </row>
    <row r="92" spans="1:24" ht="15.6" x14ac:dyDescent="0.3">
      <c r="A92" s="24"/>
      <c r="B92" s="25" t="s">
        <v>214</v>
      </c>
      <c r="C92" s="25"/>
      <c r="D92" s="25"/>
      <c r="E92" s="25"/>
      <c r="F92" s="25"/>
      <c r="G92" s="25"/>
      <c r="H92" s="40"/>
      <c r="I92" s="40"/>
      <c r="J92" s="40"/>
      <c r="K92" s="57"/>
      <c r="L92" s="40"/>
      <c r="M92" s="25"/>
      <c r="N92" s="127"/>
      <c r="O92" s="25"/>
      <c r="P92" s="25"/>
      <c r="Q92" s="25"/>
      <c r="R92" s="25"/>
      <c r="S92" s="25"/>
      <c r="T92" s="34"/>
      <c r="U92" s="25"/>
      <c r="V92" s="53">
        <f>43+20</f>
        <v>63</v>
      </c>
      <c r="W92" s="25"/>
      <c r="X92" s="5"/>
    </row>
    <row r="93" spans="1:24" ht="15.6" x14ac:dyDescent="0.3">
      <c r="A93" s="24"/>
      <c r="B93" s="25" t="s">
        <v>215</v>
      </c>
      <c r="C93" s="25"/>
      <c r="D93" s="25"/>
      <c r="E93" s="25"/>
      <c r="F93" s="25"/>
      <c r="G93" s="25"/>
      <c r="H93" s="40"/>
      <c r="I93" s="40"/>
      <c r="J93" s="40"/>
      <c r="K93" s="57"/>
      <c r="L93" s="40"/>
      <c r="M93" s="25"/>
      <c r="N93" s="127"/>
      <c r="O93" s="25"/>
      <c r="P93" s="25"/>
      <c r="Q93" s="25"/>
      <c r="R93" s="25"/>
      <c r="S93" s="25"/>
      <c r="T93" s="34"/>
      <c r="U93" s="25"/>
      <c r="V93" s="53">
        <v>44</v>
      </c>
      <c r="W93" s="25"/>
      <c r="X93" s="5"/>
    </row>
    <row r="94" spans="1:24" ht="15.6" x14ac:dyDescent="0.3">
      <c r="A94" s="24"/>
      <c r="B94" s="25" t="s">
        <v>277</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138</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265</v>
      </c>
      <c r="C96" s="25"/>
      <c r="D96" s="25"/>
      <c r="E96" s="25"/>
      <c r="F96" s="25"/>
      <c r="G96" s="25"/>
      <c r="H96" s="25"/>
      <c r="I96" s="25"/>
      <c r="J96" s="25"/>
      <c r="K96" s="25"/>
      <c r="L96" s="25"/>
      <c r="M96" s="25"/>
      <c r="N96" s="25"/>
      <c r="O96" s="25"/>
      <c r="P96" s="25"/>
      <c r="Q96" s="25"/>
      <c r="R96" s="25"/>
      <c r="S96" s="25"/>
      <c r="T96" s="34"/>
      <c r="U96" s="25"/>
      <c r="V96" s="53">
        <v>0</v>
      </c>
      <c r="W96" s="25"/>
      <c r="X96" s="5"/>
    </row>
    <row r="97" spans="1:26" ht="15.6" x14ac:dyDescent="0.3">
      <c r="A97" s="24"/>
      <c r="B97" s="25" t="s">
        <v>30</v>
      </c>
      <c r="C97" s="25"/>
      <c r="D97" s="25"/>
      <c r="E97" s="25"/>
      <c r="F97" s="25"/>
      <c r="G97" s="25"/>
      <c r="H97" s="25"/>
      <c r="I97" s="25"/>
      <c r="J97" s="25"/>
      <c r="K97" s="25"/>
      <c r="L97" s="25"/>
      <c r="M97" s="25"/>
      <c r="N97" s="25"/>
      <c r="O97" s="25"/>
      <c r="P97" s="25"/>
      <c r="Q97" s="25"/>
      <c r="R97" s="25"/>
      <c r="S97" s="25"/>
      <c r="T97" s="34">
        <f>SUM(T89:T96)</f>
        <v>8768</v>
      </c>
      <c r="U97" s="25"/>
      <c r="V97" s="54">
        <f>SUM(V89:V96)</f>
        <v>6651</v>
      </c>
      <c r="W97" s="25"/>
      <c r="X97" s="5"/>
    </row>
    <row r="98" spans="1:26" ht="15.6" x14ac:dyDescent="0.3">
      <c r="A98" s="24"/>
      <c r="B98" s="25" t="s">
        <v>164</v>
      </c>
      <c r="C98" s="25"/>
      <c r="D98" s="25"/>
      <c r="E98" s="25"/>
      <c r="F98" s="25"/>
      <c r="G98" s="25"/>
      <c r="H98" s="25"/>
      <c r="I98" s="25"/>
      <c r="J98" s="25"/>
      <c r="K98" s="25"/>
      <c r="L98" s="25"/>
      <c r="M98" s="25"/>
      <c r="N98" s="25"/>
      <c r="O98" s="25"/>
      <c r="P98" s="25"/>
      <c r="Q98" s="25"/>
      <c r="R98" s="25"/>
      <c r="S98" s="25"/>
      <c r="T98" s="34">
        <f>-V98</f>
        <v>-405</v>
      </c>
      <c r="U98" s="25"/>
      <c r="V98" s="54">
        <v>405</v>
      </c>
      <c r="W98" s="25"/>
      <c r="X98" s="5"/>
    </row>
    <row r="99" spans="1:26"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6" ht="15.6" x14ac:dyDescent="0.3">
      <c r="A100" s="24"/>
      <c r="B100" s="25" t="s">
        <v>288</v>
      </c>
      <c r="C100" s="25"/>
      <c r="D100" s="25"/>
      <c r="E100" s="25"/>
      <c r="F100" s="25"/>
      <c r="G100" s="25"/>
      <c r="H100" s="25"/>
      <c r="I100" s="25"/>
      <c r="J100" s="25"/>
      <c r="K100" s="25"/>
      <c r="L100" s="25"/>
      <c r="M100" s="25"/>
      <c r="N100" s="25"/>
      <c r="O100" s="25"/>
      <c r="P100" s="25"/>
      <c r="Q100" s="25"/>
      <c r="R100" s="25"/>
      <c r="S100" s="25"/>
      <c r="T100" s="34"/>
      <c r="U100" s="25"/>
      <c r="V100" s="53">
        <v>-100</v>
      </c>
      <c r="W100" s="25"/>
      <c r="X100" s="5"/>
    </row>
    <row r="101" spans="1:26"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8363</v>
      </c>
      <c r="U101" s="25"/>
      <c r="V101" s="54">
        <f>V97+V99+V98+V100</f>
        <v>6956</v>
      </c>
      <c r="W101" s="25"/>
      <c r="X101" s="5"/>
    </row>
    <row r="102" spans="1:26"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6"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6" ht="15.6" x14ac:dyDescent="0.3">
      <c r="A104" s="24">
        <f>+A103+1</f>
        <v>2</v>
      </c>
      <c r="B104" s="25" t="s">
        <v>231</v>
      </c>
      <c r="C104" s="25"/>
      <c r="D104" s="25"/>
      <c r="E104" s="25"/>
      <c r="F104" s="25"/>
      <c r="G104" s="25"/>
      <c r="H104" s="25"/>
      <c r="I104" s="25"/>
      <c r="J104" s="25"/>
      <c r="K104" s="25"/>
      <c r="L104" s="25"/>
      <c r="M104" s="25"/>
      <c r="N104" s="25"/>
      <c r="O104" s="25"/>
      <c r="P104" s="25"/>
      <c r="Q104" s="25"/>
      <c r="R104" s="25"/>
      <c r="S104" s="25"/>
      <c r="T104" s="25"/>
      <c r="U104" s="25"/>
      <c r="V104" s="53">
        <f>-2</f>
        <v>-2</v>
      </c>
      <c r="W104" s="25"/>
      <c r="X104" s="5"/>
    </row>
    <row r="105" spans="1:26" ht="15.6" x14ac:dyDescent="0.3">
      <c r="A105" s="24">
        <f>+A104+1</f>
        <v>3</v>
      </c>
      <c r="B105" s="25" t="s">
        <v>207</v>
      </c>
      <c r="C105" s="25"/>
      <c r="D105" s="25"/>
      <c r="E105" s="25"/>
      <c r="F105" s="25"/>
      <c r="G105" s="25"/>
      <c r="H105" s="25"/>
      <c r="I105" s="25"/>
      <c r="J105" s="25"/>
      <c r="K105" s="25"/>
      <c r="L105" s="25"/>
      <c r="M105" s="25"/>
      <c r="N105" s="25"/>
      <c r="O105" s="25"/>
      <c r="P105" s="25"/>
      <c r="Q105" s="25"/>
      <c r="R105" s="25"/>
      <c r="S105" s="25"/>
      <c r="T105" s="25"/>
      <c r="U105" s="25"/>
      <c r="V105" s="53">
        <f>-394-510-12</f>
        <v>-916</v>
      </c>
      <c r="W105" s="25"/>
      <c r="X105" s="5"/>
    </row>
    <row r="106" spans="1:26" ht="15.6" x14ac:dyDescent="0.3">
      <c r="A106" s="24" t="s">
        <v>130</v>
      </c>
      <c r="B106" s="25" t="s">
        <v>119</v>
      </c>
      <c r="C106" s="25"/>
      <c r="D106" s="25"/>
      <c r="E106" s="25"/>
      <c r="F106" s="25"/>
      <c r="G106" s="25"/>
      <c r="H106" s="25"/>
      <c r="I106" s="25"/>
      <c r="J106" s="25"/>
      <c r="K106" s="25"/>
      <c r="L106" s="25"/>
      <c r="M106" s="25"/>
      <c r="N106" s="25"/>
      <c r="O106" s="25"/>
      <c r="P106" s="25"/>
      <c r="Q106" s="25"/>
      <c r="R106" s="25"/>
      <c r="S106" s="25"/>
      <c r="T106" s="25"/>
      <c r="U106" s="25"/>
      <c r="V106" s="53">
        <v>-918</v>
      </c>
      <c r="W106" s="25"/>
      <c r="X106" s="5"/>
    </row>
    <row r="107" spans="1:26" ht="15.6" x14ac:dyDescent="0.3">
      <c r="A107" s="24" t="s">
        <v>131</v>
      </c>
      <c r="B107" s="25" t="s">
        <v>228</v>
      </c>
      <c r="C107" s="25"/>
      <c r="D107" s="25"/>
      <c r="E107" s="25"/>
      <c r="F107" s="25"/>
      <c r="G107" s="25"/>
      <c r="H107" s="25"/>
      <c r="I107" s="25"/>
      <c r="J107" s="25"/>
      <c r="K107" s="25"/>
      <c r="L107" s="25"/>
      <c r="M107" s="25"/>
      <c r="N107" s="25"/>
      <c r="O107" s="25"/>
      <c r="P107" s="25"/>
      <c r="Q107" s="25"/>
      <c r="R107" s="25"/>
      <c r="S107" s="25"/>
      <c r="T107" s="25"/>
      <c r="U107" s="25"/>
      <c r="V107" s="53">
        <f>-1635+150</f>
        <v>-1485</v>
      </c>
      <c r="W107" s="25"/>
      <c r="X107" s="5"/>
      <c r="Y107" s="109"/>
      <c r="Z107" s="109"/>
    </row>
    <row r="108" spans="1:26" ht="15.6" x14ac:dyDescent="0.3">
      <c r="A108" s="24" t="s">
        <v>153</v>
      </c>
      <c r="B108" s="25" t="s">
        <v>187</v>
      </c>
      <c r="C108" s="25"/>
      <c r="D108" s="25"/>
      <c r="E108" s="25"/>
      <c r="F108" s="25"/>
      <c r="G108" s="25"/>
      <c r="H108" s="25"/>
      <c r="I108" s="25"/>
      <c r="J108" s="25"/>
      <c r="K108" s="25"/>
      <c r="L108" s="25"/>
      <c r="M108" s="25"/>
      <c r="N108" s="25"/>
      <c r="O108" s="25"/>
      <c r="P108" s="25"/>
      <c r="Q108" s="25"/>
      <c r="R108" s="25"/>
      <c r="S108" s="25"/>
      <c r="T108" s="25"/>
      <c r="U108" s="25"/>
      <c r="V108" s="53">
        <v>-150</v>
      </c>
      <c r="W108" s="25"/>
      <c r="X108" s="5"/>
      <c r="Y108" s="109"/>
    </row>
    <row r="109" spans="1:26" ht="15.6" x14ac:dyDescent="0.3">
      <c r="A109" s="24" t="s">
        <v>266</v>
      </c>
      <c r="B109" s="25" t="s">
        <v>269</v>
      </c>
      <c r="C109" s="25"/>
      <c r="D109" s="25"/>
      <c r="E109" s="25"/>
      <c r="F109" s="25"/>
      <c r="G109" s="25"/>
      <c r="H109" s="25"/>
      <c r="I109" s="25"/>
      <c r="J109" s="25"/>
      <c r="K109" s="25"/>
      <c r="L109" s="25"/>
      <c r="M109" s="25"/>
      <c r="N109" s="25"/>
      <c r="O109" s="25"/>
      <c r="P109" s="25"/>
      <c r="Q109" s="25"/>
      <c r="R109" s="25"/>
      <c r="S109" s="25"/>
      <c r="T109" s="25"/>
      <c r="U109" s="25"/>
      <c r="V109" s="53">
        <v>-2</v>
      </c>
      <c r="W109" s="25"/>
      <c r="X109" s="5"/>
    </row>
    <row r="110" spans="1:26" ht="15.6" x14ac:dyDescent="0.3">
      <c r="A110" s="24" t="s">
        <v>208</v>
      </c>
      <c r="B110" s="25" t="s">
        <v>188</v>
      </c>
      <c r="C110" s="25"/>
      <c r="D110" s="25"/>
      <c r="E110" s="25"/>
      <c r="F110" s="25"/>
      <c r="G110" s="25"/>
      <c r="H110" s="25"/>
      <c r="I110" s="25"/>
      <c r="J110" s="25"/>
      <c r="K110" s="25"/>
      <c r="L110" s="25"/>
      <c r="M110" s="25"/>
      <c r="N110" s="25"/>
      <c r="O110" s="25"/>
      <c r="P110" s="25"/>
      <c r="Q110" s="25"/>
      <c r="R110" s="25"/>
      <c r="S110" s="25"/>
      <c r="T110" s="25"/>
      <c r="U110" s="25"/>
      <c r="V110" s="53">
        <v>-114</v>
      </c>
      <c r="W110" s="25"/>
      <c r="X110" s="5"/>
      <c r="Y110" s="109"/>
    </row>
    <row r="111" spans="1:26" ht="15.6" x14ac:dyDescent="0.3">
      <c r="A111" s="24" t="s">
        <v>209</v>
      </c>
      <c r="B111" s="25" t="s">
        <v>189</v>
      </c>
      <c r="C111" s="25"/>
      <c r="D111" s="25"/>
      <c r="E111" s="25"/>
      <c r="F111" s="25"/>
      <c r="G111" s="25"/>
      <c r="H111" s="25"/>
      <c r="I111" s="25"/>
      <c r="J111" s="25"/>
      <c r="K111" s="25"/>
      <c r="L111" s="25"/>
      <c r="M111" s="25"/>
      <c r="N111" s="25"/>
      <c r="O111" s="25"/>
      <c r="P111" s="25"/>
      <c r="Q111" s="25"/>
      <c r="R111" s="25"/>
      <c r="S111" s="25"/>
      <c r="T111" s="25"/>
      <c r="U111" s="25"/>
      <c r="V111" s="53">
        <v>-112</v>
      </c>
      <c r="W111" s="25"/>
      <c r="X111" s="5"/>
      <c r="Y111" s="109"/>
    </row>
    <row r="112" spans="1:26" ht="15.6" x14ac:dyDescent="0.3">
      <c r="A112" s="24" t="s">
        <v>210</v>
      </c>
      <c r="B112" s="25" t="s">
        <v>199</v>
      </c>
      <c r="C112" s="25"/>
      <c r="D112" s="25"/>
      <c r="E112" s="25"/>
      <c r="F112" s="25"/>
      <c r="G112" s="25"/>
      <c r="H112" s="25"/>
      <c r="I112" s="25"/>
      <c r="J112" s="25"/>
      <c r="K112" s="25"/>
      <c r="L112" s="25"/>
      <c r="M112" s="25"/>
      <c r="N112" s="25"/>
      <c r="O112" s="25"/>
      <c r="P112" s="25"/>
      <c r="Q112" s="25"/>
      <c r="R112" s="25"/>
      <c r="S112" s="25"/>
      <c r="T112" s="25"/>
      <c r="U112" s="25"/>
      <c r="V112" s="53">
        <v>-138</v>
      </c>
      <c r="W112" s="25"/>
      <c r="X112" s="5"/>
      <c r="Y112" s="109"/>
    </row>
    <row r="113" spans="1:25" ht="15.6" x14ac:dyDescent="0.3">
      <c r="A113" s="24" t="s">
        <v>230</v>
      </c>
      <c r="B113" s="25" t="s">
        <v>229</v>
      </c>
      <c r="C113" s="25"/>
      <c r="D113" s="25"/>
      <c r="E113" s="25"/>
      <c r="F113" s="25"/>
      <c r="G113" s="25"/>
      <c r="H113" s="25"/>
      <c r="I113" s="25"/>
      <c r="J113" s="25"/>
      <c r="K113" s="25"/>
      <c r="L113" s="25"/>
      <c r="M113" s="25"/>
      <c r="N113" s="25"/>
      <c r="O113" s="25"/>
      <c r="P113" s="25"/>
      <c r="Q113" s="25"/>
      <c r="R113" s="25"/>
      <c r="S113" s="25"/>
      <c r="T113" s="25"/>
      <c r="U113" s="25"/>
      <c r="V113" s="53">
        <v>-32</v>
      </c>
      <c r="W113" s="25"/>
      <c r="X113" s="5"/>
      <c r="Y113" s="109"/>
    </row>
    <row r="114" spans="1:25" ht="15.6" x14ac:dyDescent="0.3">
      <c r="A114" s="24">
        <v>7</v>
      </c>
      <c r="B114" s="25" t="s">
        <v>35</v>
      </c>
      <c r="C114" s="25"/>
      <c r="D114" s="25"/>
      <c r="E114" s="25"/>
      <c r="F114" s="25"/>
      <c r="G114" s="25"/>
      <c r="H114" s="25"/>
      <c r="I114" s="25"/>
      <c r="J114" s="25"/>
      <c r="K114" s="25"/>
      <c r="L114" s="25"/>
      <c r="M114" s="25"/>
      <c r="N114" s="25"/>
      <c r="O114" s="25"/>
      <c r="P114" s="25"/>
      <c r="Q114" s="25"/>
      <c r="R114" s="25"/>
      <c r="S114" s="25"/>
      <c r="T114" s="25"/>
      <c r="U114" s="25"/>
      <c r="V114" s="53">
        <v>-10</v>
      </c>
      <c r="W114" s="25"/>
      <c r="X114" s="5"/>
    </row>
    <row r="115" spans="1:25" ht="15.6" x14ac:dyDescent="0.3">
      <c r="A115" s="24">
        <f t="shared" ref="A115:A121" si="0">+A114+1</f>
        <v>8</v>
      </c>
      <c r="B115" s="25" t="s">
        <v>45</v>
      </c>
      <c r="C115" s="25"/>
      <c r="D115" s="25"/>
      <c r="E115" s="25"/>
      <c r="F115" s="25"/>
      <c r="G115" s="25"/>
      <c r="H115" s="25"/>
      <c r="I115" s="25"/>
      <c r="J115" s="25"/>
      <c r="K115" s="25"/>
      <c r="L115" s="25"/>
      <c r="M115" s="25"/>
      <c r="N115" s="25"/>
      <c r="O115" s="25"/>
      <c r="P115" s="25"/>
      <c r="Q115" s="25"/>
      <c r="R115" s="25"/>
      <c r="S115" s="25"/>
      <c r="T115" s="34">
        <f>-V115</f>
        <v>185</v>
      </c>
      <c r="U115" s="25"/>
      <c r="V115" s="53">
        <v>-185</v>
      </c>
      <c r="W115" s="25"/>
      <c r="X115" s="5"/>
    </row>
    <row r="116" spans="1:25" ht="15.6" x14ac:dyDescent="0.3">
      <c r="A116" s="24">
        <f t="shared" si="0"/>
        <v>9</v>
      </c>
      <c r="B116" s="25" t="s">
        <v>128</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5" ht="15.6" x14ac:dyDescent="0.3">
      <c r="A117" s="24">
        <f t="shared" si="0"/>
        <v>10</v>
      </c>
      <c r="B117" s="25" t="s">
        <v>271</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11</v>
      </c>
      <c r="B118" s="25" t="s">
        <v>36</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12</v>
      </c>
      <c r="B119" s="25" t="s">
        <v>270</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13</v>
      </c>
      <c r="B120" s="25" t="s">
        <v>152</v>
      </c>
      <c r="C120" s="25"/>
      <c r="D120" s="25"/>
      <c r="E120" s="25"/>
      <c r="F120" s="25"/>
      <c r="G120" s="25"/>
      <c r="H120" s="25"/>
      <c r="I120" s="25"/>
      <c r="J120" s="25"/>
      <c r="K120" s="25"/>
      <c r="L120" s="25"/>
      <c r="M120" s="25"/>
      <c r="N120" s="25"/>
      <c r="O120" s="25"/>
      <c r="P120" s="25"/>
      <c r="Q120" s="25"/>
      <c r="R120" s="25"/>
      <c r="S120" s="25"/>
      <c r="T120" s="25"/>
      <c r="U120" s="25"/>
      <c r="V120" s="53">
        <v>-393</v>
      </c>
      <c r="W120" s="25"/>
      <c r="X120" s="5"/>
    </row>
    <row r="121" spans="1:25" ht="15.6" x14ac:dyDescent="0.3">
      <c r="A121" s="24">
        <f t="shared" si="0"/>
        <v>14</v>
      </c>
      <c r="B121" s="25" t="s">
        <v>129</v>
      </c>
      <c r="C121" s="25"/>
      <c r="D121" s="25"/>
      <c r="E121" s="25"/>
      <c r="F121" s="25"/>
      <c r="G121" s="25"/>
      <c r="H121" s="25"/>
      <c r="I121" s="25"/>
      <c r="J121" s="25"/>
      <c r="K121" s="25"/>
      <c r="L121" s="25"/>
      <c r="M121" s="25"/>
      <c r="N121" s="25"/>
      <c r="O121" s="25"/>
      <c r="P121" s="25"/>
      <c r="Q121" s="25"/>
      <c r="R121" s="25"/>
      <c r="S121" s="25"/>
      <c r="T121" s="25"/>
      <c r="U121" s="25"/>
      <c r="V121" s="53">
        <f>-V101-SUM(V103:V120)</f>
        <v>-2499</v>
      </c>
      <c r="W121" s="25"/>
      <c r="X121" s="5"/>
    </row>
    <row r="122" spans="1:25" ht="15.6" x14ac:dyDescent="0.3">
      <c r="A122" s="24"/>
      <c r="B122" s="118" t="s">
        <v>37</v>
      </c>
      <c r="C122" s="25"/>
      <c r="D122" s="25"/>
      <c r="E122" s="25"/>
      <c r="F122" s="25"/>
      <c r="G122" s="25"/>
      <c r="H122" s="25"/>
      <c r="I122" s="25"/>
      <c r="J122" s="25"/>
      <c r="K122" s="25"/>
      <c r="L122" s="25"/>
      <c r="M122" s="25"/>
      <c r="N122" s="25"/>
      <c r="O122" s="25"/>
      <c r="P122" s="25"/>
      <c r="Q122" s="25"/>
      <c r="R122" s="25"/>
      <c r="S122" s="25"/>
      <c r="T122" s="25"/>
      <c r="U122" s="25"/>
      <c r="V122" s="59"/>
      <c r="W122" s="25"/>
      <c r="X122" s="5"/>
    </row>
    <row r="123" spans="1:25" ht="15.6" x14ac:dyDescent="0.3">
      <c r="A123" s="24"/>
      <c r="B123" s="25" t="s">
        <v>176</v>
      </c>
      <c r="C123" s="25"/>
      <c r="D123" s="25"/>
      <c r="E123" s="25"/>
      <c r="F123" s="25"/>
      <c r="G123" s="25"/>
      <c r="H123" s="25"/>
      <c r="I123" s="25"/>
      <c r="J123" s="25"/>
      <c r="K123" s="25"/>
      <c r="L123" s="25"/>
      <c r="M123" s="25"/>
      <c r="N123" s="25"/>
      <c r="O123" s="25"/>
      <c r="P123" s="25"/>
      <c r="Q123" s="25"/>
      <c r="R123" s="25"/>
      <c r="S123" s="25"/>
      <c r="T123" s="34">
        <f>-T183</f>
        <v>-64</v>
      </c>
      <c r="U123" s="34"/>
      <c r="V123" s="53"/>
      <c r="W123" s="25"/>
      <c r="X123" s="5"/>
    </row>
    <row r="124" spans="1:25" ht="15.6" x14ac:dyDescent="0.3">
      <c r="A124" s="24"/>
      <c r="B124" s="25" t="s">
        <v>177</v>
      </c>
      <c r="C124" s="25"/>
      <c r="D124" s="25"/>
      <c r="E124" s="25"/>
      <c r="F124" s="25"/>
      <c r="G124" s="25"/>
      <c r="H124" s="25"/>
      <c r="I124" s="25"/>
      <c r="J124" s="25"/>
      <c r="K124" s="25"/>
      <c r="L124" s="25"/>
      <c r="M124" s="25"/>
      <c r="N124" s="25"/>
      <c r="O124" s="25"/>
      <c r="P124" s="25"/>
      <c r="Q124" s="25"/>
      <c r="R124" s="25"/>
      <c r="S124" s="25"/>
      <c r="T124" s="34">
        <v>-346</v>
      </c>
      <c r="U124" s="34"/>
      <c r="V124" s="53"/>
      <c r="W124" s="25"/>
      <c r="X124" s="5"/>
    </row>
    <row r="125" spans="1:25" ht="15.6" x14ac:dyDescent="0.3">
      <c r="A125" s="24"/>
      <c r="B125" s="25" t="s">
        <v>38</v>
      </c>
      <c r="C125" s="25"/>
      <c r="D125" s="25"/>
      <c r="E125" s="25"/>
      <c r="F125" s="25"/>
      <c r="G125" s="25"/>
      <c r="H125" s="25"/>
      <c r="I125" s="25"/>
      <c r="J125" s="25"/>
      <c r="K125" s="25"/>
      <c r="L125" s="25"/>
      <c r="M125" s="25"/>
      <c r="N125" s="25"/>
      <c r="O125" s="25"/>
      <c r="P125" s="25"/>
      <c r="Q125" s="25"/>
      <c r="R125" s="25"/>
      <c r="S125" s="25"/>
      <c r="T125" s="34">
        <f>-S183</f>
        <v>-606</v>
      </c>
      <c r="U125" s="34"/>
      <c r="V125" s="53"/>
      <c r="W125" s="25"/>
      <c r="X125" s="5"/>
    </row>
    <row r="126" spans="1:25" ht="15.6" x14ac:dyDescent="0.3">
      <c r="A126" s="24"/>
      <c r="B126" s="25" t="s">
        <v>200</v>
      </c>
      <c r="C126" s="25"/>
      <c r="D126" s="25"/>
      <c r="E126" s="25"/>
      <c r="F126" s="25"/>
      <c r="G126" s="25"/>
      <c r="H126" s="25"/>
      <c r="I126" s="25"/>
      <c r="J126" s="25"/>
      <c r="K126" s="25"/>
      <c r="L126" s="25"/>
      <c r="M126" s="25"/>
      <c r="N126" s="25"/>
      <c r="O126" s="25"/>
      <c r="P126" s="25"/>
      <c r="Q126" s="25"/>
      <c r="R126" s="25"/>
      <c r="S126" s="25"/>
      <c r="T126" s="34">
        <v>-4551</v>
      </c>
      <c r="U126" s="34"/>
      <c r="V126" s="53"/>
      <c r="W126" s="25"/>
      <c r="X126" s="5"/>
    </row>
    <row r="127" spans="1:25" ht="15.6" x14ac:dyDescent="0.3">
      <c r="A127" s="24"/>
      <c r="B127" s="25" t="s">
        <v>198</v>
      </c>
      <c r="C127" s="25"/>
      <c r="D127" s="25"/>
      <c r="E127" s="25"/>
      <c r="F127" s="25"/>
      <c r="G127" s="25"/>
      <c r="H127" s="25"/>
      <c r="I127" s="25"/>
      <c r="J127" s="25"/>
      <c r="K127" s="25"/>
      <c r="L127" s="25"/>
      <c r="M127" s="25"/>
      <c r="N127" s="25"/>
      <c r="O127" s="25"/>
      <c r="P127" s="25"/>
      <c r="Q127" s="25"/>
      <c r="R127" s="25"/>
      <c r="S127" s="25"/>
      <c r="T127" s="34">
        <v>-713</v>
      </c>
      <c r="U127" s="34"/>
      <c r="V127" s="53"/>
      <c r="W127" s="25"/>
      <c r="X127" s="5"/>
    </row>
    <row r="128" spans="1:25" ht="15.6" x14ac:dyDescent="0.3">
      <c r="A128" s="24"/>
      <c r="B128" s="25" t="s">
        <v>197</v>
      </c>
      <c r="C128" s="25"/>
      <c r="D128" s="25"/>
      <c r="E128" s="25"/>
      <c r="F128" s="25"/>
      <c r="G128" s="25"/>
      <c r="H128" s="25"/>
      <c r="I128" s="25"/>
      <c r="J128" s="25"/>
      <c r="K128" s="25"/>
      <c r="L128" s="25"/>
      <c r="M128" s="25"/>
      <c r="N128" s="25"/>
      <c r="O128" s="25"/>
      <c r="P128" s="25"/>
      <c r="Q128" s="25"/>
      <c r="R128" s="25"/>
      <c r="S128" s="25"/>
      <c r="T128" s="34">
        <v>-1206</v>
      </c>
      <c r="U128" s="34"/>
      <c r="V128" s="53"/>
      <c r="W128" s="25"/>
      <c r="X128" s="5"/>
    </row>
    <row r="129" spans="1:24" ht="15.6" x14ac:dyDescent="0.3">
      <c r="A129" s="24"/>
      <c r="B129" s="25" t="s">
        <v>232</v>
      </c>
      <c r="C129" s="25"/>
      <c r="D129" s="25"/>
      <c r="E129" s="25"/>
      <c r="F129" s="25"/>
      <c r="G129" s="25"/>
      <c r="H129" s="25"/>
      <c r="I129" s="25"/>
      <c r="J129" s="25"/>
      <c r="K129" s="25"/>
      <c r="L129" s="25"/>
      <c r="M129" s="25"/>
      <c r="N129" s="25"/>
      <c r="O129" s="25"/>
      <c r="P129" s="25"/>
      <c r="Q129" s="25"/>
      <c r="R129" s="25"/>
      <c r="S129" s="25"/>
      <c r="T129" s="34">
        <v>-1062</v>
      </c>
      <c r="U129" s="34"/>
      <c r="V129" s="53"/>
      <c r="W129" s="25"/>
      <c r="X129" s="5"/>
    </row>
    <row r="130" spans="1:24" ht="15.6" x14ac:dyDescent="0.3">
      <c r="A130" s="24"/>
      <c r="B130" s="25" t="s">
        <v>192</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191</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233</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190</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39</v>
      </c>
      <c r="C134" s="25"/>
      <c r="D134" s="25"/>
      <c r="E134" s="25"/>
      <c r="F134" s="25"/>
      <c r="G134" s="25"/>
      <c r="H134" s="25"/>
      <c r="I134" s="25"/>
      <c r="J134" s="25"/>
      <c r="K134" s="25"/>
      <c r="L134" s="25"/>
      <c r="M134" s="25"/>
      <c r="N134" s="25"/>
      <c r="O134" s="25"/>
      <c r="P134" s="25"/>
      <c r="Q134" s="25"/>
      <c r="R134" s="25"/>
      <c r="S134" s="25"/>
      <c r="T134" s="34">
        <f>SUM(T123:T133)</f>
        <v>-8548</v>
      </c>
      <c r="U134" s="34"/>
      <c r="V134" s="34">
        <f>SUM(V102:V131)</f>
        <v>-6956</v>
      </c>
      <c r="W134" s="25"/>
      <c r="X134" s="5"/>
    </row>
    <row r="135" spans="1:24" ht="15.6" x14ac:dyDescent="0.3">
      <c r="A135" s="24"/>
      <c r="B135" s="25" t="s">
        <v>40</v>
      </c>
      <c r="C135" s="25"/>
      <c r="D135" s="25"/>
      <c r="E135" s="25"/>
      <c r="F135" s="25"/>
      <c r="G135" s="25"/>
      <c r="H135" s="25"/>
      <c r="I135" s="25"/>
      <c r="J135" s="25"/>
      <c r="K135" s="25"/>
      <c r="L135" s="25"/>
      <c r="M135" s="25"/>
      <c r="N135" s="25"/>
      <c r="O135" s="25"/>
      <c r="P135" s="25"/>
      <c r="Q135" s="25"/>
      <c r="R135" s="25"/>
      <c r="S135" s="25"/>
      <c r="T135" s="34">
        <f>T101+T134+T115</f>
        <v>0</v>
      </c>
      <c r="U135" s="34"/>
      <c r="V135" s="34">
        <f>V101+V134</f>
        <v>0</v>
      </c>
      <c r="W135" s="25"/>
      <c r="X135" s="5"/>
    </row>
    <row r="136" spans="1:24" ht="15.6" x14ac:dyDescent="0.3">
      <c r="A136" s="24"/>
      <c r="B136" s="25"/>
      <c r="C136" s="25"/>
      <c r="D136" s="25"/>
      <c r="E136" s="25"/>
      <c r="F136" s="25"/>
      <c r="G136" s="25"/>
      <c r="H136" s="25"/>
      <c r="I136" s="25"/>
      <c r="J136" s="25"/>
      <c r="K136" s="25"/>
      <c r="L136" s="25"/>
      <c r="M136" s="25"/>
      <c r="N136" s="25"/>
      <c r="O136" s="25"/>
      <c r="P136" s="25"/>
      <c r="Q136" s="25"/>
      <c r="R136" s="25"/>
      <c r="S136" s="25"/>
      <c r="T136" s="34"/>
      <c r="U136" s="34"/>
      <c r="V136" s="34"/>
      <c r="W136" s="25"/>
      <c r="X136" s="5"/>
    </row>
    <row r="137" spans="1:24" ht="15.6" x14ac:dyDescent="0.3">
      <c r="A137" s="6"/>
      <c r="B137" s="8"/>
      <c r="C137" s="8"/>
      <c r="D137" s="8"/>
      <c r="E137" s="8"/>
      <c r="F137" s="8"/>
      <c r="G137" s="8"/>
      <c r="H137" s="8"/>
      <c r="I137" s="8"/>
      <c r="J137" s="8"/>
      <c r="K137" s="8"/>
      <c r="L137" s="8"/>
      <c r="M137" s="8"/>
      <c r="N137" s="8"/>
      <c r="O137" s="8"/>
      <c r="P137" s="8"/>
      <c r="Q137" s="8"/>
      <c r="R137" s="8"/>
      <c r="S137" s="8"/>
      <c r="T137" s="8"/>
      <c r="U137" s="8"/>
      <c r="V137" s="52"/>
      <c r="W137" s="8"/>
      <c r="X137" s="5"/>
    </row>
    <row r="138" spans="1:24" ht="18" thickBot="1" x14ac:dyDescent="0.35">
      <c r="A138" s="101"/>
      <c r="B138" s="102" t="str">
        <f>B64</f>
        <v>PM13 INVESTOR REPORT QUARTER ENDING MARCH 2010</v>
      </c>
      <c r="C138" s="103"/>
      <c r="D138" s="103"/>
      <c r="E138" s="103"/>
      <c r="F138" s="103"/>
      <c r="G138" s="103"/>
      <c r="H138" s="103"/>
      <c r="I138" s="103"/>
      <c r="J138" s="103"/>
      <c r="K138" s="103"/>
      <c r="L138" s="103"/>
      <c r="M138" s="103"/>
      <c r="N138" s="103"/>
      <c r="O138" s="103"/>
      <c r="P138" s="103"/>
      <c r="Q138" s="103"/>
      <c r="R138" s="103"/>
      <c r="S138" s="103"/>
      <c r="T138" s="103"/>
      <c r="U138" s="103"/>
      <c r="V138" s="106"/>
      <c r="W138" s="105"/>
      <c r="X138" s="5"/>
    </row>
    <row r="139" spans="1:24" ht="15.6" x14ac:dyDescent="0.3">
      <c r="A139" s="2"/>
      <c r="B139" s="60" t="s">
        <v>41</v>
      </c>
      <c r="C139" s="4"/>
      <c r="D139" s="4"/>
      <c r="E139" s="4"/>
      <c r="F139" s="4"/>
      <c r="G139" s="4"/>
      <c r="H139" s="4"/>
      <c r="I139" s="4"/>
      <c r="J139" s="4"/>
      <c r="K139" s="4"/>
      <c r="L139" s="4"/>
      <c r="M139" s="4"/>
      <c r="N139" s="4"/>
      <c r="O139" s="4"/>
      <c r="P139" s="4"/>
      <c r="Q139" s="4"/>
      <c r="R139" s="4"/>
      <c r="S139" s="4"/>
      <c r="T139" s="4"/>
      <c r="U139" s="4"/>
      <c r="V139" s="50"/>
      <c r="W139" s="4"/>
      <c r="X139" s="5"/>
    </row>
    <row r="140" spans="1:24" ht="15.6" x14ac:dyDescent="0.3">
      <c r="A140" s="6"/>
      <c r="B140" s="21"/>
      <c r="C140" s="8"/>
      <c r="D140" s="8"/>
      <c r="E140" s="8"/>
      <c r="F140" s="8"/>
      <c r="G140" s="8"/>
      <c r="H140" s="8"/>
      <c r="I140" s="8"/>
      <c r="J140" s="8"/>
      <c r="K140" s="8"/>
      <c r="L140" s="8"/>
      <c r="M140" s="8"/>
      <c r="N140" s="8"/>
      <c r="O140" s="8"/>
      <c r="P140" s="8"/>
      <c r="Q140" s="8"/>
      <c r="R140" s="8"/>
      <c r="S140" s="8"/>
      <c r="T140" s="8"/>
      <c r="U140" s="8"/>
      <c r="V140" s="52"/>
      <c r="W140" s="8"/>
      <c r="X140" s="5"/>
    </row>
    <row r="141" spans="1:24" ht="15.6" x14ac:dyDescent="0.3">
      <c r="A141" s="6"/>
      <c r="B141" s="119" t="s">
        <v>42</v>
      </c>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24"/>
      <c r="B142" s="25" t="s">
        <v>43</v>
      </c>
      <c r="C142" s="25"/>
      <c r="D142" s="25"/>
      <c r="E142" s="25"/>
      <c r="F142" s="25"/>
      <c r="G142" s="25"/>
      <c r="H142" s="25"/>
      <c r="I142" s="25"/>
      <c r="J142" s="25"/>
      <c r="K142" s="25"/>
      <c r="L142" s="25"/>
      <c r="M142" s="25"/>
      <c r="N142" s="25"/>
      <c r="O142" s="25"/>
      <c r="P142" s="25"/>
      <c r="Q142" s="25"/>
      <c r="R142" s="25"/>
      <c r="S142" s="25"/>
      <c r="T142" s="25"/>
      <c r="U142" s="25"/>
      <c r="V142" s="53">
        <f>+V34*0.019</f>
        <v>28503.61</v>
      </c>
      <c r="W142" s="25"/>
      <c r="X142" s="5"/>
    </row>
    <row r="143" spans="1:24" ht="15.6" x14ac:dyDescent="0.3">
      <c r="A143" s="24"/>
      <c r="B143" s="25" t="s">
        <v>44</v>
      </c>
      <c r="C143" s="25"/>
      <c r="D143" s="25"/>
      <c r="E143" s="25"/>
      <c r="F143" s="25"/>
      <c r="G143" s="25"/>
      <c r="H143" s="25"/>
      <c r="I143" s="25"/>
      <c r="J143" s="25"/>
      <c r="K143" s="25"/>
      <c r="L143" s="25"/>
      <c r="M143" s="25"/>
      <c r="N143" s="25"/>
      <c r="O143" s="25"/>
      <c r="P143" s="25"/>
      <c r="Q143" s="25"/>
      <c r="R143" s="25"/>
      <c r="S143" s="25"/>
      <c r="T143" s="25"/>
      <c r="U143" s="25"/>
      <c r="V143" s="53">
        <v>28504</v>
      </c>
      <c r="W143" s="25"/>
      <c r="X143" s="5"/>
    </row>
    <row r="144" spans="1:24" ht="15.6" x14ac:dyDescent="0.3">
      <c r="A144" s="24"/>
      <c r="B144" s="25" t="s">
        <v>139</v>
      </c>
      <c r="C144" s="25"/>
      <c r="D144" s="25"/>
      <c r="E144" s="25"/>
      <c r="F144" s="25"/>
      <c r="G144" s="25"/>
      <c r="H144" s="25"/>
      <c r="I144" s="25"/>
      <c r="J144" s="25"/>
      <c r="K144" s="25"/>
      <c r="L144" s="25"/>
      <c r="M144" s="25"/>
      <c r="N144" s="25"/>
      <c r="O144" s="25"/>
      <c r="P144" s="25"/>
      <c r="Q144" s="25"/>
      <c r="R144" s="25"/>
      <c r="S144" s="25"/>
      <c r="T144" s="25"/>
      <c r="U144" s="25"/>
      <c r="V144" s="53"/>
      <c r="W144" s="25"/>
      <c r="X144" s="5"/>
    </row>
    <row r="145" spans="1:25" ht="15.6" x14ac:dyDescent="0.3">
      <c r="A145" s="24"/>
      <c r="B145" s="25" t="s">
        <v>126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127</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178</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45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132</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267</v>
      </c>
      <c r="C150" s="25"/>
      <c r="D150" s="25"/>
      <c r="E150" s="25"/>
      <c r="F150" s="25"/>
      <c r="G150" s="25"/>
      <c r="H150" s="25"/>
      <c r="I150" s="25"/>
      <c r="J150" s="25"/>
      <c r="K150" s="25"/>
      <c r="L150" s="25"/>
      <c r="M150" s="25"/>
      <c r="N150" s="25"/>
      <c r="O150" s="25"/>
      <c r="P150" s="25"/>
      <c r="Q150" s="25"/>
      <c r="R150" s="25"/>
      <c r="S150" s="25"/>
      <c r="T150" s="25"/>
      <c r="U150" s="25"/>
      <c r="V150" s="53">
        <v>0</v>
      </c>
      <c r="W150" s="25"/>
      <c r="X150" s="5"/>
      <c r="Y150" s="109"/>
    </row>
    <row r="151" spans="1:25" ht="15.6" x14ac:dyDescent="0.3">
      <c r="A151" s="24"/>
      <c r="B151" s="25" t="s">
        <v>46</v>
      </c>
      <c r="C151" s="25"/>
      <c r="D151" s="25"/>
      <c r="E151" s="25"/>
      <c r="F151" s="25"/>
      <c r="G151" s="25"/>
      <c r="H151" s="25"/>
      <c r="I151" s="25"/>
      <c r="J151" s="25"/>
      <c r="K151" s="25"/>
      <c r="L151" s="25"/>
      <c r="M151" s="25"/>
      <c r="N151" s="25"/>
      <c r="O151" s="25"/>
      <c r="P151" s="25"/>
      <c r="Q151" s="25"/>
      <c r="R151" s="25"/>
      <c r="S151" s="25"/>
      <c r="T151" s="25"/>
      <c r="U151" s="25"/>
      <c r="V151" s="53">
        <f>SUM(V143:V150)</f>
        <v>28504</v>
      </c>
      <c r="W151" s="25"/>
      <c r="X151" s="5"/>
    </row>
    <row r="152" spans="1:25" ht="15.6" x14ac:dyDescent="0.3">
      <c r="A152" s="24"/>
      <c r="B152" s="25"/>
      <c r="C152" s="25"/>
      <c r="D152" s="25"/>
      <c r="E152" s="25"/>
      <c r="F152" s="25"/>
      <c r="G152" s="25"/>
      <c r="H152" s="25"/>
      <c r="I152" s="25"/>
      <c r="J152" s="25"/>
      <c r="K152" s="25"/>
      <c r="L152" s="25"/>
      <c r="M152" s="25"/>
      <c r="N152" s="25"/>
      <c r="O152" s="25"/>
      <c r="P152" s="25"/>
      <c r="Q152" s="25"/>
      <c r="R152" s="25"/>
      <c r="S152" s="25"/>
      <c r="T152" s="25"/>
      <c r="U152" s="25"/>
      <c r="V152" s="53"/>
      <c r="W152" s="25"/>
      <c r="X152" s="5"/>
    </row>
    <row r="153" spans="1:25" ht="15.6" x14ac:dyDescent="0.3">
      <c r="A153" s="24"/>
      <c r="B153" s="138" t="s">
        <v>268</v>
      </c>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25" t="s">
        <v>158</v>
      </c>
      <c r="C154" s="25"/>
      <c r="D154" s="25"/>
      <c r="E154" s="25"/>
      <c r="F154" s="25"/>
      <c r="G154" s="25"/>
      <c r="H154" s="25"/>
      <c r="I154" s="25"/>
      <c r="J154" s="25"/>
      <c r="K154" s="25"/>
      <c r="L154" s="25"/>
      <c r="M154" s="25"/>
      <c r="N154" s="25"/>
      <c r="O154" s="25"/>
      <c r="P154" s="25"/>
      <c r="Q154" s="25"/>
      <c r="R154" s="25"/>
      <c r="S154" s="25"/>
      <c r="T154" s="25"/>
      <c r="U154" s="25"/>
      <c r="V154" s="53">
        <v>15000</v>
      </c>
      <c r="W154" s="25"/>
      <c r="X154" s="5"/>
    </row>
    <row r="155" spans="1:25" ht="15.6" x14ac:dyDescent="0.3">
      <c r="A155" s="24"/>
      <c r="B155" s="25" t="s">
        <v>175</v>
      </c>
      <c r="C155" s="25"/>
      <c r="D155" s="25"/>
      <c r="E155" s="25"/>
      <c r="F155" s="25"/>
      <c r="G155" s="25"/>
      <c r="H155" s="25"/>
      <c r="I155" s="25"/>
      <c r="J155" s="25"/>
      <c r="K155" s="25"/>
      <c r="L155" s="25"/>
      <c r="M155" s="25"/>
      <c r="N155" s="25"/>
      <c r="O155" s="25"/>
      <c r="P155" s="25"/>
      <c r="Q155" s="25"/>
      <c r="R155" s="25"/>
      <c r="S155" s="25"/>
      <c r="T155" s="25"/>
      <c r="U155" s="25"/>
      <c r="V155" s="53">
        <v>0</v>
      </c>
      <c r="W155" s="25"/>
      <c r="X155" s="5"/>
    </row>
    <row r="156" spans="1:25" ht="15.6" x14ac:dyDescent="0.3">
      <c r="A156" s="24"/>
      <c r="B156" s="25" t="s">
        <v>272</v>
      </c>
      <c r="C156" s="25"/>
      <c r="D156" s="25"/>
      <c r="E156" s="25"/>
      <c r="F156" s="25"/>
      <c r="G156" s="25"/>
      <c r="H156" s="25"/>
      <c r="I156" s="25"/>
      <c r="J156" s="25"/>
      <c r="K156" s="25"/>
      <c r="L156" s="25"/>
      <c r="M156" s="25"/>
      <c r="N156" s="25"/>
      <c r="O156" s="25"/>
      <c r="P156" s="25"/>
      <c r="Q156" s="25"/>
      <c r="R156" s="25"/>
      <c r="S156" s="25"/>
      <c r="T156" s="25"/>
      <c r="U156" s="25"/>
      <c r="V156" s="53">
        <v>6000</v>
      </c>
      <c r="W156" s="25"/>
      <c r="X156" s="5"/>
    </row>
    <row r="157" spans="1:25" ht="15.6" x14ac:dyDescent="0.3">
      <c r="A157" s="24"/>
      <c r="B157" s="25"/>
      <c r="C157" s="25"/>
      <c r="D157" s="25"/>
      <c r="E157" s="25"/>
      <c r="F157" s="25"/>
      <c r="G157" s="25"/>
      <c r="H157" s="25"/>
      <c r="I157" s="25"/>
      <c r="J157" s="25"/>
      <c r="K157" s="25"/>
      <c r="L157" s="25"/>
      <c r="M157" s="25"/>
      <c r="N157" s="25"/>
      <c r="O157" s="25"/>
      <c r="P157" s="25"/>
      <c r="Q157" s="25"/>
      <c r="R157" s="25"/>
      <c r="S157" s="25"/>
      <c r="T157" s="25"/>
      <c r="U157" s="25"/>
      <c r="V157" s="53"/>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61"/>
      <c r="W158" s="25"/>
      <c r="X158" s="5"/>
    </row>
    <row r="159" spans="1:25" ht="15.6" x14ac:dyDescent="0.3">
      <c r="A159" s="6"/>
      <c r="B159" s="119" t="s">
        <v>24</v>
      </c>
      <c r="C159" s="8"/>
      <c r="D159" s="8"/>
      <c r="E159" s="8"/>
      <c r="F159" s="8"/>
      <c r="G159" s="8"/>
      <c r="H159" s="8"/>
      <c r="I159" s="8"/>
      <c r="J159" s="8"/>
      <c r="K159" s="8"/>
      <c r="L159" s="8"/>
      <c r="M159" s="8"/>
      <c r="N159" s="8"/>
      <c r="O159" s="8"/>
      <c r="P159" s="8"/>
      <c r="Q159" s="8"/>
      <c r="R159" s="8"/>
      <c r="S159" s="8"/>
      <c r="T159" s="8"/>
      <c r="U159" s="8"/>
      <c r="V159" s="52"/>
      <c r="W159" s="8"/>
      <c r="X159" s="5"/>
    </row>
    <row r="160" spans="1:25" ht="15.6" x14ac:dyDescent="0.3">
      <c r="A160" s="24"/>
      <c r="B160" s="25" t="s">
        <v>47</v>
      </c>
      <c r="C160" s="25"/>
      <c r="D160" s="25"/>
      <c r="E160" s="25"/>
      <c r="F160" s="25"/>
      <c r="G160" s="25"/>
      <c r="H160" s="25"/>
      <c r="I160" s="25"/>
      <c r="J160" s="25"/>
      <c r="K160" s="25"/>
      <c r="L160" s="25"/>
      <c r="M160" s="25"/>
      <c r="N160" s="25"/>
      <c r="O160" s="25"/>
      <c r="P160" s="25"/>
      <c r="Q160" s="25"/>
      <c r="R160" s="25"/>
      <c r="S160" s="25"/>
      <c r="T160" s="25"/>
      <c r="U160" s="25"/>
      <c r="V160" s="59" t="s">
        <v>121</v>
      </c>
      <c r="W160" s="25"/>
      <c r="X160" s="5"/>
    </row>
    <row r="161" spans="1:24" ht="15.6" x14ac:dyDescent="0.3">
      <c r="A161" s="24"/>
      <c r="B161" s="25" t="s">
        <v>48</v>
      </c>
      <c r="C161" s="163"/>
      <c r="D161" s="163"/>
      <c r="E161" s="163"/>
      <c r="F161" s="163"/>
      <c r="G161" s="163"/>
      <c r="H161" s="163"/>
      <c r="I161" s="163"/>
      <c r="J161" s="163"/>
      <c r="K161" s="163"/>
      <c r="L161" s="163"/>
      <c r="M161" s="163"/>
      <c r="N161" s="163"/>
      <c r="O161" s="163"/>
      <c r="P161" s="163"/>
      <c r="Q161" s="163"/>
      <c r="R161" s="163"/>
      <c r="S161" s="163"/>
      <c r="T161" s="163"/>
      <c r="U161" s="163"/>
      <c r="V161" s="59" t="s">
        <v>121</v>
      </c>
      <c r="W161" s="25"/>
      <c r="X161" s="5"/>
    </row>
    <row r="162" spans="1:24" ht="15.6" x14ac:dyDescent="0.3">
      <c r="A162" s="24"/>
      <c r="B162" s="25" t="s">
        <v>49</v>
      </c>
      <c r="C162" s="25"/>
      <c r="D162" s="25"/>
      <c r="E162" s="25"/>
      <c r="F162" s="25"/>
      <c r="G162" s="25"/>
      <c r="H162" s="25"/>
      <c r="I162" s="25"/>
      <c r="J162" s="25"/>
      <c r="K162" s="25"/>
      <c r="L162" s="25"/>
      <c r="M162" s="25"/>
      <c r="N162" s="25"/>
      <c r="O162" s="25"/>
      <c r="P162" s="25"/>
      <c r="Q162" s="25"/>
      <c r="R162" s="25"/>
      <c r="S162" s="25"/>
      <c r="T162" s="25"/>
      <c r="U162" s="25"/>
      <c r="V162" s="59" t="s">
        <v>121</v>
      </c>
      <c r="W162" s="25"/>
      <c r="X162" s="5"/>
    </row>
    <row r="163" spans="1:24" ht="15.6" x14ac:dyDescent="0.3">
      <c r="A163" s="24"/>
      <c r="B163" s="25" t="s">
        <v>50</v>
      </c>
      <c r="C163" s="25"/>
      <c r="D163" s="25"/>
      <c r="E163" s="25"/>
      <c r="F163" s="25"/>
      <c r="G163" s="25"/>
      <c r="H163" s="25"/>
      <c r="I163" s="25"/>
      <c r="J163" s="25"/>
      <c r="K163" s="25"/>
      <c r="L163" s="25"/>
      <c r="M163" s="25"/>
      <c r="N163" s="25"/>
      <c r="O163" s="25"/>
      <c r="P163" s="25"/>
      <c r="Q163" s="25"/>
      <c r="R163" s="25"/>
      <c r="S163" s="25"/>
      <c r="T163" s="25"/>
      <c r="U163" s="25"/>
      <c r="V163" s="59" t="s">
        <v>121</v>
      </c>
      <c r="W163" s="25"/>
      <c r="X163" s="5"/>
    </row>
    <row r="164" spans="1:24" ht="15.6" x14ac:dyDescent="0.3">
      <c r="A164" s="24"/>
      <c r="B164" s="25"/>
      <c r="C164" s="25"/>
      <c r="D164" s="25"/>
      <c r="E164" s="25"/>
      <c r="F164" s="25"/>
      <c r="G164" s="25"/>
      <c r="H164" s="25"/>
      <c r="I164" s="25"/>
      <c r="J164" s="25"/>
      <c r="K164" s="25"/>
      <c r="L164" s="25"/>
      <c r="M164" s="25"/>
      <c r="N164" s="25"/>
      <c r="O164" s="25"/>
      <c r="P164" s="25"/>
      <c r="Q164" s="25"/>
      <c r="R164" s="25"/>
      <c r="S164" s="25"/>
      <c r="T164" s="25"/>
      <c r="U164" s="25"/>
      <c r="V164" s="61"/>
      <c r="W164" s="25"/>
      <c r="X164" s="5"/>
    </row>
    <row r="165" spans="1:24" ht="15.6" x14ac:dyDescent="0.3">
      <c r="A165" s="6"/>
      <c r="B165" s="119" t="s">
        <v>51</v>
      </c>
      <c r="C165" s="8"/>
      <c r="D165" s="8"/>
      <c r="E165" s="8"/>
      <c r="F165" s="8"/>
      <c r="G165" s="8"/>
      <c r="H165" s="8"/>
      <c r="I165" s="8"/>
      <c r="J165" s="8"/>
      <c r="K165" s="8"/>
      <c r="L165" s="8"/>
      <c r="M165" s="8"/>
      <c r="N165" s="8"/>
      <c r="O165" s="8"/>
      <c r="P165" s="8"/>
      <c r="Q165" s="8"/>
      <c r="R165" s="8"/>
      <c r="S165" s="8"/>
      <c r="T165" s="8"/>
      <c r="U165" s="8"/>
      <c r="V165" s="63"/>
      <c r="W165" s="8"/>
      <c r="X165" s="5"/>
    </row>
    <row r="166" spans="1:24" ht="15.6" x14ac:dyDescent="0.3">
      <c r="A166" s="24"/>
      <c r="B166" s="25" t="s">
        <v>52</v>
      </c>
      <c r="C166" s="25"/>
      <c r="D166" s="25"/>
      <c r="E166" s="25"/>
      <c r="F166" s="25"/>
      <c r="G166" s="25"/>
      <c r="H166" s="25"/>
      <c r="I166" s="25"/>
      <c r="J166" s="25"/>
      <c r="K166" s="25"/>
      <c r="L166" s="25"/>
      <c r="M166" s="25"/>
      <c r="N166" s="25"/>
      <c r="O166" s="25"/>
      <c r="P166" s="25"/>
      <c r="Q166" s="25"/>
      <c r="R166" s="25"/>
      <c r="S166" s="25"/>
      <c r="T166" s="25"/>
      <c r="U166" s="25"/>
      <c r="V166" s="53">
        <v>0</v>
      </c>
      <c r="W166" s="25"/>
      <c r="X166" s="5"/>
    </row>
    <row r="167" spans="1:24" ht="15.6" x14ac:dyDescent="0.3">
      <c r="A167" s="24"/>
      <c r="B167" s="25" t="s">
        <v>53</v>
      </c>
      <c r="C167" s="25"/>
      <c r="D167" s="25"/>
      <c r="E167" s="25"/>
      <c r="F167" s="25"/>
      <c r="G167" s="25"/>
      <c r="H167" s="25"/>
      <c r="I167" s="25"/>
      <c r="J167" s="25"/>
      <c r="K167" s="25"/>
      <c r="L167" s="25"/>
      <c r="M167" s="25"/>
      <c r="N167" s="25"/>
      <c r="O167" s="25"/>
      <c r="P167" s="25"/>
      <c r="Q167" s="25"/>
      <c r="R167" s="25"/>
      <c r="S167" s="25"/>
      <c r="T167" s="25"/>
      <c r="U167" s="25"/>
      <c r="V167" s="53">
        <v>185</v>
      </c>
      <c r="W167" s="25"/>
      <c r="X167" s="5"/>
    </row>
    <row r="168" spans="1:24" ht="15.6" x14ac:dyDescent="0.3">
      <c r="A168" s="24"/>
      <c r="B168" s="25" t="s">
        <v>54</v>
      </c>
      <c r="C168" s="25"/>
      <c r="D168" s="25"/>
      <c r="E168" s="25"/>
      <c r="F168" s="25"/>
      <c r="G168" s="25"/>
      <c r="H168" s="25"/>
      <c r="I168" s="25"/>
      <c r="J168" s="25"/>
      <c r="K168" s="25"/>
      <c r="L168" s="25"/>
      <c r="M168" s="25"/>
      <c r="N168" s="25"/>
      <c r="O168" s="25"/>
      <c r="P168" s="25"/>
      <c r="Q168" s="25"/>
      <c r="R168" s="25"/>
      <c r="S168" s="25"/>
      <c r="T168" s="25"/>
      <c r="U168" s="25"/>
      <c r="V168" s="53">
        <f>V167+V166</f>
        <v>185</v>
      </c>
      <c r="W168" s="25"/>
      <c r="X168" s="5"/>
    </row>
    <row r="169" spans="1:24" ht="15.6" x14ac:dyDescent="0.3">
      <c r="A169" s="24"/>
      <c r="B169" s="391" t="s">
        <v>318</v>
      </c>
      <c r="C169" s="25"/>
      <c r="D169" s="25"/>
      <c r="E169" s="25"/>
      <c r="F169" s="25"/>
      <c r="G169" s="25"/>
      <c r="H169" s="25"/>
      <c r="I169" s="25"/>
      <c r="J169" s="25"/>
      <c r="K169" s="25"/>
      <c r="L169" s="25"/>
      <c r="M169" s="25"/>
      <c r="N169" s="25"/>
      <c r="O169" s="25"/>
      <c r="P169" s="25"/>
      <c r="Q169" s="25"/>
      <c r="R169" s="25"/>
      <c r="S169" s="25"/>
      <c r="T169" s="25"/>
      <c r="U169" s="25"/>
      <c r="V169" s="53">
        <f>V115</f>
        <v>-185</v>
      </c>
      <c r="W169" s="25"/>
      <c r="X169" s="5"/>
    </row>
    <row r="170" spans="1:24" ht="15.6" x14ac:dyDescent="0.3">
      <c r="A170" s="24"/>
      <c r="B170" s="25" t="s">
        <v>55</v>
      </c>
      <c r="C170" s="25"/>
      <c r="D170" s="25"/>
      <c r="E170" s="25"/>
      <c r="F170" s="25"/>
      <c r="G170" s="25"/>
      <c r="H170" s="25"/>
      <c r="I170" s="25"/>
      <c r="J170" s="25"/>
      <c r="K170" s="25"/>
      <c r="L170" s="25"/>
      <c r="M170" s="25"/>
      <c r="N170" s="25"/>
      <c r="O170" s="25"/>
      <c r="P170" s="25"/>
      <c r="Q170" s="25"/>
      <c r="R170" s="25"/>
      <c r="S170" s="25"/>
      <c r="T170" s="25"/>
      <c r="U170" s="25"/>
      <c r="V170" s="53">
        <f>V168+V169</f>
        <v>0</v>
      </c>
      <c r="W170" s="25"/>
      <c r="X170" s="5"/>
    </row>
    <row r="171" spans="1:24" ht="15.6" x14ac:dyDescent="0.3">
      <c r="A171" s="24"/>
      <c r="B171" s="25" t="s">
        <v>288</v>
      </c>
      <c r="C171" s="25"/>
      <c r="D171" s="25"/>
      <c r="E171" s="25"/>
      <c r="F171" s="25"/>
      <c r="G171" s="25"/>
      <c r="H171" s="25"/>
      <c r="I171" s="25"/>
      <c r="J171" s="25"/>
      <c r="K171" s="25"/>
      <c r="L171" s="25"/>
      <c r="M171" s="25"/>
      <c r="N171" s="25"/>
      <c r="O171" s="25"/>
      <c r="P171" s="25"/>
      <c r="Q171" s="25"/>
      <c r="R171" s="25"/>
      <c r="S171" s="25"/>
      <c r="T171" s="25"/>
      <c r="U171" s="25"/>
      <c r="V171" s="53">
        <f>-V100</f>
        <v>100</v>
      </c>
      <c r="W171" s="25"/>
      <c r="X171" s="5"/>
    </row>
    <row r="172" spans="1:24" ht="16.2" thickBot="1" x14ac:dyDescent="0.35">
      <c r="A172" s="24"/>
      <c r="B172" s="25"/>
      <c r="C172" s="25"/>
      <c r="D172" s="25"/>
      <c r="E172" s="25"/>
      <c r="F172" s="25"/>
      <c r="G172" s="25"/>
      <c r="H172" s="25"/>
      <c r="I172" s="25"/>
      <c r="J172" s="25"/>
      <c r="K172" s="25"/>
      <c r="L172" s="25"/>
      <c r="M172" s="25"/>
      <c r="N172" s="25"/>
      <c r="O172" s="25"/>
      <c r="P172" s="25"/>
      <c r="Q172" s="25"/>
      <c r="R172" s="25"/>
      <c r="S172" s="25"/>
      <c r="T172" s="25"/>
      <c r="U172" s="25"/>
      <c r="V172" s="61"/>
      <c r="W172" s="25"/>
      <c r="X172" s="5"/>
    </row>
    <row r="173" spans="1:24" ht="15.6" x14ac:dyDescent="0.3">
      <c r="A173" s="2"/>
      <c r="B173" s="4"/>
      <c r="C173" s="4"/>
      <c r="D173" s="4"/>
      <c r="E173" s="4"/>
      <c r="F173" s="4"/>
      <c r="G173" s="4"/>
      <c r="H173" s="4"/>
      <c r="I173" s="4"/>
      <c r="J173" s="4"/>
      <c r="K173" s="4"/>
      <c r="L173" s="4"/>
      <c r="M173" s="4"/>
      <c r="N173" s="4"/>
      <c r="O173" s="4"/>
      <c r="P173" s="4"/>
      <c r="Q173" s="4"/>
      <c r="R173" s="4"/>
      <c r="S173" s="4"/>
      <c r="T173" s="4"/>
      <c r="U173" s="4"/>
      <c r="V173" s="50"/>
      <c r="W173" s="4"/>
      <c r="X173" s="5"/>
    </row>
    <row r="174" spans="1:24" ht="15.6" x14ac:dyDescent="0.3">
      <c r="A174" s="6"/>
      <c r="B174" s="119" t="s">
        <v>56</v>
      </c>
      <c r="C174" s="8"/>
      <c r="D174" s="8"/>
      <c r="E174" s="8"/>
      <c r="F174" s="8"/>
      <c r="G174" s="8"/>
      <c r="H174" s="8"/>
      <c r="I174" s="8"/>
      <c r="J174" s="8"/>
      <c r="K174" s="8"/>
      <c r="L174" s="8"/>
      <c r="M174" s="8"/>
      <c r="N174" s="8"/>
      <c r="O174" s="8"/>
      <c r="P174" s="8"/>
      <c r="Q174" s="8"/>
      <c r="R174" s="8"/>
      <c r="S174" s="8"/>
      <c r="T174" s="8"/>
      <c r="U174" s="8"/>
      <c r="V174" s="52"/>
      <c r="W174" s="8"/>
      <c r="X174" s="5"/>
    </row>
    <row r="175" spans="1:24" ht="15.6" x14ac:dyDescent="0.3">
      <c r="A175" s="6"/>
      <c r="B175" s="21"/>
      <c r="C175" s="8"/>
      <c r="D175" s="8"/>
      <c r="E175" s="8"/>
      <c r="F175" s="8"/>
      <c r="G175" s="8"/>
      <c r="H175" s="8"/>
      <c r="I175" s="8"/>
      <c r="J175" s="8"/>
      <c r="K175" s="8"/>
      <c r="L175" s="8"/>
      <c r="M175" s="8"/>
      <c r="N175" s="8"/>
      <c r="O175" s="8"/>
      <c r="P175" s="8"/>
      <c r="Q175" s="8"/>
      <c r="R175" s="8"/>
      <c r="S175" s="8"/>
      <c r="T175" s="8"/>
      <c r="U175" s="8"/>
      <c r="V175" s="52"/>
      <c r="W175" s="8"/>
      <c r="X175" s="5"/>
    </row>
    <row r="176" spans="1:24" ht="15.6" x14ac:dyDescent="0.3">
      <c r="A176" s="24"/>
      <c r="B176" s="25" t="s">
        <v>57</v>
      </c>
      <c r="C176" s="25"/>
      <c r="D176" s="25"/>
      <c r="E176" s="25"/>
      <c r="F176" s="25"/>
      <c r="G176" s="25"/>
      <c r="H176" s="25"/>
      <c r="I176" s="25"/>
      <c r="J176" s="25"/>
      <c r="K176" s="25"/>
      <c r="L176" s="25"/>
      <c r="M176" s="25"/>
      <c r="N176" s="25"/>
      <c r="O176" s="25"/>
      <c r="P176" s="25"/>
      <c r="Q176" s="25"/>
      <c r="R176" s="25"/>
      <c r="S176" s="25"/>
      <c r="T176" s="25"/>
      <c r="U176" s="25"/>
      <c r="V176" s="53">
        <f>V72</f>
        <v>1052638</v>
      </c>
      <c r="W176" s="25"/>
      <c r="X176" s="5"/>
    </row>
    <row r="177" spans="1:24" ht="15.6" x14ac:dyDescent="0.3">
      <c r="A177" s="24"/>
      <c r="B177" s="25" t="s">
        <v>58</v>
      </c>
      <c r="C177" s="25"/>
      <c r="D177" s="25"/>
      <c r="E177" s="25"/>
      <c r="F177" s="25"/>
      <c r="G177" s="25"/>
      <c r="H177" s="25"/>
      <c r="I177" s="25"/>
      <c r="J177" s="25"/>
      <c r="K177" s="25"/>
      <c r="L177" s="25"/>
      <c r="M177" s="25"/>
      <c r="N177" s="25"/>
      <c r="O177" s="25"/>
      <c r="P177" s="25"/>
      <c r="Q177" s="25"/>
      <c r="R177" s="25"/>
      <c r="S177" s="25"/>
      <c r="T177" s="25"/>
      <c r="U177" s="25"/>
      <c r="V177" s="53">
        <f>V85</f>
        <v>1052638</v>
      </c>
      <c r="W177" s="25"/>
      <c r="X177" s="5"/>
    </row>
    <row r="178" spans="1:24" ht="16.2" thickBot="1" x14ac:dyDescent="0.35">
      <c r="A178" s="24"/>
      <c r="B178" s="25"/>
      <c r="C178" s="25"/>
      <c r="D178" s="25"/>
      <c r="E178" s="25"/>
      <c r="F178" s="25"/>
      <c r="G178" s="25"/>
      <c r="H178" s="25"/>
      <c r="I178" s="25"/>
      <c r="J178" s="25"/>
      <c r="K178" s="25"/>
      <c r="L178" s="25"/>
      <c r="M178" s="25"/>
      <c r="N178" s="25"/>
      <c r="O178" s="25"/>
      <c r="P178" s="25"/>
      <c r="Q178" s="25"/>
      <c r="R178" s="25"/>
      <c r="S178" s="25"/>
      <c r="T178" s="25"/>
      <c r="U178" s="25"/>
      <c r="V178" s="61"/>
      <c r="W178" s="25"/>
      <c r="X178" s="5"/>
    </row>
    <row r="179" spans="1:24" ht="15.6" x14ac:dyDescent="0.3">
      <c r="A179" s="2"/>
      <c r="B179" s="4"/>
      <c r="C179" s="4"/>
      <c r="D179" s="4"/>
      <c r="E179" s="4"/>
      <c r="F179" s="4"/>
      <c r="G179" s="4"/>
      <c r="H179" s="4"/>
      <c r="I179" s="4"/>
      <c r="J179" s="4"/>
      <c r="K179" s="4"/>
      <c r="L179" s="4"/>
      <c r="M179" s="4"/>
      <c r="N179" s="4"/>
      <c r="O179" s="4"/>
      <c r="P179" s="4"/>
      <c r="Q179" s="4"/>
      <c r="R179" s="4"/>
      <c r="S179" s="4"/>
      <c r="T179" s="4"/>
      <c r="U179" s="4"/>
      <c r="V179" s="50"/>
      <c r="W179" s="4"/>
      <c r="X179" s="5"/>
    </row>
    <row r="180" spans="1:24" ht="15.6" x14ac:dyDescent="0.3">
      <c r="A180" s="6"/>
      <c r="B180" s="119" t="s">
        <v>59</v>
      </c>
      <c r="C180" s="117"/>
      <c r="D180" s="117"/>
      <c r="E180" s="117"/>
      <c r="F180" s="117"/>
      <c r="G180" s="117"/>
      <c r="H180" s="120"/>
      <c r="I180" s="120"/>
      <c r="J180" s="120"/>
      <c r="K180" s="120"/>
      <c r="L180" s="120"/>
      <c r="M180" s="120"/>
      <c r="N180" s="120"/>
      <c r="O180" s="120"/>
      <c r="P180" s="120"/>
      <c r="Q180" s="120"/>
      <c r="R180" s="120"/>
      <c r="S180" s="120" t="s">
        <v>102</v>
      </c>
      <c r="T180" s="120" t="s">
        <v>179</v>
      </c>
      <c r="U180" s="111"/>
      <c r="V180" s="121" t="s">
        <v>117</v>
      </c>
      <c r="W180" s="10"/>
      <c r="X180" s="5"/>
    </row>
    <row r="181" spans="1:24" ht="15.6" x14ac:dyDescent="0.3">
      <c r="A181" s="24"/>
      <c r="B181" s="25" t="s">
        <v>60</v>
      </c>
      <c r="C181" s="25"/>
      <c r="D181" s="25"/>
      <c r="E181" s="25"/>
      <c r="F181" s="25"/>
      <c r="G181" s="25"/>
      <c r="H181" s="25"/>
      <c r="I181" s="25"/>
      <c r="J181" s="25"/>
      <c r="K181" s="25"/>
      <c r="L181" s="25"/>
      <c r="M181" s="25"/>
      <c r="N181" s="25"/>
      <c r="O181" s="25"/>
      <c r="P181" s="25"/>
      <c r="Q181" s="25"/>
      <c r="R181" s="25"/>
      <c r="S181" s="53">
        <f>+V34*0.16</f>
        <v>240030.4</v>
      </c>
      <c r="T181" s="40"/>
      <c r="U181" s="25"/>
      <c r="V181" s="53"/>
      <c r="W181" s="25"/>
      <c r="X181" s="5"/>
    </row>
    <row r="182" spans="1:24" ht="15.6" x14ac:dyDescent="0.3">
      <c r="A182" s="24"/>
      <c r="B182" s="25" t="s">
        <v>61</v>
      </c>
      <c r="C182" s="25"/>
      <c r="D182" s="25"/>
      <c r="E182" s="25"/>
      <c r="F182" s="25"/>
      <c r="G182" s="25"/>
      <c r="H182" s="25"/>
      <c r="I182" s="25"/>
      <c r="J182" s="25"/>
      <c r="K182" s="25"/>
      <c r="L182" s="25"/>
      <c r="M182" s="25"/>
      <c r="N182" s="25"/>
      <c r="O182" s="25"/>
      <c r="P182" s="25"/>
      <c r="Q182" s="25"/>
      <c r="R182" s="25"/>
      <c r="S182" s="53">
        <f>+'Dec 09'!S184</f>
        <v>42917</v>
      </c>
      <c r="T182" s="53">
        <f>+'Dec 09'!T184</f>
        <v>8427</v>
      </c>
      <c r="U182" s="25"/>
      <c r="V182" s="53">
        <f>S182+T182</f>
        <v>51344</v>
      </c>
      <c r="W182" s="25"/>
      <c r="X182" s="5"/>
    </row>
    <row r="183" spans="1:24" ht="15.6" x14ac:dyDescent="0.3">
      <c r="A183" s="24"/>
      <c r="B183" s="25" t="s">
        <v>62</v>
      </c>
      <c r="C183" s="25"/>
      <c r="D183" s="25"/>
      <c r="E183" s="25"/>
      <c r="F183" s="25"/>
      <c r="G183" s="25"/>
      <c r="H183" s="25"/>
      <c r="I183" s="25"/>
      <c r="J183" s="25"/>
      <c r="K183" s="25"/>
      <c r="L183" s="25"/>
      <c r="M183" s="25"/>
      <c r="N183" s="25"/>
      <c r="O183" s="25"/>
      <c r="P183" s="25"/>
      <c r="Q183" s="25"/>
      <c r="R183" s="25"/>
      <c r="S183" s="34">
        <f>235+371</f>
        <v>606</v>
      </c>
      <c r="T183" s="34">
        <v>64</v>
      </c>
      <c r="U183" s="25"/>
      <c r="V183" s="53">
        <f>S183+T183</f>
        <v>670</v>
      </c>
      <c r="W183" s="25"/>
      <c r="X183" s="5"/>
    </row>
    <row r="184" spans="1:24" ht="15.6" x14ac:dyDescent="0.3">
      <c r="A184" s="24"/>
      <c r="B184" s="25" t="s">
        <v>63</v>
      </c>
      <c r="C184" s="25"/>
      <c r="D184" s="25"/>
      <c r="E184" s="25"/>
      <c r="F184" s="25"/>
      <c r="G184" s="25"/>
      <c r="H184" s="25"/>
      <c r="I184" s="25"/>
      <c r="J184" s="25"/>
      <c r="K184" s="25"/>
      <c r="L184" s="25"/>
      <c r="M184" s="25"/>
      <c r="N184" s="25"/>
      <c r="O184" s="25"/>
      <c r="P184" s="25"/>
      <c r="Q184" s="25"/>
      <c r="R184" s="25"/>
      <c r="S184" s="53">
        <f>S182+S183</f>
        <v>43523</v>
      </c>
      <c r="T184" s="53">
        <f>T183+T182</f>
        <v>8491</v>
      </c>
      <c r="U184" s="25"/>
      <c r="V184" s="53">
        <f>S184+T184</f>
        <v>52014</v>
      </c>
      <c r="W184" s="25"/>
      <c r="X184" s="5"/>
    </row>
    <row r="185" spans="1:24" ht="15.6" x14ac:dyDescent="0.3">
      <c r="A185" s="24"/>
      <c r="B185" s="25" t="s">
        <v>64</v>
      </c>
      <c r="C185" s="25"/>
      <c r="D185" s="25"/>
      <c r="E185" s="25"/>
      <c r="F185" s="25"/>
      <c r="G185" s="25"/>
      <c r="H185" s="25"/>
      <c r="I185" s="25"/>
      <c r="J185" s="25"/>
      <c r="K185" s="25"/>
      <c r="L185" s="25"/>
      <c r="M185" s="25"/>
      <c r="N185" s="25"/>
      <c r="O185" s="25"/>
      <c r="P185" s="25"/>
      <c r="Q185" s="25"/>
      <c r="R185" s="25"/>
      <c r="S185" s="53">
        <f>S181-S184-T184</f>
        <v>188016.4</v>
      </c>
      <c r="T185" s="40"/>
      <c r="U185" s="25"/>
      <c r="V185" s="53"/>
      <c r="W185" s="25"/>
      <c r="X185" s="5"/>
    </row>
    <row r="186" spans="1:24" ht="16.2" thickBot="1" x14ac:dyDescent="0.35">
      <c r="A186" s="24"/>
      <c r="B186" s="25"/>
      <c r="C186" s="25"/>
      <c r="D186" s="25"/>
      <c r="E186" s="25"/>
      <c r="F186" s="25"/>
      <c r="G186" s="25"/>
      <c r="H186" s="25"/>
      <c r="I186" s="25"/>
      <c r="J186" s="25"/>
      <c r="K186" s="25"/>
      <c r="L186" s="25"/>
      <c r="M186" s="25"/>
      <c r="N186" s="25"/>
      <c r="O186" s="25"/>
      <c r="P186" s="25"/>
      <c r="Q186" s="25"/>
      <c r="R186" s="25"/>
      <c r="S186" s="25"/>
      <c r="T186" s="25"/>
      <c r="U186" s="25"/>
      <c r="V186" s="61"/>
      <c r="W186" s="25"/>
      <c r="X186" s="5"/>
    </row>
    <row r="187" spans="1:24" ht="15.6" x14ac:dyDescent="0.3">
      <c r="A187" s="2"/>
      <c r="B187" s="4"/>
      <c r="C187" s="4"/>
      <c r="D187" s="4"/>
      <c r="E187" s="4"/>
      <c r="F187" s="4"/>
      <c r="G187" s="4"/>
      <c r="H187" s="4"/>
      <c r="I187" s="4"/>
      <c r="J187" s="4"/>
      <c r="K187" s="4"/>
      <c r="L187" s="4"/>
      <c r="M187" s="4"/>
      <c r="N187" s="4"/>
      <c r="O187" s="4"/>
      <c r="P187" s="4"/>
      <c r="Q187" s="4"/>
      <c r="R187" s="4"/>
      <c r="S187" s="4"/>
      <c r="T187" s="4"/>
      <c r="U187" s="4"/>
      <c r="V187" s="50"/>
      <c r="W187" s="4"/>
      <c r="X187" s="5"/>
    </row>
    <row r="188" spans="1:24" ht="15.6" x14ac:dyDescent="0.3">
      <c r="A188" s="6"/>
      <c r="B188" s="119" t="s">
        <v>65</v>
      </c>
      <c r="C188" s="8"/>
      <c r="D188" s="8"/>
      <c r="E188" s="8"/>
      <c r="F188" s="8"/>
      <c r="G188" s="8"/>
      <c r="H188" s="8"/>
      <c r="I188" s="8"/>
      <c r="J188" s="8"/>
      <c r="K188" s="8"/>
      <c r="L188" s="8"/>
      <c r="M188" s="8"/>
      <c r="N188" s="8"/>
      <c r="O188" s="8"/>
      <c r="P188" s="8"/>
      <c r="Q188" s="8"/>
      <c r="R188" s="8"/>
      <c r="S188" s="8"/>
      <c r="T188" s="8"/>
      <c r="U188" s="8"/>
      <c r="V188" s="65"/>
      <c r="W188" s="8"/>
      <c r="X188" s="5"/>
    </row>
    <row r="189" spans="1:24" ht="15.6" x14ac:dyDescent="0.3">
      <c r="A189" s="24"/>
      <c r="B189" s="25" t="s">
        <v>66</v>
      </c>
      <c r="C189" s="25"/>
      <c r="D189" s="25"/>
      <c r="E189" s="25"/>
      <c r="F189" s="25"/>
      <c r="G189" s="25"/>
      <c r="H189" s="25"/>
      <c r="I189" s="25"/>
      <c r="J189" s="25"/>
      <c r="K189" s="25"/>
      <c r="L189" s="25"/>
      <c r="M189" s="25"/>
      <c r="N189" s="25"/>
      <c r="O189" s="25"/>
      <c r="P189" s="25"/>
      <c r="Q189" s="25"/>
      <c r="R189" s="25"/>
      <c r="S189" s="25"/>
      <c r="T189" s="25"/>
      <c r="U189" s="25"/>
      <c r="V189" s="59">
        <f>(V101+V103+V104+V105+V106)/-(V107+V108)</f>
        <v>3.1314984709480123</v>
      </c>
      <c r="W189" s="25" t="s">
        <v>118</v>
      </c>
      <c r="X189" s="5"/>
    </row>
    <row r="190" spans="1:24" ht="15.6" x14ac:dyDescent="0.3">
      <c r="A190" s="24"/>
      <c r="B190" s="25" t="s">
        <v>67</v>
      </c>
      <c r="C190" s="25"/>
      <c r="D190" s="25"/>
      <c r="E190" s="25"/>
      <c r="F190" s="25"/>
      <c r="G190" s="25"/>
      <c r="H190" s="25"/>
      <c r="I190" s="25"/>
      <c r="J190" s="25"/>
      <c r="K190" s="25"/>
      <c r="L190" s="25"/>
      <c r="M190" s="25"/>
      <c r="N190" s="25"/>
      <c r="O190" s="25"/>
      <c r="P190" s="25"/>
      <c r="Q190" s="25"/>
      <c r="R190" s="25"/>
      <c r="S190" s="25"/>
      <c r="T190" s="25"/>
      <c r="U190" s="25"/>
      <c r="V190" s="66">
        <v>1.46</v>
      </c>
      <c r="W190" s="25" t="s">
        <v>118</v>
      </c>
      <c r="X190" s="5"/>
    </row>
    <row r="191" spans="1:24" ht="15.6" x14ac:dyDescent="0.3">
      <c r="A191" s="24"/>
      <c r="B191" s="25" t="s">
        <v>68</v>
      </c>
      <c r="C191" s="25"/>
      <c r="D191" s="25"/>
      <c r="E191" s="25"/>
      <c r="F191" s="25"/>
      <c r="G191" s="25"/>
      <c r="H191" s="25"/>
      <c r="I191" s="25"/>
      <c r="J191" s="25"/>
      <c r="K191" s="25"/>
      <c r="L191" s="25"/>
      <c r="M191" s="25"/>
      <c r="N191" s="25"/>
      <c r="O191" s="25"/>
      <c r="P191" s="25"/>
      <c r="Q191" s="25"/>
      <c r="R191" s="25"/>
      <c r="S191" s="25"/>
      <c r="T191" s="25"/>
      <c r="U191" s="25"/>
      <c r="V191" s="59">
        <f>(V101+V103+V104+V105+V106+V107+V108)/-(V110+V111)</f>
        <v>15.420353982300885</v>
      </c>
      <c r="W191" s="25" t="s">
        <v>118</v>
      </c>
      <c r="X191" s="5"/>
    </row>
    <row r="192" spans="1:24" ht="15.6" x14ac:dyDescent="0.3">
      <c r="A192" s="24"/>
      <c r="B192" s="25" t="s">
        <v>69</v>
      </c>
      <c r="C192" s="25"/>
      <c r="D192" s="25"/>
      <c r="E192" s="25"/>
      <c r="F192" s="25"/>
      <c r="G192" s="25"/>
      <c r="H192" s="25"/>
      <c r="I192" s="25"/>
      <c r="J192" s="25"/>
      <c r="K192" s="25"/>
      <c r="L192" s="25"/>
      <c r="M192" s="25"/>
      <c r="N192" s="25"/>
      <c r="O192" s="25"/>
      <c r="P192" s="25"/>
      <c r="Q192" s="25"/>
      <c r="R192" s="25"/>
      <c r="S192" s="25"/>
      <c r="T192" s="25"/>
      <c r="U192" s="25"/>
      <c r="V192" s="66">
        <v>4.5999999999999996</v>
      </c>
      <c r="W192" s="25" t="s">
        <v>118</v>
      </c>
      <c r="X192" s="5"/>
    </row>
    <row r="193" spans="1:24" ht="15.6" x14ac:dyDescent="0.3">
      <c r="A193" s="24"/>
      <c r="B193" s="25" t="s">
        <v>201</v>
      </c>
      <c r="C193" s="25"/>
      <c r="D193" s="25"/>
      <c r="E193" s="25"/>
      <c r="F193" s="25"/>
      <c r="G193" s="25"/>
      <c r="H193" s="25"/>
      <c r="I193" s="25"/>
      <c r="J193" s="25"/>
      <c r="K193" s="25"/>
      <c r="L193" s="25"/>
      <c r="M193" s="25"/>
      <c r="N193" s="25"/>
      <c r="O193" s="25"/>
      <c r="P193" s="25"/>
      <c r="Q193" s="25"/>
      <c r="R193" s="25"/>
      <c r="S193" s="25"/>
      <c r="T193" s="25"/>
      <c r="U193" s="25"/>
      <c r="V193" s="59">
        <f>(V101+V103+V104+V105+V106+V107+V108+V110+V111)/-(V112+V113)</f>
        <v>19.170588235294119</v>
      </c>
      <c r="W193" s="25" t="s">
        <v>118</v>
      </c>
      <c r="X193" s="5"/>
    </row>
    <row r="194" spans="1:24" ht="15.6" x14ac:dyDescent="0.3">
      <c r="A194" s="24"/>
      <c r="B194" s="25" t="s">
        <v>202</v>
      </c>
      <c r="C194" s="25"/>
      <c r="D194" s="25"/>
      <c r="E194" s="25"/>
      <c r="F194" s="25"/>
      <c r="G194" s="25"/>
      <c r="H194" s="25"/>
      <c r="I194" s="25"/>
      <c r="J194" s="25"/>
      <c r="K194" s="25"/>
      <c r="L194" s="25"/>
      <c r="M194" s="25"/>
      <c r="N194" s="25"/>
      <c r="O194" s="25"/>
      <c r="P194" s="25"/>
      <c r="Q194" s="25"/>
      <c r="R194" s="25"/>
      <c r="S194" s="25"/>
      <c r="T194" s="25"/>
      <c r="U194" s="25"/>
      <c r="V194" s="66">
        <v>5.73</v>
      </c>
      <c r="W194" s="25" t="s">
        <v>118</v>
      </c>
      <c r="X194" s="5"/>
    </row>
    <row r="195" spans="1:24" ht="15.6" x14ac:dyDescent="0.3">
      <c r="A195" s="24"/>
      <c r="B195" s="25"/>
      <c r="C195" s="25"/>
      <c r="D195" s="25"/>
      <c r="E195" s="25"/>
      <c r="F195" s="25"/>
      <c r="G195" s="25"/>
      <c r="H195" s="25"/>
      <c r="I195" s="25"/>
      <c r="J195" s="25"/>
      <c r="K195" s="25"/>
      <c r="L195" s="25"/>
      <c r="M195" s="25"/>
      <c r="N195" s="25"/>
      <c r="O195" s="25"/>
      <c r="P195" s="25"/>
      <c r="Q195" s="25"/>
      <c r="R195" s="25"/>
      <c r="S195" s="25"/>
      <c r="T195" s="25"/>
      <c r="U195" s="25"/>
      <c r="V195" s="25"/>
      <c r="W195" s="25"/>
      <c r="X195" s="5"/>
    </row>
    <row r="196" spans="1:24" ht="15.6" x14ac:dyDescent="0.3">
      <c r="A196" s="24"/>
      <c r="B196" s="25"/>
      <c r="C196" s="25"/>
      <c r="D196" s="25"/>
      <c r="E196" s="25"/>
      <c r="F196" s="25"/>
      <c r="G196" s="25"/>
      <c r="H196" s="25"/>
      <c r="I196" s="25"/>
      <c r="J196" s="25"/>
      <c r="K196" s="25"/>
      <c r="L196" s="25"/>
      <c r="M196" s="25"/>
      <c r="N196" s="25"/>
      <c r="O196" s="25"/>
      <c r="P196" s="25"/>
      <c r="Q196" s="25"/>
      <c r="R196" s="25"/>
      <c r="S196" s="25"/>
      <c r="T196" s="25"/>
      <c r="U196" s="25"/>
      <c r="V196" s="25"/>
      <c r="W196" s="25"/>
      <c r="X196" s="5"/>
    </row>
    <row r="197" spans="1:24" ht="15.6" x14ac:dyDescent="0.3">
      <c r="A197" s="6"/>
      <c r="B197" s="8"/>
      <c r="C197" s="8"/>
      <c r="D197" s="8"/>
      <c r="E197" s="8"/>
      <c r="F197" s="8"/>
      <c r="G197" s="8"/>
      <c r="H197" s="8"/>
      <c r="I197" s="8"/>
      <c r="J197" s="8"/>
      <c r="K197" s="8"/>
      <c r="L197" s="8"/>
      <c r="M197" s="8"/>
      <c r="N197" s="8"/>
      <c r="O197" s="8"/>
      <c r="P197" s="8"/>
      <c r="Q197" s="8"/>
      <c r="R197" s="8"/>
      <c r="S197" s="8"/>
      <c r="T197" s="8"/>
      <c r="U197" s="8"/>
      <c r="V197" s="8"/>
      <c r="W197" s="8"/>
      <c r="X197" s="5"/>
    </row>
    <row r="198" spans="1:24" ht="18" thickBot="1" x14ac:dyDescent="0.35">
      <c r="A198" s="101"/>
      <c r="B198" s="102" t="str">
        <f>B138</f>
        <v>PM13 INVESTOR REPORT QUARTER ENDING MARCH 2010</v>
      </c>
      <c r="C198" s="165"/>
      <c r="D198" s="165"/>
      <c r="E198" s="165"/>
      <c r="F198" s="165"/>
      <c r="G198" s="165"/>
      <c r="H198" s="165"/>
      <c r="I198" s="165"/>
      <c r="J198" s="165"/>
      <c r="K198" s="165"/>
      <c r="L198" s="165"/>
      <c r="M198" s="165"/>
      <c r="N198" s="165"/>
      <c r="O198" s="165"/>
      <c r="P198" s="165"/>
      <c r="Q198" s="165"/>
      <c r="R198" s="165"/>
      <c r="S198" s="165"/>
      <c r="T198" s="165"/>
      <c r="U198" s="165"/>
      <c r="V198" s="165"/>
      <c r="W198" s="166"/>
      <c r="X198" s="5"/>
    </row>
    <row r="199" spans="1:24" ht="15.6" x14ac:dyDescent="0.3">
      <c r="A199" s="67"/>
      <c r="B199" s="60" t="s">
        <v>70</v>
      </c>
      <c r="C199" s="68"/>
      <c r="D199" s="68"/>
      <c r="E199" s="68"/>
      <c r="F199" s="68"/>
      <c r="G199" s="69"/>
      <c r="H199" s="69"/>
      <c r="I199" s="69"/>
      <c r="J199" s="69"/>
      <c r="K199" s="69"/>
      <c r="L199" s="69"/>
      <c r="M199" s="69"/>
      <c r="N199" s="69"/>
      <c r="O199" s="69"/>
      <c r="P199" s="69"/>
      <c r="Q199" s="69"/>
      <c r="R199" s="69"/>
      <c r="S199" s="69"/>
      <c r="T199" s="70">
        <v>40268</v>
      </c>
      <c r="U199" s="4"/>
      <c r="V199" s="4"/>
      <c r="W199" s="4"/>
      <c r="X199" s="5"/>
    </row>
    <row r="200" spans="1:24" ht="15.6" x14ac:dyDescent="0.3">
      <c r="A200" s="71"/>
      <c r="B200" s="72"/>
      <c r="C200" s="73"/>
      <c r="D200" s="73"/>
      <c r="E200" s="73"/>
      <c r="F200" s="73"/>
      <c r="G200" s="74"/>
      <c r="H200" s="74"/>
      <c r="I200" s="74"/>
      <c r="J200" s="74"/>
      <c r="K200" s="74"/>
      <c r="L200" s="74"/>
      <c r="M200" s="74"/>
      <c r="N200" s="74"/>
      <c r="O200" s="74"/>
      <c r="P200" s="74"/>
      <c r="Q200" s="74"/>
      <c r="R200" s="74"/>
      <c r="S200" s="74"/>
      <c r="T200" s="74"/>
      <c r="U200" s="8"/>
      <c r="V200" s="8"/>
      <c r="W200" s="8"/>
      <c r="X200" s="5"/>
    </row>
    <row r="201" spans="1:24" ht="15.6" x14ac:dyDescent="0.3">
      <c r="A201" s="75"/>
      <c r="B201" s="76" t="s">
        <v>71</v>
      </c>
      <c r="C201" s="77"/>
      <c r="D201" s="77"/>
      <c r="E201" s="77"/>
      <c r="F201" s="77"/>
      <c r="G201" s="64"/>
      <c r="H201" s="64"/>
      <c r="I201" s="64"/>
      <c r="J201" s="64"/>
      <c r="K201" s="64"/>
      <c r="L201" s="64"/>
      <c r="M201" s="64"/>
      <c r="N201" s="64"/>
      <c r="O201" s="64"/>
      <c r="P201" s="64"/>
      <c r="Q201" s="64"/>
      <c r="R201" s="64"/>
      <c r="S201" s="64"/>
      <c r="T201" s="78">
        <v>5.4539999999999998E-2</v>
      </c>
      <c r="U201" s="25"/>
      <c r="V201" s="25"/>
      <c r="W201" s="25"/>
      <c r="X201" s="5"/>
    </row>
    <row r="202" spans="1:24" ht="15.6" x14ac:dyDescent="0.3">
      <c r="A202" s="75"/>
      <c r="B202" s="76" t="s">
        <v>154</v>
      </c>
      <c r="C202" s="77"/>
      <c r="D202" s="77"/>
      <c r="E202" s="77"/>
      <c r="F202" s="77"/>
      <c r="G202" s="64"/>
      <c r="H202" s="64"/>
      <c r="I202" s="64"/>
      <c r="J202" s="64"/>
      <c r="K202" s="64"/>
      <c r="L202" s="64"/>
      <c r="M202" s="64"/>
      <c r="N202" s="64"/>
      <c r="O202" s="64"/>
      <c r="P202" s="64"/>
      <c r="Q202" s="64"/>
      <c r="R202" s="64"/>
      <c r="S202" s="64"/>
      <c r="T202" s="39">
        <f>'Dec 06'!T199</f>
        <v>5.238600504269459E-2</v>
      </c>
      <c r="U202" s="25"/>
      <c r="V202" s="25"/>
      <c r="W202" s="25"/>
      <c r="X202" s="5"/>
    </row>
    <row r="203" spans="1:24" ht="15.6" x14ac:dyDescent="0.3">
      <c r="A203" s="75"/>
      <c r="B203" s="76" t="s">
        <v>72</v>
      </c>
      <c r="C203" s="77"/>
      <c r="D203" s="77"/>
      <c r="E203" s="77"/>
      <c r="F203" s="77"/>
      <c r="G203" s="64"/>
      <c r="H203" s="64"/>
      <c r="I203" s="64"/>
      <c r="J203" s="64"/>
      <c r="K203" s="64"/>
      <c r="L203" s="64"/>
      <c r="M203" s="64"/>
      <c r="N203" s="64"/>
      <c r="O203" s="64"/>
      <c r="P203" s="64"/>
      <c r="Q203" s="64"/>
      <c r="R203" s="64"/>
      <c r="S203" s="64"/>
      <c r="T203" s="78">
        <f>+T201-T202</f>
        <v>2.1539949573054079E-3</v>
      </c>
      <c r="U203" s="25"/>
      <c r="V203" s="25"/>
      <c r="W203" s="25"/>
      <c r="X203" s="5"/>
    </row>
    <row r="204" spans="1:24" ht="15.6" x14ac:dyDescent="0.3">
      <c r="A204" s="75"/>
      <c r="B204" s="76" t="s">
        <v>73</v>
      </c>
      <c r="C204" s="77"/>
      <c r="D204" s="77"/>
      <c r="E204" s="77"/>
      <c r="F204" s="77"/>
      <c r="G204" s="64"/>
      <c r="H204" s="64"/>
      <c r="I204" s="64"/>
      <c r="J204" s="64"/>
      <c r="K204" s="64"/>
      <c r="L204" s="64"/>
      <c r="M204" s="64"/>
      <c r="N204" s="64"/>
      <c r="O204" s="64"/>
      <c r="P204" s="64"/>
      <c r="Q204" s="64"/>
      <c r="R204" s="64"/>
      <c r="S204" s="64"/>
      <c r="T204" s="78">
        <v>2.613E-2</v>
      </c>
      <c r="U204" s="25"/>
      <c r="V204" s="25"/>
      <c r="W204" s="25"/>
      <c r="X204" s="5"/>
    </row>
    <row r="205" spans="1:24" ht="15.6" x14ac:dyDescent="0.3">
      <c r="A205" s="75"/>
      <c r="B205" s="76" t="s">
        <v>222</v>
      </c>
      <c r="C205" s="77"/>
      <c r="D205" s="77"/>
      <c r="E205" s="77"/>
      <c r="F205" s="77"/>
      <c r="G205" s="64"/>
      <c r="H205" s="64"/>
      <c r="I205" s="64"/>
      <c r="J205" s="64"/>
      <c r="K205" s="64"/>
      <c r="L205" s="64"/>
      <c r="M205" s="64"/>
      <c r="N205" s="64"/>
      <c r="O205" s="64"/>
      <c r="P205" s="64"/>
      <c r="Q205" s="64"/>
      <c r="R205" s="64"/>
      <c r="S205" s="64"/>
      <c r="T205" s="78">
        <f>V43</f>
        <v>7.7688665920796641E-3</v>
      </c>
      <c r="U205" s="25"/>
      <c r="V205" s="25"/>
      <c r="W205" s="25"/>
      <c r="X205" s="5"/>
    </row>
    <row r="206" spans="1:24" ht="15.6" x14ac:dyDescent="0.3">
      <c r="A206" s="75"/>
      <c r="B206" s="76" t="s">
        <v>74</v>
      </c>
      <c r="C206" s="77"/>
      <c r="D206" s="77"/>
      <c r="E206" s="77"/>
      <c r="F206" s="77"/>
      <c r="G206" s="64"/>
      <c r="H206" s="64"/>
      <c r="I206" s="64"/>
      <c r="J206" s="64"/>
      <c r="K206" s="64"/>
      <c r="L206" s="64"/>
      <c r="M206" s="64"/>
      <c r="N206" s="64"/>
      <c r="O206" s="64"/>
      <c r="P206" s="64"/>
      <c r="Q206" s="64"/>
      <c r="R206" s="64"/>
      <c r="S206" s="64"/>
      <c r="T206" s="78">
        <f>T204-T205</f>
        <v>1.8361133407920338E-2</v>
      </c>
      <c r="U206" s="25"/>
      <c r="V206" s="25"/>
      <c r="W206" s="25"/>
      <c r="X206" s="5"/>
    </row>
    <row r="207" spans="1:24" ht="15.6" x14ac:dyDescent="0.3">
      <c r="A207" s="75"/>
      <c r="B207" s="76" t="s">
        <v>274</v>
      </c>
      <c r="C207" s="77"/>
      <c r="D207" s="77"/>
      <c r="E207" s="77"/>
      <c r="F207" s="77"/>
      <c r="G207" s="64"/>
      <c r="H207" s="64"/>
      <c r="I207" s="64"/>
      <c r="J207" s="64"/>
      <c r="K207" s="64"/>
      <c r="L207" s="64"/>
      <c r="M207" s="64"/>
      <c r="N207" s="64"/>
      <c r="O207" s="64"/>
      <c r="P207" s="64"/>
      <c r="Q207" s="64"/>
      <c r="R207" s="64"/>
      <c r="S207" s="64"/>
      <c r="T207" s="78">
        <f>+V101/N72</f>
        <v>6.5612118811134061E-3</v>
      </c>
      <c r="U207" s="25"/>
      <c r="V207" s="25"/>
      <c r="W207" s="25"/>
      <c r="X207" s="5"/>
    </row>
    <row r="208" spans="1:24" ht="15.6" x14ac:dyDescent="0.3">
      <c r="A208" s="75"/>
      <c r="B208" s="76" t="s">
        <v>211</v>
      </c>
      <c r="C208" s="77"/>
      <c r="D208" s="77"/>
      <c r="E208" s="77"/>
      <c r="F208" s="77"/>
      <c r="G208" s="64"/>
      <c r="H208" s="64"/>
      <c r="I208" s="64"/>
      <c r="J208" s="64"/>
      <c r="K208" s="64"/>
      <c r="L208" s="64"/>
      <c r="M208" s="64"/>
      <c r="N208" s="64"/>
      <c r="O208" s="64"/>
      <c r="P208" s="64"/>
      <c r="Q208" s="64"/>
      <c r="R208" s="64"/>
      <c r="S208" s="64"/>
      <c r="T208" s="129">
        <v>50771</v>
      </c>
      <c r="U208" s="25"/>
      <c r="V208" s="25"/>
      <c r="W208" s="25"/>
      <c r="X208" s="5"/>
    </row>
    <row r="209" spans="1:24" ht="15.6" x14ac:dyDescent="0.3">
      <c r="A209" s="75"/>
      <c r="B209" s="76" t="s">
        <v>212</v>
      </c>
      <c r="C209" s="77"/>
      <c r="D209" s="77"/>
      <c r="E209" s="77"/>
      <c r="F209" s="77"/>
      <c r="G209" s="64"/>
      <c r="H209" s="64"/>
      <c r="I209" s="64"/>
      <c r="J209" s="64"/>
      <c r="K209" s="64"/>
      <c r="L209" s="64"/>
      <c r="M209" s="64"/>
      <c r="N209" s="64"/>
      <c r="O209" s="64"/>
      <c r="P209" s="64"/>
      <c r="Q209" s="64"/>
      <c r="R209" s="64"/>
      <c r="S209" s="64"/>
      <c r="T209" s="129">
        <v>50771</v>
      </c>
      <c r="U209" s="25"/>
      <c r="V209" s="25"/>
      <c r="W209" s="25"/>
      <c r="X209" s="5"/>
    </row>
    <row r="210" spans="1:24" ht="15.6" x14ac:dyDescent="0.3">
      <c r="A210" s="75"/>
      <c r="B210" s="76" t="s">
        <v>213</v>
      </c>
      <c r="C210" s="77"/>
      <c r="D210" s="77"/>
      <c r="E210" s="77"/>
      <c r="F210" s="77"/>
      <c r="G210" s="64"/>
      <c r="H210" s="64"/>
      <c r="I210" s="64"/>
      <c r="J210" s="64"/>
      <c r="K210" s="64"/>
      <c r="L210" s="64"/>
      <c r="M210" s="64"/>
      <c r="N210" s="64"/>
      <c r="O210" s="64"/>
      <c r="P210" s="64"/>
      <c r="Q210" s="64"/>
      <c r="R210" s="64"/>
      <c r="S210" s="64"/>
      <c r="T210" s="129">
        <v>50771</v>
      </c>
      <c r="U210" s="25"/>
      <c r="V210" s="25"/>
      <c r="W210" s="25"/>
      <c r="X210" s="5"/>
    </row>
    <row r="211" spans="1:24" ht="15.6" x14ac:dyDescent="0.3">
      <c r="A211" s="75"/>
      <c r="B211" s="76" t="s">
        <v>75</v>
      </c>
      <c r="C211" s="77"/>
      <c r="D211" s="77"/>
      <c r="E211" s="77"/>
      <c r="F211" s="77"/>
      <c r="G211" s="64"/>
      <c r="H211" s="64"/>
      <c r="I211" s="64"/>
      <c r="J211" s="64"/>
      <c r="K211" s="64"/>
      <c r="L211" s="64"/>
      <c r="M211" s="64"/>
      <c r="N211" s="64"/>
      <c r="O211" s="64"/>
      <c r="P211" s="64"/>
      <c r="Q211" s="64"/>
      <c r="R211" s="64"/>
      <c r="S211" s="64"/>
      <c r="T211" s="133">
        <v>20.66</v>
      </c>
      <c r="U211" s="25" t="s">
        <v>113</v>
      </c>
      <c r="V211" s="25"/>
      <c r="W211" s="25"/>
      <c r="X211" s="5"/>
    </row>
    <row r="212" spans="1:24" ht="15.6" x14ac:dyDescent="0.3">
      <c r="A212" s="75"/>
      <c r="B212" s="76" t="s">
        <v>76</v>
      </c>
      <c r="C212" s="77"/>
      <c r="D212" s="77"/>
      <c r="E212" s="77"/>
      <c r="F212" s="77"/>
      <c r="G212" s="64"/>
      <c r="H212" s="64"/>
      <c r="I212" s="64"/>
      <c r="J212" s="64"/>
      <c r="K212" s="64"/>
      <c r="L212" s="64"/>
      <c r="M212" s="64"/>
      <c r="N212" s="64"/>
      <c r="O212" s="64"/>
      <c r="P212" s="64"/>
      <c r="Q212" s="64"/>
      <c r="R212" s="64"/>
      <c r="S212" s="64"/>
      <c r="T212" s="133">
        <v>17.53</v>
      </c>
      <c r="U212" s="25" t="s">
        <v>113</v>
      </c>
      <c r="V212" s="25"/>
      <c r="W212" s="25"/>
      <c r="X212" s="5"/>
    </row>
    <row r="213" spans="1:24" ht="15.6" x14ac:dyDescent="0.3">
      <c r="A213" s="75"/>
      <c r="B213" s="76" t="s">
        <v>77</v>
      </c>
      <c r="C213" s="77"/>
      <c r="D213" s="77"/>
      <c r="E213" s="77"/>
      <c r="F213" s="77"/>
      <c r="G213" s="64"/>
      <c r="H213" s="64"/>
      <c r="I213" s="64"/>
      <c r="J213" s="64"/>
      <c r="K213" s="64"/>
      <c r="L213" s="64"/>
      <c r="M213" s="64"/>
      <c r="N213" s="64"/>
      <c r="O213" s="64"/>
      <c r="P213" s="64"/>
      <c r="Q213" s="64"/>
      <c r="R213" s="64"/>
      <c r="S213" s="64"/>
      <c r="T213" s="78">
        <f>+P69/N69</f>
        <v>8.4448720488223585E-3</v>
      </c>
      <c r="U213" s="25"/>
      <c r="V213" s="25"/>
      <c r="W213" s="25"/>
      <c r="X213" s="5"/>
    </row>
    <row r="214" spans="1:24" ht="15.6" x14ac:dyDescent="0.3">
      <c r="A214" s="75"/>
      <c r="B214" s="76" t="s">
        <v>78</v>
      </c>
      <c r="C214" s="77"/>
      <c r="D214" s="77"/>
      <c r="E214" s="77"/>
      <c r="F214" s="77"/>
      <c r="G214" s="64"/>
      <c r="H214" s="64"/>
      <c r="I214" s="64"/>
      <c r="J214" s="64"/>
      <c r="K214" s="64"/>
      <c r="L214" s="64"/>
      <c r="M214" s="64"/>
      <c r="N214" s="64"/>
      <c r="O214" s="64"/>
      <c r="P214" s="64"/>
      <c r="Q214" s="64"/>
      <c r="R214" s="64"/>
      <c r="S214" s="64"/>
      <c r="T214" s="78">
        <v>0.1124</v>
      </c>
      <c r="U214" s="25"/>
      <c r="V214" s="25"/>
      <c r="W214" s="25"/>
      <c r="X214" s="5"/>
    </row>
    <row r="215" spans="1:24" ht="15.6" x14ac:dyDescent="0.3">
      <c r="A215" s="75"/>
      <c r="B215" s="76"/>
      <c r="C215" s="76"/>
      <c r="D215" s="76"/>
      <c r="E215" s="76"/>
      <c r="F215" s="76"/>
      <c r="G215" s="25"/>
      <c r="H215" s="25"/>
      <c r="I215" s="25"/>
      <c r="J215" s="25"/>
      <c r="K215" s="25"/>
      <c r="L215" s="25"/>
      <c r="M215" s="25"/>
      <c r="N215" s="25"/>
      <c r="O215" s="25"/>
      <c r="P215" s="25"/>
      <c r="Q215" s="25"/>
      <c r="R215" s="25"/>
      <c r="S215" s="25"/>
      <c r="T215" s="61"/>
      <c r="U215" s="25"/>
      <c r="V215" s="79"/>
      <c r="W215" s="25"/>
      <c r="X215" s="5"/>
    </row>
    <row r="216" spans="1:24" ht="15.6" x14ac:dyDescent="0.3">
      <c r="A216" s="80"/>
      <c r="B216" s="14" t="s">
        <v>79</v>
      </c>
      <c r="C216" s="81"/>
      <c r="D216" s="81"/>
      <c r="E216" s="81"/>
      <c r="F216" s="82"/>
      <c r="G216" s="81"/>
      <c r="H216" s="17"/>
      <c r="I216" s="17"/>
      <c r="J216" s="17"/>
      <c r="K216" s="17"/>
      <c r="L216" s="17"/>
      <c r="M216" s="17"/>
      <c r="N216" s="17"/>
      <c r="O216" s="17"/>
      <c r="P216" s="17"/>
      <c r="Q216" s="17"/>
      <c r="R216" s="17"/>
      <c r="S216" s="17" t="s">
        <v>103</v>
      </c>
      <c r="T216" s="83" t="s">
        <v>110</v>
      </c>
      <c r="U216" s="8"/>
      <c r="V216" s="8"/>
      <c r="W216" s="8"/>
      <c r="X216" s="5"/>
    </row>
    <row r="217" spans="1:24" ht="15.6" x14ac:dyDescent="0.3">
      <c r="A217" s="84"/>
      <c r="B217" s="76" t="s">
        <v>80</v>
      </c>
      <c r="C217" s="54"/>
      <c r="D217" s="54"/>
      <c r="E217" s="54"/>
      <c r="F217" s="25"/>
      <c r="G217" s="25"/>
      <c r="H217" s="30"/>
      <c r="I217" s="30"/>
      <c r="J217" s="30"/>
      <c r="K217" s="30"/>
      <c r="L217" s="30"/>
      <c r="M217" s="30"/>
      <c r="N217" s="30"/>
      <c r="O217" s="30"/>
      <c r="P217" s="30"/>
      <c r="Q217" s="30"/>
      <c r="R217" s="30"/>
      <c r="S217" s="30">
        <v>2</v>
      </c>
      <c r="T217" s="85">
        <v>209</v>
      </c>
      <c r="U217" s="25"/>
      <c r="V217" s="79"/>
      <c r="W217" s="86"/>
      <c r="X217" s="5"/>
    </row>
    <row r="218" spans="1:24" ht="15.6" x14ac:dyDescent="0.3">
      <c r="A218" s="84"/>
      <c r="B218" s="76" t="s">
        <v>148</v>
      </c>
      <c r="C218" s="54"/>
      <c r="D218" s="54"/>
      <c r="E218" s="54"/>
      <c r="F218" s="25"/>
      <c r="G218" s="25"/>
      <c r="H218" s="30"/>
      <c r="I218" s="30"/>
      <c r="J218" s="30"/>
      <c r="K218" s="30"/>
      <c r="L218" s="30"/>
      <c r="M218" s="30"/>
      <c r="N218" s="30"/>
      <c r="O218" s="30"/>
      <c r="P218" s="30"/>
      <c r="Q218" s="30"/>
      <c r="R218" s="30"/>
      <c r="S218" s="152">
        <f>+R258</f>
        <v>205</v>
      </c>
      <c r="T218" s="85">
        <f>+T258</f>
        <v>31075</v>
      </c>
      <c r="U218" s="25"/>
      <c r="V218" s="79"/>
      <c r="W218" s="86"/>
      <c r="X218" s="5"/>
    </row>
    <row r="219" spans="1:24" ht="15.6" x14ac:dyDescent="0.3">
      <c r="A219" s="84"/>
      <c r="B219" s="76" t="s">
        <v>81</v>
      </c>
      <c r="C219" s="54"/>
      <c r="D219" s="54"/>
      <c r="E219" s="54"/>
      <c r="F219" s="25"/>
      <c r="G219" s="25"/>
      <c r="H219" s="30"/>
      <c r="I219" s="30"/>
      <c r="J219" s="30"/>
      <c r="K219" s="30"/>
      <c r="L219" s="30"/>
      <c r="M219" s="30"/>
      <c r="N219" s="30"/>
      <c r="O219" s="30"/>
      <c r="P219" s="30"/>
      <c r="Q219" s="30"/>
      <c r="R219" s="30"/>
      <c r="S219" s="152">
        <v>0</v>
      </c>
      <c r="T219" s="85">
        <v>0</v>
      </c>
      <c r="U219" s="25"/>
      <c r="V219" s="79"/>
      <c r="W219" s="86"/>
      <c r="X219" s="5"/>
    </row>
    <row r="220" spans="1:24" ht="15.6" x14ac:dyDescent="0.3">
      <c r="A220" s="84"/>
      <c r="B220" s="122" t="s">
        <v>82</v>
      </c>
      <c r="C220" s="54"/>
      <c r="D220" s="54"/>
      <c r="E220" s="54"/>
      <c r="F220" s="25"/>
      <c r="G220" s="25"/>
      <c r="H220" s="25"/>
      <c r="I220" s="25"/>
      <c r="J220" s="25"/>
      <c r="K220" s="25"/>
      <c r="L220" s="25"/>
      <c r="M220" s="25"/>
      <c r="N220" s="25"/>
      <c r="O220" s="25"/>
      <c r="P220" s="25"/>
      <c r="Q220" s="25"/>
      <c r="R220" s="25"/>
      <c r="S220" s="25"/>
      <c r="T220" s="85">
        <v>0</v>
      </c>
      <c r="U220" s="25"/>
      <c r="V220" s="79"/>
      <c r="W220" s="86"/>
      <c r="X220" s="5"/>
    </row>
    <row r="221" spans="1:24" ht="15.6" x14ac:dyDescent="0.3">
      <c r="A221" s="84"/>
      <c r="B221" s="122" t="s">
        <v>275</v>
      </c>
      <c r="C221" s="54"/>
      <c r="D221" s="54"/>
      <c r="E221" s="54"/>
      <c r="F221" s="25"/>
      <c r="G221" s="25"/>
      <c r="H221" s="25"/>
      <c r="I221" s="25"/>
      <c r="J221" s="25"/>
      <c r="K221" s="25"/>
      <c r="L221" s="25"/>
      <c r="M221" s="25"/>
      <c r="N221" s="25"/>
      <c r="O221" s="25"/>
      <c r="P221" s="25"/>
      <c r="Q221" s="25"/>
      <c r="R221" s="25"/>
      <c r="S221" s="25"/>
      <c r="T221" s="85">
        <f>+N82</f>
        <v>0</v>
      </c>
      <c r="U221" s="25"/>
      <c r="V221" s="79"/>
      <c r="W221" s="86"/>
      <c r="X221" s="5"/>
    </row>
    <row r="222" spans="1:24" ht="15.6" x14ac:dyDescent="0.3">
      <c r="A222" s="87"/>
      <c r="B222" s="122" t="s">
        <v>83</v>
      </c>
      <c r="C222" s="76"/>
      <c r="D222" s="76"/>
      <c r="E222" s="76"/>
      <c r="F222" s="76"/>
      <c r="G222" s="25"/>
      <c r="H222" s="25"/>
      <c r="I222" s="25"/>
      <c r="J222" s="25"/>
      <c r="K222" s="25"/>
      <c r="L222" s="25"/>
      <c r="M222" s="25"/>
      <c r="N222" s="25"/>
      <c r="O222" s="25"/>
      <c r="P222" s="25"/>
      <c r="Q222" s="25"/>
      <c r="R222" s="25"/>
      <c r="S222" s="25"/>
      <c r="T222" s="85"/>
      <c r="U222" s="25"/>
      <c r="V222" s="79"/>
      <c r="W222" s="88"/>
      <c r="X222" s="5"/>
    </row>
    <row r="223" spans="1:24" ht="15.6" x14ac:dyDescent="0.3">
      <c r="A223" s="87"/>
      <c r="B223" s="131" t="s">
        <v>84</v>
      </c>
      <c r="C223" s="76"/>
      <c r="D223" s="76"/>
      <c r="E223" s="76"/>
      <c r="F223" s="76"/>
      <c r="G223" s="25"/>
      <c r="H223" s="25"/>
      <c r="I223" s="25"/>
      <c r="J223" s="25"/>
      <c r="K223" s="25"/>
      <c r="L223" s="25"/>
      <c r="M223" s="25"/>
      <c r="N223" s="25"/>
      <c r="O223" s="25"/>
      <c r="P223" s="25"/>
      <c r="Q223" s="25"/>
      <c r="R223" s="25"/>
      <c r="S223" s="30"/>
      <c r="T223" s="85">
        <f>V167</f>
        <v>185</v>
      </c>
      <c r="U223" s="25"/>
      <c r="V223" s="79"/>
      <c r="W223" s="88"/>
      <c r="X223" s="5"/>
    </row>
    <row r="224" spans="1:24" ht="15.6" x14ac:dyDescent="0.3">
      <c r="A224" s="84"/>
      <c r="B224" s="76" t="s">
        <v>85</v>
      </c>
      <c r="C224" s="54"/>
      <c r="D224" s="54"/>
      <c r="E224" s="54"/>
      <c r="F224" s="54"/>
      <c r="G224" s="25"/>
      <c r="H224" s="25"/>
      <c r="I224" s="25"/>
      <c r="J224" s="25"/>
      <c r="K224" s="25"/>
      <c r="L224" s="25"/>
      <c r="M224" s="25"/>
      <c r="N224" s="25"/>
      <c r="O224" s="25"/>
      <c r="P224" s="25"/>
      <c r="Q224" s="25"/>
      <c r="R224" s="25"/>
      <c r="S224" s="30"/>
      <c r="T224" s="85">
        <f>'Dec 09'!T224+T223</f>
        <v>888</v>
      </c>
      <c r="U224" s="25"/>
      <c r="V224" s="79"/>
      <c r="W224" s="88"/>
      <c r="X224" s="5"/>
    </row>
    <row r="225" spans="1:25" ht="15.6" x14ac:dyDescent="0.3">
      <c r="A225" s="87"/>
      <c r="B225" s="122" t="s">
        <v>297</v>
      </c>
      <c r="C225" s="76"/>
      <c r="D225" s="76"/>
      <c r="E225" s="76"/>
      <c r="F225" s="76"/>
      <c r="G225" s="25"/>
      <c r="H225" s="25"/>
      <c r="I225" s="25"/>
      <c r="J225" s="25"/>
      <c r="K225" s="25"/>
      <c r="L225" s="25"/>
      <c r="M225" s="25"/>
      <c r="N225" s="25"/>
      <c r="O225" s="25"/>
      <c r="P225" s="25"/>
      <c r="Q225" s="25"/>
      <c r="R225" s="25"/>
      <c r="S225" s="30"/>
      <c r="T225" s="85"/>
      <c r="U225" s="25"/>
      <c r="V225" s="79"/>
      <c r="W225" s="88"/>
      <c r="X225" s="5"/>
    </row>
    <row r="226" spans="1:25" ht="15.6" x14ac:dyDescent="0.3">
      <c r="A226" s="87"/>
      <c r="B226" s="76" t="s">
        <v>295</v>
      </c>
      <c r="C226" s="76"/>
      <c r="D226" s="76"/>
      <c r="E226" s="76"/>
      <c r="F226" s="76"/>
      <c r="G226" s="25"/>
      <c r="H226" s="25"/>
      <c r="I226" s="25"/>
      <c r="J226" s="25"/>
      <c r="K226" s="25"/>
      <c r="L226" s="25"/>
      <c r="M226" s="25"/>
      <c r="N226" s="25"/>
      <c r="O226" s="25"/>
      <c r="P226" s="25"/>
      <c r="Q226" s="25"/>
      <c r="R226" s="25"/>
      <c r="S226" s="30">
        <v>0</v>
      </c>
      <c r="T226" s="171">
        <v>0</v>
      </c>
      <c r="U226" s="25"/>
      <c r="V226" s="79"/>
      <c r="W226" s="88"/>
      <c r="X226" s="5"/>
    </row>
    <row r="227" spans="1:25" ht="15.6" x14ac:dyDescent="0.3">
      <c r="A227" s="84"/>
      <c r="B227" s="76" t="s">
        <v>87</v>
      </c>
      <c r="C227" s="89"/>
      <c r="D227" s="89"/>
      <c r="E227" s="89"/>
      <c r="F227" s="90"/>
      <c r="G227" s="25"/>
      <c r="H227" s="25"/>
      <c r="I227" s="25"/>
      <c r="J227" s="25"/>
      <c r="K227" s="25"/>
      <c r="L227" s="25"/>
      <c r="M227" s="25"/>
      <c r="N227" s="25"/>
      <c r="O227" s="25"/>
      <c r="P227" s="25"/>
      <c r="Q227" s="25"/>
      <c r="R227" s="25"/>
      <c r="S227" s="25"/>
      <c r="T227" s="172">
        <v>0</v>
      </c>
      <c r="U227" s="25"/>
      <c r="V227" s="79"/>
      <c r="W227" s="88"/>
      <c r="X227" s="5"/>
    </row>
    <row r="228" spans="1:25" ht="15.6" x14ac:dyDescent="0.3">
      <c r="A228" s="84"/>
      <c r="B228" s="76" t="s">
        <v>88</v>
      </c>
      <c r="C228" s="89"/>
      <c r="D228" s="89"/>
      <c r="E228" s="89"/>
      <c r="F228" s="90"/>
      <c r="G228" s="25"/>
      <c r="H228" s="25"/>
      <c r="I228" s="25"/>
      <c r="J228" s="25"/>
      <c r="K228" s="25"/>
      <c r="L228" s="25"/>
      <c r="M228" s="25"/>
      <c r="N228" s="25"/>
      <c r="O228" s="25"/>
      <c r="P228" s="25"/>
      <c r="Q228" s="25"/>
      <c r="R228" s="25"/>
      <c r="S228" s="25"/>
      <c r="T228" s="172">
        <v>0</v>
      </c>
      <c r="U228" s="25"/>
      <c r="V228" s="79"/>
      <c r="W228" s="88"/>
      <c r="X228" s="5"/>
    </row>
    <row r="229" spans="1:25" ht="15.6" x14ac:dyDescent="0.3">
      <c r="A229" s="84"/>
      <c r="B229" s="122" t="s">
        <v>220</v>
      </c>
      <c r="C229" s="89"/>
      <c r="D229" s="89"/>
      <c r="E229" s="89"/>
      <c r="F229" s="90"/>
      <c r="G229" s="25"/>
      <c r="H229" s="25"/>
      <c r="I229" s="25"/>
      <c r="J229" s="25"/>
      <c r="K229" s="25"/>
      <c r="L229" s="25"/>
      <c r="M229" s="25"/>
      <c r="N229" s="25"/>
      <c r="O229" s="25"/>
      <c r="P229" s="25"/>
      <c r="Q229" s="25"/>
      <c r="R229" s="25"/>
      <c r="S229" s="169"/>
      <c r="T229" s="170"/>
      <c r="U229" s="25"/>
      <c r="V229" s="79"/>
      <c r="W229" s="88"/>
      <c r="X229" s="5"/>
    </row>
    <row r="230" spans="1:25" ht="15.6" x14ac:dyDescent="0.3">
      <c r="A230" s="84"/>
      <c r="B230" s="76" t="s">
        <v>295</v>
      </c>
      <c r="C230" s="89"/>
      <c r="D230" s="89"/>
      <c r="E230" s="89"/>
      <c r="F230" s="90"/>
      <c r="G230" s="25"/>
      <c r="H230" s="25"/>
      <c r="I230" s="25"/>
      <c r="J230" s="25"/>
      <c r="K230" s="25"/>
      <c r="L230" s="25"/>
      <c r="M230" s="25"/>
      <c r="N230" s="25"/>
      <c r="O230" s="25"/>
      <c r="P230" s="25"/>
      <c r="Q230" s="25"/>
      <c r="R230" s="25"/>
      <c r="S230" s="30">
        <v>5</v>
      </c>
      <c r="T230" s="171">
        <v>853</v>
      </c>
      <c r="U230" s="25"/>
      <c r="V230" s="79"/>
      <c r="W230" s="88"/>
      <c r="X230" s="5"/>
    </row>
    <row r="231" spans="1:25" ht="15.6" x14ac:dyDescent="0.3">
      <c r="A231" s="84"/>
      <c r="B231" s="76" t="s">
        <v>221</v>
      </c>
      <c r="C231" s="89"/>
      <c r="D231" s="89"/>
      <c r="E231" s="89"/>
      <c r="F231" s="90"/>
      <c r="G231" s="25"/>
      <c r="H231" s="25"/>
      <c r="I231" s="25"/>
      <c r="J231" s="25"/>
      <c r="K231" s="25"/>
      <c r="L231" s="25"/>
      <c r="M231" s="25"/>
      <c r="N231" s="25"/>
      <c r="O231" s="25"/>
      <c r="P231" s="25"/>
      <c r="Q231" s="25"/>
      <c r="R231" s="25"/>
      <c r="S231" s="25"/>
      <c r="T231" s="172">
        <v>12.28</v>
      </c>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5.6" x14ac:dyDescent="0.3">
      <c r="A233" s="84"/>
      <c r="B233" s="76"/>
      <c r="C233" s="89"/>
      <c r="D233" s="89"/>
      <c r="E233" s="89"/>
      <c r="F233" s="90"/>
      <c r="G233" s="25"/>
      <c r="H233" s="25"/>
      <c r="I233" s="25"/>
      <c r="J233" s="25"/>
      <c r="K233" s="25"/>
      <c r="L233" s="25"/>
      <c r="M233" s="25"/>
      <c r="N233" s="25"/>
      <c r="O233" s="25"/>
      <c r="P233" s="25"/>
      <c r="Q233" s="25"/>
      <c r="R233" s="25"/>
      <c r="S233" s="25"/>
      <c r="T233" s="91"/>
      <c r="U233" s="25"/>
      <c r="V233" s="79"/>
      <c r="W233" s="88"/>
      <c r="X233" s="5"/>
    </row>
    <row r="234" spans="1:25" ht="17.399999999999999" x14ac:dyDescent="0.3">
      <c r="A234" s="84"/>
      <c r="B234" s="149" t="s">
        <v>171</v>
      </c>
      <c r="C234" s="89"/>
      <c r="D234" s="89"/>
      <c r="E234" s="89"/>
      <c r="F234" s="90"/>
      <c r="G234" s="25"/>
      <c r="H234" s="25"/>
      <c r="I234" s="25"/>
      <c r="J234" s="25"/>
      <c r="K234" s="25"/>
      <c r="L234" s="25"/>
      <c r="M234" s="25"/>
      <c r="N234" s="25"/>
      <c r="O234" s="25"/>
      <c r="P234" s="150" t="s">
        <v>170</v>
      </c>
      <c r="Q234" s="25"/>
      <c r="R234" s="25"/>
      <c r="S234" s="25"/>
      <c r="T234" s="91"/>
      <c r="U234" s="25"/>
      <c r="V234" s="79"/>
      <c r="W234" s="88"/>
      <c r="X234" s="5"/>
    </row>
    <row r="235" spans="1:25" ht="15.6" x14ac:dyDescent="0.3">
      <c r="A235" s="84"/>
      <c r="B235" s="76"/>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5" ht="15.6" x14ac:dyDescent="0.3">
      <c r="A236" s="6"/>
      <c r="B236" s="14" t="s">
        <v>165</v>
      </c>
      <c r="C236" s="81"/>
      <c r="D236" s="81"/>
      <c r="E236" s="81"/>
      <c r="F236" s="82"/>
      <c r="G236" s="81"/>
      <c r="H236" s="17"/>
      <c r="I236" s="17"/>
      <c r="J236" s="17"/>
      <c r="K236" s="17"/>
      <c r="L236" s="17"/>
      <c r="M236" s="17"/>
      <c r="N236" s="17"/>
      <c r="O236" s="17"/>
      <c r="P236" s="17"/>
      <c r="Q236" s="17"/>
      <c r="R236" s="83" t="s">
        <v>103</v>
      </c>
      <c r="S236" s="17" t="s">
        <v>104</v>
      </c>
      <c r="T236" s="83" t="s">
        <v>111</v>
      </c>
      <c r="U236" s="17" t="s">
        <v>104</v>
      </c>
      <c r="V236" s="8"/>
      <c r="W236" s="92"/>
      <c r="X236" s="5"/>
    </row>
    <row r="237" spans="1:25" ht="15.6" x14ac:dyDescent="0.3">
      <c r="A237" s="24"/>
      <c r="B237" s="54" t="s">
        <v>89</v>
      </c>
      <c r="C237" s="93"/>
      <c r="D237" s="93"/>
      <c r="E237" s="93"/>
      <c r="F237" s="25"/>
      <c r="G237" s="93"/>
      <c r="H237" s="93"/>
      <c r="I237" s="93"/>
      <c r="J237" s="93"/>
      <c r="K237" s="93"/>
      <c r="L237" s="93"/>
      <c r="M237" s="93"/>
      <c r="N237" s="93"/>
      <c r="O237" s="93"/>
      <c r="P237" s="93"/>
      <c r="Q237" s="93"/>
      <c r="R237" s="54">
        <v>8006</v>
      </c>
      <c r="S237" s="94">
        <f t="shared" ref="S237:S244" si="1">R237/$R$246</f>
        <v>0.99194647503407263</v>
      </c>
      <c r="T237" s="53">
        <v>1009593</v>
      </c>
      <c r="U237" s="132">
        <f t="shared" ref="U237:U244" si="2">T237/$T$246</f>
        <v>0.98828266098126105</v>
      </c>
      <c r="V237" s="79"/>
      <c r="W237" s="88"/>
      <c r="X237" s="5"/>
    </row>
    <row r="238" spans="1:25" ht="15.6" x14ac:dyDescent="0.3">
      <c r="A238" s="24"/>
      <c r="B238" s="54" t="s">
        <v>90</v>
      </c>
      <c r="C238" s="93"/>
      <c r="D238" s="93"/>
      <c r="E238" s="93"/>
      <c r="F238" s="25"/>
      <c r="G238" s="94"/>
      <c r="H238" s="93"/>
      <c r="I238" s="93"/>
      <c r="J238" s="93"/>
      <c r="K238" s="93"/>
      <c r="L238" s="93"/>
      <c r="M238" s="93"/>
      <c r="N238" s="93"/>
      <c r="O238" s="93"/>
      <c r="P238" s="93"/>
      <c r="Q238" s="93"/>
      <c r="R238" s="54">
        <v>41</v>
      </c>
      <c r="S238" s="94">
        <f t="shared" si="1"/>
        <v>5.0799157477388179E-3</v>
      </c>
      <c r="T238" s="53">
        <v>6475</v>
      </c>
      <c r="U238" s="132">
        <f t="shared" si="2"/>
        <v>6.3383266621833403E-3</v>
      </c>
      <c r="V238" s="79"/>
      <c r="W238" s="88"/>
      <c r="X238" s="5"/>
      <c r="Y238" s="109"/>
    </row>
    <row r="239" spans="1:25" ht="15.6" x14ac:dyDescent="0.3">
      <c r="A239" s="24"/>
      <c r="B239" s="54" t="s">
        <v>91</v>
      </c>
      <c r="C239" s="93"/>
      <c r="D239" s="93"/>
      <c r="E239" s="93"/>
      <c r="F239" s="25"/>
      <c r="G239" s="94"/>
      <c r="H239" s="93"/>
      <c r="I239" s="93"/>
      <c r="J239" s="93"/>
      <c r="K239" s="93"/>
      <c r="L239" s="93"/>
      <c r="M239" s="93"/>
      <c r="N239" s="93"/>
      <c r="O239" s="93"/>
      <c r="P239" s="93"/>
      <c r="Q239" s="93"/>
      <c r="R239" s="54">
        <v>16</v>
      </c>
      <c r="S239" s="94">
        <f t="shared" si="1"/>
        <v>1.982406145459051E-3</v>
      </c>
      <c r="T239" s="53">
        <v>4534</v>
      </c>
      <c r="U239" s="132">
        <f t="shared" si="2"/>
        <v>4.4382970017512379E-3</v>
      </c>
      <c r="V239" s="79"/>
      <c r="W239" s="88"/>
      <c r="X239" s="5"/>
    </row>
    <row r="240" spans="1:25" ht="15.6" x14ac:dyDescent="0.3">
      <c r="A240" s="24"/>
      <c r="B240" s="54" t="s">
        <v>159</v>
      </c>
      <c r="C240" s="93"/>
      <c r="D240" s="93"/>
      <c r="E240" s="93"/>
      <c r="F240" s="25"/>
      <c r="G240" s="94"/>
      <c r="H240" s="93"/>
      <c r="I240" s="93"/>
      <c r="J240" s="93"/>
      <c r="K240" s="93"/>
      <c r="L240" s="93"/>
      <c r="M240" s="93"/>
      <c r="N240" s="93"/>
      <c r="O240" s="93"/>
      <c r="P240" s="93"/>
      <c r="Q240" s="93"/>
      <c r="R240" s="54">
        <v>3</v>
      </c>
      <c r="S240" s="94">
        <f t="shared" si="1"/>
        <v>3.7170115227357206E-4</v>
      </c>
      <c r="T240" s="53">
        <v>393</v>
      </c>
      <c r="U240" s="132">
        <f t="shared" si="2"/>
        <v>3.8470461439969928E-4</v>
      </c>
      <c r="V240" s="79"/>
      <c r="W240" s="88"/>
      <c r="X240" s="5"/>
      <c r="Y240" s="109"/>
    </row>
    <row r="241" spans="1:25" ht="15.6" x14ac:dyDescent="0.3">
      <c r="A241" s="24"/>
      <c r="B241" s="54" t="s">
        <v>160</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row>
    <row r="242" spans="1:25" ht="15.6" x14ac:dyDescent="0.3">
      <c r="A242" s="24"/>
      <c r="B242" s="54" t="s">
        <v>161</v>
      </c>
      <c r="C242" s="93"/>
      <c r="D242" s="93"/>
      <c r="E242" s="93"/>
      <c r="F242" s="25"/>
      <c r="G242" s="94"/>
      <c r="H242" s="93"/>
      <c r="I242" s="93"/>
      <c r="J242" s="93"/>
      <c r="K242" s="93"/>
      <c r="L242" s="93"/>
      <c r="M242" s="93"/>
      <c r="N242" s="93"/>
      <c r="O242" s="93"/>
      <c r="P242" s="93"/>
      <c r="Q242" s="93"/>
      <c r="R242" s="54">
        <v>0</v>
      </c>
      <c r="S242" s="94">
        <f t="shared" si="1"/>
        <v>0</v>
      </c>
      <c r="T242" s="53">
        <v>0</v>
      </c>
      <c r="U242" s="132">
        <f t="shared" si="2"/>
        <v>0</v>
      </c>
      <c r="V242" s="79"/>
      <c r="W242" s="88"/>
      <c r="X242" s="5"/>
      <c r="Y242" s="109"/>
    </row>
    <row r="243" spans="1:25" ht="15.6" x14ac:dyDescent="0.3">
      <c r="A243" s="24"/>
      <c r="B243" s="54" t="s">
        <v>162</v>
      </c>
      <c r="C243" s="93"/>
      <c r="D243" s="93"/>
      <c r="E243" s="93"/>
      <c r="F243" s="25"/>
      <c r="G243" s="94"/>
      <c r="H243" s="93"/>
      <c r="I243" s="93"/>
      <c r="J243" s="93"/>
      <c r="K243" s="93"/>
      <c r="L243" s="93"/>
      <c r="M243" s="93"/>
      <c r="N243" s="93"/>
      <c r="O243" s="93"/>
      <c r="P243" s="93"/>
      <c r="Q243" s="93"/>
      <c r="R243" s="54">
        <v>1</v>
      </c>
      <c r="S243" s="94">
        <f t="shared" si="1"/>
        <v>1.2390038409119069E-4</v>
      </c>
      <c r="T243" s="53">
        <v>184</v>
      </c>
      <c r="U243" s="132">
        <f t="shared" si="2"/>
        <v>1.8011615534235285E-4</v>
      </c>
      <c r="V243" s="79"/>
      <c r="W243" s="88"/>
      <c r="X243" s="5"/>
    </row>
    <row r="244" spans="1:25" ht="15.6" x14ac:dyDescent="0.3">
      <c r="A244" s="24"/>
      <c r="B244" s="54" t="s">
        <v>163</v>
      </c>
      <c r="C244" s="93"/>
      <c r="D244" s="93"/>
      <c r="E244" s="93"/>
      <c r="F244" s="25"/>
      <c r="G244" s="94"/>
      <c r="H244" s="93"/>
      <c r="I244" s="93"/>
      <c r="J244" s="93"/>
      <c r="K244" s="93"/>
      <c r="L244" s="93"/>
      <c r="M244" s="93"/>
      <c r="N244" s="93"/>
      <c r="O244" s="93"/>
      <c r="P244" s="93"/>
      <c r="Q244" s="93"/>
      <c r="R244" s="54">
        <v>4</v>
      </c>
      <c r="S244" s="94">
        <f t="shared" si="1"/>
        <v>4.9560153636476274E-4</v>
      </c>
      <c r="T244" s="53">
        <v>384</v>
      </c>
      <c r="U244" s="132">
        <f t="shared" si="2"/>
        <v>3.758945850623016E-4</v>
      </c>
      <c r="V244" s="79"/>
      <c r="W244" s="88"/>
      <c r="X244" s="5"/>
      <c r="Y244" s="109"/>
    </row>
    <row r="245" spans="1:25" ht="15.6" x14ac:dyDescent="0.3">
      <c r="A245" s="24"/>
      <c r="B245" s="54"/>
      <c r="C245" s="93"/>
      <c r="D245" s="93"/>
      <c r="E245" s="93"/>
      <c r="F245" s="25"/>
      <c r="G245" s="94"/>
      <c r="H245" s="93"/>
      <c r="I245" s="93"/>
      <c r="J245" s="93"/>
      <c r="K245" s="93"/>
      <c r="L245" s="93"/>
      <c r="M245" s="93"/>
      <c r="N245" s="93"/>
      <c r="O245" s="93"/>
      <c r="P245" s="93"/>
      <c r="Q245" s="93"/>
      <c r="R245" s="54"/>
      <c r="S245" s="94"/>
      <c r="T245" s="53"/>
      <c r="U245" s="132"/>
      <c r="V245" s="79"/>
      <c r="W245" s="88"/>
      <c r="X245" s="5"/>
    </row>
    <row r="246" spans="1:25" ht="15.6" x14ac:dyDescent="0.3">
      <c r="A246" s="24"/>
      <c r="B246" s="25" t="s">
        <v>117</v>
      </c>
      <c r="C246" s="25"/>
      <c r="D246" s="25"/>
      <c r="E246" s="25"/>
      <c r="F246" s="25"/>
      <c r="G246" s="25"/>
      <c r="H246" s="95"/>
      <c r="I246" s="95"/>
      <c r="J246" s="95"/>
      <c r="K246" s="95"/>
      <c r="L246" s="95"/>
      <c r="M246" s="95"/>
      <c r="N246" s="95"/>
      <c r="O246" s="95"/>
      <c r="P246" s="95"/>
      <c r="Q246" s="95"/>
      <c r="R246" s="34">
        <f>SUM(R237:R245)</f>
        <v>8071</v>
      </c>
      <c r="S246" s="132">
        <f>SUM(S237:S245)</f>
        <v>1</v>
      </c>
      <c r="T246" s="53">
        <f>SUM(T237:T245)</f>
        <v>1021563</v>
      </c>
      <c r="U246" s="132">
        <f>SUM(U237:U245)</f>
        <v>0.99999999999999989</v>
      </c>
      <c r="V246" s="25"/>
      <c r="W246" s="25"/>
      <c r="X246" s="5"/>
    </row>
    <row r="247" spans="1:25" ht="15.6" x14ac:dyDescent="0.3">
      <c r="A247" s="24"/>
      <c r="B247" s="25"/>
      <c r="C247" s="25"/>
      <c r="D247" s="25"/>
      <c r="E247" s="25"/>
      <c r="F247" s="25"/>
      <c r="G247" s="25"/>
      <c r="H247" s="95"/>
      <c r="I247" s="95"/>
      <c r="J247" s="95"/>
      <c r="K247" s="95"/>
      <c r="L247" s="95"/>
      <c r="M247" s="95"/>
      <c r="N247" s="95"/>
      <c r="O247" s="95"/>
      <c r="P247" s="95"/>
      <c r="Q247" s="95"/>
      <c r="R247" s="34"/>
      <c r="S247" s="132"/>
      <c r="T247" s="53"/>
      <c r="U247" s="132"/>
      <c r="V247" s="25"/>
      <c r="W247" s="25"/>
      <c r="X247" s="5"/>
    </row>
    <row r="248" spans="1:25" ht="15.6" x14ac:dyDescent="0.3">
      <c r="A248" s="141"/>
      <c r="B248" s="14" t="s">
        <v>279</v>
      </c>
      <c r="C248" s="81"/>
      <c r="D248" s="81"/>
      <c r="E248" s="81"/>
      <c r="F248" s="82"/>
      <c r="G248" s="81"/>
      <c r="H248" s="17"/>
      <c r="I248" s="17"/>
      <c r="J248" s="17"/>
      <c r="K248" s="17"/>
      <c r="L248" s="17"/>
      <c r="M248" s="17"/>
      <c r="N248" s="17"/>
      <c r="O248" s="17"/>
      <c r="P248" s="17"/>
      <c r="Q248" s="17"/>
      <c r="R248" s="83" t="s">
        <v>103</v>
      </c>
      <c r="S248" s="17" t="s">
        <v>104</v>
      </c>
      <c r="T248" s="83" t="s">
        <v>111</v>
      </c>
      <c r="U248" s="17" t="s">
        <v>104</v>
      </c>
      <c r="V248" s="139"/>
      <c r="W248" s="140"/>
      <c r="X248" s="5"/>
    </row>
    <row r="249" spans="1:25" ht="15.6" x14ac:dyDescent="0.3">
      <c r="A249" s="24"/>
      <c r="B249" s="54" t="s">
        <v>89</v>
      </c>
      <c r="C249" s="93"/>
      <c r="D249" s="93"/>
      <c r="E249" s="93"/>
      <c r="F249" s="25"/>
      <c r="G249" s="93"/>
      <c r="H249" s="93"/>
      <c r="I249" s="93"/>
      <c r="J249" s="93"/>
      <c r="K249" s="93"/>
      <c r="L249" s="93"/>
      <c r="M249" s="93"/>
      <c r="N249" s="93"/>
      <c r="O249" s="93"/>
      <c r="P249" s="93"/>
      <c r="Q249" s="93"/>
      <c r="R249" s="54">
        <v>89</v>
      </c>
      <c r="S249" s="94">
        <f t="shared" ref="S249:S256" si="3">R249/$R$258</f>
        <v>0.43414634146341463</v>
      </c>
      <c r="T249" s="53">
        <v>15646</v>
      </c>
      <c r="U249" s="132">
        <f t="shared" ref="U249:U256" si="4">T249/$T$258</f>
        <v>0.50349155269509249</v>
      </c>
      <c r="V249" s="25"/>
      <c r="W249" s="25"/>
      <c r="X249" s="5"/>
    </row>
    <row r="250" spans="1:25" ht="15.6" x14ac:dyDescent="0.3">
      <c r="A250" s="24"/>
      <c r="B250" s="54" t="s">
        <v>90</v>
      </c>
      <c r="C250" s="93"/>
      <c r="D250" s="93"/>
      <c r="E250" s="93"/>
      <c r="F250" s="25"/>
      <c r="G250" s="94"/>
      <c r="H250" s="93"/>
      <c r="I250" s="93"/>
      <c r="J250" s="93"/>
      <c r="K250" s="93"/>
      <c r="L250" s="93"/>
      <c r="M250" s="93"/>
      <c r="N250" s="93"/>
      <c r="O250" s="93"/>
      <c r="P250" s="93"/>
      <c r="Q250" s="93"/>
      <c r="R250" s="54">
        <v>13</v>
      </c>
      <c r="S250" s="94">
        <f t="shared" si="3"/>
        <v>6.3414634146341464E-2</v>
      </c>
      <c r="T250" s="53">
        <v>1451</v>
      </c>
      <c r="U250" s="132">
        <f t="shared" si="4"/>
        <v>4.6693483507642797E-2</v>
      </c>
      <c r="V250" s="25"/>
      <c r="W250" s="25"/>
      <c r="X250" s="5"/>
    </row>
    <row r="251" spans="1:25" ht="15.6" x14ac:dyDescent="0.3">
      <c r="A251" s="24"/>
      <c r="B251" s="54" t="s">
        <v>91</v>
      </c>
      <c r="C251" s="93"/>
      <c r="D251" s="93"/>
      <c r="E251" s="93"/>
      <c r="F251" s="25"/>
      <c r="G251" s="94"/>
      <c r="H251" s="93"/>
      <c r="I251" s="93"/>
      <c r="J251" s="93"/>
      <c r="K251" s="93"/>
      <c r="L251" s="93"/>
      <c r="M251" s="93"/>
      <c r="N251" s="93"/>
      <c r="O251" s="93"/>
      <c r="P251" s="93"/>
      <c r="Q251" s="93"/>
      <c r="R251" s="54">
        <v>13</v>
      </c>
      <c r="S251" s="94">
        <f t="shared" si="3"/>
        <v>6.3414634146341464E-2</v>
      </c>
      <c r="T251" s="53">
        <v>1567</v>
      </c>
      <c r="U251" s="132">
        <f t="shared" si="4"/>
        <v>5.0426387771520517E-2</v>
      </c>
      <c r="V251" s="25"/>
      <c r="W251" s="25"/>
      <c r="X251" s="5"/>
    </row>
    <row r="252" spans="1:25" ht="15.6" x14ac:dyDescent="0.3">
      <c r="A252" s="24"/>
      <c r="B252" s="54" t="s">
        <v>159</v>
      </c>
      <c r="C252" s="93"/>
      <c r="D252" s="93"/>
      <c r="E252" s="93"/>
      <c r="F252" s="25"/>
      <c r="G252" s="94"/>
      <c r="H252" s="93"/>
      <c r="I252" s="93"/>
      <c r="J252" s="93"/>
      <c r="K252" s="93"/>
      <c r="L252" s="93"/>
      <c r="M252" s="93"/>
      <c r="N252" s="93"/>
      <c r="O252" s="93"/>
      <c r="P252" s="93"/>
      <c r="Q252" s="93"/>
      <c r="R252" s="54">
        <v>8</v>
      </c>
      <c r="S252" s="94">
        <f t="shared" si="3"/>
        <v>3.9024390243902439E-2</v>
      </c>
      <c r="T252" s="53">
        <v>857</v>
      </c>
      <c r="U252" s="132">
        <f t="shared" si="4"/>
        <v>2.7578439259855189E-2</v>
      </c>
      <c r="V252" s="25"/>
      <c r="W252" s="25"/>
      <c r="X252" s="5"/>
    </row>
    <row r="253" spans="1:25" ht="15.6" x14ac:dyDescent="0.3">
      <c r="A253" s="24"/>
      <c r="B253" s="54" t="s">
        <v>160</v>
      </c>
      <c r="C253" s="93"/>
      <c r="D253" s="93"/>
      <c r="E253" s="93"/>
      <c r="F253" s="25"/>
      <c r="G253" s="94"/>
      <c r="H253" s="93"/>
      <c r="I253" s="93"/>
      <c r="J253" s="93"/>
      <c r="K253" s="93"/>
      <c r="L253" s="93"/>
      <c r="M253" s="93"/>
      <c r="N253" s="93"/>
      <c r="O253" s="93"/>
      <c r="P253" s="93"/>
      <c r="Q253" s="93"/>
      <c r="R253" s="54">
        <v>4</v>
      </c>
      <c r="S253" s="94">
        <f t="shared" si="3"/>
        <v>1.9512195121951219E-2</v>
      </c>
      <c r="T253" s="53">
        <v>728</v>
      </c>
      <c r="U253" s="132">
        <f t="shared" si="4"/>
        <v>2.34271922767498E-2</v>
      </c>
      <c r="V253" s="25"/>
      <c r="W253" s="25"/>
      <c r="X253" s="5"/>
    </row>
    <row r="254" spans="1:25" ht="15.6" x14ac:dyDescent="0.3">
      <c r="A254" s="24"/>
      <c r="B254" s="54" t="s">
        <v>161</v>
      </c>
      <c r="C254" s="93"/>
      <c r="D254" s="93"/>
      <c r="E254" s="93"/>
      <c r="F254" s="25"/>
      <c r="G254" s="94"/>
      <c r="H254" s="93"/>
      <c r="I254" s="93"/>
      <c r="J254" s="93"/>
      <c r="K254" s="93"/>
      <c r="L254" s="93"/>
      <c r="M254" s="93"/>
      <c r="N254" s="93"/>
      <c r="O254" s="93"/>
      <c r="P254" s="93"/>
      <c r="Q254" s="93"/>
      <c r="R254" s="54">
        <v>2</v>
      </c>
      <c r="S254" s="94">
        <f t="shared" si="3"/>
        <v>9.7560975609756097E-3</v>
      </c>
      <c r="T254" s="53">
        <v>229</v>
      </c>
      <c r="U254" s="132">
        <f t="shared" si="4"/>
        <v>7.3692679002413516E-3</v>
      </c>
      <c r="V254" s="25"/>
      <c r="W254" s="25"/>
      <c r="X254" s="5"/>
    </row>
    <row r="255" spans="1:25" ht="15.6" x14ac:dyDescent="0.3">
      <c r="A255" s="24"/>
      <c r="B255" s="54" t="s">
        <v>162</v>
      </c>
      <c r="C255" s="93"/>
      <c r="D255" s="93"/>
      <c r="E255" s="93"/>
      <c r="F255" s="25"/>
      <c r="G255" s="94"/>
      <c r="H255" s="93"/>
      <c r="I255" s="93"/>
      <c r="J255" s="93"/>
      <c r="K255" s="93"/>
      <c r="L255" s="93"/>
      <c r="M255" s="93"/>
      <c r="N255" s="93"/>
      <c r="O255" s="93"/>
      <c r="P255" s="93"/>
      <c r="Q255" s="93"/>
      <c r="R255" s="54">
        <v>16</v>
      </c>
      <c r="S255" s="94">
        <f t="shared" si="3"/>
        <v>7.8048780487804878E-2</v>
      </c>
      <c r="T255" s="53">
        <v>1921</v>
      </c>
      <c r="U255" s="132">
        <f t="shared" si="4"/>
        <v>6.1818181818181821E-2</v>
      </c>
      <c r="V255" s="25"/>
      <c r="W255" s="25"/>
      <c r="X255" s="5"/>
    </row>
    <row r="256" spans="1:25" ht="15.6" x14ac:dyDescent="0.3">
      <c r="A256" s="24"/>
      <c r="B256" s="54" t="s">
        <v>163</v>
      </c>
      <c r="C256" s="93"/>
      <c r="D256" s="93"/>
      <c r="E256" s="93"/>
      <c r="F256" s="25"/>
      <c r="G256" s="94"/>
      <c r="H256" s="93"/>
      <c r="I256" s="93"/>
      <c r="J256" s="93"/>
      <c r="K256" s="93"/>
      <c r="L256" s="93"/>
      <c r="M256" s="93"/>
      <c r="N256" s="93"/>
      <c r="O256" s="93"/>
      <c r="P256" s="93"/>
      <c r="Q256" s="93"/>
      <c r="R256" s="54">
        <v>60</v>
      </c>
      <c r="S256" s="94">
        <f t="shared" si="3"/>
        <v>0.29268292682926828</v>
      </c>
      <c r="T256" s="53">
        <v>8676</v>
      </c>
      <c r="U256" s="132">
        <f t="shared" si="4"/>
        <v>0.27919549477071604</v>
      </c>
      <c r="V256" s="25"/>
      <c r="W256" s="25"/>
      <c r="X256" s="5"/>
    </row>
    <row r="257" spans="1:24" ht="15.6" x14ac:dyDescent="0.3">
      <c r="A257" s="24"/>
      <c r="B257" s="54"/>
      <c r="C257" s="93"/>
      <c r="D257" s="93"/>
      <c r="E257" s="93"/>
      <c r="F257" s="25"/>
      <c r="G257" s="94"/>
      <c r="H257" s="93"/>
      <c r="I257" s="93"/>
      <c r="J257" s="93"/>
      <c r="K257" s="93"/>
      <c r="L257" s="93"/>
      <c r="M257" s="93"/>
      <c r="N257" s="93"/>
      <c r="O257" s="93"/>
      <c r="P257" s="93"/>
      <c r="Q257" s="93"/>
      <c r="R257" s="54"/>
      <c r="S257" s="94"/>
      <c r="T257" s="53"/>
      <c r="U257" s="132"/>
      <c r="V257" s="25"/>
      <c r="W257" s="25"/>
      <c r="X257" s="5"/>
    </row>
    <row r="258" spans="1:24" ht="15.6" x14ac:dyDescent="0.3">
      <c r="A258" s="24"/>
      <c r="B258" s="25" t="s">
        <v>117</v>
      </c>
      <c r="C258" s="25"/>
      <c r="D258" s="25"/>
      <c r="E258" s="25"/>
      <c r="F258" s="25"/>
      <c r="G258" s="25"/>
      <c r="H258" s="95"/>
      <c r="I258" s="95"/>
      <c r="J258" s="95"/>
      <c r="K258" s="95"/>
      <c r="L258" s="95"/>
      <c r="M258" s="95"/>
      <c r="N258" s="95"/>
      <c r="O258" s="95"/>
      <c r="P258" s="95"/>
      <c r="Q258" s="95"/>
      <c r="R258" s="34">
        <f>SUM(R249:R257)</f>
        <v>205</v>
      </c>
      <c r="S258" s="132">
        <f>SUM(S249:S257)</f>
        <v>1</v>
      </c>
      <c r="T258" s="53">
        <f>SUM(T249:T257)</f>
        <v>31075</v>
      </c>
      <c r="U258" s="132">
        <f>SUM(U249:U257)</f>
        <v>1</v>
      </c>
      <c r="V258" s="25"/>
      <c r="W258" s="25"/>
      <c r="X258" s="5"/>
    </row>
    <row r="259" spans="1:24" ht="15.6" x14ac:dyDescent="0.3">
      <c r="A259" s="24"/>
      <c r="B259" s="25"/>
      <c r="C259" s="25"/>
      <c r="D259" s="25"/>
      <c r="E259" s="25"/>
      <c r="F259" s="25"/>
      <c r="G259" s="25"/>
      <c r="H259" s="95"/>
      <c r="I259" s="95"/>
      <c r="J259" s="95"/>
      <c r="K259" s="95"/>
      <c r="L259" s="95"/>
      <c r="M259" s="95"/>
      <c r="N259" s="95"/>
      <c r="O259" s="95"/>
      <c r="P259" s="95"/>
      <c r="Q259" s="95"/>
      <c r="R259" s="34"/>
      <c r="S259" s="132"/>
      <c r="T259" s="53"/>
      <c r="U259" s="132"/>
      <c r="V259" s="25"/>
      <c r="W259" s="25"/>
      <c r="X259" s="5"/>
    </row>
    <row r="260" spans="1:24" ht="15.6" x14ac:dyDescent="0.3">
      <c r="A260" s="141"/>
      <c r="B260" s="14" t="s">
        <v>166</v>
      </c>
      <c r="C260" s="139"/>
      <c r="D260" s="139"/>
      <c r="E260" s="139"/>
      <c r="F260" s="139"/>
      <c r="G260" s="139"/>
      <c r="H260" s="145"/>
      <c r="I260" s="145"/>
      <c r="J260" s="145"/>
      <c r="K260" s="145"/>
      <c r="L260" s="145"/>
      <c r="M260" s="145"/>
      <c r="N260" s="145"/>
      <c r="O260" s="145"/>
      <c r="P260" s="145"/>
      <c r="Q260" s="145"/>
      <c r="R260" s="83" t="s">
        <v>103</v>
      </c>
      <c r="S260" s="17" t="s">
        <v>104</v>
      </c>
      <c r="T260" s="83" t="s">
        <v>111</v>
      </c>
      <c r="U260" s="17" t="s">
        <v>104</v>
      </c>
      <c r="V260" s="139"/>
      <c r="W260" s="140"/>
      <c r="X260" s="5"/>
    </row>
    <row r="261" spans="1:24" ht="15.6" x14ac:dyDescent="0.3">
      <c r="A261" s="24"/>
      <c r="B261" s="54" t="s">
        <v>89</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90</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91</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159</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160</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t="s">
        <v>161</v>
      </c>
      <c r="C266" s="25"/>
      <c r="D266" s="25"/>
      <c r="E266" s="25"/>
      <c r="F266" s="25"/>
      <c r="G266" s="25"/>
      <c r="H266" s="95"/>
      <c r="I266" s="95"/>
      <c r="J266" s="95"/>
      <c r="K266" s="95"/>
      <c r="L266" s="95"/>
      <c r="M266" s="95"/>
      <c r="N266" s="95"/>
      <c r="O266" s="95"/>
      <c r="P266" s="95"/>
      <c r="Q266" s="95"/>
      <c r="R266" s="54">
        <v>0</v>
      </c>
      <c r="S266" s="94">
        <v>0</v>
      </c>
      <c r="T266" s="53">
        <v>0</v>
      </c>
      <c r="U266" s="94">
        <v>0</v>
      </c>
      <c r="V266" s="25"/>
      <c r="W266" s="25"/>
      <c r="X266" s="5"/>
    </row>
    <row r="267" spans="1:24" ht="15.6" x14ac:dyDescent="0.3">
      <c r="A267" s="24"/>
      <c r="B267" s="54" t="s">
        <v>162</v>
      </c>
      <c r="C267" s="25"/>
      <c r="D267" s="25"/>
      <c r="E267" s="25"/>
      <c r="F267" s="25"/>
      <c r="G267" s="25"/>
      <c r="H267" s="95"/>
      <c r="I267" s="95"/>
      <c r="J267" s="95"/>
      <c r="K267" s="95"/>
      <c r="L267" s="95"/>
      <c r="M267" s="95"/>
      <c r="N267" s="95"/>
      <c r="O267" s="95"/>
      <c r="P267" s="95"/>
      <c r="Q267" s="95"/>
      <c r="R267" s="54">
        <v>0</v>
      </c>
      <c r="S267" s="94">
        <v>0</v>
      </c>
      <c r="T267" s="53">
        <v>0</v>
      </c>
      <c r="U267" s="94">
        <v>0</v>
      </c>
      <c r="V267" s="25"/>
      <c r="W267" s="25"/>
      <c r="X267" s="5"/>
    </row>
    <row r="268" spans="1:24" ht="15.6" x14ac:dyDescent="0.3">
      <c r="A268" s="24"/>
      <c r="B268" s="54" t="s">
        <v>163</v>
      </c>
      <c r="C268" s="25"/>
      <c r="D268" s="25"/>
      <c r="E268" s="25"/>
      <c r="F268" s="25"/>
      <c r="G268" s="25"/>
      <c r="H268" s="95"/>
      <c r="I268" s="95"/>
      <c r="J268" s="95"/>
      <c r="K268" s="95"/>
      <c r="L268" s="95"/>
      <c r="M268" s="95"/>
      <c r="N268" s="95"/>
      <c r="O268" s="95"/>
      <c r="P268" s="95"/>
      <c r="Q268" s="95"/>
      <c r="R268" s="54">
        <v>0</v>
      </c>
      <c r="S268" s="94">
        <v>0</v>
      </c>
      <c r="T268" s="53">
        <v>0</v>
      </c>
      <c r="U268" s="94">
        <v>0</v>
      </c>
      <c r="V268" s="25"/>
      <c r="W268" s="25"/>
      <c r="X268" s="5"/>
    </row>
    <row r="269" spans="1:24" ht="15.6" x14ac:dyDescent="0.3">
      <c r="A269" s="24"/>
      <c r="B269" s="54"/>
      <c r="C269" s="25"/>
      <c r="D269" s="25"/>
      <c r="E269" s="25"/>
      <c r="F269" s="25"/>
      <c r="G269" s="25"/>
      <c r="H269" s="95"/>
      <c r="I269" s="95"/>
      <c r="J269" s="95"/>
      <c r="K269" s="95"/>
      <c r="L269" s="95"/>
      <c r="M269" s="95"/>
      <c r="N269" s="95"/>
      <c r="O269" s="95"/>
      <c r="P269" s="95"/>
      <c r="Q269" s="95"/>
      <c r="R269" s="54"/>
      <c r="S269" s="94"/>
      <c r="T269" s="53"/>
      <c r="U269" s="132"/>
      <c r="V269" s="25"/>
      <c r="W269" s="25"/>
      <c r="X269" s="5"/>
    </row>
    <row r="270" spans="1:24" ht="15.6" x14ac:dyDescent="0.3">
      <c r="A270" s="24"/>
      <c r="B270" s="25" t="s">
        <v>117</v>
      </c>
      <c r="C270" s="25"/>
      <c r="D270" s="25"/>
      <c r="E270" s="25"/>
      <c r="F270" s="25"/>
      <c r="G270" s="25"/>
      <c r="H270" s="95"/>
      <c r="I270" s="95"/>
      <c r="J270" s="95"/>
      <c r="K270" s="95"/>
      <c r="L270" s="95"/>
      <c r="M270" s="95"/>
      <c r="N270" s="95"/>
      <c r="O270" s="95"/>
      <c r="P270" s="95"/>
      <c r="Q270" s="95"/>
      <c r="R270" s="34">
        <f>SUM(R261:R268)</f>
        <v>0</v>
      </c>
      <c r="S270" s="94">
        <f>SUM(S261:S268)</f>
        <v>0</v>
      </c>
      <c r="T270" s="53">
        <f>SUM(T261:T268)</f>
        <v>0</v>
      </c>
      <c r="U270" s="132">
        <f>SUM(U261:U268)</f>
        <v>0</v>
      </c>
      <c r="V270" s="25"/>
      <c r="W270" s="25"/>
      <c r="X270" s="5"/>
    </row>
    <row r="271" spans="1:24" ht="15.6" x14ac:dyDescent="0.3">
      <c r="A271" s="24"/>
      <c r="B271" s="25"/>
      <c r="C271" s="25"/>
      <c r="D271" s="25"/>
      <c r="E271" s="25"/>
      <c r="F271" s="25"/>
      <c r="G271" s="25"/>
      <c r="H271" s="95"/>
      <c r="I271" s="95"/>
      <c r="J271" s="95"/>
      <c r="K271" s="95"/>
      <c r="L271" s="95"/>
      <c r="M271" s="95"/>
      <c r="N271" s="95"/>
      <c r="O271" s="95"/>
      <c r="P271" s="95"/>
      <c r="Q271" s="95"/>
      <c r="R271" s="34"/>
      <c r="S271" s="132"/>
      <c r="T271" s="53"/>
      <c r="U271" s="132"/>
      <c r="V271" s="25"/>
      <c r="W271" s="25"/>
      <c r="X271" s="5"/>
    </row>
    <row r="272" spans="1:24" ht="15.6" x14ac:dyDescent="0.3">
      <c r="A272" s="24"/>
      <c r="B272" s="142" t="s">
        <v>167</v>
      </c>
      <c r="C272" s="25"/>
      <c r="D272" s="25"/>
      <c r="E272" s="25"/>
      <c r="F272" s="25"/>
      <c r="G272" s="25"/>
      <c r="H272" s="95"/>
      <c r="I272" s="95"/>
      <c r="J272" s="95"/>
      <c r="K272" s="95"/>
      <c r="L272" s="95"/>
      <c r="M272" s="95"/>
      <c r="N272" s="95"/>
      <c r="O272" s="95"/>
      <c r="P272" s="95"/>
      <c r="Q272" s="95"/>
      <c r="R272" s="161">
        <f>R270+R258+R246</f>
        <v>8276</v>
      </c>
      <c r="S272" s="143"/>
      <c r="T272" s="144">
        <f>+T270+T258+T246</f>
        <v>1052638</v>
      </c>
      <c r="U272" s="143"/>
      <c r="V272" s="25"/>
      <c r="W272" s="25"/>
      <c r="X272" s="5"/>
    </row>
    <row r="273" spans="1:24" ht="15.6" x14ac:dyDescent="0.3">
      <c r="A273" s="24"/>
      <c r="B273" s="25"/>
      <c r="C273" s="25"/>
      <c r="D273" s="25"/>
      <c r="E273" s="25"/>
      <c r="F273" s="25"/>
      <c r="G273" s="25"/>
      <c r="H273" s="95"/>
      <c r="I273" s="95"/>
      <c r="J273" s="95"/>
      <c r="K273" s="95"/>
      <c r="L273" s="95"/>
      <c r="M273" s="95"/>
      <c r="N273" s="95"/>
      <c r="O273" s="95"/>
      <c r="P273" s="95"/>
      <c r="Q273" s="95"/>
      <c r="R273" s="95"/>
      <c r="S273" s="95"/>
      <c r="T273" s="53"/>
      <c r="U273" s="95"/>
      <c r="V273" s="25"/>
      <c r="W273" s="25"/>
      <c r="X273" s="5"/>
    </row>
    <row r="274" spans="1:24" ht="15.6" x14ac:dyDescent="0.3">
      <c r="A274" s="6"/>
      <c r="B274" s="8"/>
      <c r="C274" s="8"/>
      <c r="D274" s="8"/>
      <c r="E274" s="8"/>
      <c r="F274" s="8"/>
      <c r="G274" s="8"/>
      <c r="H274" s="96"/>
      <c r="I274" s="96"/>
      <c r="J274" s="96"/>
      <c r="K274" s="96"/>
      <c r="L274" s="96"/>
      <c r="M274" s="96"/>
      <c r="N274" s="96"/>
      <c r="O274" s="96"/>
      <c r="P274" s="96"/>
      <c r="Q274" s="96"/>
      <c r="R274" s="96"/>
      <c r="S274" s="96"/>
      <c r="T274" s="97"/>
      <c r="U274" s="96"/>
      <c r="V274" s="8"/>
      <c r="W274" s="8"/>
      <c r="X274" s="5"/>
    </row>
    <row r="275" spans="1:24" ht="15.6" x14ac:dyDescent="0.3">
      <c r="A275" s="167"/>
      <c r="B275" s="14" t="s">
        <v>92</v>
      </c>
      <c r="C275" s="15"/>
      <c r="D275" s="15"/>
      <c r="E275" s="15"/>
      <c r="F275" s="17" t="s">
        <v>98</v>
      </c>
      <c r="G275" s="15"/>
      <c r="H275" s="14" t="s">
        <v>100</v>
      </c>
      <c r="I275" s="14"/>
      <c r="J275" s="14"/>
      <c r="K275" s="162"/>
      <c r="L275" s="162"/>
      <c r="M275" s="162"/>
      <c r="N275" s="162"/>
      <c r="O275" s="162"/>
      <c r="P275" s="162"/>
      <c r="Q275" s="162"/>
      <c r="R275" s="162"/>
      <c r="S275" s="162"/>
      <c r="T275" s="162"/>
      <c r="U275" s="162"/>
      <c r="V275" s="162"/>
      <c r="W275" s="162"/>
      <c r="X275" s="5"/>
    </row>
    <row r="276" spans="1:24" ht="15.6" x14ac:dyDescent="0.3">
      <c r="A276" s="167"/>
      <c r="B276" s="13" t="s">
        <v>93</v>
      </c>
      <c r="C276" s="8"/>
      <c r="D276" s="8"/>
      <c r="E276" s="8"/>
      <c r="F276" s="130" t="s">
        <v>151</v>
      </c>
      <c r="G276" s="8"/>
      <c r="H276" s="13" t="s">
        <v>155</v>
      </c>
      <c r="I276" s="13"/>
      <c r="J276" s="13"/>
      <c r="K276" s="162"/>
      <c r="L276" s="162"/>
      <c r="M276" s="162"/>
      <c r="N276" s="162"/>
      <c r="O276" s="162"/>
      <c r="P276" s="162"/>
      <c r="Q276" s="162"/>
      <c r="R276" s="162"/>
      <c r="S276" s="162"/>
      <c r="T276" s="162"/>
      <c r="U276" s="162"/>
      <c r="V276" s="162"/>
      <c r="W276" s="162"/>
      <c r="X276" s="5"/>
    </row>
    <row r="277" spans="1:24" ht="15.6" x14ac:dyDescent="0.3">
      <c r="A277" s="167"/>
      <c r="B277" s="13" t="s">
        <v>281</v>
      </c>
      <c r="C277" s="13"/>
      <c r="D277" s="13"/>
      <c r="E277" s="13"/>
      <c r="F277" s="130" t="s">
        <v>282</v>
      </c>
      <c r="G277" s="13"/>
      <c r="H277" s="13" t="s">
        <v>283</v>
      </c>
      <c r="I277" s="162"/>
      <c r="J277" s="13"/>
      <c r="K277" s="162"/>
      <c r="L277" s="162"/>
      <c r="M277" s="162"/>
      <c r="N277" s="162"/>
      <c r="O277" s="162"/>
      <c r="P277" s="162"/>
      <c r="Q277" s="162"/>
      <c r="R277" s="162"/>
      <c r="S277" s="162"/>
      <c r="T277" s="162"/>
      <c r="U277" s="162"/>
      <c r="V277" s="162"/>
      <c r="W277" s="162"/>
      <c r="X277" s="5"/>
    </row>
    <row r="278" spans="1:24" ht="15.6" x14ac:dyDescent="0.3">
      <c r="A278" s="167"/>
      <c r="B278" s="13" t="s">
        <v>94</v>
      </c>
      <c r="C278" s="13"/>
      <c r="D278" s="13"/>
      <c r="E278" s="13"/>
      <c r="F278" s="130" t="s">
        <v>150</v>
      </c>
      <c r="G278" s="13"/>
      <c r="H278" s="13" t="s">
        <v>156</v>
      </c>
      <c r="I278" s="13"/>
      <c r="J278" s="13"/>
      <c r="K278" s="162"/>
      <c r="L278" s="162"/>
      <c r="M278" s="162"/>
      <c r="N278" s="162"/>
      <c r="O278" s="162"/>
      <c r="P278" s="162"/>
      <c r="Q278" s="162"/>
      <c r="R278" s="162"/>
      <c r="S278" s="162"/>
      <c r="T278" s="162"/>
      <c r="U278" s="162"/>
      <c r="V278" s="162"/>
      <c r="W278" s="162"/>
      <c r="X278" s="5"/>
    </row>
    <row r="279" spans="1:24" ht="15.6" x14ac:dyDescent="0.3">
      <c r="A279" s="167"/>
      <c r="B279" s="13"/>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ht="15.6" x14ac:dyDescent="0.3">
      <c r="A280" s="167"/>
      <c r="B280" s="13"/>
      <c r="C280" s="13"/>
      <c r="D280" s="13"/>
      <c r="E280" s="13"/>
      <c r="F280" s="13"/>
      <c r="G280" s="99"/>
      <c r="H280" s="162"/>
      <c r="I280" s="162"/>
      <c r="J280" s="162"/>
      <c r="K280" s="162"/>
      <c r="L280" s="162"/>
      <c r="M280" s="162"/>
      <c r="N280" s="162"/>
      <c r="O280" s="162"/>
      <c r="P280" s="162"/>
      <c r="Q280" s="162"/>
      <c r="R280" s="162"/>
      <c r="S280" s="162"/>
      <c r="T280" s="162"/>
      <c r="U280" s="162"/>
      <c r="V280" s="162"/>
      <c r="W280" s="162"/>
      <c r="X280" s="5"/>
    </row>
    <row r="281" spans="1:24" ht="18" thickBot="1" x14ac:dyDescent="0.35">
      <c r="A281" s="167"/>
      <c r="B281" s="49" t="str">
        <f>B198</f>
        <v>PM13 INVESTOR REPORT QUARTER ENDING MARCH 2010</v>
      </c>
      <c r="C281" s="13"/>
      <c r="D281" s="13"/>
      <c r="E281" s="13"/>
      <c r="F281" s="13"/>
      <c r="G281" s="99"/>
      <c r="H281" s="162"/>
      <c r="I281" s="162"/>
      <c r="J281" s="162"/>
      <c r="K281" s="162"/>
      <c r="L281" s="162"/>
      <c r="M281" s="162"/>
      <c r="N281" s="162"/>
      <c r="O281" s="162"/>
      <c r="P281" s="162"/>
      <c r="Q281" s="162"/>
      <c r="R281" s="162"/>
      <c r="S281" s="162"/>
      <c r="T281" s="162"/>
      <c r="U281" s="162"/>
      <c r="V281" s="162"/>
      <c r="W281" s="162"/>
      <c r="X281" s="5"/>
    </row>
    <row r="282" spans="1:24" x14ac:dyDescent="0.25">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row>
  </sheetData>
  <phoneticPr fontId="0" type="noConversion"/>
  <hyperlinks>
    <hyperlink ref="P234" r:id="rId1" xr:uid="{00000000-0004-0000-0D00-000000000000}"/>
    <hyperlink ref="I9" r:id="rId2" xr:uid="{00000000-0004-0000-0D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8" max="14" man="1"/>
    <brk id="198" max="14"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9CB31"/>
  </sheetPr>
  <dimension ref="A1:Z293"/>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0.63070000000000004</v>
      </c>
      <c r="T16" s="224" t="s">
        <v>143</v>
      </c>
      <c r="U16" s="223">
        <v>0.36930000000000002</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40381</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175"/>
      <c r="B22" s="177"/>
      <c r="C22" s="189"/>
      <c r="D22" s="189" t="s">
        <v>180</v>
      </c>
      <c r="E22" s="189"/>
      <c r="F22" s="189" t="s">
        <v>181</v>
      </c>
      <c r="G22" s="189"/>
      <c r="H22" s="189" t="s">
        <v>182</v>
      </c>
      <c r="I22" s="189"/>
      <c r="J22" s="189" t="s">
        <v>223</v>
      </c>
      <c r="K22" s="189"/>
      <c r="L22" s="189" t="s">
        <v>183</v>
      </c>
      <c r="M22" s="189"/>
      <c r="N22" s="189" t="s">
        <v>184</v>
      </c>
      <c r="O22" s="189"/>
      <c r="P22" s="189" t="s">
        <v>224</v>
      </c>
      <c r="Q22" s="189"/>
      <c r="R22" s="189" t="s">
        <v>185</v>
      </c>
      <c r="S22" s="190"/>
      <c r="T22" s="191"/>
      <c r="U22" s="187"/>
      <c r="V22" s="187"/>
      <c r="W22" s="177"/>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7" t="s">
        <v>193</v>
      </c>
      <c r="C25" s="278"/>
      <c r="D25" s="273" t="s">
        <v>218</v>
      </c>
      <c r="E25" s="273"/>
      <c r="F25" s="273" t="s">
        <v>146</v>
      </c>
      <c r="G25" s="273"/>
      <c r="H25" s="273" t="s">
        <v>146</v>
      </c>
      <c r="I25" s="273"/>
      <c r="J25" s="273" t="s">
        <v>146</v>
      </c>
      <c r="K25" s="273"/>
      <c r="L25" s="273" t="s">
        <v>168</v>
      </c>
      <c r="M25" s="273"/>
      <c r="N25" s="273" t="s">
        <v>168</v>
      </c>
      <c r="O25" s="273"/>
      <c r="P25" s="273" t="s">
        <v>147</v>
      </c>
      <c r="Q25" s="273"/>
      <c r="R25" s="273" t="s">
        <v>147</v>
      </c>
      <c r="S25" s="278"/>
      <c r="T25" s="273"/>
      <c r="U25" s="274"/>
      <c r="V25" s="274"/>
      <c r="W25" s="275"/>
      <c r="X25" s="5"/>
    </row>
    <row r="26" spans="1:24" ht="15.6" x14ac:dyDescent="0.3">
      <c r="A26" s="276"/>
      <c r="B26" s="279" t="s">
        <v>9</v>
      </c>
      <c r="C26" s="278"/>
      <c r="D26" s="278" t="s">
        <v>216</v>
      </c>
      <c r="E26" s="278"/>
      <c r="F26" s="278" t="s">
        <v>144</v>
      </c>
      <c r="G26" s="278"/>
      <c r="H26" s="278" t="s">
        <v>144</v>
      </c>
      <c r="I26" s="278"/>
      <c r="J26" s="278" t="s">
        <v>144</v>
      </c>
      <c r="K26" s="278"/>
      <c r="L26" s="278" t="s">
        <v>186</v>
      </c>
      <c r="M26" s="278"/>
      <c r="N26" s="278" t="s">
        <v>186</v>
      </c>
      <c r="O26" s="278"/>
      <c r="P26" s="278" t="s">
        <v>145</v>
      </c>
      <c r="Q26" s="278"/>
      <c r="R26" s="278" t="s">
        <v>145</v>
      </c>
      <c r="S26" s="278"/>
      <c r="T26" s="273"/>
      <c r="U26" s="274"/>
      <c r="V26" s="274"/>
      <c r="W26" s="275"/>
      <c r="X26" s="5"/>
    </row>
    <row r="27" spans="1:24" ht="15.6" x14ac:dyDescent="0.3">
      <c r="A27" s="271"/>
      <c r="B27" s="279" t="s">
        <v>194</v>
      </c>
      <c r="C27" s="273"/>
      <c r="D27" s="278" t="s">
        <v>217</v>
      </c>
      <c r="E27" s="278"/>
      <c r="F27" s="278" t="s">
        <v>146</v>
      </c>
      <c r="G27" s="278"/>
      <c r="H27" s="278" t="s">
        <v>146</v>
      </c>
      <c r="I27" s="278"/>
      <c r="J27" s="278" t="s">
        <v>146</v>
      </c>
      <c r="K27" s="278"/>
      <c r="L27" s="278" t="s">
        <v>168</v>
      </c>
      <c r="M27" s="278"/>
      <c r="N27" s="278" t="s">
        <v>168</v>
      </c>
      <c r="O27" s="278"/>
      <c r="P27" s="278" t="s">
        <v>147</v>
      </c>
      <c r="Q27" s="278"/>
      <c r="R27" s="278" t="s">
        <v>147</v>
      </c>
      <c r="S27" s="273"/>
      <c r="T27" s="280"/>
      <c r="U27" s="274"/>
      <c r="V27" s="274"/>
      <c r="W27" s="275"/>
      <c r="X27" s="5"/>
    </row>
    <row r="28" spans="1:24" ht="15.6" x14ac:dyDescent="0.3">
      <c r="A28" s="271"/>
      <c r="B28" s="281" t="s">
        <v>195</v>
      </c>
      <c r="C28" s="273"/>
      <c r="D28" s="278" t="s">
        <v>218</v>
      </c>
      <c r="E28" s="278"/>
      <c r="F28" s="278" t="s">
        <v>146</v>
      </c>
      <c r="G28" s="278"/>
      <c r="H28" s="278" t="s">
        <v>146</v>
      </c>
      <c r="I28" s="278"/>
      <c r="J28" s="278" t="s">
        <v>146</v>
      </c>
      <c r="K28" s="278"/>
      <c r="L28" s="278" t="s">
        <v>168</v>
      </c>
      <c r="M28" s="278"/>
      <c r="N28" s="278" t="s">
        <v>168</v>
      </c>
      <c r="O28" s="278"/>
      <c r="P28" s="278" t="s">
        <v>147</v>
      </c>
      <c r="Q28" s="278"/>
      <c r="R28" s="278"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991591.2</v>
      </c>
      <c r="E32" s="282"/>
      <c r="F32" s="283">
        <f>F31*F38</f>
        <v>82632.7</v>
      </c>
      <c r="G32" s="283"/>
      <c r="H32" s="288">
        <f>H31*H38</f>
        <v>208234.40400000001</v>
      </c>
      <c r="I32" s="288"/>
      <c r="J32" s="287">
        <f>J31*J38</f>
        <v>231371.28</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982358.25</v>
      </c>
      <c r="E33" s="286"/>
      <c r="F33" s="289">
        <f>F37*F31</f>
        <v>81863.3</v>
      </c>
      <c r="G33" s="289"/>
      <c r="H33" s="292">
        <f>H31*H37</f>
        <v>206295.516</v>
      </c>
      <c r="I33" s="292"/>
      <c r="J33" s="291">
        <f>J37*J31</f>
        <v>229216.92500000002</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93">
        <f>SUM(C34:R34)</f>
        <v>1500190</v>
      </c>
      <c r="W34" s="285"/>
      <c r="X34" s="5"/>
    </row>
    <row r="35" spans="1:24" ht="15.6" x14ac:dyDescent="0.3">
      <c r="A35" s="276"/>
      <c r="B35" s="272" t="s">
        <v>299</v>
      </c>
      <c r="C35" s="294"/>
      <c r="D35" s="283">
        <f>D34*D38</f>
        <v>527441.90261760005</v>
      </c>
      <c r="E35" s="282"/>
      <c r="F35" s="283">
        <f>F34*F38</f>
        <v>82632.7</v>
      </c>
      <c r="G35" s="283"/>
      <c r="H35" s="283">
        <f>H34*H38</f>
        <v>139754.37179440001</v>
      </c>
      <c r="I35" s="283"/>
      <c r="J35" s="283">
        <f>J34*J38</f>
        <v>123069.689136</v>
      </c>
      <c r="K35" s="283"/>
      <c r="L35" s="283">
        <f>L34*L38</f>
        <v>56000</v>
      </c>
      <c r="M35" s="283"/>
      <c r="N35" s="283">
        <f>N34*N38</f>
        <v>56376</v>
      </c>
      <c r="O35" s="283"/>
      <c r="P35" s="283">
        <f>P34*P38</f>
        <v>13000</v>
      </c>
      <c r="Q35" s="283"/>
      <c r="R35" s="283">
        <f>R34*R38</f>
        <v>54363</v>
      </c>
      <c r="S35" s="283"/>
      <c r="T35" s="283"/>
      <c r="U35" s="284"/>
      <c r="V35" s="293">
        <f>SUM(C35:R35)</f>
        <v>1052637.6635480002</v>
      </c>
      <c r="W35" s="285"/>
      <c r="X35" s="5"/>
    </row>
    <row r="36" spans="1:24" ht="15.6" x14ac:dyDescent="0.3">
      <c r="A36" s="276"/>
      <c r="B36" s="279" t="s">
        <v>304</v>
      </c>
      <c r="C36" s="294"/>
      <c r="D36" s="289">
        <f>D34*D37</f>
        <v>522530.76109600003</v>
      </c>
      <c r="E36" s="286"/>
      <c r="F36" s="289">
        <f>F34*F37</f>
        <v>81863.3</v>
      </c>
      <c r="G36" s="289"/>
      <c r="H36" s="289">
        <f>H34*H37</f>
        <v>138453.10711760001</v>
      </c>
      <c r="I36" s="289"/>
      <c r="J36" s="289">
        <f>J34*J37</f>
        <v>121923.75693500001</v>
      </c>
      <c r="K36" s="289"/>
      <c r="L36" s="289">
        <v>56000</v>
      </c>
      <c r="M36" s="289"/>
      <c r="N36" s="289">
        <v>56376</v>
      </c>
      <c r="O36" s="289"/>
      <c r="P36" s="289">
        <v>13000</v>
      </c>
      <c r="Q36" s="289"/>
      <c r="R36" s="289">
        <v>54363</v>
      </c>
      <c r="S36" s="295"/>
      <c r="T36" s="295"/>
      <c r="U36" s="284"/>
      <c r="V36" s="296">
        <f>SUM(C36:R36)</f>
        <v>1044509.9251486</v>
      </c>
      <c r="W36" s="285"/>
      <c r="X36" s="5"/>
    </row>
    <row r="37" spans="1:24" ht="15.6" x14ac:dyDescent="0.3">
      <c r="A37" s="271"/>
      <c r="B37" s="297" t="s">
        <v>133</v>
      </c>
      <c r="C37" s="298"/>
      <c r="D37" s="299">
        <v>0.65490550000000003</v>
      </c>
      <c r="E37" s="300"/>
      <c r="F37" s="299">
        <v>0.6549064</v>
      </c>
      <c r="G37" s="301"/>
      <c r="H37" s="299">
        <v>0.6549064</v>
      </c>
      <c r="I37" s="301"/>
      <c r="J37" s="299">
        <v>0.65490550000000003</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0.6610608</v>
      </c>
      <c r="E38" s="300"/>
      <c r="F38" s="299">
        <v>0.66106160000000003</v>
      </c>
      <c r="G38" s="301"/>
      <c r="H38" s="299">
        <v>0.66106160000000003</v>
      </c>
      <c r="I38" s="301"/>
      <c r="J38" s="299">
        <v>0.6610608</v>
      </c>
      <c r="K38" s="301"/>
      <c r="L38" s="301">
        <v>1</v>
      </c>
      <c r="M38" s="301"/>
      <c r="N38" s="301">
        <v>1</v>
      </c>
      <c r="O38" s="301"/>
      <c r="P38" s="301">
        <v>1</v>
      </c>
      <c r="Q38" s="301"/>
      <c r="R38" s="301">
        <v>1</v>
      </c>
      <c r="S38" s="305"/>
      <c r="T38" s="306"/>
      <c r="U38" s="303"/>
      <c r="V38" s="305"/>
      <c r="W38" s="304"/>
      <c r="X38" s="5"/>
    </row>
    <row r="39" spans="1:24" ht="15.6" x14ac:dyDescent="0.3">
      <c r="A39" s="271"/>
      <c r="B39" s="272" t="s">
        <v>11</v>
      </c>
      <c r="C39" s="272"/>
      <c r="D39" s="280" t="s">
        <v>225</v>
      </c>
      <c r="E39" s="272"/>
      <c r="F39" s="280" t="s">
        <v>225</v>
      </c>
      <c r="G39" s="280"/>
      <c r="H39" s="280" t="s">
        <v>225</v>
      </c>
      <c r="I39" s="280"/>
      <c r="J39" s="280" t="s">
        <v>251</v>
      </c>
      <c r="K39" s="280"/>
      <c r="L39" s="280" t="s">
        <v>252</v>
      </c>
      <c r="M39" s="280"/>
      <c r="N39" s="280" t="s">
        <v>253</v>
      </c>
      <c r="O39" s="280"/>
      <c r="P39" s="280" t="s">
        <v>254</v>
      </c>
      <c r="Q39" s="280"/>
      <c r="R39" s="280" t="s">
        <v>255</v>
      </c>
      <c r="S39" s="307"/>
      <c r="T39" s="308"/>
      <c r="U39" s="274"/>
      <c r="V39" s="274"/>
      <c r="W39" s="275"/>
      <c r="X39" s="5"/>
    </row>
    <row r="40" spans="1:24" ht="15.6" x14ac:dyDescent="0.3">
      <c r="A40" s="271"/>
      <c r="B40" s="272" t="s">
        <v>12</v>
      </c>
      <c r="C40" s="272"/>
      <c r="D40" s="308">
        <v>4.6969000000000004E-3</v>
      </c>
      <c r="E40" s="272"/>
      <c r="F40" s="308">
        <v>7.7093999999999999E-3</v>
      </c>
      <c r="G40" s="307"/>
      <c r="H40" s="308">
        <v>7.6400000000000001E-3</v>
      </c>
      <c r="I40" s="308"/>
      <c r="J40" s="308">
        <v>3.9281000000000003E-3</v>
      </c>
      <c r="K40" s="307"/>
      <c r="L40" s="308">
        <v>8.5094000000000003E-3</v>
      </c>
      <c r="M40" s="307"/>
      <c r="N40" s="308">
        <v>8.3400000000000002E-3</v>
      </c>
      <c r="O40" s="307"/>
      <c r="P40" s="308">
        <v>1.05094E-2</v>
      </c>
      <c r="Q40" s="307"/>
      <c r="R40" s="308">
        <v>1.034E-2</v>
      </c>
      <c r="S40" s="307"/>
      <c r="T40" s="308"/>
      <c r="U40" s="274"/>
      <c r="V40" s="280"/>
      <c r="W40" s="275"/>
      <c r="X40" s="5"/>
    </row>
    <row r="41" spans="1:24" ht="15.6" x14ac:dyDescent="0.3">
      <c r="A41" s="271"/>
      <c r="B41" s="272" t="s">
        <v>13</v>
      </c>
      <c r="C41" s="272"/>
      <c r="D41" s="308">
        <v>3.5000000000000001E-3</v>
      </c>
      <c r="E41" s="272"/>
      <c r="F41" s="308">
        <v>7.3000000000000001E-3</v>
      </c>
      <c r="G41" s="307"/>
      <c r="H41" s="308">
        <v>8.0400000000000003E-3</v>
      </c>
      <c r="I41" s="308"/>
      <c r="J41" s="308">
        <v>3.4125000000000002E-3</v>
      </c>
      <c r="K41" s="307"/>
      <c r="L41" s="308">
        <v>8.0999999999999996E-3</v>
      </c>
      <c r="M41" s="307"/>
      <c r="N41" s="308">
        <v>8.7399999999999995E-3</v>
      </c>
      <c r="O41" s="307"/>
      <c r="P41" s="308">
        <v>1.01E-2</v>
      </c>
      <c r="Q41" s="307"/>
      <c r="R41" s="308">
        <v>1.074E-2</v>
      </c>
      <c r="S41" s="307"/>
      <c r="T41" s="308"/>
      <c r="U41" s="274"/>
      <c r="V41" s="307" t="s">
        <v>196</v>
      </c>
      <c r="W41" s="275"/>
      <c r="X41" s="5"/>
    </row>
    <row r="42" spans="1:24" ht="15.6" x14ac:dyDescent="0.3">
      <c r="A42" s="271"/>
      <c r="B42" s="272" t="s">
        <v>300</v>
      </c>
      <c r="C42" s="272"/>
      <c r="D42" s="280" t="s">
        <v>292</v>
      </c>
      <c r="E42" s="272"/>
      <c r="F42" s="280" t="s">
        <v>225</v>
      </c>
      <c r="G42" s="280"/>
      <c r="H42" s="280" t="s">
        <v>263</v>
      </c>
      <c r="I42" s="280"/>
      <c r="J42" s="280" t="s">
        <v>262</v>
      </c>
      <c r="K42" s="280"/>
      <c r="L42" s="280" t="s">
        <v>252</v>
      </c>
      <c r="M42" s="280"/>
      <c r="N42" s="280" t="s">
        <v>264</v>
      </c>
      <c r="O42" s="280"/>
      <c r="P42" s="280" t="s">
        <v>254</v>
      </c>
      <c r="Q42" s="280"/>
      <c r="R42" s="280" t="s">
        <v>260</v>
      </c>
      <c r="S42" s="307"/>
      <c r="T42" s="308"/>
      <c r="U42" s="274"/>
      <c r="V42" s="274"/>
      <c r="W42" s="275"/>
      <c r="X42" s="5"/>
    </row>
    <row r="43" spans="1:24" ht="15.6" x14ac:dyDescent="0.3">
      <c r="A43" s="271"/>
      <c r="B43" s="272" t="s">
        <v>301</v>
      </c>
      <c r="C43" s="309"/>
      <c r="D43" s="308">
        <v>8.0485999999999995E-3</v>
      </c>
      <c r="E43" s="308"/>
      <c r="F43" s="308">
        <f>+F40</f>
        <v>7.7093999999999999E-3</v>
      </c>
      <c r="G43" s="308"/>
      <c r="H43" s="308">
        <v>7.8314000000000005E-3</v>
      </c>
      <c r="I43" s="308"/>
      <c r="J43" s="308">
        <v>7.7494E-3</v>
      </c>
      <c r="K43" s="308"/>
      <c r="L43" s="308">
        <f>+L40</f>
        <v>8.5094000000000003E-3</v>
      </c>
      <c r="M43" s="308"/>
      <c r="N43" s="308">
        <v>8.5994000000000001E-3</v>
      </c>
      <c r="O43" s="308"/>
      <c r="P43" s="308">
        <f>+P40</f>
        <v>1.05094E-2</v>
      </c>
      <c r="Q43" s="307"/>
      <c r="R43" s="308">
        <v>1.0709400000000001E-2</v>
      </c>
      <c r="S43" s="280"/>
      <c r="T43" s="280"/>
      <c r="U43" s="274"/>
      <c r="V43" s="307">
        <f>SUMPRODUCT(D43:R43,D35:R35)/V35</f>
        <v>8.1799747964809155E-3</v>
      </c>
      <c r="W43" s="275"/>
      <c r="X43" s="5"/>
    </row>
    <row r="44" spans="1:24" ht="15.6" x14ac:dyDescent="0.3">
      <c r="A44" s="271"/>
      <c r="B44" s="272" t="s">
        <v>302</v>
      </c>
      <c r="C44" s="309"/>
      <c r="D44" s="308">
        <v>7.6391999999999996E-3</v>
      </c>
      <c r="E44" s="308"/>
      <c r="F44" s="308">
        <f>+F41</f>
        <v>7.3000000000000001E-3</v>
      </c>
      <c r="G44" s="308"/>
      <c r="H44" s="308">
        <v>7.4219999999999998E-3</v>
      </c>
      <c r="I44" s="308"/>
      <c r="J44" s="308">
        <v>7.3400000000000002E-3</v>
      </c>
      <c r="K44" s="308"/>
      <c r="L44" s="308">
        <f>+L41</f>
        <v>8.0999999999999996E-3</v>
      </c>
      <c r="M44" s="308"/>
      <c r="N44" s="308">
        <v>8.1899999999999994E-3</v>
      </c>
      <c r="O44" s="308"/>
      <c r="P44" s="308">
        <f>+P41</f>
        <v>1.01E-2</v>
      </c>
      <c r="Q44" s="307"/>
      <c r="R44" s="308">
        <v>1.03E-2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t="s">
        <v>121</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310" t="s">
        <v>121</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203</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0.20784579450230026</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40374</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90</v>
      </c>
      <c r="S57" s="318"/>
      <c r="T57" s="319">
        <v>40193</v>
      </c>
      <c r="U57" s="320"/>
      <c r="V57" s="319">
        <v>40282</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91</v>
      </c>
      <c r="S58" s="272"/>
      <c r="T58" s="319">
        <v>40283</v>
      </c>
      <c r="U58" s="320"/>
      <c r="V58" s="319">
        <v>40373</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40360</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308</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1052638</v>
      </c>
      <c r="O68" s="324"/>
      <c r="P68" s="324">
        <f>8128+271+678</f>
        <v>9077</v>
      </c>
      <c r="Q68" s="324"/>
      <c r="R68" s="324">
        <f>271+678</f>
        <v>949</v>
      </c>
      <c r="S68" s="324"/>
      <c r="T68" s="324">
        <v>0</v>
      </c>
      <c r="U68" s="324"/>
      <c r="V68" s="325">
        <f>+N68-P68+R68-T68</f>
        <v>1044510</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1052638</v>
      </c>
      <c r="O71" s="324"/>
      <c r="P71" s="324">
        <f>SUM(P68:P70)</f>
        <v>9077</v>
      </c>
      <c r="Q71" s="324"/>
      <c r="R71" s="324">
        <f>SUM(R68:R70)</f>
        <v>949</v>
      </c>
      <c r="S71" s="324"/>
      <c r="T71" s="324">
        <f>SUM(T68:T70)</f>
        <v>0</v>
      </c>
      <c r="U71" s="324"/>
      <c r="V71" s="324">
        <f>SUM(V68:V70)</f>
        <v>1044510</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1052638</v>
      </c>
      <c r="O84" s="328"/>
      <c r="P84" s="328"/>
      <c r="Q84" s="328"/>
      <c r="R84" s="328"/>
      <c r="S84" s="328"/>
      <c r="T84" s="328"/>
      <c r="U84" s="328"/>
      <c r="V84" s="328">
        <f>SUM(V71:V83)</f>
        <v>1044510</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+T198</f>
        <v>40359</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9077-663</f>
        <v>8414</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4563+4049-537-1664+57+1</f>
        <v>6469</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80+69</f>
        <v>149</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44</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0</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8414</v>
      </c>
      <c r="U96" s="272"/>
      <c r="V96" s="324">
        <f>SUM(V88:V95)</f>
        <v>6662</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-405</v>
      </c>
      <c r="U97" s="272"/>
      <c r="V97" s="324">
        <v>405</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79</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8009</v>
      </c>
      <c r="U100" s="272"/>
      <c r="V100" s="324">
        <f>V96+V98+V97+V99</f>
        <v>7146</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231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272" t="s">
        <v>207</v>
      </c>
      <c r="C104" s="272"/>
      <c r="D104" s="272"/>
      <c r="E104" s="272"/>
      <c r="F104" s="272"/>
      <c r="G104" s="272"/>
      <c r="H104" s="272"/>
      <c r="I104" s="272"/>
      <c r="J104" s="272"/>
      <c r="K104" s="272"/>
      <c r="L104" s="272"/>
      <c r="M104" s="272"/>
      <c r="N104" s="272"/>
      <c r="O104" s="272"/>
      <c r="P104" s="272"/>
      <c r="Q104" s="272"/>
      <c r="R104" s="272"/>
      <c r="S104" s="272"/>
      <c r="T104" s="272"/>
      <c r="U104" s="272"/>
      <c r="V104" s="325">
        <f>-396-206-12</f>
        <v>-614</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-586</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-1728+159</f>
        <v>-1569</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-159</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-2</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-121</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-119</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-145</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-34</v>
      </c>
      <c r="W112" s="275"/>
      <c r="X112" s="5"/>
      <c r="Y112" s="109"/>
    </row>
    <row r="113" spans="1:24" ht="15.6" x14ac:dyDescent="0.3">
      <c r="A113" s="338">
        <v>7</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-10</v>
      </c>
      <c r="W113" s="275"/>
      <c r="X113" s="5"/>
    </row>
    <row r="114" spans="1:24" ht="15.6" x14ac:dyDescent="0.3">
      <c r="A114" s="338">
        <f t="shared" ref="A114:A120" si="0">+A113+1</f>
        <v>8</v>
      </c>
      <c r="B114" s="272" t="s">
        <v>45</v>
      </c>
      <c r="C114" s="272"/>
      <c r="D114" s="272"/>
      <c r="E114" s="272"/>
      <c r="F114" s="272"/>
      <c r="G114" s="272"/>
      <c r="H114" s="272"/>
      <c r="I114" s="272"/>
      <c r="J114" s="272"/>
      <c r="K114" s="272"/>
      <c r="L114" s="272"/>
      <c r="M114" s="272"/>
      <c r="N114" s="272"/>
      <c r="O114" s="272"/>
      <c r="P114" s="272"/>
      <c r="Q114" s="272"/>
      <c r="R114" s="272"/>
      <c r="S114" s="272"/>
      <c r="T114" s="324">
        <f>-V114</f>
        <v>663</v>
      </c>
      <c r="U114" s="272"/>
      <c r="V114" s="325">
        <v>-663</v>
      </c>
      <c r="W114" s="275"/>
      <c r="X114" s="5"/>
    </row>
    <row r="115" spans="1:24" ht="15.6" x14ac:dyDescent="0.3">
      <c r="A115" s="338">
        <f t="shared" si="0"/>
        <v>9</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10</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11</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12</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13</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-395</v>
      </c>
      <c r="W119" s="275"/>
      <c r="X119" s="5"/>
    </row>
    <row r="120" spans="1:24" ht="15.6" x14ac:dyDescent="0.3">
      <c r="A120" s="338">
        <f t="shared" si="0"/>
        <v>14</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-V100-SUM(V102:V119)</f>
        <v>-2727</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-5</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-271</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-268</v>
      </c>
      <c r="U124" s="324"/>
      <c r="V124" s="325"/>
      <c r="W124" s="275"/>
      <c r="X124" s="5"/>
    </row>
    <row r="125" spans="1:24" ht="15.6" x14ac:dyDescent="0.3">
      <c r="A125" s="338"/>
      <c r="B125" s="272" t="s">
        <v>200</v>
      </c>
      <c r="C125" s="272"/>
      <c r="D125" s="272"/>
      <c r="E125" s="272"/>
      <c r="F125" s="272"/>
      <c r="G125" s="272"/>
      <c r="H125" s="272"/>
      <c r="I125" s="272"/>
      <c r="J125" s="272"/>
      <c r="K125" s="272"/>
      <c r="L125" s="272"/>
      <c r="M125" s="272"/>
      <c r="N125" s="272"/>
      <c r="O125" s="272"/>
      <c r="P125" s="272"/>
      <c r="Q125" s="272"/>
      <c r="R125" s="272"/>
      <c r="S125" s="272"/>
      <c r="T125" s="324">
        <v>-4911</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-770</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-1301</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-1146</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-8672</v>
      </c>
      <c r="U133" s="324"/>
      <c r="V133" s="324">
        <f>SUM(V101:V130)</f>
        <v>-7146</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T100+T133+T114</f>
        <v>0</v>
      </c>
      <c r="U134" s="324"/>
      <c r="V134" s="324">
        <f>V100+V133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B64</f>
        <v>PM13 INVESTOR REPORT QUARTER ENDING JUNE 2010</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272</v>
      </c>
      <c r="C155" s="272"/>
      <c r="D155" s="272"/>
      <c r="E155" s="272"/>
      <c r="F155" s="272"/>
      <c r="G155" s="272"/>
      <c r="H155" s="272"/>
      <c r="I155" s="272"/>
      <c r="J155" s="272"/>
      <c r="K155" s="272"/>
      <c r="L155" s="272"/>
      <c r="M155" s="272"/>
      <c r="N155" s="272"/>
      <c r="O155" s="272"/>
      <c r="P155" s="272"/>
      <c r="Q155" s="272"/>
      <c r="R155" s="272"/>
      <c r="S155" s="272"/>
      <c r="T155" s="272"/>
      <c r="U155" s="272"/>
      <c r="V155" s="325">
        <v>6000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663</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663</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-663</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v>0</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V71</f>
        <v>1044510</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V84</f>
        <v>1044510</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+'March 10'!S184</f>
        <v>43523</v>
      </c>
      <c r="T181" s="325">
        <f>+'March 10'!T184</f>
        <v>8491</v>
      </c>
      <c r="U181" s="272"/>
      <c r="V181" s="325">
        <f>S181+T181</f>
        <v>52014</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f>266+2</f>
        <v>268</v>
      </c>
      <c r="T182" s="324">
        <v>5</v>
      </c>
      <c r="U182" s="272"/>
      <c r="V182" s="325">
        <f>S182+T182</f>
        <v>273</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43791</v>
      </c>
      <c r="T183" s="325">
        <f>T182+T181</f>
        <v>8496</v>
      </c>
      <c r="U183" s="272"/>
      <c r="V183" s="325">
        <f>S183+T183</f>
        <v>52287</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187743.4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(V100+V102+V103+V104+V105)/-(V106+V107)</f>
        <v>3.4398148148148149</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1.48</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(V100+V102+V103+V104+V105+V106+V107)/-(V109+V110)</f>
        <v>17.566666666666666</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4.78</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(V100+V102+V103+V104+V105+V106+V107+V109+V110)/-(V111+V112)</f>
        <v>22.212290502793294</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6</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JUNE 2010</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40359</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2.4809999999999999E-2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8.1799747964809155E-3</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1.6630025203519083E-2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+V100/N71</f>
        <v>6.7886585891826058E-3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17.309999999999999</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P68/N68</f>
        <v>8.6230973991058661E-3</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0.1071</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1</v>
      </c>
      <c r="T216" s="357">
        <v>160</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202</v>
      </c>
      <c r="T217" s="357">
        <f>+T269</f>
        <v>30706</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v>0</v>
      </c>
      <c r="T218" s="357">
        <v>0</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+N81</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7" t="s">
        <v>84</v>
      </c>
      <c r="C222" s="277"/>
      <c r="D222" s="277"/>
      <c r="E222" s="277"/>
      <c r="F222" s="277"/>
      <c r="G222" s="277"/>
      <c r="H222" s="277"/>
      <c r="I222" s="277"/>
      <c r="J222" s="277"/>
      <c r="K222" s="277"/>
      <c r="L222" s="277"/>
      <c r="M222" s="277"/>
      <c r="N222" s="277"/>
      <c r="O222" s="277"/>
      <c r="P222" s="277"/>
      <c r="Q222" s="277"/>
      <c r="R222" s="277"/>
      <c r="S222" s="310"/>
      <c r="T222" s="368">
        <f>V166</f>
        <v>663</v>
      </c>
      <c r="U222" s="277"/>
      <c r="V222" s="362"/>
      <c r="W222" s="367"/>
      <c r="X222" s="5"/>
    </row>
    <row r="223" spans="1:24" ht="15.6" x14ac:dyDescent="0.3">
      <c r="A223" s="356"/>
      <c r="B223" s="277" t="s">
        <v>85</v>
      </c>
      <c r="C223" s="369"/>
      <c r="D223" s="369"/>
      <c r="E223" s="369"/>
      <c r="F223" s="369"/>
      <c r="G223" s="277"/>
      <c r="H223" s="277"/>
      <c r="I223" s="277"/>
      <c r="J223" s="277"/>
      <c r="K223" s="277"/>
      <c r="L223" s="277"/>
      <c r="M223" s="277"/>
      <c r="N223" s="277"/>
      <c r="O223" s="277"/>
      <c r="P223" s="277"/>
      <c r="Q223" s="277"/>
      <c r="R223" s="277"/>
      <c r="S223" s="310"/>
      <c r="T223" s="368">
        <f>'March 10'!T224+T222</f>
        <v>1551</v>
      </c>
      <c r="U223" s="277"/>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13</v>
      </c>
      <c r="T229" s="357">
        <v>1240</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13.12</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+R248+R260+R272</f>
        <v>8073</v>
      </c>
      <c r="S236" s="381">
        <f>R236/$R$245</f>
        <v>0.98319327731092432</v>
      </c>
      <c r="T236" s="325">
        <f>+T248+T260+T272</f>
        <v>1024456</v>
      </c>
      <c r="U236" s="381">
        <f>T236/$T$245</f>
        <v>0.98080056677293659</v>
      </c>
      <c r="V236" s="358"/>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ref="R237:R243" si="1">+R249+R261+R273</f>
        <v>35</v>
      </c>
      <c r="S237" s="381">
        <f t="shared" ref="S237:S243" si="2">R237/$R$245</f>
        <v>4.2625745950554137E-3</v>
      </c>
      <c r="T237" s="325">
        <f t="shared" ref="T237:T243" si="3">+T249+T261+T273</f>
        <v>4458</v>
      </c>
      <c r="U237" s="381">
        <f t="shared" ref="U237:U243" si="4">T237/$T$245</f>
        <v>4.2680299853519836E-3</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14</v>
      </c>
      <c r="S238" s="381">
        <f t="shared" si="2"/>
        <v>1.7050298380221654E-3</v>
      </c>
      <c r="T238" s="325">
        <f t="shared" si="3"/>
        <v>3188</v>
      </c>
      <c r="U238" s="381">
        <f t="shared" si="4"/>
        <v>3.0521488544867927E-3</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10</v>
      </c>
      <c r="S239" s="381">
        <f t="shared" si="2"/>
        <v>1.2178784557301181E-3</v>
      </c>
      <c r="T239" s="325">
        <f t="shared" si="3"/>
        <v>1169</v>
      </c>
      <c r="U239" s="381">
        <f t="shared" si="4"/>
        <v>1.1191850724263052E-3</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4</v>
      </c>
      <c r="S240" s="381">
        <f t="shared" si="2"/>
        <v>4.8715138229204726E-4</v>
      </c>
      <c r="T240" s="325">
        <f t="shared" si="3"/>
        <v>457</v>
      </c>
      <c r="U240" s="381">
        <f t="shared" si="4"/>
        <v>4.3752572976802522E-4</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2</v>
      </c>
      <c r="S241" s="381">
        <f t="shared" si="2"/>
        <v>2.4357569114602363E-4</v>
      </c>
      <c r="T241" s="325">
        <f t="shared" si="3"/>
        <v>272</v>
      </c>
      <c r="U241" s="381">
        <f t="shared" si="4"/>
        <v>2.6040918708293841E-4</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17</v>
      </c>
      <c r="S242" s="381">
        <f t="shared" si="2"/>
        <v>2.070393374741201E-3</v>
      </c>
      <c r="T242" s="325">
        <f t="shared" si="3"/>
        <v>2477</v>
      </c>
      <c r="U242" s="381">
        <f t="shared" si="4"/>
        <v>2.3714468985457297E-3</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56</v>
      </c>
      <c r="S243" s="381">
        <f t="shared" si="2"/>
        <v>6.8201193520886615E-3</v>
      </c>
      <c r="T243" s="325">
        <f t="shared" si="3"/>
        <v>8033</v>
      </c>
      <c r="U243" s="381">
        <f t="shared" si="4"/>
        <v>7.6906874994016336E-3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8211</v>
      </c>
      <c r="S245" s="381">
        <f>SUM(S236:S244)</f>
        <v>0.99999999999999989</v>
      </c>
      <c r="T245" s="325">
        <f>SUM(T236:T244)</f>
        <v>1044510</v>
      </c>
      <c r="U245" s="381">
        <f>SUM(U236:U244)</f>
        <v>1</v>
      </c>
      <c r="V245" s="272"/>
      <c r="W245" s="275"/>
      <c r="X245" s="5"/>
    </row>
    <row r="246" spans="1:25" ht="15.6" x14ac:dyDescent="0.3">
      <c r="A246" s="175"/>
      <c r="B246" s="321"/>
      <c r="C246" s="321"/>
      <c r="D246" s="321"/>
      <c r="E246" s="321"/>
      <c r="F246" s="321"/>
      <c r="G246" s="321"/>
      <c r="H246" s="377"/>
      <c r="I246" s="377"/>
      <c r="J246" s="377"/>
      <c r="K246" s="377"/>
      <c r="L246" s="377"/>
      <c r="M246" s="377"/>
      <c r="N246" s="377"/>
      <c r="O246" s="377"/>
      <c r="P246" s="377"/>
      <c r="Q246" s="377"/>
      <c r="R246" s="322"/>
      <c r="S246" s="378"/>
      <c r="T246" s="379"/>
      <c r="U246" s="378"/>
      <c r="V246" s="321"/>
      <c r="W246" s="321"/>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7968</v>
      </c>
      <c r="S248" s="261">
        <f t="shared" ref="S248:S255" si="5">R248/$R$257</f>
        <v>0.99488075914596075</v>
      </c>
      <c r="T248" s="238">
        <v>1007419</v>
      </c>
      <c r="U248" s="261">
        <f t="shared" ref="U248:U255" si="6">T248/$T$257</f>
        <v>0.99370193844175003</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27</v>
      </c>
      <c r="S249" s="381">
        <f t="shared" si="5"/>
        <v>3.3712073916843553E-3</v>
      </c>
      <c r="T249" s="325">
        <v>3524</v>
      </c>
      <c r="U249" s="381">
        <f t="shared" si="6"/>
        <v>3.476017060496901E-3</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6</v>
      </c>
      <c r="S250" s="381">
        <f t="shared" si="5"/>
        <v>7.4915719815207892E-4</v>
      </c>
      <c r="T250" s="325">
        <v>1843</v>
      </c>
      <c r="U250" s="381">
        <f t="shared" si="6"/>
        <v>1.8179056306741738E-3</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2</v>
      </c>
      <c r="S251" s="381">
        <f t="shared" si="5"/>
        <v>2.4971906605069299E-4</v>
      </c>
      <c r="T251" s="325">
        <v>337</v>
      </c>
      <c r="U251" s="381">
        <f t="shared" si="6"/>
        <v>3.3241139312924391E-4</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1</v>
      </c>
      <c r="S252" s="381">
        <f t="shared" si="5"/>
        <v>1.248595330253465E-4</v>
      </c>
      <c r="T252" s="325">
        <v>103</v>
      </c>
      <c r="U252" s="381">
        <f t="shared" si="6"/>
        <v>1.0159754745493212E-4</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1</v>
      </c>
      <c r="S253" s="381">
        <f t="shared" si="5"/>
        <v>1.248595330253465E-4</v>
      </c>
      <c r="T253" s="325">
        <v>200</v>
      </c>
      <c r="U253" s="381">
        <f t="shared" si="6"/>
        <v>1.9727679117462546E-4</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4</v>
      </c>
      <c r="S255" s="381">
        <f t="shared" si="5"/>
        <v>4.9943813210138598E-4</v>
      </c>
      <c r="T255" s="325">
        <v>378</v>
      </c>
      <c r="U255" s="381">
        <f t="shared" si="6"/>
        <v>3.7285313532004215E-4</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8009</v>
      </c>
      <c r="S257" s="381">
        <f>SUM(S248:S256)</f>
        <v>0.99999999999999989</v>
      </c>
      <c r="T257" s="325">
        <f>SUM(T248:T256)</f>
        <v>1013804</v>
      </c>
      <c r="U257" s="381">
        <f>SUM(U248:U256)</f>
        <v>1</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105</v>
      </c>
      <c r="S260" s="261">
        <f t="shared" ref="S260:S267" si="7">R260/$R$269</f>
        <v>0.51980198019801982</v>
      </c>
      <c r="T260" s="238">
        <v>17037</v>
      </c>
      <c r="U260" s="261">
        <f t="shared" ref="U260:U267" si="8">T260/$T$269</f>
        <v>0.5548427017521006</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8</v>
      </c>
      <c r="S261" s="381">
        <f t="shared" si="7"/>
        <v>3.9603960396039604E-2</v>
      </c>
      <c r="T261" s="325">
        <v>934</v>
      </c>
      <c r="U261" s="381">
        <f t="shared" si="8"/>
        <v>3.0417507978896634E-2</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8</v>
      </c>
      <c r="S262" s="381">
        <f t="shared" si="7"/>
        <v>3.9603960396039604E-2</v>
      </c>
      <c r="T262" s="325">
        <v>1345</v>
      </c>
      <c r="U262" s="381">
        <f t="shared" si="8"/>
        <v>4.3802514166612391E-2</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8</v>
      </c>
      <c r="S263" s="381">
        <f t="shared" si="7"/>
        <v>3.9603960396039604E-2</v>
      </c>
      <c r="T263" s="325">
        <v>832</v>
      </c>
      <c r="U263" s="381">
        <f t="shared" si="8"/>
        <v>2.7095681625740897E-2</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3</v>
      </c>
      <c r="S264" s="381">
        <f t="shared" si="7"/>
        <v>1.4851485148514851E-2</v>
      </c>
      <c r="T264" s="325">
        <v>354</v>
      </c>
      <c r="U264" s="381">
        <f t="shared" si="8"/>
        <v>1.1528691460952256E-2</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1</v>
      </c>
      <c r="S265" s="381">
        <f t="shared" si="7"/>
        <v>4.9504950495049506E-3</v>
      </c>
      <c r="T265" s="325">
        <v>72</v>
      </c>
      <c r="U265" s="381">
        <f t="shared" si="8"/>
        <v>2.3448186022275775E-3</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17</v>
      </c>
      <c r="S266" s="381">
        <f t="shared" si="7"/>
        <v>8.4158415841584164E-2</v>
      </c>
      <c r="T266" s="325">
        <v>2477</v>
      </c>
      <c r="U266" s="381">
        <f t="shared" si="8"/>
        <v>8.0668273301634855E-2</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52</v>
      </c>
      <c r="S267" s="381">
        <f t="shared" si="7"/>
        <v>0.25742574257425743</v>
      </c>
      <c r="T267" s="325">
        <v>7655</v>
      </c>
      <c r="U267" s="381">
        <f t="shared" si="8"/>
        <v>0.24929981111183483</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202</v>
      </c>
      <c r="S269" s="381">
        <f>SUM(S260:S268)</f>
        <v>1</v>
      </c>
      <c r="T269" s="325">
        <f>SUM(T260:T268)</f>
        <v>30706</v>
      </c>
      <c r="U269" s="381">
        <f>SUM(U260:U268)</f>
        <v>1</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v>0</v>
      </c>
      <c r="T272" s="238">
        <v>0</v>
      </c>
      <c r="U272" s="261">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v>0</v>
      </c>
      <c r="T273" s="325">
        <v>0</v>
      </c>
      <c r="U273" s="381">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0</v>
      </c>
      <c r="S281" s="381">
        <f>SUM(S272:S279)</f>
        <v>0</v>
      </c>
      <c r="T281" s="325">
        <f>SUM(T272:T279)</f>
        <v>0</v>
      </c>
      <c r="U281" s="381">
        <f>SUM(U272:U279)</f>
        <v>0</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81" t="s">
        <v>167</v>
      </c>
      <c r="C283" s="272"/>
      <c r="D283" s="272"/>
      <c r="E283" s="272"/>
      <c r="F283" s="272"/>
      <c r="G283" s="272"/>
      <c r="H283" s="383"/>
      <c r="I283" s="383"/>
      <c r="J283" s="383"/>
      <c r="K283" s="383"/>
      <c r="L283" s="383"/>
      <c r="M283" s="383"/>
      <c r="N283" s="383"/>
      <c r="O283" s="383"/>
      <c r="P283" s="383"/>
      <c r="Q283" s="383"/>
      <c r="R283" s="386">
        <f>R281+R269+R257</f>
        <v>8211</v>
      </c>
      <c r="S283" s="381"/>
      <c r="T283" s="387">
        <f>+T281+T269+T257</f>
        <v>1044510</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93</v>
      </c>
      <c r="C287" s="220"/>
      <c r="D287" s="220"/>
      <c r="E287" s="220"/>
      <c r="F287" s="265" t="s">
        <v>151</v>
      </c>
      <c r="G287" s="220"/>
      <c r="H287" s="219" t="s">
        <v>155</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281</v>
      </c>
      <c r="C288" s="219"/>
      <c r="D288" s="219"/>
      <c r="E288" s="219"/>
      <c r="F288" s="265" t="s">
        <v>282</v>
      </c>
      <c r="G288" s="219"/>
      <c r="H288" s="219" t="s">
        <v>283</v>
      </c>
      <c r="I288" s="227"/>
      <c r="J288" s="219"/>
      <c r="K288" s="227"/>
      <c r="L288" s="227"/>
      <c r="M288" s="227"/>
      <c r="N288" s="227"/>
      <c r="O288" s="227"/>
      <c r="P288" s="227"/>
      <c r="Q288" s="227"/>
      <c r="R288" s="227"/>
      <c r="S288" s="227"/>
      <c r="T288" s="227"/>
      <c r="U288" s="227"/>
      <c r="V288" s="227"/>
      <c r="W288" s="227"/>
      <c r="X288" s="5"/>
    </row>
    <row r="289" spans="1:24" ht="15.6" x14ac:dyDescent="0.3">
      <c r="A289" s="216"/>
      <c r="B289" s="219" t="s">
        <v>94</v>
      </c>
      <c r="C289" s="219"/>
      <c r="D289" s="219"/>
      <c r="E289" s="219"/>
      <c r="F289" s="265" t="s">
        <v>150</v>
      </c>
      <c r="G289" s="219"/>
      <c r="H289" s="219" t="s">
        <v>156</v>
      </c>
      <c r="I289" s="219"/>
      <c r="J289" s="219"/>
      <c r="K289" s="227"/>
      <c r="L289" s="227"/>
      <c r="M289" s="227"/>
      <c r="N289" s="227"/>
      <c r="O289" s="227"/>
      <c r="P289" s="227"/>
      <c r="Q289" s="227"/>
      <c r="R289" s="227"/>
      <c r="S289" s="227"/>
      <c r="T289" s="227"/>
      <c r="U289" s="227"/>
      <c r="V289" s="227"/>
      <c r="W289" s="227"/>
      <c r="X289" s="5"/>
    </row>
    <row r="290" spans="1:24" ht="15.6" x14ac:dyDescent="0.3">
      <c r="A290" s="216"/>
      <c r="B290" s="219"/>
      <c r="C290" s="219"/>
      <c r="D290" s="219"/>
      <c r="E290" s="219"/>
      <c r="F290" s="219"/>
      <c r="G290" s="266"/>
      <c r="H290" s="227"/>
      <c r="I290" s="227"/>
      <c r="J290" s="227"/>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8" thickBot="1" x14ac:dyDescent="0.35">
      <c r="A292" s="216"/>
      <c r="B292" s="267" t="str">
        <f>B197</f>
        <v>PM13 INVESTOR REPORT QUARTER ENDING JUNE 2010</v>
      </c>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x14ac:dyDescent="0.25">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row>
  </sheetData>
  <phoneticPr fontId="0" type="noConversion"/>
  <hyperlinks>
    <hyperlink ref="P233" r:id="rId1" xr:uid="{00000000-0004-0000-0E00-000000000000}"/>
    <hyperlink ref="I9" r:id="rId2" xr:uid="{00000000-0004-0000-0E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7" max="14" man="1"/>
    <brk id="197" max="14"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2D2926"/>
  </sheetPr>
  <dimension ref="A1:Z293"/>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0.63280000000000003</v>
      </c>
      <c r="T16" s="224" t="s">
        <v>143</v>
      </c>
      <c r="U16" s="223">
        <v>0.36720000000000003</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40471</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175"/>
      <c r="B22" s="177"/>
      <c r="C22" s="189"/>
      <c r="D22" s="189" t="s">
        <v>180</v>
      </c>
      <c r="E22" s="189"/>
      <c r="F22" s="189" t="s">
        <v>181</v>
      </c>
      <c r="G22" s="189"/>
      <c r="H22" s="189" t="s">
        <v>182</v>
      </c>
      <c r="I22" s="189"/>
      <c r="J22" s="189" t="s">
        <v>223</v>
      </c>
      <c r="K22" s="189"/>
      <c r="L22" s="189" t="s">
        <v>183</v>
      </c>
      <c r="M22" s="189"/>
      <c r="N22" s="189" t="s">
        <v>184</v>
      </c>
      <c r="O22" s="189"/>
      <c r="P22" s="189" t="s">
        <v>224</v>
      </c>
      <c r="Q22" s="189"/>
      <c r="R22" s="189" t="s">
        <v>185</v>
      </c>
      <c r="S22" s="190"/>
      <c r="T22" s="191"/>
      <c r="U22" s="187"/>
      <c r="V22" s="187"/>
      <c r="W22" s="177"/>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7" t="s">
        <v>193</v>
      </c>
      <c r="C25" s="278"/>
      <c r="D25" s="273" t="s">
        <v>218</v>
      </c>
      <c r="E25" s="273"/>
      <c r="F25" s="273" t="s">
        <v>146</v>
      </c>
      <c r="G25" s="273"/>
      <c r="H25" s="273" t="s">
        <v>146</v>
      </c>
      <c r="I25" s="273"/>
      <c r="J25" s="273" t="s">
        <v>146</v>
      </c>
      <c r="K25" s="273"/>
      <c r="L25" s="273" t="s">
        <v>168</v>
      </c>
      <c r="M25" s="273"/>
      <c r="N25" s="273" t="s">
        <v>168</v>
      </c>
      <c r="O25" s="273"/>
      <c r="P25" s="273" t="s">
        <v>147</v>
      </c>
      <c r="Q25" s="273"/>
      <c r="R25" s="273" t="s">
        <v>147</v>
      </c>
      <c r="S25" s="278"/>
      <c r="T25" s="273"/>
      <c r="U25" s="274"/>
      <c r="V25" s="274"/>
      <c r="W25" s="275"/>
      <c r="X25" s="5"/>
    </row>
    <row r="26" spans="1:24" ht="15.6" x14ac:dyDescent="0.3">
      <c r="A26" s="276"/>
      <c r="B26" s="279" t="s">
        <v>9</v>
      </c>
      <c r="C26" s="278"/>
      <c r="D26" s="278" t="s">
        <v>216</v>
      </c>
      <c r="E26" s="278"/>
      <c r="F26" s="278" t="s">
        <v>144</v>
      </c>
      <c r="G26" s="278"/>
      <c r="H26" s="278" t="s">
        <v>144</v>
      </c>
      <c r="I26" s="278"/>
      <c r="J26" s="278" t="s">
        <v>144</v>
      </c>
      <c r="K26" s="278"/>
      <c r="L26" s="278" t="s">
        <v>186</v>
      </c>
      <c r="M26" s="278"/>
      <c r="N26" s="278" t="s">
        <v>186</v>
      </c>
      <c r="O26" s="278"/>
      <c r="P26" s="278" t="s">
        <v>145</v>
      </c>
      <c r="Q26" s="278"/>
      <c r="R26" s="278" t="s">
        <v>145</v>
      </c>
      <c r="S26" s="278"/>
      <c r="T26" s="273"/>
      <c r="U26" s="274"/>
      <c r="V26" s="274"/>
      <c r="W26" s="275"/>
      <c r="X26" s="5"/>
    </row>
    <row r="27" spans="1:24" ht="15.6" x14ac:dyDescent="0.3">
      <c r="A27" s="271"/>
      <c r="B27" s="279" t="s">
        <v>194</v>
      </c>
      <c r="C27" s="273"/>
      <c r="D27" s="278" t="s">
        <v>217</v>
      </c>
      <c r="E27" s="278"/>
      <c r="F27" s="278" t="s">
        <v>146</v>
      </c>
      <c r="G27" s="278"/>
      <c r="H27" s="278" t="s">
        <v>146</v>
      </c>
      <c r="I27" s="278"/>
      <c r="J27" s="278" t="s">
        <v>146</v>
      </c>
      <c r="K27" s="278"/>
      <c r="L27" s="278" t="s">
        <v>168</v>
      </c>
      <c r="M27" s="278"/>
      <c r="N27" s="278" t="s">
        <v>168</v>
      </c>
      <c r="O27" s="278"/>
      <c r="P27" s="278" t="s">
        <v>147</v>
      </c>
      <c r="Q27" s="278"/>
      <c r="R27" s="278" t="s">
        <v>147</v>
      </c>
      <c r="S27" s="273"/>
      <c r="T27" s="280"/>
      <c r="U27" s="274"/>
      <c r="V27" s="274"/>
      <c r="W27" s="275"/>
      <c r="X27" s="5"/>
    </row>
    <row r="28" spans="1:24" ht="15.6" x14ac:dyDescent="0.3">
      <c r="A28" s="271"/>
      <c r="B28" s="281" t="s">
        <v>195</v>
      </c>
      <c r="C28" s="273"/>
      <c r="D28" s="278" t="s">
        <v>218</v>
      </c>
      <c r="E28" s="278"/>
      <c r="F28" s="278" t="s">
        <v>146</v>
      </c>
      <c r="G28" s="278"/>
      <c r="H28" s="278" t="s">
        <v>146</v>
      </c>
      <c r="I28" s="278"/>
      <c r="J28" s="278" t="s">
        <v>146</v>
      </c>
      <c r="K28" s="278"/>
      <c r="L28" s="278" t="s">
        <v>168</v>
      </c>
      <c r="M28" s="278"/>
      <c r="N28" s="278" t="s">
        <v>168</v>
      </c>
      <c r="O28" s="278"/>
      <c r="P28" s="278" t="s">
        <v>147</v>
      </c>
      <c r="Q28" s="278"/>
      <c r="R28" s="278"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982358.25</v>
      </c>
      <c r="E32" s="282"/>
      <c r="F32" s="283">
        <f>F31*F38</f>
        <v>81863.3</v>
      </c>
      <c r="G32" s="283"/>
      <c r="H32" s="288">
        <f>H31*H38</f>
        <v>206295.516</v>
      </c>
      <c r="I32" s="288"/>
      <c r="J32" s="287">
        <f>J31*J38</f>
        <v>229216.92500000002</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975612.15</v>
      </c>
      <c r="E33" s="286"/>
      <c r="F33" s="289">
        <f>F37*F31</f>
        <v>81301.125</v>
      </c>
      <c r="G33" s="289"/>
      <c r="H33" s="292">
        <f>H31*H37</f>
        <v>204878.83499999999</v>
      </c>
      <c r="I33" s="292"/>
      <c r="J33" s="291">
        <f>J37*J31</f>
        <v>227642.83500000002</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93">
        <f>SUM(C34:R34)</f>
        <v>1500190</v>
      </c>
      <c r="W34" s="285"/>
      <c r="X34" s="5"/>
    </row>
    <row r="35" spans="1:24" ht="15.6" x14ac:dyDescent="0.3">
      <c r="A35" s="276"/>
      <c r="B35" s="272" t="s">
        <v>299</v>
      </c>
      <c r="C35" s="294"/>
      <c r="D35" s="283">
        <f>D34*D38</f>
        <v>522530.76109600003</v>
      </c>
      <c r="E35" s="282"/>
      <c r="F35" s="283">
        <f>F34*F38</f>
        <v>81863.3</v>
      </c>
      <c r="G35" s="283"/>
      <c r="H35" s="283">
        <f>H34*H38</f>
        <v>138453.10711760001</v>
      </c>
      <c r="I35" s="283"/>
      <c r="J35" s="283">
        <f>J34*J38</f>
        <v>121923.75693500001</v>
      </c>
      <c r="K35" s="283"/>
      <c r="L35" s="283">
        <f>L34*L38</f>
        <v>56000</v>
      </c>
      <c r="M35" s="283"/>
      <c r="N35" s="283">
        <f>N34*N38</f>
        <v>56376</v>
      </c>
      <c r="O35" s="283"/>
      <c r="P35" s="283">
        <f>P34*P38</f>
        <v>13000</v>
      </c>
      <c r="Q35" s="283"/>
      <c r="R35" s="283">
        <f>R34*R38</f>
        <v>54363</v>
      </c>
      <c r="S35" s="283"/>
      <c r="T35" s="283"/>
      <c r="U35" s="284"/>
      <c r="V35" s="293">
        <f>SUM(C35:R35)</f>
        <v>1044509.9251486</v>
      </c>
      <c r="W35" s="285"/>
      <c r="X35" s="5"/>
    </row>
    <row r="36" spans="1:24" ht="15.6" x14ac:dyDescent="0.3">
      <c r="A36" s="276"/>
      <c r="B36" s="279" t="s">
        <v>304</v>
      </c>
      <c r="C36" s="294"/>
      <c r="D36" s="289">
        <f>D34*D37</f>
        <v>518942.41156320006</v>
      </c>
      <c r="E36" s="286"/>
      <c r="F36" s="289">
        <f>F34*F37</f>
        <v>81301.125</v>
      </c>
      <c r="G36" s="289"/>
      <c r="H36" s="289">
        <f>H34*H37</f>
        <v>137502.31628100001</v>
      </c>
      <c r="I36" s="289"/>
      <c r="J36" s="289">
        <f>J34*J37</f>
        <v>121086.47597700001</v>
      </c>
      <c r="K36" s="289"/>
      <c r="L36" s="289">
        <v>56000</v>
      </c>
      <c r="M36" s="289"/>
      <c r="N36" s="289">
        <v>56376</v>
      </c>
      <c r="O36" s="289"/>
      <c r="P36" s="289">
        <v>13000</v>
      </c>
      <c r="Q36" s="289"/>
      <c r="R36" s="289">
        <v>54363</v>
      </c>
      <c r="S36" s="295"/>
      <c r="T36" s="295"/>
      <c r="U36" s="284"/>
      <c r="V36" s="296">
        <f>SUM(C36:R36)</f>
        <v>1038571.3288212001</v>
      </c>
      <c r="W36" s="285"/>
      <c r="X36" s="5"/>
    </row>
    <row r="37" spans="1:24" ht="15.6" x14ac:dyDescent="0.3">
      <c r="A37" s="271"/>
      <c r="B37" s="297" t="s">
        <v>133</v>
      </c>
      <c r="C37" s="298"/>
      <c r="D37" s="299">
        <v>0.65040810000000004</v>
      </c>
      <c r="E37" s="300"/>
      <c r="F37" s="299">
        <v>0.65040900000000001</v>
      </c>
      <c r="G37" s="301"/>
      <c r="H37" s="299">
        <v>0.65040900000000001</v>
      </c>
      <c r="I37" s="301"/>
      <c r="J37" s="299">
        <v>0.65040810000000004</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0.65490550000000003</v>
      </c>
      <c r="E38" s="300"/>
      <c r="F38" s="299">
        <v>0.6549064</v>
      </c>
      <c r="G38" s="301"/>
      <c r="H38" s="299">
        <v>0.6549064</v>
      </c>
      <c r="I38" s="301"/>
      <c r="J38" s="299">
        <v>0.65490550000000003</v>
      </c>
      <c r="K38" s="301"/>
      <c r="L38" s="301">
        <v>1</v>
      </c>
      <c r="M38" s="301"/>
      <c r="N38" s="301">
        <v>1</v>
      </c>
      <c r="O38" s="301"/>
      <c r="P38" s="301">
        <v>1</v>
      </c>
      <c r="Q38" s="301"/>
      <c r="R38" s="301">
        <v>1</v>
      </c>
      <c r="S38" s="305"/>
      <c r="T38" s="306"/>
      <c r="U38" s="303"/>
      <c r="V38" s="305"/>
      <c r="W38" s="304"/>
      <c r="X38" s="5"/>
    </row>
    <row r="39" spans="1:24" ht="15.6" x14ac:dyDescent="0.3">
      <c r="A39" s="271"/>
      <c r="B39" s="272" t="s">
        <v>11</v>
      </c>
      <c r="C39" s="272"/>
      <c r="D39" s="280" t="s">
        <v>225</v>
      </c>
      <c r="E39" s="272"/>
      <c r="F39" s="280" t="s">
        <v>225</v>
      </c>
      <c r="G39" s="280"/>
      <c r="H39" s="280" t="s">
        <v>225</v>
      </c>
      <c r="I39" s="280"/>
      <c r="J39" s="280" t="s">
        <v>251</v>
      </c>
      <c r="K39" s="280"/>
      <c r="L39" s="280" t="s">
        <v>252</v>
      </c>
      <c r="M39" s="280"/>
      <c r="N39" s="280" t="s">
        <v>253</v>
      </c>
      <c r="O39" s="280"/>
      <c r="P39" s="280" t="s">
        <v>254</v>
      </c>
      <c r="Q39" s="280"/>
      <c r="R39" s="280" t="s">
        <v>255</v>
      </c>
      <c r="S39" s="307"/>
      <c r="T39" s="308"/>
      <c r="U39" s="274"/>
      <c r="V39" s="274"/>
      <c r="W39" s="275"/>
      <c r="X39" s="5"/>
    </row>
    <row r="40" spans="1:24" ht="15.6" x14ac:dyDescent="0.3">
      <c r="A40" s="271"/>
      <c r="B40" s="272" t="s">
        <v>12</v>
      </c>
      <c r="C40" s="272"/>
      <c r="D40" s="308">
        <v>3.7734000000000001E-3</v>
      </c>
      <c r="E40" s="272"/>
      <c r="F40" s="308">
        <v>8.5359000000000008E-3</v>
      </c>
      <c r="G40" s="307"/>
      <c r="H40" s="308">
        <v>9.5499999999999995E-3</v>
      </c>
      <c r="I40" s="308"/>
      <c r="J40" s="308">
        <v>6.1593999999999998E-3</v>
      </c>
      <c r="K40" s="307"/>
      <c r="L40" s="308">
        <v>9.3358999999999994E-3</v>
      </c>
      <c r="M40" s="307"/>
      <c r="N40" s="308">
        <v>1.025E-2</v>
      </c>
      <c r="O40" s="307"/>
      <c r="P40" s="308">
        <v>1.1335899999999999E-2</v>
      </c>
      <c r="Q40" s="307"/>
      <c r="R40" s="308">
        <v>1.225E-2</v>
      </c>
      <c r="S40" s="307"/>
      <c r="T40" s="308"/>
      <c r="U40" s="274"/>
      <c r="V40" s="280"/>
      <c r="W40" s="275"/>
      <c r="X40" s="5"/>
    </row>
    <row r="41" spans="1:24" ht="15.6" x14ac:dyDescent="0.3">
      <c r="A41" s="271"/>
      <c r="B41" s="272" t="s">
        <v>13</v>
      </c>
      <c r="C41" s="272"/>
      <c r="D41" s="308">
        <v>4.6969000000000004E-3</v>
      </c>
      <c r="E41" s="272"/>
      <c r="F41" s="308">
        <v>7.7093999999999999E-3</v>
      </c>
      <c r="G41" s="307"/>
      <c r="H41" s="308">
        <v>7.6400000000000001E-3</v>
      </c>
      <c r="I41" s="308"/>
      <c r="J41" s="308">
        <v>3.9281000000000003E-3</v>
      </c>
      <c r="K41" s="307"/>
      <c r="L41" s="308">
        <v>8.5094000000000003E-3</v>
      </c>
      <c r="M41" s="307"/>
      <c r="N41" s="308">
        <v>8.3400000000000002E-3</v>
      </c>
      <c r="O41" s="307"/>
      <c r="P41" s="308">
        <v>1.05094E-2</v>
      </c>
      <c r="Q41" s="307"/>
      <c r="R41" s="308">
        <v>1.034E-2</v>
      </c>
      <c r="S41" s="307"/>
      <c r="T41" s="308"/>
      <c r="U41" s="274"/>
      <c r="V41" s="307" t="s">
        <v>196</v>
      </c>
      <c r="W41" s="275"/>
      <c r="X41" s="5"/>
    </row>
    <row r="42" spans="1:24" ht="15.6" x14ac:dyDescent="0.3">
      <c r="A42" s="271"/>
      <c r="B42" s="272" t="s">
        <v>300</v>
      </c>
      <c r="C42" s="272"/>
      <c r="D42" s="280" t="s">
        <v>292</v>
      </c>
      <c r="E42" s="272"/>
      <c r="F42" s="280" t="s">
        <v>225</v>
      </c>
      <c r="G42" s="280"/>
      <c r="H42" s="280" t="s">
        <v>263</v>
      </c>
      <c r="I42" s="280"/>
      <c r="J42" s="280" t="s">
        <v>262</v>
      </c>
      <c r="K42" s="280"/>
      <c r="L42" s="280" t="s">
        <v>252</v>
      </c>
      <c r="M42" s="280"/>
      <c r="N42" s="280" t="s">
        <v>264</v>
      </c>
      <c r="O42" s="280"/>
      <c r="P42" s="280" t="s">
        <v>254</v>
      </c>
      <c r="Q42" s="280"/>
      <c r="R42" s="280" t="s">
        <v>260</v>
      </c>
      <c r="S42" s="307"/>
      <c r="T42" s="308"/>
      <c r="U42" s="274"/>
      <c r="V42" s="274"/>
      <c r="W42" s="275"/>
      <c r="X42" s="5"/>
    </row>
    <row r="43" spans="1:24" ht="15.6" x14ac:dyDescent="0.3">
      <c r="A43" s="271"/>
      <c r="B43" s="272" t="s">
        <v>301</v>
      </c>
      <c r="C43" s="309"/>
      <c r="D43" s="308">
        <v>8.8751000000000003E-3</v>
      </c>
      <c r="E43" s="308"/>
      <c r="F43" s="308">
        <f>+F40</f>
        <v>8.5359000000000008E-3</v>
      </c>
      <c r="G43" s="308"/>
      <c r="H43" s="308">
        <v>8.6578999999999996E-3</v>
      </c>
      <c r="I43" s="308"/>
      <c r="J43" s="308">
        <v>8.5758999999999991E-3</v>
      </c>
      <c r="K43" s="308"/>
      <c r="L43" s="308">
        <f>+L40</f>
        <v>9.3358999999999994E-3</v>
      </c>
      <c r="M43" s="308"/>
      <c r="N43" s="308">
        <v>9.4258999999999992E-3</v>
      </c>
      <c r="O43" s="308"/>
      <c r="P43" s="308">
        <f>+P40</f>
        <v>1.1335899999999999E-2</v>
      </c>
      <c r="Q43" s="307"/>
      <c r="R43" s="308">
        <v>1.15359E-2</v>
      </c>
      <c r="S43" s="280"/>
      <c r="T43" s="280"/>
      <c r="U43" s="274"/>
      <c r="V43" s="307">
        <f>SUMPRODUCT(D43:R43,D35:R35)/V35</f>
        <v>9.0083457773240463E-3</v>
      </c>
      <c r="W43" s="275"/>
      <c r="X43" s="5"/>
    </row>
    <row r="44" spans="1:24" ht="15.6" x14ac:dyDescent="0.3">
      <c r="A44" s="271"/>
      <c r="B44" s="272" t="s">
        <v>302</v>
      </c>
      <c r="C44" s="309"/>
      <c r="D44" s="308">
        <v>8.0485999999999995E-3</v>
      </c>
      <c r="E44" s="308"/>
      <c r="F44" s="308">
        <f>+F41</f>
        <v>7.7093999999999999E-3</v>
      </c>
      <c r="G44" s="308"/>
      <c r="H44" s="308">
        <v>7.8314000000000005E-3</v>
      </c>
      <c r="I44" s="308"/>
      <c r="J44" s="308">
        <v>7.7494E-3</v>
      </c>
      <c r="K44" s="308"/>
      <c r="L44" s="308">
        <f>+L41</f>
        <v>8.5094000000000003E-3</v>
      </c>
      <c r="M44" s="308"/>
      <c r="N44" s="308">
        <v>8.5994000000000001E-3</v>
      </c>
      <c r="O44" s="308"/>
      <c r="P44" s="308">
        <f>+P41</f>
        <v>1.05094E-2</v>
      </c>
      <c r="Q44" s="307"/>
      <c r="R44" s="308">
        <v>1.0709400000000001E-2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t="s">
        <v>121</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310" t="s">
        <v>121</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203</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0.20928299269626097</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40466</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91</v>
      </c>
      <c r="S57" s="318"/>
      <c r="T57" s="319">
        <v>40283</v>
      </c>
      <c r="U57" s="320"/>
      <c r="V57" s="319">
        <v>40373</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92</v>
      </c>
      <c r="S58" s="272"/>
      <c r="T58" s="319">
        <v>40374</v>
      </c>
      <c r="U58" s="320"/>
      <c r="V58" s="319">
        <v>40465</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40452</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309</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1044510</v>
      </c>
      <c r="O68" s="324"/>
      <c r="P68" s="324">
        <f>5939+647+912</f>
        <v>7498</v>
      </c>
      <c r="Q68" s="324"/>
      <c r="R68" s="324">
        <f>647+912</f>
        <v>1559</v>
      </c>
      <c r="S68" s="324"/>
      <c r="T68" s="324">
        <v>0</v>
      </c>
      <c r="U68" s="324"/>
      <c r="V68" s="325">
        <f>+N68-P68+R68-T68</f>
        <v>1038571</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1044510</v>
      </c>
      <c r="O71" s="324"/>
      <c r="P71" s="324">
        <f>SUM(P68:P70)</f>
        <v>7498</v>
      </c>
      <c r="Q71" s="324"/>
      <c r="R71" s="324">
        <f>SUM(R68:R70)</f>
        <v>1559</v>
      </c>
      <c r="S71" s="324"/>
      <c r="T71" s="324">
        <f>SUM(T68:T70)</f>
        <v>0</v>
      </c>
      <c r="U71" s="324"/>
      <c r="V71" s="324">
        <f>SUM(V68:V70)</f>
        <v>1038571</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1044510</v>
      </c>
      <c r="O84" s="328"/>
      <c r="P84" s="328"/>
      <c r="Q84" s="328"/>
      <c r="R84" s="328"/>
      <c r="S84" s="328"/>
      <c r="T84" s="328"/>
      <c r="U84" s="328"/>
      <c r="V84" s="328">
        <f>SUM(V71:V83)</f>
        <v>1038571</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+T198</f>
        <v>40451</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7498-330</f>
        <v>7168</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4452+3766-465-1751+92+2</f>
        <v>6096</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35+107</f>
        <v>142</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45</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0</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7168</v>
      </c>
      <c r="U96" s="272"/>
      <c r="V96" s="324">
        <f>SUM(V88:V95)</f>
        <v>6283</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-703</v>
      </c>
      <c r="U97" s="272"/>
      <c r="V97" s="324">
        <v>703</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101</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6465</v>
      </c>
      <c r="U100" s="272"/>
      <c r="V100" s="324">
        <f>V96+V98+V97+V99</f>
        <v>7087</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231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272" t="s">
        <v>207</v>
      </c>
      <c r="C104" s="272"/>
      <c r="D104" s="272"/>
      <c r="E104" s="272"/>
      <c r="F104" s="272"/>
      <c r="G104" s="272"/>
      <c r="H104" s="272"/>
      <c r="I104" s="272"/>
      <c r="J104" s="272"/>
      <c r="K104" s="272"/>
      <c r="L104" s="272"/>
      <c r="M104" s="272"/>
      <c r="N104" s="272"/>
      <c r="O104" s="272"/>
      <c r="P104" s="272"/>
      <c r="Q104" s="272"/>
      <c r="R104" s="272"/>
      <c r="S104" s="272"/>
      <c r="T104" s="272"/>
      <c r="U104" s="272"/>
      <c r="V104" s="325">
        <f>-397-380-12</f>
        <v>-789</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-207</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-1911+176</f>
        <v>-1735</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-176</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-2</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-134</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-132</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-158</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-37</v>
      </c>
      <c r="W112" s="275"/>
      <c r="X112" s="5"/>
      <c r="Y112" s="109"/>
    </row>
    <row r="113" spans="1:24" ht="15.6" x14ac:dyDescent="0.3">
      <c r="A113" s="338">
        <v>7</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-10</v>
      </c>
      <c r="W113" s="275"/>
      <c r="X113" s="5"/>
    </row>
    <row r="114" spans="1:24" ht="15.6" x14ac:dyDescent="0.3">
      <c r="A114" s="338">
        <f t="shared" ref="A114:A120" si="0">+A113+1</f>
        <v>8</v>
      </c>
      <c r="B114" s="272" t="s">
        <v>45</v>
      </c>
      <c r="C114" s="272"/>
      <c r="D114" s="272"/>
      <c r="E114" s="272"/>
      <c r="F114" s="272"/>
      <c r="G114" s="272"/>
      <c r="H114" s="272"/>
      <c r="I114" s="272"/>
      <c r="J114" s="272"/>
      <c r="K114" s="272"/>
      <c r="L114" s="272"/>
      <c r="M114" s="272"/>
      <c r="N114" s="272"/>
      <c r="O114" s="272"/>
      <c r="P114" s="272"/>
      <c r="Q114" s="272"/>
      <c r="R114" s="272"/>
      <c r="S114" s="272"/>
      <c r="T114" s="324">
        <f>-V114</f>
        <v>330</v>
      </c>
      <c r="U114" s="272"/>
      <c r="V114" s="325">
        <v>-330</v>
      </c>
      <c r="W114" s="275"/>
      <c r="X114" s="5"/>
    </row>
    <row r="115" spans="1:24" ht="15.6" x14ac:dyDescent="0.3">
      <c r="A115" s="338">
        <f t="shared" si="0"/>
        <v>9</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10</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11</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12</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13</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-397</v>
      </c>
      <c r="W119" s="275"/>
      <c r="X119" s="5"/>
    </row>
    <row r="120" spans="1:24" ht="15.6" x14ac:dyDescent="0.3">
      <c r="A120" s="338">
        <f t="shared" si="0"/>
        <v>14</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-V100-SUM(V102:V119)</f>
        <v>-2978</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-20</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-195</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-641</v>
      </c>
      <c r="U124" s="324"/>
      <c r="V124" s="325"/>
      <c r="W124" s="275"/>
      <c r="X124" s="5"/>
    </row>
    <row r="125" spans="1:24" ht="15.6" x14ac:dyDescent="0.3">
      <c r="A125" s="338"/>
      <c r="B125" s="272" t="s">
        <v>200</v>
      </c>
      <c r="C125" s="272"/>
      <c r="D125" s="272"/>
      <c r="E125" s="272"/>
      <c r="F125" s="272"/>
      <c r="G125" s="272"/>
      <c r="H125" s="272"/>
      <c r="I125" s="272"/>
      <c r="J125" s="272"/>
      <c r="K125" s="272"/>
      <c r="L125" s="272"/>
      <c r="M125" s="272"/>
      <c r="N125" s="272"/>
      <c r="O125" s="272"/>
      <c r="P125" s="272"/>
      <c r="Q125" s="272"/>
      <c r="R125" s="272"/>
      <c r="S125" s="272"/>
      <c r="T125" s="324">
        <v>-3589</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-562</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-951</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-837</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-6795</v>
      </c>
      <c r="U133" s="324"/>
      <c r="V133" s="324">
        <f>SUM(V101:V130)</f>
        <v>-7087</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T100+T133+T114</f>
        <v>0</v>
      </c>
      <c r="U134" s="324"/>
      <c r="V134" s="324">
        <f>V100+V133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B64</f>
        <v>PM13 INVESTOR REPORT QUARTER ENDING SEPTEMBER 2010</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272</v>
      </c>
      <c r="C155" s="272"/>
      <c r="D155" s="272"/>
      <c r="E155" s="272"/>
      <c r="F155" s="272"/>
      <c r="G155" s="272"/>
      <c r="H155" s="272"/>
      <c r="I155" s="272"/>
      <c r="J155" s="272"/>
      <c r="K155" s="272"/>
      <c r="L155" s="272"/>
      <c r="M155" s="272"/>
      <c r="N155" s="272"/>
      <c r="O155" s="272"/>
      <c r="P155" s="272"/>
      <c r="Q155" s="272"/>
      <c r="R155" s="272"/>
      <c r="S155" s="272"/>
      <c r="T155" s="272"/>
      <c r="U155" s="272"/>
      <c r="V155" s="325">
        <v>6000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330</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330</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-330</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v>0</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V71</f>
        <v>1038571</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V84</f>
        <v>1038571</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+'June 10'!S183</f>
        <v>43791</v>
      </c>
      <c r="T181" s="325">
        <f>+'June 10'!T183</f>
        <v>8496</v>
      </c>
      <c r="U181" s="272"/>
      <c r="V181" s="325">
        <f>S181+T181</f>
        <v>52287</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f>627+14</f>
        <v>641</v>
      </c>
      <c r="T182" s="324">
        <v>20</v>
      </c>
      <c r="U182" s="272"/>
      <c r="V182" s="325">
        <f>S182+T182</f>
        <v>661</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44432</v>
      </c>
      <c r="T183" s="325">
        <f>T182+T181</f>
        <v>8516</v>
      </c>
      <c r="U183" s="272"/>
      <c r="V183" s="325">
        <f>S183+T183</f>
        <v>52948</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187082.4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(V100+V102+V103+V104+V105)/-(V106+V107)</f>
        <v>3.1862899005756149</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1.5</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(V100+V102+V103+V104+V105+V106+V107)/-(V109+V110)</f>
        <v>15.706766917293233</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4.95</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(V100+V102+V103+V104+V105+V106+V107+V109+V110)/-(V111+V112)</f>
        <v>20.061538461538461</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6.25</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SEPTEMBER 2010</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40451</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2.5270000000000001E-2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9.0083457773240463E-3</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1.6261654222675954E-2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+V100/N71</f>
        <v>6.7849996649146493E-3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17.07</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P68/N68</f>
        <v>7.1784856056907069E-3</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0.1023</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3</v>
      </c>
      <c r="T216" s="357">
        <v>506</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192</v>
      </c>
      <c r="T217" s="357">
        <f>+T269</f>
        <v>29717</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v>0</v>
      </c>
      <c r="T218" s="357">
        <v>0</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+N81</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7" t="s">
        <v>84</v>
      </c>
      <c r="C222" s="277"/>
      <c r="D222" s="277"/>
      <c r="E222" s="277"/>
      <c r="F222" s="277"/>
      <c r="G222" s="277"/>
      <c r="H222" s="277"/>
      <c r="I222" s="277"/>
      <c r="J222" s="277"/>
      <c r="K222" s="277"/>
      <c r="L222" s="277"/>
      <c r="M222" s="277"/>
      <c r="N222" s="277"/>
      <c r="O222" s="277"/>
      <c r="P222" s="277"/>
      <c r="Q222" s="277"/>
      <c r="R222" s="277"/>
      <c r="S222" s="310"/>
      <c r="T222" s="368">
        <f>V166</f>
        <v>330</v>
      </c>
      <c r="U222" s="277"/>
      <c r="V222" s="362"/>
      <c r="W222" s="367"/>
      <c r="X222" s="5"/>
    </row>
    <row r="223" spans="1:24" ht="15.6" x14ac:dyDescent="0.3">
      <c r="A223" s="356"/>
      <c r="B223" s="277" t="s">
        <v>85</v>
      </c>
      <c r="C223" s="369"/>
      <c r="D223" s="369"/>
      <c r="E223" s="369"/>
      <c r="F223" s="369"/>
      <c r="G223" s="277"/>
      <c r="H223" s="277"/>
      <c r="I223" s="277"/>
      <c r="J223" s="277"/>
      <c r="K223" s="277"/>
      <c r="L223" s="277"/>
      <c r="M223" s="277"/>
      <c r="N223" s="277"/>
      <c r="O223" s="277"/>
      <c r="P223" s="277"/>
      <c r="Q223" s="277"/>
      <c r="R223" s="277"/>
      <c r="S223" s="310"/>
      <c r="T223" s="368">
        <f>'June 10'!T223+T222</f>
        <v>1881</v>
      </c>
      <c r="U223" s="277"/>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11</v>
      </c>
      <c r="T229" s="357">
        <v>1170</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14.35</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+R248+R260+R272</f>
        <v>8017</v>
      </c>
      <c r="S236" s="381">
        <f>R236/$R$245</f>
        <v>0.98295733202550273</v>
      </c>
      <c r="T236" s="325">
        <f>+T248+T260+T272</f>
        <v>1018325</v>
      </c>
      <c r="U236" s="381">
        <f>T236/$T$245</f>
        <v>0.98050590667368909</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ref="R237:R243" si="1">+R249+R261+R273</f>
        <v>52</v>
      </c>
      <c r="S237" s="381">
        <f t="shared" ref="S237:S243" si="2">R237/$R$245</f>
        <v>6.3756743501716525E-3</v>
      </c>
      <c r="T237" s="325">
        <f t="shared" ref="T237:T243" si="3">+T249+T261+T273</f>
        <v>7017</v>
      </c>
      <c r="U237" s="381">
        <f t="shared" ref="U237:U243" si="4">T237/$T$245</f>
        <v>6.7563989366157921E-3</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11</v>
      </c>
      <c r="S238" s="381">
        <f t="shared" si="2"/>
        <v>1.348700343305542E-3</v>
      </c>
      <c r="T238" s="325">
        <f t="shared" si="3"/>
        <v>1536</v>
      </c>
      <c r="U238" s="381">
        <f t="shared" si="4"/>
        <v>1.478955218275881E-3</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8</v>
      </c>
      <c r="S239" s="381">
        <f t="shared" si="2"/>
        <v>9.8087297694948511E-4</v>
      </c>
      <c r="T239" s="325">
        <f t="shared" si="3"/>
        <v>1314</v>
      </c>
      <c r="U239" s="381">
        <f t="shared" si="4"/>
        <v>1.2651999718844452E-3</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6</v>
      </c>
      <c r="S240" s="381">
        <f t="shared" si="2"/>
        <v>7.3565473271211383E-4</v>
      </c>
      <c r="T240" s="325">
        <f t="shared" si="3"/>
        <v>1123</v>
      </c>
      <c r="U240" s="381">
        <f t="shared" si="4"/>
        <v>1.0812934310701916E-3</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0</v>
      </c>
      <c r="S241" s="381">
        <f t="shared" si="2"/>
        <v>0</v>
      </c>
      <c r="T241" s="325">
        <f t="shared" si="3"/>
        <v>0</v>
      </c>
      <c r="U241" s="381">
        <f t="shared" si="4"/>
        <v>0</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16</v>
      </c>
      <c r="S242" s="381">
        <f t="shared" si="2"/>
        <v>1.9617459538989702E-3</v>
      </c>
      <c r="T242" s="325">
        <f t="shared" si="3"/>
        <v>2310</v>
      </c>
      <c r="U242" s="381">
        <f t="shared" si="4"/>
        <v>2.2242099962352115E-3</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46</v>
      </c>
      <c r="S243" s="381">
        <f t="shared" si="2"/>
        <v>5.6400196174595388E-3</v>
      </c>
      <c r="T243" s="325">
        <f t="shared" si="3"/>
        <v>6946</v>
      </c>
      <c r="U243" s="381">
        <f t="shared" si="4"/>
        <v>6.6880357722293423E-3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8156</v>
      </c>
      <c r="S245" s="381">
        <f>SUM(S236:S244)</f>
        <v>1</v>
      </c>
      <c r="T245" s="325">
        <f>SUM(T236:T244)</f>
        <v>1038571</v>
      </c>
      <c r="U245" s="381">
        <f>SUM(U236:U244)</f>
        <v>1</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7906</v>
      </c>
      <c r="S248" s="261">
        <f t="shared" ref="S248:S255" si="5">R248/$R$257</f>
        <v>0.99271722752385738</v>
      </c>
      <c r="T248" s="238">
        <v>1000395</v>
      </c>
      <c r="U248" s="261">
        <f t="shared" ref="U248:U255" si="6">T248/$T$257</f>
        <v>0.99161523867675605</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45</v>
      </c>
      <c r="S249" s="381">
        <f t="shared" si="5"/>
        <v>5.6504269211451533E-3</v>
      </c>
      <c r="T249" s="325">
        <v>6339</v>
      </c>
      <c r="U249" s="381">
        <f t="shared" si="6"/>
        <v>6.283367067980104E-3</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6</v>
      </c>
      <c r="S250" s="381">
        <f t="shared" si="5"/>
        <v>7.5339025615268711E-4</v>
      </c>
      <c r="T250" s="325">
        <v>876</v>
      </c>
      <c r="U250" s="381">
        <f t="shared" si="6"/>
        <v>8.6831196585432575E-4</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3</v>
      </c>
      <c r="S251" s="381">
        <f t="shared" si="5"/>
        <v>3.7669512807634355E-4</v>
      </c>
      <c r="T251" s="325">
        <v>630</v>
      </c>
      <c r="U251" s="381">
        <f t="shared" si="6"/>
        <v>6.2447093434728912E-4</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2</v>
      </c>
      <c r="S252" s="381">
        <f t="shared" si="5"/>
        <v>2.5113008538422905E-4</v>
      </c>
      <c r="T252" s="325">
        <v>303</v>
      </c>
      <c r="U252" s="381">
        <f t="shared" si="6"/>
        <v>3.0034078270988666E-4</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2</v>
      </c>
      <c r="S255" s="381">
        <f t="shared" si="5"/>
        <v>2.5113008538422905E-4</v>
      </c>
      <c r="T255" s="325">
        <v>311</v>
      </c>
      <c r="U255" s="381">
        <f t="shared" si="6"/>
        <v>3.0827057235239191E-4</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7964</v>
      </c>
      <c r="S257" s="381">
        <f>SUM(S248:S256)</f>
        <v>1</v>
      </c>
      <c r="T257" s="325">
        <f>SUM(T248:T256)</f>
        <v>1008854</v>
      </c>
      <c r="U257" s="381">
        <f>SUM(U248:U256)</f>
        <v>1</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111</v>
      </c>
      <c r="S260" s="261">
        <f t="shared" ref="S260:S267" si="7">R260/$R$269</f>
        <v>0.578125</v>
      </c>
      <c r="T260" s="238">
        <v>17930</v>
      </c>
      <c r="U260" s="261">
        <f t="shared" ref="U260:U267" si="8">T260/$T$269</f>
        <v>0.60335834707406533</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7</v>
      </c>
      <c r="S261" s="381">
        <f t="shared" si="7"/>
        <v>3.6458333333333336E-2</v>
      </c>
      <c r="T261" s="325">
        <v>678</v>
      </c>
      <c r="U261" s="381">
        <f t="shared" si="8"/>
        <v>2.2815223609381836E-2</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5</v>
      </c>
      <c r="S262" s="381">
        <f t="shared" si="7"/>
        <v>2.6041666666666668E-2</v>
      </c>
      <c r="T262" s="325">
        <v>660</v>
      </c>
      <c r="U262" s="381">
        <f t="shared" si="8"/>
        <v>2.2209509708247803E-2</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5</v>
      </c>
      <c r="S263" s="381">
        <f t="shared" si="7"/>
        <v>2.6041666666666668E-2</v>
      </c>
      <c r="T263" s="325">
        <v>684</v>
      </c>
      <c r="U263" s="381">
        <f t="shared" si="8"/>
        <v>2.3017128243093179E-2</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4</v>
      </c>
      <c r="S264" s="381">
        <f t="shared" si="7"/>
        <v>2.0833333333333332E-2</v>
      </c>
      <c r="T264" s="325">
        <v>820</v>
      </c>
      <c r="U264" s="381">
        <f t="shared" si="8"/>
        <v>2.7593633273883637E-2</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0</v>
      </c>
      <c r="S265" s="381">
        <f t="shared" si="7"/>
        <v>0</v>
      </c>
      <c r="T265" s="325">
        <v>0</v>
      </c>
      <c r="U265" s="381">
        <f t="shared" si="8"/>
        <v>0</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16</v>
      </c>
      <c r="S266" s="381">
        <f t="shared" si="7"/>
        <v>8.3333333333333329E-2</v>
      </c>
      <c r="T266" s="325">
        <v>2310</v>
      </c>
      <c r="U266" s="381">
        <f t="shared" si="8"/>
        <v>7.7733283978867321E-2</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44</v>
      </c>
      <c r="S267" s="381">
        <f t="shared" si="7"/>
        <v>0.22916666666666666</v>
      </c>
      <c r="T267" s="325">
        <v>6635</v>
      </c>
      <c r="U267" s="381">
        <f t="shared" si="8"/>
        <v>0.22327287411246088</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192</v>
      </c>
      <c r="S269" s="381">
        <f>SUM(S260:S268)</f>
        <v>1</v>
      </c>
      <c r="T269" s="325">
        <f>SUM(T260:T268)</f>
        <v>29717</v>
      </c>
      <c r="U269" s="381">
        <f>SUM(U260:U268)</f>
        <v>1</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v>0</v>
      </c>
      <c r="T272" s="238">
        <v>0</v>
      </c>
      <c r="U272" s="261">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v>0</v>
      </c>
      <c r="T273" s="325">
        <v>0</v>
      </c>
      <c r="U273" s="381">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0</v>
      </c>
      <c r="S281" s="381">
        <f>SUM(S272:S279)</f>
        <v>0</v>
      </c>
      <c r="T281" s="325">
        <f>SUM(T272:T279)</f>
        <v>0</v>
      </c>
      <c r="U281" s="381">
        <f>SUM(U272:U279)</f>
        <v>0</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81" t="s">
        <v>167</v>
      </c>
      <c r="C283" s="272"/>
      <c r="D283" s="272"/>
      <c r="E283" s="272"/>
      <c r="F283" s="272"/>
      <c r="G283" s="272"/>
      <c r="H283" s="383"/>
      <c r="I283" s="383"/>
      <c r="J283" s="383"/>
      <c r="K283" s="383"/>
      <c r="L283" s="383"/>
      <c r="M283" s="383"/>
      <c r="N283" s="383"/>
      <c r="O283" s="383"/>
      <c r="P283" s="383"/>
      <c r="Q283" s="383"/>
      <c r="R283" s="386">
        <f>R281+R269+R257</f>
        <v>8156</v>
      </c>
      <c r="S283" s="381"/>
      <c r="T283" s="387">
        <f>+T281+T269+T257</f>
        <v>1038571</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93</v>
      </c>
      <c r="C287" s="220"/>
      <c r="D287" s="220"/>
      <c r="E287" s="220"/>
      <c r="F287" s="265" t="s">
        <v>151</v>
      </c>
      <c r="G287" s="220"/>
      <c r="H287" s="219" t="s">
        <v>155</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281</v>
      </c>
      <c r="C288" s="219"/>
      <c r="D288" s="219"/>
      <c r="E288" s="219"/>
      <c r="F288" s="265" t="s">
        <v>282</v>
      </c>
      <c r="G288" s="219"/>
      <c r="H288" s="219" t="s">
        <v>283</v>
      </c>
      <c r="I288" s="227"/>
      <c r="J288" s="219"/>
      <c r="K288" s="227"/>
      <c r="L288" s="227"/>
      <c r="M288" s="227"/>
      <c r="N288" s="227"/>
      <c r="O288" s="227"/>
      <c r="P288" s="227"/>
      <c r="Q288" s="227"/>
      <c r="R288" s="227"/>
      <c r="S288" s="227"/>
      <c r="T288" s="227"/>
      <c r="U288" s="227"/>
      <c r="V288" s="227"/>
      <c r="W288" s="227"/>
      <c r="X288" s="5"/>
    </row>
    <row r="289" spans="1:24" ht="15.6" x14ac:dyDescent="0.3">
      <c r="A289" s="216"/>
      <c r="B289" s="219" t="s">
        <v>94</v>
      </c>
      <c r="C289" s="219"/>
      <c r="D289" s="219"/>
      <c r="E289" s="219"/>
      <c r="F289" s="265" t="s">
        <v>150</v>
      </c>
      <c r="G289" s="219"/>
      <c r="H289" s="219" t="s">
        <v>156</v>
      </c>
      <c r="I289" s="219"/>
      <c r="J289" s="219"/>
      <c r="K289" s="227"/>
      <c r="L289" s="227"/>
      <c r="M289" s="227"/>
      <c r="N289" s="227"/>
      <c r="O289" s="227"/>
      <c r="P289" s="227"/>
      <c r="Q289" s="227"/>
      <c r="R289" s="227"/>
      <c r="S289" s="227"/>
      <c r="T289" s="227"/>
      <c r="U289" s="227"/>
      <c r="V289" s="227"/>
      <c r="W289" s="227"/>
      <c r="X289" s="5"/>
    </row>
    <row r="290" spans="1:24" ht="15.6" x14ac:dyDescent="0.3">
      <c r="A290" s="216"/>
      <c r="B290" s="219"/>
      <c r="C290" s="219"/>
      <c r="D290" s="219"/>
      <c r="E290" s="219"/>
      <c r="F290" s="219"/>
      <c r="G290" s="266"/>
      <c r="H290" s="227"/>
      <c r="I290" s="227"/>
      <c r="J290" s="227"/>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8" thickBot="1" x14ac:dyDescent="0.35">
      <c r="A292" s="216"/>
      <c r="B292" s="267" t="str">
        <f>B197</f>
        <v>PM13 INVESTOR REPORT QUARTER ENDING SEPTEMBER 2010</v>
      </c>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x14ac:dyDescent="0.25">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row>
  </sheetData>
  <phoneticPr fontId="0" type="noConversion"/>
  <hyperlinks>
    <hyperlink ref="P233" r:id="rId1" xr:uid="{00000000-0004-0000-0F00-000000000000}"/>
    <hyperlink ref="I9" r:id="rId2" xr:uid="{00000000-0004-0000-0F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7" max="14" man="1"/>
    <brk id="197" max="14" man="1"/>
  </row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89CB31"/>
  </sheetPr>
  <dimension ref="A1:Z293"/>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0.63390000000000002</v>
      </c>
      <c r="T16" s="224" t="s">
        <v>143</v>
      </c>
      <c r="U16" s="223">
        <v>0.36609999999999998</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40564</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175"/>
      <c r="B22" s="177"/>
      <c r="C22" s="189"/>
      <c r="D22" s="189" t="s">
        <v>180</v>
      </c>
      <c r="E22" s="189"/>
      <c r="F22" s="189" t="s">
        <v>181</v>
      </c>
      <c r="G22" s="189"/>
      <c r="H22" s="189" t="s">
        <v>182</v>
      </c>
      <c r="I22" s="189"/>
      <c r="J22" s="189" t="s">
        <v>223</v>
      </c>
      <c r="K22" s="189"/>
      <c r="L22" s="189" t="s">
        <v>183</v>
      </c>
      <c r="M22" s="189"/>
      <c r="N22" s="189" t="s">
        <v>184</v>
      </c>
      <c r="O22" s="189"/>
      <c r="P22" s="189" t="s">
        <v>224</v>
      </c>
      <c r="Q22" s="189"/>
      <c r="R22" s="189" t="s">
        <v>185</v>
      </c>
      <c r="S22" s="190"/>
      <c r="T22" s="191"/>
      <c r="U22" s="187"/>
      <c r="V22" s="187"/>
      <c r="W22" s="177"/>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7" t="s">
        <v>193</v>
      </c>
      <c r="C25" s="278"/>
      <c r="D25" s="273" t="s">
        <v>218</v>
      </c>
      <c r="E25" s="273"/>
      <c r="F25" s="273" t="s">
        <v>146</v>
      </c>
      <c r="G25" s="273"/>
      <c r="H25" s="273" t="s">
        <v>146</v>
      </c>
      <c r="I25" s="273"/>
      <c r="J25" s="273" t="s">
        <v>146</v>
      </c>
      <c r="K25" s="273"/>
      <c r="L25" s="273" t="s">
        <v>168</v>
      </c>
      <c r="M25" s="273"/>
      <c r="N25" s="273" t="s">
        <v>168</v>
      </c>
      <c r="O25" s="273"/>
      <c r="P25" s="273" t="s">
        <v>147</v>
      </c>
      <c r="Q25" s="273"/>
      <c r="R25" s="273" t="s">
        <v>147</v>
      </c>
      <c r="S25" s="278"/>
      <c r="T25" s="273"/>
      <c r="U25" s="274"/>
      <c r="V25" s="274"/>
      <c r="W25" s="275"/>
      <c r="X25" s="5"/>
    </row>
    <row r="26" spans="1:24" ht="15.6" x14ac:dyDescent="0.3">
      <c r="A26" s="276"/>
      <c r="B26" s="279" t="s">
        <v>9</v>
      </c>
      <c r="C26" s="278"/>
      <c r="D26" s="278" t="s">
        <v>216</v>
      </c>
      <c r="E26" s="278"/>
      <c r="F26" s="278" t="s">
        <v>144</v>
      </c>
      <c r="G26" s="278"/>
      <c r="H26" s="278" t="s">
        <v>144</v>
      </c>
      <c r="I26" s="278"/>
      <c r="J26" s="278" t="s">
        <v>144</v>
      </c>
      <c r="K26" s="278"/>
      <c r="L26" s="278" t="s">
        <v>186</v>
      </c>
      <c r="M26" s="278"/>
      <c r="N26" s="278" t="s">
        <v>186</v>
      </c>
      <c r="O26" s="278"/>
      <c r="P26" s="278" t="s">
        <v>145</v>
      </c>
      <c r="Q26" s="278"/>
      <c r="R26" s="278" t="s">
        <v>145</v>
      </c>
      <c r="S26" s="278"/>
      <c r="T26" s="273"/>
      <c r="U26" s="274"/>
      <c r="V26" s="274"/>
      <c r="W26" s="275"/>
      <c r="X26" s="5"/>
    </row>
    <row r="27" spans="1:24" ht="15.6" x14ac:dyDescent="0.3">
      <c r="A27" s="271"/>
      <c r="B27" s="279" t="s">
        <v>194</v>
      </c>
      <c r="C27" s="273"/>
      <c r="D27" s="278" t="s">
        <v>217</v>
      </c>
      <c r="E27" s="278"/>
      <c r="F27" s="278" t="s">
        <v>146</v>
      </c>
      <c r="G27" s="278"/>
      <c r="H27" s="278" t="s">
        <v>146</v>
      </c>
      <c r="I27" s="278"/>
      <c r="J27" s="278" t="s">
        <v>146</v>
      </c>
      <c r="K27" s="278"/>
      <c r="L27" s="278" t="s">
        <v>168</v>
      </c>
      <c r="M27" s="278"/>
      <c r="N27" s="278" t="s">
        <v>168</v>
      </c>
      <c r="O27" s="278"/>
      <c r="P27" s="278" t="s">
        <v>147</v>
      </c>
      <c r="Q27" s="278"/>
      <c r="R27" s="278" t="s">
        <v>147</v>
      </c>
      <c r="S27" s="273"/>
      <c r="T27" s="280"/>
      <c r="U27" s="274"/>
      <c r="V27" s="274"/>
      <c r="W27" s="275"/>
      <c r="X27" s="5"/>
    </row>
    <row r="28" spans="1:24" ht="15.6" x14ac:dyDescent="0.3">
      <c r="A28" s="271"/>
      <c r="B28" s="281" t="s">
        <v>195</v>
      </c>
      <c r="C28" s="273"/>
      <c r="D28" s="278" t="s">
        <v>218</v>
      </c>
      <c r="E28" s="278"/>
      <c r="F28" s="278" t="s">
        <v>146</v>
      </c>
      <c r="G28" s="278"/>
      <c r="H28" s="278" t="s">
        <v>146</v>
      </c>
      <c r="I28" s="278"/>
      <c r="J28" s="278" t="s">
        <v>146</v>
      </c>
      <c r="K28" s="278"/>
      <c r="L28" s="278" t="s">
        <v>168</v>
      </c>
      <c r="M28" s="278"/>
      <c r="N28" s="278" t="s">
        <v>168</v>
      </c>
      <c r="O28" s="278"/>
      <c r="P28" s="278" t="s">
        <v>147</v>
      </c>
      <c r="Q28" s="278"/>
      <c r="R28" s="278"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975612.15</v>
      </c>
      <c r="E32" s="282"/>
      <c r="F32" s="283">
        <f>F31*F38</f>
        <v>81301.125</v>
      </c>
      <c r="G32" s="283"/>
      <c r="H32" s="288">
        <f>H31*H38</f>
        <v>204878.83499999999</v>
      </c>
      <c r="I32" s="288"/>
      <c r="J32" s="287">
        <f>J31*J38</f>
        <v>227642.83500000002</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968861.70000000007</v>
      </c>
      <c r="E33" s="286"/>
      <c r="F33" s="289">
        <f>F37*F31</f>
        <v>80738.599999999991</v>
      </c>
      <c r="G33" s="289"/>
      <c r="H33" s="292">
        <f>H31*H37</f>
        <v>203461.272</v>
      </c>
      <c r="I33" s="292"/>
      <c r="J33" s="291">
        <f>J37*J31</f>
        <v>226067.73</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93">
        <f>SUM(C34:R34)</f>
        <v>1500190</v>
      </c>
      <c r="W34" s="285"/>
      <c r="X34" s="5"/>
    </row>
    <row r="35" spans="1:24" ht="15.6" x14ac:dyDescent="0.3">
      <c r="A35" s="276"/>
      <c r="B35" s="272" t="s">
        <v>299</v>
      </c>
      <c r="C35" s="294"/>
      <c r="D35" s="283">
        <f>D34*D38</f>
        <v>518942.41156320006</v>
      </c>
      <c r="E35" s="282"/>
      <c r="F35" s="283">
        <f>F34*F38</f>
        <v>81301.125</v>
      </c>
      <c r="G35" s="283"/>
      <c r="H35" s="283">
        <f>H34*H38</f>
        <v>137502.31628100001</v>
      </c>
      <c r="I35" s="283"/>
      <c r="J35" s="283">
        <f>J34*J38</f>
        <v>121086.47597700001</v>
      </c>
      <c r="K35" s="283"/>
      <c r="L35" s="283">
        <f>L34*L38</f>
        <v>56000</v>
      </c>
      <c r="M35" s="283"/>
      <c r="N35" s="283">
        <f>N34*N38</f>
        <v>56376</v>
      </c>
      <c r="O35" s="283"/>
      <c r="P35" s="283">
        <f>P34*P38</f>
        <v>13000</v>
      </c>
      <c r="Q35" s="283"/>
      <c r="R35" s="283">
        <f>R34*R38</f>
        <v>54363</v>
      </c>
      <c r="S35" s="283"/>
      <c r="T35" s="283"/>
      <c r="U35" s="284"/>
      <c r="V35" s="293">
        <f>SUM(C35:R35)</f>
        <v>1038571.3288212001</v>
      </c>
      <c r="W35" s="285"/>
      <c r="X35" s="5"/>
    </row>
    <row r="36" spans="1:24" ht="15.6" x14ac:dyDescent="0.3">
      <c r="A36" s="276"/>
      <c r="B36" s="279" t="s">
        <v>304</v>
      </c>
      <c r="C36" s="294"/>
      <c r="D36" s="289">
        <f>D34*D37</f>
        <v>515351.74820160004</v>
      </c>
      <c r="E36" s="286"/>
      <c r="F36" s="289">
        <f>F34*F37</f>
        <v>80738.599999999991</v>
      </c>
      <c r="G36" s="289"/>
      <c r="H36" s="289">
        <f>H34*H37</f>
        <v>136550.93349919998</v>
      </c>
      <c r="I36" s="289"/>
      <c r="J36" s="289">
        <f>J34*J37</f>
        <v>120248.65512600001</v>
      </c>
      <c r="K36" s="289"/>
      <c r="L36" s="289">
        <v>56000</v>
      </c>
      <c r="M36" s="289"/>
      <c r="N36" s="289">
        <v>56376</v>
      </c>
      <c r="O36" s="289"/>
      <c r="P36" s="289">
        <v>13000</v>
      </c>
      <c r="Q36" s="289"/>
      <c r="R36" s="289">
        <v>54363</v>
      </c>
      <c r="S36" s="295"/>
      <c r="T36" s="295"/>
      <c r="U36" s="284"/>
      <c r="V36" s="296">
        <f>SUM(C36:R36)</f>
        <v>1032628.9368268</v>
      </c>
      <c r="W36" s="285"/>
      <c r="X36" s="5"/>
    </row>
    <row r="37" spans="1:24" ht="15.6" x14ac:dyDescent="0.3">
      <c r="A37" s="271"/>
      <c r="B37" s="297" t="s">
        <v>133</v>
      </c>
      <c r="C37" s="298"/>
      <c r="D37" s="299">
        <v>0.64590780000000003</v>
      </c>
      <c r="E37" s="300"/>
      <c r="F37" s="299">
        <v>0.64590879999999995</v>
      </c>
      <c r="G37" s="301"/>
      <c r="H37" s="299">
        <v>0.64590879999999995</v>
      </c>
      <c r="I37" s="301"/>
      <c r="J37" s="299">
        <v>0.64590780000000003</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0.65040810000000004</v>
      </c>
      <c r="E38" s="300"/>
      <c r="F38" s="299">
        <v>0.65040900000000001</v>
      </c>
      <c r="G38" s="301"/>
      <c r="H38" s="299">
        <v>0.65040900000000001</v>
      </c>
      <c r="I38" s="301"/>
      <c r="J38" s="299">
        <v>0.65040810000000004</v>
      </c>
      <c r="K38" s="301"/>
      <c r="L38" s="301">
        <v>1</v>
      </c>
      <c r="M38" s="301"/>
      <c r="N38" s="301">
        <v>1</v>
      </c>
      <c r="O38" s="301"/>
      <c r="P38" s="301">
        <v>1</v>
      </c>
      <c r="Q38" s="301"/>
      <c r="R38" s="301">
        <v>1</v>
      </c>
      <c r="S38" s="305"/>
      <c r="T38" s="306"/>
      <c r="U38" s="303"/>
      <c r="V38" s="305"/>
      <c r="W38" s="304"/>
      <c r="X38" s="5"/>
    </row>
    <row r="39" spans="1:24" ht="15.6" x14ac:dyDescent="0.3">
      <c r="A39" s="271"/>
      <c r="B39" s="272" t="s">
        <v>11</v>
      </c>
      <c r="C39" s="272"/>
      <c r="D39" s="280" t="s">
        <v>225</v>
      </c>
      <c r="E39" s="272"/>
      <c r="F39" s="280" t="s">
        <v>225</v>
      </c>
      <c r="G39" s="280"/>
      <c r="H39" s="280" t="s">
        <v>225</v>
      </c>
      <c r="I39" s="280"/>
      <c r="J39" s="280" t="s">
        <v>251</v>
      </c>
      <c r="K39" s="280"/>
      <c r="L39" s="280" t="s">
        <v>252</v>
      </c>
      <c r="M39" s="280"/>
      <c r="N39" s="280" t="s">
        <v>253</v>
      </c>
      <c r="O39" s="280"/>
      <c r="P39" s="280" t="s">
        <v>254</v>
      </c>
      <c r="Q39" s="280"/>
      <c r="R39" s="280" t="s">
        <v>255</v>
      </c>
      <c r="S39" s="307"/>
      <c r="T39" s="308"/>
      <c r="U39" s="274"/>
      <c r="V39" s="274"/>
      <c r="W39" s="275"/>
      <c r="X39" s="5"/>
    </row>
    <row r="40" spans="1:24" ht="15.6" x14ac:dyDescent="0.3">
      <c r="A40" s="271"/>
      <c r="B40" s="272" t="s">
        <v>12</v>
      </c>
      <c r="C40" s="272"/>
      <c r="D40" s="308">
        <v>3.8030999999999998E-3</v>
      </c>
      <c r="E40" s="272"/>
      <c r="F40" s="308">
        <v>8.5974999999999992E-3</v>
      </c>
      <c r="G40" s="307"/>
      <c r="H40" s="308">
        <v>1.1050000000000001E-2</v>
      </c>
      <c r="I40" s="308"/>
      <c r="J40" s="308">
        <v>3.7905999999999999E-3</v>
      </c>
      <c r="K40" s="307"/>
      <c r="L40" s="308">
        <v>9.3974999999999996E-3</v>
      </c>
      <c r="M40" s="307"/>
      <c r="N40" s="308">
        <v>1.175E-2</v>
      </c>
      <c r="O40" s="307"/>
      <c r="P40" s="308">
        <v>1.13975E-2</v>
      </c>
      <c r="Q40" s="307"/>
      <c r="R40" s="308">
        <v>1.375E-2</v>
      </c>
      <c r="S40" s="307"/>
      <c r="T40" s="308"/>
      <c r="U40" s="274"/>
      <c r="V40" s="280"/>
      <c r="W40" s="275"/>
      <c r="X40" s="5"/>
    </row>
    <row r="41" spans="1:24" ht="15.6" x14ac:dyDescent="0.3">
      <c r="A41" s="271"/>
      <c r="B41" s="272" t="s">
        <v>13</v>
      </c>
      <c r="C41" s="272"/>
      <c r="D41" s="308">
        <v>3.7734000000000001E-3</v>
      </c>
      <c r="E41" s="272"/>
      <c r="F41" s="308">
        <v>8.5359000000000008E-3</v>
      </c>
      <c r="G41" s="307"/>
      <c r="H41" s="308">
        <v>9.5499999999999995E-3</v>
      </c>
      <c r="I41" s="308"/>
      <c r="J41" s="308">
        <v>6.1593999999999998E-3</v>
      </c>
      <c r="K41" s="307"/>
      <c r="L41" s="308">
        <v>9.3358999999999994E-3</v>
      </c>
      <c r="M41" s="307"/>
      <c r="N41" s="308">
        <v>1.025E-2</v>
      </c>
      <c r="O41" s="307"/>
      <c r="P41" s="308">
        <v>1.1335899999999999E-2</v>
      </c>
      <c r="Q41" s="307"/>
      <c r="R41" s="308">
        <v>1.225E-2</v>
      </c>
      <c r="S41" s="307"/>
      <c r="T41" s="308"/>
      <c r="U41" s="274"/>
      <c r="V41" s="307" t="s">
        <v>196</v>
      </c>
      <c r="W41" s="275"/>
      <c r="X41" s="5"/>
    </row>
    <row r="42" spans="1:24" ht="15.6" x14ac:dyDescent="0.3">
      <c r="A42" s="271"/>
      <c r="B42" s="272" t="s">
        <v>300</v>
      </c>
      <c r="C42" s="272"/>
      <c r="D42" s="280" t="s">
        <v>292</v>
      </c>
      <c r="E42" s="272"/>
      <c r="F42" s="280" t="s">
        <v>225</v>
      </c>
      <c r="G42" s="280"/>
      <c r="H42" s="280" t="s">
        <v>263</v>
      </c>
      <c r="I42" s="280"/>
      <c r="J42" s="280" t="s">
        <v>262</v>
      </c>
      <c r="K42" s="280"/>
      <c r="L42" s="280" t="s">
        <v>252</v>
      </c>
      <c r="M42" s="280"/>
      <c r="N42" s="280" t="s">
        <v>264</v>
      </c>
      <c r="O42" s="280"/>
      <c r="P42" s="280" t="s">
        <v>254</v>
      </c>
      <c r="Q42" s="280"/>
      <c r="R42" s="280" t="s">
        <v>260</v>
      </c>
      <c r="S42" s="307"/>
      <c r="T42" s="308"/>
      <c r="U42" s="274"/>
      <c r="V42" s="274"/>
      <c r="W42" s="275"/>
      <c r="X42" s="5"/>
    </row>
    <row r="43" spans="1:24" ht="15.6" x14ac:dyDescent="0.3">
      <c r="A43" s="271"/>
      <c r="B43" s="272" t="s">
        <v>301</v>
      </c>
      <c r="C43" s="309"/>
      <c r="D43" s="308">
        <v>8.9367000000000005E-3</v>
      </c>
      <c r="E43" s="308"/>
      <c r="F43" s="308">
        <f>+F40</f>
        <v>8.5974999999999992E-3</v>
      </c>
      <c r="G43" s="308"/>
      <c r="H43" s="308">
        <v>8.7194999999999998E-3</v>
      </c>
      <c r="I43" s="308"/>
      <c r="J43" s="308">
        <v>8.6374999999999993E-3</v>
      </c>
      <c r="K43" s="308"/>
      <c r="L43" s="308">
        <f>+L40</f>
        <v>9.3974999999999996E-3</v>
      </c>
      <c r="M43" s="308"/>
      <c r="N43" s="308">
        <v>9.4874999999999994E-3</v>
      </c>
      <c r="O43" s="308"/>
      <c r="P43" s="308">
        <f>+P40</f>
        <v>1.13975E-2</v>
      </c>
      <c r="Q43" s="307"/>
      <c r="R43" s="308">
        <v>1.15975E-2</v>
      </c>
      <c r="S43" s="280"/>
      <c r="T43" s="280"/>
      <c r="U43" s="274"/>
      <c r="V43" s="307">
        <f>SUMPRODUCT(D43:R43,D35:R35)/V35</f>
        <v>9.0713313430875794E-3</v>
      </c>
      <c r="W43" s="275"/>
      <c r="X43" s="5"/>
    </row>
    <row r="44" spans="1:24" ht="15.6" x14ac:dyDescent="0.3">
      <c r="A44" s="271"/>
      <c r="B44" s="272" t="s">
        <v>302</v>
      </c>
      <c r="C44" s="309"/>
      <c r="D44" s="308">
        <v>8.8751000000000003E-3</v>
      </c>
      <c r="E44" s="308"/>
      <c r="F44" s="308">
        <f>+F41</f>
        <v>8.5359000000000008E-3</v>
      </c>
      <c r="G44" s="308"/>
      <c r="H44" s="308">
        <v>8.6578999999999996E-3</v>
      </c>
      <c r="I44" s="308"/>
      <c r="J44" s="308">
        <v>8.5758999999999991E-3</v>
      </c>
      <c r="K44" s="308"/>
      <c r="L44" s="308">
        <f>+L41</f>
        <v>9.3358999999999994E-3</v>
      </c>
      <c r="M44" s="308"/>
      <c r="N44" s="308">
        <v>9.4258999999999992E-3</v>
      </c>
      <c r="O44" s="308"/>
      <c r="P44" s="308">
        <f>+P41</f>
        <v>1.1335899999999999E-2</v>
      </c>
      <c r="Q44" s="307"/>
      <c r="R44" s="308">
        <v>1.15359E-2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t="s">
        <v>121</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310" t="s">
        <v>121</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203</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0.2107411428357612</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40561</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92</v>
      </c>
      <c r="S57" s="318"/>
      <c r="T57" s="319">
        <v>40374</v>
      </c>
      <c r="U57" s="320"/>
      <c r="V57" s="319">
        <v>40465</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95</v>
      </c>
      <c r="S58" s="272"/>
      <c r="T58" s="319">
        <v>40466</v>
      </c>
      <c r="U58" s="320"/>
      <c r="V58" s="319">
        <v>40560</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40547</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311</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1038571</v>
      </c>
      <c r="O68" s="324"/>
      <c r="P68" s="324">
        <f>5942+326+729</f>
        <v>6997</v>
      </c>
      <c r="Q68" s="324"/>
      <c r="R68" s="324">
        <f>326+729</f>
        <v>1055</v>
      </c>
      <c r="S68" s="324"/>
      <c r="T68" s="324">
        <v>0</v>
      </c>
      <c r="U68" s="324"/>
      <c r="V68" s="325">
        <f>+N68-P68+R68-T68</f>
        <v>1032629</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1038571</v>
      </c>
      <c r="O71" s="324"/>
      <c r="P71" s="324">
        <f>SUM(P68:P70)</f>
        <v>6997</v>
      </c>
      <c r="Q71" s="324"/>
      <c r="R71" s="324">
        <f>SUM(R68:R70)</f>
        <v>1055</v>
      </c>
      <c r="S71" s="324"/>
      <c r="T71" s="324">
        <f>SUM(T68:T70)</f>
        <v>0</v>
      </c>
      <c r="U71" s="324"/>
      <c r="V71" s="324">
        <f>SUM(V68:V70)</f>
        <v>1032629</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1038571</v>
      </c>
      <c r="O84" s="328"/>
      <c r="P84" s="328"/>
      <c r="Q84" s="328"/>
      <c r="R84" s="328"/>
      <c r="S84" s="328"/>
      <c r="T84" s="328"/>
      <c r="U84" s="328"/>
      <c r="V84" s="328">
        <f>SUM(V71:V83)</f>
        <v>1032629</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+T198</f>
        <v>40543</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6997-614</f>
        <v>6383</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4459+3763-454-1343+58</f>
        <v>6483</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108+85</f>
        <v>193</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57</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0</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6383</v>
      </c>
      <c r="U96" s="272"/>
      <c r="V96" s="324">
        <f>SUM(V88:V95)</f>
        <v>6733</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-268</v>
      </c>
      <c r="U97" s="272"/>
      <c r="V97" s="324">
        <v>268</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81</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6115</v>
      </c>
      <c r="U100" s="272"/>
      <c r="V100" s="324">
        <f>V96+V98+V97+V99</f>
        <v>7082</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231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272" t="s">
        <v>207</v>
      </c>
      <c r="C104" s="272"/>
      <c r="D104" s="272"/>
      <c r="E104" s="272"/>
      <c r="F104" s="272"/>
      <c r="G104" s="272"/>
      <c r="H104" s="272"/>
      <c r="I104" s="272"/>
      <c r="J104" s="272"/>
      <c r="K104" s="272"/>
      <c r="L104" s="272"/>
      <c r="M104" s="272"/>
      <c r="N104" s="272"/>
      <c r="O104" s="272"/>
      <c r="P104" s="272"/>
      <c r="Q104" s="272"/>
      <c r="R104" s="272"/>
      <c r="S104" s="272"/>
      <c r="T104" s="272"/>
      <c r="U104" s="272"/>
      <c r="V104" s="325">
        <f>-395-218-13</f>
        <v>-626</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-158</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-1973+182</f>
        <v>-1791</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-182</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-2</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-139</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-137</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-164</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-39</v>
      </c>
      <c r="W112" s="275"/>
      <c r="X112" s="5"/>
      <c r="Y112" s="109"/>
    </row>
    <row r="113" spans="1:24" ht="15.6" x14ac:dyDescent="0.3">
      <c r="A113" s="338">
        <v>7</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-10</v>
      </c>
      <c r="W113" s="275"/>
      <c r="X113" s="5"/>
    </row>
    <row r="114" spans="1:24" ht="15.6" x14ac:dyDescent="0.3">
      <c r="A114" s="338">
        <f t="shared" ref="A114:A120" si="0">+A113+1</f>
        <v>8</v>
      </c>
      <c r="B114" s="272" t="s">
        <v>45</v>
      </c>
      <c r="C114" s="272"/>
      <c r="D114" s="272"/>
      <c r="E114" s="272"/>
      <c r="F114" s="272"/>
      <c r="G114" s="272"/>
      <c r="H114" s="272"/>
      <c r="I114" s="272"/>
      <c r="J114" s="272"/>
      <c r="K114" s="272"/>
      <c r="L114" s="272"/>
      <c r="M114" s="272"/>
      <c r="N114" s="272"/>
      <c r="O114" s="272"/>
      <c r="P114" s="272"/>
      <c r="Q114" s="272"/>
      <c r="R114" s="272"/>
      <c r="S114" s="272"/>
      <c r="T114" s="324">
        <f>-V114</f>
        <v>614</v>
      </c>
      <c r="U114" s="272"/>
      <c r="V114" s="325">
        <v>-614</v>
      </c>
      <c r="W114" s="275"/>
      <c r="X114" s="5"/>
    </row>
    <row r="115" spans="1:24" ht="15.6" x14ac:dyDescent="0.3">
      <c r="A115" s="338">
        <f t="shared" si="0"/>
        <v>9</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10</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11</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12</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13</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-395</v>
      </c>
      <c r="W119" s="275"/>
      <c r="X119" s="5"/>
    </row>
    <row r="120" spans="1:24" ht="15.6" x14ac:dyDescent="0.3">
      <c r="A120" s="338">
        <f t="shared" si="0"/>
        <v>14</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-V100-SUM(V102:V119)</f>
        <v>-2823</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0</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-439</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-348</v>
      </c>
      <c r="U124" s="324"/>
      <c r="V124" s="325"/>
      <c r="W124" s="275"/>
      <c r="X124" s="5"/>
    </row>
    <row r="125" spans="1:24" ht="15.6" x14ac:dyDescent="0.3">
      <c r="A125" s="338"/>
      <c r="B125" s="272" t="s">
        <v>200</v>
      </c>
      <c r="C125" s="272"/>
      <c r="D125" s="272"/>
      <c r="E125" s="272"/>
      <c r="F125" s="272"/>
      <c r="G125" s="272"/>
      <c r="H125" s="272"/>
      <c r="I125" s="272"/>
      <c r="J125" s="272"/>
      <c r="K125" s="272"/>
      <c r="L125" s="272"/>
      <c r="M125" s="272"/>
      <c r="N125" s="272"/>
      <c r="O125" s="272"/>
      <c r="P125" s="272"/>
      <c r="Q125" s="272"/>
      <c r="R125" s="272"/>
      <c r="S125" s="272"/>
      <c r="T125" s="324">
        <v>-3591</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-562</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-951</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-838</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-6729</v>
      </c>
      <c r="U133" s="324"/>
      <c r="V133" s="324">
        <f>SUM(V101:V130)</f>
        <v>-7082</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T100+T133+T114</f>
        <v>0</v>
      </c>
      <c r="U134" s="324"/>
      <c r="V134" s="324">
        <f>V100+V133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B64</f>
        <v>PM13 INVESTOR REPORT QUARTER ENDING DECEMBER 2010</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272</v>
      </c>
      <c r="C155" s="272"/>
      <c r="D155" s="272"/>
      <c r="E155" s="272"/>
      <c r="F155" s="272"/>
      <c r="G155" s="272"/>
      <c r="H155" s="272"/>
      <c r="I155" s="272"/>
      <c r="J155" s="272"/>
      <c r="K155" s="272"/>
      <c r="L155" s="272"/>
      <c r="M155" s="272"/>
      <c r="N155" s="272"/>
      <c r="O155" s="272"/>
      <c r="P155" s="272"/>
      <c r="Q155" s="272"/>
      <c r="R155" s="272"/>
      <c r="S155" s="272"/>
      <c r="T155" s="272"/>
      <c r="U155" s="272"/>
      <c r="V155" s="325">
        <v>6000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614</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614</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-614</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v>0</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V71</f>
        <v>1032629</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V84</f>
        <v>1032629</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+'September 10'!S183</f>
        <v>44432</v>
      </c>
      <c r="T181" s="325">
        <f>+'September 10'!T183</f>
        <v>8516</v>
      </c>
      <c r="U181" s="272"/>
      <c r="V181" s="325">
        <f>S181+T181</f>
        <v>52948</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f>22+326</f>
        <v>348</v>
      </c>
      <c r="T182" s="324">
        <v>0</v>
      </c>
      <c r="U182" s="272"/>
      <c r="V182" s="325">
        <f>S182+T182</f>
        <v>348</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44780</v>
      </c>
      <c r="T183" s="325">
        <f>T182+T181</f>
        <v>8516</v>
      </c>
      <c r="U183" s="272"/>
      <c r="V183" s="325">
        <f>S183+T183</f>
        <v>53296</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186734.4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(V100+V102+V103+V104+V105)/-(V106+V107)</f>
        <v>3.1910795742524076</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1.52</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(V100+V102+V103+V104+V105+V106+V107)/-(V109+V110)</f>
        <v>15.663043478260869</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5.1100000000000003</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(V100+V102+V103+V104+V105+V106+V107+V109+V110)/-(V111+V112)</f>
        <v>19.935960591133004</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6.5</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DECEMBER 2010</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40543</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2.5080000000000002E-2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9.0713313430875794E-3</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1.6008668656912424E-2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+V100/N71</f>
        <v>6.8189849321808526E-3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16.829999999999998</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P68/N68</f>
        <v>6.737141707211158E-3</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9.8000000000000004E-2</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1</v>
      </c>
      <c r="T216" s="357">
        <v>264</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183</v>
      </c>
      <c r="T217" s="357">
        <f>+T269</f>
        <v>27709</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v>0</v>
      </c>
      <c r="T218" s="357">
        <v>0</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+N81</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7" t="s">
        <v>84</v>
      </c>
      <c r="C222" s="277"/>
      <c r="D222" s="277"/>
      <c r="E222" s="277"/>
      <c r="F222" s="277"/>
      <c r="G222" s="277"/>
      <c r="H222" s="277"/>
      <c r="I222" s="277"/>
      <c r="J222" s="277"/>
      <c r="K222" s="277"/>
      <c r="L222" s="277"/>
      <c r="M222" s="277"/>
      <c r="N222" s="277"/>
      <c r="O222" s="277"/>
      <c r="P222" s="277"/>
      <c r="Q222" s="277"/>
      <c r="R222" s="277"/>
      <c r="S222" s="310"/>
      <c r="T222" s="368">
        <f>V166</f>
        <v>614</v>
      </c>
      <c r="U222" s="277"/>
      <c r="V222" s="362"/>
      <c r="W222" s="367"/>
      <c r="X222" s="5"/>
    </row>
    <row r="223" spans="1:24" ht="15.6" x14ac:dyDescent="0.3">
      <c r="A223" s="356"/>
      <c r="B223" s="277" t="s">
        <v>85</v>
      </c>
      <c r="C223" s="369"/>
      <c r="D223" s="369"/>
      <c r="E223" s="369"/>
      <c r="F223" s="369"/>
      <c r="G223" s="277"/>
      <c r="H223" s="277"/>
      <c r="I223" s="277"/>
      <c r="J223" s="277"/>
      <c r="K223" s="277"/>
      <c r="L223" s="277"/>
      <c r="M223" s="277"/>
      <c r="N223" s="277"/>
      <c r="O223" s="277"/>
      <c r="P223" s="277"/>
      <c r="Q223" s="277"/>
      <c r="R223" s="277"/>
      <c r="S223" s="310"/>
      <c r="T223" s="368">
        <f>'September 10'!T223+T222</f>
        <v>2495</v>
      </c>
      <c r="U223" s="277"/>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8</v>
      </c>
      <c r="T229" s="357">
        <v>1754</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12.85</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 t="shared" ref="R236:R243" si="1">+R248+R260+R272</f>
        <v>7986</v>
      </c>
      <c r="S236" s="381">
        <f t="shared" ref="S236:S243" si="2">R236/$R$245</f>
        <v>0.9849531327084361</v>
      </c>
      <c r="T236" s="325">
        <f t="shared" ref="T236:T243" si="3">+T248+T260+T272</f>
        <v>1013233</v>
      </c>
      <c r="U236" s="381">
        <f t="shared" ref="U236:U243" si="4">T236/$T$245</f>
        <v>0.98121687459871842</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si="1"/>
        <v>42</v>
      </c>
      <c r="S237" s="381">
        <f t="shared" si="2"/>
        <v>5.1800690675875682E-3</v>
      </c>
      <c r="T237" s="325">
        <f t="shared" si="3"/>
        <v>7625</v>
      </c>
      <c r="U237" s="381">
        <f t="shared" si="4"/>
        <v>7.3840653322732562E-3</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10</v>
      </c>
      <c r="S238" s="381">
        <f t="shared" si="2"/>
        <v>1.23334977799704E-3</v>
      </c>
      <c r="T238" s="325">
        <f t="shared" si="3"/>
        <v>1505</v>
      </c>
      <c r="U238" s="381">
        <f t="shared" si="4"/>
        <v>1.4574450262388524E-3</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3</v>
      </c>
      <c r="S239" s="381">
        <f t="shared" si="2"/>
        <v>3.7000493339911197E-4</v>
      </c>
      <c r="T239" s="325">
        <f t="shared" si="3"/>
        <v>811</v>
      </c>
      <c r="U239" s="381">
        <f t="shared" si="4"/>
        <v>7.8537403075063742E-4</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7</v>
      </c>
      <c r="S240" s="381">
        <f t="shared" si="2"/>
        <v>8.6334484459792799E-4</v>
      </c>
      <c r="T240" s="325">
        <f t="shared" si="3"/>
        <v>855</v>
      </c>
      <c r="U240" s="381">
        <f t="shared" si="4"/>
        <v>8.2798371922539464E-4</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1</v>
      </c>
      <c r="S241" s="381">
        <f t="shared" si="2"/>
        <v>1.2333497779970401E-4</v>
      </c>
      <c r="T241" s="325">
        <f t="shared" si="3"/>
        <v>118</v>
      </c>
      <c r="U241" s="381">
        <f t="shared" si="4"/>
        <v>1.1427143727321235E-4</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14</v>
      </c>
      <c r="S242" s="381">
        <f t="shared" si="2"/>
        <v>1.726689689195856E-3</v>
      </c>
      <c r="T242" s="325">
        <f t="shared" si="3"/>
        <v>2540</v>
      </c>
      <c r="U242" s="381">
        <f t="shared" si="4"/>
        <v>2.4597411074064354E-3</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45</v>
      </c>
      <c r="S243" s="381">
        <f t="shared" si="2"/>
        <v>5.5500740009866798E-3</v>
      </c>
      <c r="T243" s="325">
        <f t="shared" si="3"/>
        <v>5942</v>
      </c>
      <c r="U243" s="381">
        <f t="shared" si="4"/>
        <v>5.7542447481137952E-3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8108</v>
      </c>
      <c r="S245" s="381">
        <f>SUM(S236:S244)</f>
        <v>1</v>
      </c>
      <c r="T245" s="325">
        <f>SUM(T236:T244)</f>
        <v>1032629</v>
      </c>
      <c r="U245" s="381">
        <f>SUM(U236:U244)</f>
        <v>1</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7880</v>
      </c>
      <c r="S248" s="261">
        <f t="shared" ref="S248:S255" si="5">R248/$R$257</f>
        <v>0.99432176656151416</v>
      </c>
      <c r="T248" s="238">
        <v>995951</v>
      </c>
      <c r="U248" s="261">
        <f t="shared" ref="U248:U255" si="6">T248/$T$257</f>
        <v>0.99107491143573623</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33</v>
      </c>
      <c r="S249" s="381">
        <f t="shared" si="5"/>
        <v>4.1640378548895903E-3</v>
      </c>
      <c r="T249" s="325">
        <v>6573</v>
      </c>
      <c r="U249" s="381">
        <f t="shared" si="6"/>
        <v>6.5408191696851494E-3</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6</v>
      </c>
      <c r="S250" s="381">
        <f t="shared" si="5"/>
        <v>7.570977917981072E-4</v>
      </c>
      <c r="T250" s="325">
        <v>1058</v>
      </c>
      <c r="U250" s="381">
        <f t="shared" si="6"/>
        <v>1.0528201249850734E-3</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1</v>
      </c>
      <c r="S251" s="381">
        <f t="shared" si="5"/>
        <v>1.2618296529968455E-4</v>
      </c>
      <c r="T251" s="325">
        <v>446</v>
      </c>
      <c r="U251" s="381">
        <f t="shared" si="6"/>
        <v>4.4381642319786649E-4</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1</v>
      </c>
      <c r="S252" s="381">
        <f t="shared" si="5"/>
        <v>1.2618296529968455E-4</v>
      </c>
      <c r="T252" s="325">
        <v>200</v>
      </c>
      <c r="U252" s="381">
        <f t="shared" si="6"/>
        <v>1.990208175775186E-4</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2</v>
      </c>
      <c r="S254" s="381">
        <f t="shared" si="5"/>
        <v>2.523659305993691E-4</v>
      </c>
      <c r="T254" s="325">
        <v>390</v>
      </c>
      <c r="U254" s="381">
        <f t="shared" si="6"/>
        <v>3.8809059427616127E-4</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2</v>
      </c>
      <c r="S255" s="381">
        <f t="shared" si="5"/>
        <v>2.523659305993691E-4</v>
      </c>
      <c r="T255" s="325">
        <v>302</v>
      </c>
      <c r="U255" s="381">
        <f t="shared" si="6"/>
        <v>3.005214345420531E-4</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7925</v>
      </c>
      <c r="S257" s="381">
        <f>SUM(S248:S256)</f>
        <v>1</v>
      </c>
      <c r="T257" s="325">
        <f>SUM(T248:T256)</f>
        <v>1004920</v>
      </c>
      <c r="U257" s="381">
        <f>SUM(U248:U256)</f>
        <v>1</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106</v>
      </c>
      <c r="S260" s="261">
        <f t="shared" ref="S260:S267" si="7">R260/$R$269</f>
        <v>0.57923497267759561</v>
      </c>
      <c r="T260" s="238">
        <v>17282</v>
      </c>
      <c r="U260" s="261">
        <f t="shared" ref="U260:U267" si="8">T260/$T$269</f>
        <v>0.62369627196939625</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9</v>
      </c>
      <c r="S261" s="381">
        <f t="shared" si="7"/>
        <v>4.9180327868852458E-2</v>
      </c>
      <c r="T261" s="325">
        <v>1052</v>
      </c>
      <c r="U261" s="381">
        <f t="shared" si="8"/>
        <v>3.796600382547187E-2</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4</v>
      </c>
      <c r="S262" s="381">
        <f t="shared" si="7"/>
        <v>2.185792349726776E-2</v>
      </c>
      <c r="T262" s="325">
        <v>447</v>
      </c>
      <c r="U262" s="381">
        <f t="shared" si="8"/>
        <v>1.6131942690100688E-2</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2</v>
      </c>
      <c r="S263" s="381">
        <f t="shared" si="7"/>
        <v>1.092896174863388E-2</v>
      </c>
      <c r="T263" s="325">
        <v>365</v>
      </c>
      <c r="U263" s="381">
        <f t="shared" si="8"/>
        <v>1.3172615395719803E-2</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6</v>
      </c>
      <c r="S264" s="381">
        <f t="shared" si="7"/>
        <v>3.2786885245901641E-2</v>
      </c>
      <c r="T264" s="325">
        <v>655</v>
      </c>
      <c r="U264" s="381">
        <f t="shared" si="8"/>
        <v>2.3638528997798548E-2</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1</v>
      </c>
      <c r="S265" s="381">
        <f t="shared" si="7"/>
        <v>5.4644808743169399E-3</v>
      </c>
      <c r="T265" s="325">
        <v>118</v>
      </c>
      <c r="U265" s="381">
        <f t="shared" si="8"/>
        <v>4.2585441553285933E-3</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12</v>
      </c>
      <c r="S266" s="381">
        <f t="shared" si="7"/>
        <v>6.5573770491803282E-2</v>
      </c>
      <c r="T266" s="325">
        <v>2150</v>
      </c>
      <c r="U266" s="381">
        <f t="shared" si="8"/>
        <v>7.7592118084376924E-2</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43</v>
      </c>
      <c r="S267" s="381">
        <f t="shared" si="7"/>
        <v>0.23497267759562843</v>
      </c>
      <c r="T267" s="325">
        <v>5640</v>
      </c>
      <c r="U267" s="381">
        <f t="shared" si="8"/>
        <v>0.20354397488180737</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183</v>
      </c>
      <c r="S269" s="381">
        <f>SUM(S260:S268)</f>
        <v>1</v>
      </c>
      <c r="T269" s="325">
        <f>SUM(T260:T268)</f>
        <v>27709</v>
      </c>
      <c r="U269" s="381">
        <f>SUM(U260:U268)</f>
        <v>1</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v>0</v>
      </c>
      <c r="T272" s="238">
        <v>0</v>
      </c>
      <c r="U272" s="261">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v>0</v>
      </c>
      <c r="T273" s="325">
        <v>0</v>
      </c>
      <c r="U273" s="381">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0</v>
      </c>
      <c r="S281" s="381">
        <f>SUM(S272:S279)</f>
        <v>0</v>
      </c>
      <c r="T281" s="325">
        <f>SUM(T272:T279)</f>
        <v>0</v>
      </c>
      <c r="U281" s="381">
        <f>SUM(U272:U279)</f>
        <v>0</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81" t="s">
        <v>167</v>
      </c>
      <c r="C283" s="272"/>
      <c r="D283" s="272"/>
      <c r="E283" s="272"/>
      <c r="F283" s="272"/>
      <c r="G283" s="272"/>
      <c r="H283" s="383"/>
      <c r="I283" s="383"/>
      <c r="J283" s="383"/>
      <c r="K283" s="383"/>
      <c r="L283" s="383"/>
      <c r="M283" s="383"/>
      <c r="N283" s="383"/>
      <c r="O283" s="383"/>
      <c r="P283" s="383"/>
      <c r="Q283" s="383"/>
      <c r="R283" s="386">
        <f>R281+R269+R257</f>
        <v>8108</v>
      </c>
      <c r="S283" s="381"/>
      <c r="T283" s="387">
        <f>+T281+T269+T257</f>
        <v>1032629</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93</v>
      </c>
      <c r="C287" s="220"/>
      <c r="D287" s="220"/>
      <c r="E287" s="220"/>
      <c r="F287" s="265" t="s">
        <v>151</v>
      </c>
      <c r="G287" s="220"/>
      <c r="H287" s="219" t="s">
        <v>155</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281</v>
      </c>
      <c r="C288" s="219"/>
      <c r="D288" s="219"/>
      <c r="E288" s="219"/>
      <c r="F288" s="265" t="s">
        <v>282</v>
      </c>
      <c r="G288" s="219"/>
      <c r="H288" s="219" t="s">
        <v>283</v>
      </c>
      <c r="I288" s="227"/>
      <c r="J288" s="219"/>
      <c r="K288" s="227"/>
      <c r="L288" s="227"/>
      <c r="M288" s="227"/>
      <c r="N288" s="227"/>
      <c r="O288" s="227"/>
      <c r="P288" s="227"/>
      <c r="Q288" s="227"/>
      <c r="R288" s="227"/>
      <c r="S288" s="227"/>
      <c r="T288" s="227"/>
      <c r="U288" s="227"/>
      <c r="V288" s="227"/>
      <c r="W288" s="227"/>
      <c r="X288" s="5"/>
    </row>
    <row r="289" spans="1:24" ht="15.6" x14ac:dyDescent="0.3">
      <c r="A289" s="216"/>
      <c r="B289" s="219" t="s">
        <v>94</v>
      </c>
      <c r="C289" s="219"/>
      <c r="D289" s="219"/>
      <c r="E289" s="219"/>
      <c r="F289" s="265" t="s">
        <v>150</v>
      </c>
      <c r="G289" s="219"/>
      <c r="H289" s="219" t="s">
        <v>156</v>
      </c>
      <c r="I289" s="219"/>
      <c r="J289" s="219"/>
      <c r="K289" s="227"/>
      <c r="L289" s="227"/>
      <c r="M289" s="227"/>
      <c r="N289" s="227"/>
      <c r="O289" s="227"/>
      <c r="P289" s="227"/>
      <c r="Q289" s="227"/>
      <c r="R289" s="227"/>
      <c r="S289" s="227"/>
      <c r="T289" s="227"/>
      <c r="U289" s="227"/>
      <c r="V289" s="227"/>
      <c r="W289" s="227"/>
      <c r="X289" s="5"/>
    </row>
    <row r="290" spans="1:24" ht="15.6" x14ac:dyDescent="0.3">
      <c r="A290" s="216"/>
      <c r="B290" s="219"/>
      <c r="C290" s="219"/>
      <c r="D290" s="219"/>
      <c r="E290" s="219"/>
      <c r="F290" s="219"/>
      <c r="G290" s="266"/>
      <c r="H290" s="227"/>
      <c r="I290" s="227"/>
      <c r="J290" s="227"/>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8" thickBot="1" x14ac:dyDescent="0.35">
      <c r="A292" s="216"/>
      <c r="B292" s="267" t="str">
        <f>B197</f>
        <v>PM13 INVESTOR REPORT QUARTER ENDING DECEMBER 2010</v>
      </c>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x14ac:dyDescent="0.25">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row>
  </sheetData>
  <phoneticPr fontId="0" type="noConversion"/>
  <hyperlinks>
    <hyperlink ref="P233" r:id="rId1" xr:uid="{00000000-0004-0000-1000-000000000000}"/>
    <hyperlink ref="I9" r:id="rId2" xr:uid="{00000000-0004-0000-1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7" max="14" man="1"/>
    <brk id="197" max="14"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2D2926"/>
  </sheetPr>
  <dimension ref="A1:Z293"/>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0.63460000000000005</v>
      </c>
      <c r="T16" s="224" t="s">
        <v>143</v>
      </c>
      <c r="U16" s="223">
        <v>0.3654</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40651</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175"/>
      <c r="B22" s="177"/>
      <c r="C22" s="189"/>
      <c r="D22" s="189" t="s">
        <v>180</v>
      </c>
      <c r="E22" s="189"/>
      <c r="F22" s="189" t="s">
        <v>181</v>
      </c>
      <c r="G22" s="189"/>
      <c r="H22" s="189" t="s">
        <v>182</v>
      </c>
      <c r="I22" s="189"/>
      <c r="J22" s="189" t="s">
        <v>223</v>
      </c>
      <c r="K22" s="189"/>
      <c r="L22" s="189" t="s">
        <v>183</v>
      </c>
      <c r="M22" s="189"/>
      <c r="N22" s="189" t="s">
        <v>184</v>
      </c>
      <c r="O22" s="189"/>
      <c r="P22" s="189" t="s">
        <v>224</v>
      </c>
      <c r="Q22" s="189"/>
      <c r="R22" s="189" t="s">
        <v>185</v>
      </c>
      <c r="S22" s="190"/>
      <c r="T22" s="191"/>
      <c r="U22" s="187"/>
      <c r="V22" s="187"/>
      <c r="W22" s="177"/>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7" t="s">
        <v>193</v>
      </c>
      <c r="C25" s="278"/>
      <c r="D25" s="273" t="s">
        <v>218</v>
      </c>
      <c r="E25" s="273"/>
      <c r="F25" s="273" t="s">
        <v>146</v>
      </c>
      <c r="G25" s="273"/>
      <c r="H25" s="273" t="s">
        <v>146</v>
      </c>
      <c r="I25" s="273"/>
      <c r="J25" s="273" t="s">
        <v>146</v>
      </c>
      <c r="K25" s="273"/>
      <c r="L25" s="273" t="s">
        <v>168</v>
      </c>
      <c r="M25" s="273"/>
      <c r="N25" s="273" t="s">
        <v>168</v>
      </c>
      <c r="O25" s="273"/>
      <c r="P25" s="273" t="s">
        <v>147</v>
      </c>
      <c r="Q25" s="273"/>
      <c r="R25" s="273" t="s">
        <v>147</v>
      </c>
      <c r="S25" s="278"/>
      <c r="T25" s="273"/>
      <c r="U25" s="274"/>
      <c r="V25" s="274"/>
      <c r="W25" s="275"/>
      <c r="X25" s="5"/>
    </row>
    <row r="26" spans="1:24" ht="15.6" x14ac:dyDescent="0.3">
      <c r="A26" s="276"/>
      <c r="B26" s="279" t="s">
        <v>9</v>
      </c>
      <c r="C26" s="278"/>
      <c r="D26" s="278" t="s">
        <v>216</v>
      </c>
      <c r="E26" s="278"/>
      <c r="F26" s="278" t="s">
        <v>144</v>
      </c>
      <c r="G26" s="278"/>
      <c r="H26" s="278" t="s">
        <v>144</v>
      </c>
      <c r="I26" s="278"/>
      <c r="J26" s="278" t="s">
        <v>144</v>
      </c>
      <c r="K26" s="278"/>
      <c r="L26" s="278" t="s">
        <v>186</v>
      </c>
      <c r="M26" s="278"/>
      <c r="N26" s="278" t="s">
        <v>186</v>
      </c>
      <c r="O26" s="278"/>
      <c r="P26" s="278" t="s">
        <v>145</v>
      </c>
      <c r="Q26" s="278"/>
      <c r="R26" s="278" t="s">
        <v>145</v>
      </c>
      <c r="S26" s="278"/>
      <c r="T26" s="273"/>
      <c r="U26" s="274"/>
      <c r="V26" s="274"/>
      <c r="W26" s="275"/>
      <c r="X26" s="5"/>
    </row>
    <row r="27" spans="1:24" ht="15.6" x14ac:dyDescent="0.3">
      <c r="A27" s="271"/>
      <c r="B27" s="279" t="s">
        <v>194</v>
      </c>
      <c r="C27" s="273"/>
      <c r="D27" s="278" t="s">
        <v>217</v>
      </c>
      <c r="E27" s="278"/>
      <c r="F27" s="278" t="s">
        <v>146</v>
      </c>
      <c r="G27" s="278"/>
      <c r="H27" s="278" t="s">
        <v>146</v>
      </c>
      <c r="I27" s="278"/>
      <c r="J27" s="278" t="s">
        <v>146</v>
      </c>
      <c r="K27" s="278"/>
      <c r="L27" s="278" t="s">
        <v>168</v>
      </c>
      <c r="M27" s="278"/>
      <c r="N27" s="278" t="s">
        <v>168</v>
      </c>
      <c r="O27" s="278"/>
      <c r="P27" s="278" t="s">
        <v>147</v>
      </c>
      <c r="Q27" s="278"/>
      <c r="R27" s="278" t="s">
        <v>147</v>
      </c>
      <c r="S27" s="273"/>
      <c r="T27" s="280"/>
      <c r="U27" s="274"/>
      <c r="V27" s="274"/>
      <c r="W27" s="275"/>
      <c r="X27" s="5"/>
    </row>
    <row r="28" spans="1:24" ht="15.6" x14ac:dyDescent="0.3">
      <c r="A28" s="271"/>
      <c r="B28" s="281" t="s">
        <v>195</v>
      </c>
      <c r="C28" s="273"/>
      <c r="D28" s="278" t="s">
        <v>218</v>
      </c>
      <c r="E28" s="278"/>
      <c r="F28" s="278" t="s">
        <v>146</v>
      </c>
      <c r="G28" s="278"/>
      <c r="H28" s="278" t="s">
        <v>146</v>
      </c>
      <c r="I28" s="278"/>
      <c r="J28" s="278" t="s">
        <v>146</v>
      </c>
      <c r="K28" s="278"/>
      <c r="L28" s="278" t="s">
        <v>168</v>
      </c>
      <c r="M28" s="278"/>
      <c r="N28" s="278" t="s">
        <v>168</v>
      </c>
      <c r="O28" s="278"/>
      <c r="P28" s="278" t="s">
        <v>147</v>
      </c>
      <c r="Q28" s="278"/>
      <c r="R28" s="278"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968861.70000000007</v>
      </c>
      <c r="E32" s="282"/>
      <c r="F32" s="283">
        <f>F31*F38</f>
        <v>80738.599999999991</v>
      </c>
      <c r="G32" s="283"/>
      <c r="H32" s="288">
        <f>H31*H38</f>
        <v>203461.272</v>
      </c>
      <c r="I32" s="288"/>
      <c r="J32" s="287">
        <f>J31*J38</f>
        <v>226067.73</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963088.95</v>
      </c>
      <c r="E33" s="286"/>
      <c r="F33" s="289">
        <f>F37*F31</f>
        <v>80257.55</v>
      </c>
      <c r="G33" s="289"/>
      <c r="H33" s="292">
        <f>H31*H37</f>
        <v>202249.02599999998</v>
      </c>
      <c r="I33" s="292"/>
      <c r="J33" s="291">
        <f>J37*J31</f>
        <v>224720.755</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93">
        <f>SUM(C34:R34)</f>
        <v>1500190</v>
      </c>
      <c r="W34" s="285"/>
      <c r="X34" s="5"/>
    </row>
    <row r="35" spans="1:24" ht="15.6" x14ac:dyDescent="0.3">
      <c r="A35" s="276"/>
      <c r="B35" s="272" t="s">
        <v>299</v>
      </c>
      <c r="C35" s="294"/>
      <c r="D35" s="283">
        <f>D34*D38</f>
        <v>515351.74820160004</v>
      </c>
      <c r="E35" s="282"/>
      <c r="F35" s="283">
        <f>F34*F38</f>
        <v>80738.599999999991</v>
      </c>
      <c r="G35" s="283"/>
      <c r="H35" s="283">
        <f>H34*H38</f>
        <v>136550.93349919998</v>
      </c>
      <c r="I35" s="283"/>
      <c r="J35" s="283">
        <f>J34*J38</f>
        <v>120248.65512600001</v>
      </c>
      <c r="K35" s="283"/>
      <c r="L35" s="283">
        <f>L34*L38</f>
        <v>56000</v>
      </c>
      <c r="M35" s="283"/>
      <c r="N35" s="283">
        <f>N34*N38</f>
        <v>56376</v>
      </c>
      <c r="O35" s="283"/>
      <c r="P35" s="283">
        <f>P34*P38</f>
        <v>13000</v>
      </c>
      <c r="Q35" s="283"/>
      <c r="R35" s="283">
        <f>R34*R38</f>
        <v>54363</v>
      </c>
      <c r="S35" s="283"/>
      <c r="T35" s="283"/>
      <c r="U35" s="284"/>
      <c r="V35" s="293">
        <f>SUM(C35:R35)</f>
        <v>1032628.9368268</v>
      </c>
      <c r="W35" s="285"/>
      <c r="X35" s="5"/>
    </row>
    <row r="36" spans="1:24" ht="15.6" x14ac:dyDescent="0.3">
      <c r="A36" s="276"/>
      <c r="B36" s="279" t="s">
        <v>304</v>
      </c>
      <c r="C36" s="294"/>
      <c r="D36" s="289">
        <f>D34*D37</f>
        <v>512281.13780959998</v>
      </c>
      <c r="E36" s="286"/>
      <c r="F36" s="289">
        <f>F34*F37</f>
        <v>80257.55</v>
      </c>
      <c r="G36" s="289"/>
      <c r="H36" s="289">
        <f>H34*H37</f>
        <v>135737.34710359998</v>
      </c>
      <c r="I36" s="289"/>
      <c r="J36" s="289">
        <f>J34*J37</f>
        <v>119532.179881</v>
      </c>
      <c r="K36" s="289"/>
      <c r="L36" s="289">
        <v>56000</v>
      </c>
      <c r="M36" s="289"/>
      <c r="N36" s="289">
        <v>56376</v>
      </c>
      <c r="O36" s="289"/>
      <c r="P36" s="289">
        <v>13000</v>
      </c>
      <c r="Q36" s="289"/>
      <c r="R36" s="289">
        <v>54363</v>
      </c>
      <c r="S36" s="295"/>
      <c r="T36" s="295"/>
      <c r="U36" s="284"/>
      <c r="V36" s="296">
        <f>SUM(C36:R36)</f>
        <v>1027547.2147941999</v>
      </c>
      <c r="W36" s="285"/>
      <c r="X36" s="5"/>
    </row>
    <row r="37" spans="1:24" ht="15.6" x14ac:dyDescent="0.3">
      <c r="A37" s="271"/>
      <c r="B37" s="297" t="s">
        <v>133</v>
      </c>
      <c r="C37" s="298"/>
      <c r="D37" s="299">
        <v>0.6420593</v>
      </c>
      <c r="E37" s="300"/>
      <c r="F37" s="299">
        <v>0.64206039999999998</v>
      </c>
      <c r="G37" s="301"/>
      <c r="H37" s="299">
        <v>0.64206039999999998</v>
      </c>
      <c r="I37" s="301"/>
      <c r="J37" s="299">
        <v>0.6420593</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0.64590780000000003</v>
      </c>
      <c r="E38" s="300"/>
      <c r="F38" s="299">
        <v>0.64590879999999995</v>
      </c>
      <c r="G38" s="301"/>
      <c r="H38" s="299">
        <v>0.64590879999999995</v>
      </c>
      <c r="I38" s="301"/>
      <c r="J38" s="299">
        <v>0.64590780000000003</v>
      </c>
      <c r="K38" s="301"/>
      <c r="L38" s="301">
        <v>1</v>
      </c>
      <c r="M38" s="301"/>
      <c r="N38" s="301">
        <v>1</v>
      </c>
      <c r="O38" s="301"/>
      <c r="P38" s="301">
        <v>1</v>
      </c>
      <c r="Q38" s="301"/>
      <c r="R38" s="301">
        <v>1</v>
      </c>
      <c r="S38" s="305"/>
      <c r="T38" s="306"/>
      <c r="U38" s="303"/>
      <c r="V38" s="305"/>
      <c r="W38" s="304"/>
      <c r="X38" s="5"/>
    </row>
    <row r="39" spans="1:24" ht="15.6" x14ac:dyDescent="0.3">
      <c r="A39" s="271"/>
      <c r="B39" s="272" t="s">
        <v>11</v>
      </c>
      <c r="C39" s="272"/>
      <c r="D39" s="280" t="s">
        <v>225</v>
      </c>
      <c r="E39" s="272"/>
      <c r="F39" s="280" t="s">
        <v>225</v>
      </c>
      <c r="G39" s="280"/>
      <c r="H39" s="280" t="s">
        <v>225</v>
      </c>
      <c r="I39" s="280"/>
      <c r="J39" s="280" t="s">
        <v>251</v>
      </c>
      <c r="K39" s="280"/>
      <c r="L39" s="280" t="s">
        <v>252</v>
      </c>
      <c r="M39" s="280"/>
      <c r="N39" s="280" t="s">
        <v>253</v>
      </c>
      <c r="O39" s="280"/>
      <c r="P39" s="280" t="s">
        <v>254</v>
      </c>
      <c r="Q39" s="280"/>
      <c r="R39" s="280" t="s">
        <v>255</v>
      </c>
      <c r="S39" s="307"/>
      <c r="T39" s="308"/>
      <c r="U39" s="274"/>
      <c r="V39" s="274"/>
      <c r="W39" s="275"/>
      <c r="X39" s="5"/>
    </row>
    <row r="40" spans="1:24" ht="15.6" x14ac:dyDescent="0.3">
      <c r="A40" s="271"/>
      <c r="B40" s="272" t="s">
        <v>12</v>
      </c>
      <c r="C40" s="272"/>
      <c r="D40" s="308">
        <v>3.7499999999999999E-3</v>
      </c>
      <c r="E40" s="272"/>
      <c r="F40" s="308">
        <v>8.8999999999999999E-3</v>
      </c>
      <c r="G40" s="307"/>
      <c r="H40" s="308">
        <v>1.1259999999999999E-2</v>
      </c>
      <c r="I40" s="308"/>
      <c r="J40" s="308">
        <v>3.9313000000000004E-3</v>
      </c>
      <c r="K40" s="307"/>
      <c r="L40" s="308">
        <v>9.7000000000000003E-3</v>
      </c>
      <c r="M40" s="307"/>
      <c r="N40" s="308">
        <v>1.196E-2</v>
      </c>
      <c r="O40" s="307"/>
      <c r="P40" s="308">
        <v>1.17E-2</v>
      </c>
      <c r="Q40" s="307"/>
      <c r="R40" s="308">
        <v>1.396E-2</v>
      </c>
      <c r="S40" s="307"/>
      <c r="T40" s="308"/>
      <c r="U40" s="274"/>
      <c r="V40" s="280"/>
      <c r="W40" s="275"/>
      <c r="X40" s="5"/>
    </row>
    <row r="41" spans="1:24" ht="15.6" x14ac:dyDescent="0.3">
      <c r="A41" s="271"/>
      <c r="B41" s="272" t="s">
        <v>13</v>
      </c>
      <c r="C41" s="272"/>
      <c r="D41" s="308">
        <v>3.8030999999999998E-3</v>
      </c>
      <c r="E41" s="272"/>
      <c r="F41" s="308">
        <v>8.5974999999999992E-3</v>
      </c>
      <c r="G41" s="307"/>
      <c r="H41" s="308">
        <v>1.1050000000000001E-2</v>
      </c>
      <c r="I41" s="308"/>
      <c r="J41" s="308">
        <v>3.7905999999999999E-3</v>
      </c>
      <c r="K41" s="307"/>
      <c r="L41" s="308">
        <v>9.3974999999999996E-3</v>
      </c>
      <c r="M41" s="307"/>
      <c r="N41" s="308">
        <v>1.175E-2</v>
      </c>
      <c r="O41" s="307"/>
      <c r="P41" s="308">
        <v>1.13975E-2</v>
      </c>
      <c r="Q41" s="307"/>
      <c r="R41" s="308">
        <v>1.375E-2</v>
      </c>
      <c r="S41" s="307"/>
      <c r="T41" s="308"/>
      <c r="U41" s="274"/>
      <c r="V41" s="307" t="s">
        <v>196</v>
      </c>
      <c r="W41" s="275"/>
      <c r="X41" s="5"/>
    </row>
    <row r="42" spans="1:24" ht="15.6" x14ac:dyDescent="0.3">
      <c r="A42" s="271"/>
      <c r="B42" s="272" t="s">
        <v>300</v>
      </c>
      <c r="C42" s="272"/>
      <c r="D42" s="280" t="s">
        <v>292</v>
      </c>
      <c r="E42" s="272"/>
      <c r="F42" s="280" t="s">
        <v>225</v>
      </c>
      <c r="G42" s="280"/>
      <c r="H42" s="280" t="s">
        <v>263</v>
      </c>
      <c r="I42" s="280"/>
      <c r="J42" s="280" t="s">
        <v>262</v>
      </c>
      <c r="K42" s="280"/>
      <c r="L42" s="280" t="s">
        <v>252</v>
      </c>
      <c r="M42" s="280"/>
      <c r="N42" s="280" t="s">
        <v>264</v>
      </c>
      <c r="O42" s="280"/>
      <c r="P42" s="280" t="s">
        <v>254</v>
      </c>
      <c r="Q42" s="280"/>
      <c r="R42" s="280" t="s">
        <v>260</v>
      </c>
      <c r="S42" s="307"/>
      <c r="T42" s="308"/>
      <c r="U42" s="274"/>
      <c r="V42" s="274"/>
      <c r="W42" s="275"/>
      <c r="X42" s="5"/>
    </row>
    <row r="43" spans="1:24" ht="15.6" x14ac:dyDescent="0.3">
      <c r="A43" s="271"/>
      <c r="B43" s="272" t="s">
        <v>301</v>
      </c>
      <c r="C43" s="309"/>
      <c r="D43" s="308">
        <v>9.2391999999999995E-3</v>
      </c>
      <c r="E43" s="308"/>
      <c r="F43" s="308">
        <f>+F40</f>
        <v>8.8999999999999999E-3</v>
      </c>
      <c r="G43" s="308"/>
      <c r="H43" s="308">
        <v>9.0220000000000005E-3</v>
      </c>
      <c r="I43" s="308"/>
      <c r="J43" s="308">
        <v>8.94E-3</v>
      </c>
      <c r="K43" s="308"/>
      <c r="L43" s="308">
        <f>+L40</f>
        <v>9.7000000000000003E-3</v>
      </c>
      <c r="M43" s="308"/>
      <c r="N43" s="308">
        <v>9.7900000000000001E-3</v>
      </c>
      <c r="O43" s="308"/>
      <c r="P43" s="308">
        <f>+P40</f>
        <v>1.17E-2</v>
      </c>
      <c r="Q43" s="307"/>
      <c r="R43" s="308">
        <v>1.1900000000000001E-2</v>
      </c>
      <c r="S43" s="280"/>
      <c r="T43" s="280"/>
      <c r="U43" s="274"/>
      <c r="V43" s="307">
        <f>SUMPRODUCT(D43:R43,D35:R35)/V35</f>
        <v>9.3752337413572154E-3</v>
      </c>
      <c r="W43" s="275"/>
      <c r="X43" s="5"/>
    </row>
    <row r="44" spans="1:24" ht="15.6" x14ac:dyDescent="0.3">
      <c r="A44" s="271"/>
      <c r="B44" s="272" t="s">
        <v>302</v>
      </c>
      <c r="C44" s="309"/>
      <c r="D44" s="308">
        <v>8.9367000000000005E-3</v>
      </c>
      <c r="E44" s="308"/>
      <c r="F44" s="308">
        <f>+F41</f>
        <v>8.5974999999999992E-3</v>
      </c>
      <c r="G44" s="308"/>
      <c r="H44" s="308">
        <v>8.7194999999999998E-3</v>
      </c>
      <c r="I44" s="308"/>
      <c r="J44" s="308">
        <v>8.6374999999999993E-3</v>
      </c>
      <c r="K44" s="308"/>
      <c r="L44" s="308">
        <f>+L41</f>
        <v>9.3974999999999996E-3</v>
      </c>
      <c r="M44" s="308"/>
      <c r="N44" s="308">
        <v>9.4874999999999994E-3</v>
      </c>
      <c r="O44" s="308"/>
      <c r="P44" s="308">
        <f>+P41</f>
        <v>1.13975E-2</v>
      </c>
      <c r="Q44" s="307"/>
      <c r="R44" s="308">
        <v>1.15975E-2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t="s">
        <v>121</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310" t="s">
        <v>121</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203</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0.21200431520191215</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40648</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95</v>
      </c>
      <c r="S57" s="318"/>
      <c r="T57" s="319">
        <v>40466</v>
      </c>
      <c r="U57" s="320"/>
      <c r="V57" s="319">
        <v>40560</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87</v>
      </c>
      <c r="S58" s="272"/>
      <c r="T58" s="319">
        <v>40561</v>
      </c>
      <c r="U58" s="320"/>
      <c r="V58" s="319">
        <v>40647</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40634</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312</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1032629</v>
      </c>
      <c r="O68" s="324"/>
      <c r="P68" s="324">
        <f>5082+151+899</f>
        <v>6132</v>
      </c>
      <c r="Q68" s="324"/>
      <c r="R68" s="324">
        <f>151+899</f>
        <v>1050</v>
      </c>
      <c r="S68" s="324"/>
      <c r="T68" s="324">
        <v>0</v>
      </c>
      <c r="U68" s="324"/>
      <c r="V68" s="325">
        <f>+N68-P68+R68-T68</f>
        <v>1027547</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1032629</v>
      </c>
      <c r="O71" s="324"/>
      <c r="P71" s="324">
        <f>SUM(P68:P70)</f>
        <v>6132</v>
      </c>
      <c r="Q71" s="324"/>
      <c r="R71" s="324">
        <f>SUM(R68:R70)</f>
        <v>1050</v>
      </c>
      <c r="S71" s="324"/>
      <c r="T71" s="324">
        <f>SUM(T68:T70)</f>
        <v>0</v>
      </c>
      <c r="U71" s="324"/>
      <c r="V71" s="324">
        <f>SUM(V68:V70)</f>
        <v>1027547</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1032629</v>
      </c>
      <c r="O84" s="328"/>
      <c r="P84" s="328"/>
      <c r="Q84" s="328"/>
      <c r="R84" s="328"/>
      <c r="S84" s="328"/>
      <c r="T84" s="328"/>
      <c r="U84" s="328"/>
      <c r="V84" s="328">
        <f>SUM(V71:V83)</f>
        <v>1027547</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+T198</f>
        <v>40633</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6132-314</f>
        <v>5818</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4424+3176-446-1216+151</f>
        <v>6089</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54+52</f>
        <v>106</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56</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0</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5818</v>
      </c>
      <c r="U96" s="272"/>
      <c r="V96" s="324">
        <f>SUM(V88:V95)</f>
        <v>6251</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-531</v>
      </c>
      <c r="U97" s="272"/>
      <c r="V97" s="324">
        <v>531</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68</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5287</v>
      </c>
      <c r="U100" s="272"/>
      <c r="V100" s="324">
        <f>V96+V98+V97+V99</f>
        <v>6850</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231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272" t="s">
        <v>207</v>
      </c>
      <c r="C104" s="272"/>
      <c r="D104" s="272"/>
      <c r="E104" s="272"/>
      <c r="F104" s="272"/>
      <c r="G104" s="272"/>
      <c r="H104" s="272"/>
      <c r="I104" s="272"/>
      <c r="J104" s="272"/>
      <c r="K104" s="272"/>
      <c r="L104" s="272"/>
      <c r="M104" s="272"/>
      <c r="N104" s="272"/>
      <c r="O104" s="272"/>
      <c r="P104" s="272"/>
      <c r="Q104" s="272"/>
      <c r="R104" s="272"/>
      <c r="S104" s="272"/>
      <c r="T104" s="272"/>
      <c r="U104" s="272"/>
      <c r="V104" s="325">
        <f>-384-373-12</f>
        <v>-769</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-118</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-1856+171</f>
        <v>-1685</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-171</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-2</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-132</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-129</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-154</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-36</v>
      </c>
      <c r="W112" s="275"/>
      <c r="X112" s="5"/>
      <c r="Y112" s="109"/>
    </row>
    <row r="113" spans="1:24" ht="15.6" x14ac:dyDescent="0.3">
      <c r="A113" s="338">
        <v>7</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-10</v>
      </c>
      <c r="W113" s="275"/>
      <c r="X113" s="5"/>
    </row>
    <row r="114" spans="1:24" ht="15.6" x14ac:dyDescent="0.3">
      <c r="A114" s="338">
        <f t="shared" ref="A114:A120" si="0">+A113+1</f>
        <v>8</v>
      </c>
      <c r="B114" s="272" t="s">
        <v>45</v>
      </c>
      <c r="C114" s="272"/>
      <c r="D114" s="272"/>
      <c r="E114" s="272"/>
      <c r="F114" s="272"/>
      <c r="G114" s="272"/>
      <c r="H114" s="272"/>
      <c r="I114" s="272"/>
      <c r="J114" s="272"/>
      <c r="K114" s="272"/>
      <c r="L114" s="272"/>
      <c r="M114" s="272"/>
      <c r="N114" s="272"/>
      <c r="O114" s="272"/>
      <c r="P114" s="272"/>
      <c r="Q114" s="272"/>
      <c r="R114" s="272"/>
      <c r="S114" s="272"/>
      <c r="T114" s="324">
        <f>-V114</f>
        <v>314</v>
      </c>
      <c r="U114" s="272"/>
      <c r="V114" s="325">
        <v>-314</v>
      </c>
      <c r="W114" s="275"/>
      <c r="X114" s="5"/>
    </row>
    <row r="115" spans="1:24" ht="15.6" x14ac:dyDescent="0.3">
      <c r="A115" s="338">
        <f t="shared" si="0"/>
        <v>9</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10</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11</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12</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13</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-384</v>
      </c>
      <c r="W119" s="275"/>
      <c r="X119" s="5"/>
    </row>
    <row r="120" spans="1:24" ht="15.6" x14ac:dyDescent="0.3">
      <c r="A120" s="338">
        <f t="shared" si="0"/>
        <v>14</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-V100-SUM(V102:V119)</f>
        <v>-2944</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0</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-368</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-151</v>
      </c>
      <c r="U124" s="324"/>
      <c r="V124" s="325"/>
      <c r="W124" s="275"/>
      <c r="X124" s="5"/>
    </row>
    <row r="125" spans="1:24" ht="15.6" x14ac:dyDescent="0.3">
      <c r="A125" s="338"/>
      <c r="B125" s="272" t="s">
        <v>200</v>
      </c>
      <c r="C125" s="272"/>
      <c r="D125" s="272"/>
      <c r="E125" s="272"/>
      <c r="F125" s="272"/>
      <c r="G125" s="272"/>
      <c r="H125" s="272"/>
      <c r="I125" s="272"/>
      <c r="J125" s="272"/>
      <c r="K125" s="272"/>
      <c r="L125" s="272"/>
      <c r="M125" s="272"/>
      <c r="N125" s="272"/>
      <c r="O125" s="272"/>
      <c r="P125" s="272"/>
      <c r="Q125" s="272"/>
      <c r="R125" s="272"/>
      <c r="S125" s="272"/>
      <c r="T125" s="324">
        <v>-3071</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-481</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-814</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-716</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-5601</v>
      </c>
      <c r="U133" s="324"/>
      <c r="V133" s="324">
        <f>SUM(V101:V130)</f>
        <v>-6850</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T100+T133+T114</f>
        <v>0</v>
      </c>
      <c r="U134" s="324"/>
      <c r="V134" s="324">
        <f>V100+V133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B64</f>
        <v>PM13 INVESTOR REPORT QUARTER ENDING MARCH 2011</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272</v>
      </c>
      <c r="C155" s="272"/>
      <c r="D155" s="272"/>
      <c r="E155" s="272"/>
      <c r="F155" s="272"/>
      <c r="G155" s="272"/>
      <c r="H155" s="272"/>
      <c r="I155" s="272"/>
      <c r="J155" s="272"/>
      <c r="K155" s="272"/>
      <c r="L155" s="272"/>
      <c r="M155" s="272"/>
      <c r="N155" s="272"/>
      <c r="O155" s="272"/>
      <c r="P155" s="272"/>
      <c r="Q155" s="272"/>
      <c r="R155" s="272"/>
      <c r="S155" s="272"/>
      <c r="T155" s="272"/>
      <c r="U155" s="272"/>
      <c r="V155" s="325">
        <v>6000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314</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314</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-314</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v>0</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V71</f>
        <v>1027547</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V84</f>
        <v>1027547</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+'Dec 10'!S183</f>
        <v>44780</v>
      </c>
      <c r="T181" s="325">
        <f>+'Dec 10'!T183</f>
        <v>8516</v>
      </c>
      <c r="U181" s="272"/>
      <c r="V181" s="325">
        <f>S181+T181</f>
        <v>53296</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v>151</v>
      </c>
      <c r="T182" s="324">
        <v>0</v>
      </c>
      <c r="U182" s="272"/>
      <c r="V182" s="325">
        <f>S182+T182</f>
        <v>151</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44931</v>
      </c>
      <c r="T183" s="325">
        <f>T182+T181</f>
        <v>8516</v>
      </c>
      <c r="U183" s="272"/>
      <c r="V183" s="325">
        <f>S183+T183</f>
        <v>53447</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186583.4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(V100+V102+V103+V104+V105)/-(V106+V107)</f>
        <v>3.2117456896551726</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1.53</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(V100+V102+V103+V104+V105+V106+V107)/-(V109+V110)</f>
        <v>15.727969348659004</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5.27</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(V100+V102+V103+V104+V105+V106+V107+V109+V110)/-(V111+V112)</f>
        <v>20.231578947368423</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6.72</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MARCH 2011</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40633</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2.5219999999999999E-2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9.3752337413572154E-3</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1.5844766258642784E-2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+V100/N71</f>
        <v>6.6335537739110563E-3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16.59</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P68/N68</f>
        <v>5.9382411301638826E-3</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9.3899999999999997E-2</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1</v>
      </c>
      <c r="T216" s="357">
        <v>264</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179</v>
      </c>
      <c r="T217" s="357">
        <f>+T269</f>
        <v>27607</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v>0</v>
      </c>
      <c r="T218" s="357">
        <v>0</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+N81</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7" t="s">
        <v>84</v>
      </c>
      <c r="C222" s="277"/>
      <c r="D222" s="277"/>
      <c r="E222" s="277"/>
      <c r="F222" s="277"/>
      <c r="G222" s="277"/>
      <c r="H222" s="277"/>
      <c r="I222" s="277"/>
      <c r="J222" s="277"/>
      <c r="K222" s="277"/>
      <c r="L222" s="277"/>
      <c r="M222" s="277"/>
      <c r="N222" s="277"/>
      <c r="O222" s="277"/>
      <c r="P222" s="277"/>
      <c r="Q222" s="277"/>
      <c r="R222" s="277"/>
      <c r="S222" s="310"/>
      <c r="T222" s="368">
        <f>V166</f>
        <v>314</v>
      </c>
      <c r="U222" s="277"/>
      <c r="V222" s="362"/>
      <c r="W222" s="367"/>
      <c r="X222" s="5"/>
    </row>
    <row r="223" spans="1:24" ht="15.6" x14ac:dyDescent="0.3">
      <c r="A223" s="356"/>
      <c r="B223" s="277" t="s">
        <v>85</v>
      </c>
      <c r="C223" s="369"/>
      <c r="D223" s="369"/>
      <c r="E223" s="369"/>
      <c r="F223" s="369"/>
      <c r="G223" s="277"/>
      <c r="H223" s="277"/>
      <c r="I223" s="277"/>
      <c r="J223" s="277"/>
      <c r="K223" s="277"/>
      <c r="L223" s="277"/>
      <c r="M223" s="277"/>
      <c r="N223" s="277"/>
      <c r="O223" s="277"/>
      <c r="P223" s="277"/>
      <c r="Q223" s="277"/>
      <c r="R223" s="277"/>
      <c r="S223" s="310"/>
      <c r="T223" s="368">
        <f>'Dec 10'!T223+T222</f>
        <v>2809</v>
      </c>
      <c r="U223" s="277"/>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9</v>
      </c>
      <c r="T229" s="357">
        <v>1269</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10.35</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 t="shared" ref="R236:R243" si="1">+R248+R260+R272</f>
        <v>7969</v>
      </c>
      <c r="S236" s="381">
        <f t="shared" ref="S236:S243" si="2">R236/$R$245</f>
        <v>0.9874845105328377</v>
      </c>
      <c r="T236" s="325">
        <f t="shared" ref="T236:T243" si="3">+T248+T260+T272</f>
        <v>1010914</v>
      </c>
      <c r="U236" s="381">
        <f t="shared" ref="U236:U243" si="4">T236/$T$245</f>
        <v>0.98381290588167747</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si="1"/>
        <v>36</v>
      </c>
      <c r="S237" s="381">
        <f t="shared" si="2"/>
        <v>4.4609665427509295E-3</v>
      </c>
      <c r="T237" s="325">
        <f t="shared" si="3"/>
        <v>6860</v>
      </c>
      <c r="U237" s="381">
        <f t="shared" si="4"/>
        <v>6.6760936482710767E-3</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2</v>
      </c>
      <c r="S238" s="381">
        <f t="shared" si="2"/>
        <v>2.4783147459727387E-4</v>
      </c>
      <c r="T238" s="325">
        <f t="shared" si="3"/>
        <v>578</v>
      </c>
      <c r="U238" s="381">
        <f t="shared" si="4"/>
        <v>5.625046834840645E-4</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6</v>
      </c>
      <c r="S239" s="381">
        <f t="shared" si="2"/>
        <v>7.4349442379182155E-4</v>
      </c>
      <c r="T239" s="325">
        <f t="shared" si="3"/>
        <v>1087</v>
      </c>
      <c r="U239" s="381">
        <f t="shared" si="4"/>
        <v>1.0578591538878514E-3</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3</v>
      </c>
      <c r="S240" s="381">
        <f t="shared" si="2"/>
        <v>3.7174721189591077E-4</v>
      </c>
      <c r="T240" s="325">
        <f t="shared" si="3"/>
        <v>557</v>
      </c>
      <c r="U240" s="381">
        <f t="shared" si="4"/>
        <v>5.4206766211180606E-4</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3</v>
      </c>
      <c r="S241" s="381">
        <f t="shared" si="2"/>
        <v>3.7174721189591077E-4</v>
      </c>
      <c r="T241" s="325">
        <f t="shared" si="3"/>
        <v>357</v>
      </c>
      <c r="U241" s="381">
        <f t="shared" si="4"/>
        <v>3.4742936332839277E-4</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12</v>
      </c>
      <c r="S242" s="381">
        <f t="shared" si="2"/>
        <v>1.4869888475836431E-3</v>
      </c>
      <c r="T242" s="325">
        <f t="shared" si="3"/>
        <v>2016</v>
      </c>
      <c r="U242" s="381">
        <f t="shared" si="4"/>
        <v>1.9619540517368064E-3</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39</v>
      </c>
      <c r="S243" s="381">
        <f t="shared" si="2"/>
        <v>4.8327137546468404E-3</v>
      </c>
      <c r="T243" s="325">
        <f t="shared" si="3"/>
        <v>5178</v>
      </c>
      <c r="U243" s="381">
        <f t="shared" si="4"/>
        <v>5.0391855555025709E-3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8070</v>
      </c>
      <c r="S245" s="381">
        <f>SUM(S236:S244)</f>
        <v>1.0000000000000002</v>
      </c>
      <c r="T245" s="325">
        <f>SUM(T236:T244)</f>
        <v>1027547</v>
      </c>
      <c r="U245" s="381">
        <f>SUM(U236:U244)</f>
        <v>1.0000000000000002</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7856</v>
      </c>
      <c r="S248" s="261">
        <f t="shared" ref="S248:S255" si="5">R248/$R$257</f>
        <v>0.99556456722848818</v>
      </c>
      <c r="T248" s="238">
        <v>992581</v>
      </c>
      <c r="U248" s="261">
        <f t="shared" ref="U248:U255" si="6">T248/$T$257</f>
        <v>0.99264055843350596</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27</v>
      </c>
      <c r="S249" s="381">
        <f t="shared" si="5"/>
        <v>3.4216195665948551E-3</v>
      </c>
      <c r="T249" s="325">
        <v>5831</v>
      </c>
      <c r="U249" s="381">
        <f t="shared" si="6"/>
        <v>5.8313498809928598E-3</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1</v>
      </c>
      <c r="S250" s="381">
        <f t="shared" si="5"/>
        <v>1.2672665061462426E-4</v>
      </c>
      <c r="T250" s="325">
        <v>446</v>
      </c>
      <c r="U250" s="381">
        <f t="shared" si="6"/>
        <v>4.4602676160569634E-4</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1</v>
      </c>
      <c r="S251" s="381">
        <f t="shared" si="5"/>
        <v>1.2672665061462426E-4</v>
      </c>
      <c r="T251" s="325">
        <v>73</v>
      </c>
      <c r="U251" s="381">
        <f t="shared" si="6"/>
        <v>7.3004380262815764E-5</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1</v>
      </c>
      <c r="S252" s="381">
        <f t="shared" si="5"/>
        <v>1.2672665061462426E-4</v>
      </c>
      <c r="T252" s="325">
        <v>199</v>
      </c>
      <c r="U252" s="381">
        <f t="shared" si="6"/>
        <v>1.99011940716443E-4</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1</v>
      </c>
      <c r="S253" s="381">
        <f t="shared" si="5"/>
        <v>1.2672665061462426E-4</v>
      </c>
      <c r="T253" s="325">
        <v>117</v>
      </c>
      <c r="U253" s="381">
        <f t="shared" si="6"/>
        <v>1.1700702042122527E-4</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2</v>
      </c>
      <c r="S254" s="381">
        <f t="shared" si="5"/>
        <v>2.5345330122924852E-4</v>
      </c>
      <c r="T254" s="325">
        <v>448</v>
      </c>
      <c r="U254" s="381">
        <f t="shared" si="6"/>
        <v>4.4802688161289675E-4</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2</v>
      </c>
      <c r="S255" s="381">
        <f t="shared" si="5"/>
        <v>2.5345330122924852E-4</v>
      </c>
      <c r="T255" s="325">
        <v>245</v>
      </c>
      <c r="U255" s="381">
        <f t="shared" si="6"/>
        <v>2.4501470088205291E-4</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7891</v>
      </c>
      <c r="S257" s="381">
        <f>SUM(S248:S256)</f>
        <v>1</v>
      </c>
      <c r="T257" s="325">
        <f>SUM(T248:T256)</f>
        <v>999940</v>
      </c>
      <c r="U257" s="381">
        <f>SUM(U248:U256)</f>
        <v>1</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113</v>
      </c>
      <c r="S260" s="261">
        <f t="shared" ref="S260:S267" si="7">R260/$R$269</f>
        <v>0.63128491620111726</v>
      </c>
      <c r="T260" s="238">
        <v>18333</v>
      </c>
      <c r="U260" s="261">
        <f t="shared" ref="U260:U267" si="8">T260/$T$269</f>
        <v>0.66407070670482127</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9</v>
      </c>
      <c r="S261" s="381">
        <f t="shared" si="7"/>
        <v>5.027932960893855E-2</v>
      </c>
      <c r="T261" s="325">
        <v>1029</v>
      </c>
      <c r="U261" s="381">
        <f t="shared" si="8"/>
        <v>3.727315535914804E-2</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1</v>
      </c>
      <c r="S262" s="381">
        <f t="shared" si="7"/>
        <v>5.5865921787709499E-3</v>
      </c>
      <c r="T262" s="325">
        <v>132</v>
      </c>
      <c r="U262" s="381">
        <f t="shared" si="8"/>
        <v>4.7813960227478542E-3</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5</v>
      </c>
      <c r="S263" s="381">
        <f t="shared" si="7"/>
        <v>2.7932960893854747E-2</v>
      </c>
      <c r="T263" s="325">
        <v>1014</v>
      </c>
      <c r="U263" s="381">
        <f t="shared" si="8"/>
        <v>3.6729814902017606E-2</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2</v>
      </c>
      <c r="S264" s="381">
        <f t="shared" si="7"/>
        <v>1.11731843575419E-2</v>
      </c>
      <c r="T264" s="325">
        <v>358</v>
      </c>
      <c r="U264" s="381">
        <f t="shared" si="8"/>
        <v>1.2967725576846452E-2</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2</v>
      </c>
      <c r="S265" s="381">
        <f t="shared" si="7"/>
        <v>1.11731843575419E-2</v>
      </c>
      <c r="T265" s="325">
        <v>240</v>
      </c>
      <c r="U265" s="381">
        <f t="shared" si="8"/>
        <v>8.6934473140870064E-3</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10</v>
      </c>
      <c r="S266" s="381">
        <f t="shared" si="7"/>
        <v>5.5865921787709494E-2</v>
      </c>
      <c r="T266" s="325">
        <v>1568</v>
      </c>
      <c r="U266" s="381">
        <f t="shared" si="8"/>
        <v>5.6797189118701776E-2</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37</v>
      </c>
      <c r="S267" s="381">
        <f t="shared" si="7"/>
        <v>0.20670391061452514</v>
      </c>
      <c r="T267" s="325">
        <v>4933</v>
      </c>
      <c r="U267" s="381">
        <f t="shared" si="8"/>
        <v>0.17868656500163002</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179</v>
      </c>
      <c r="S269" s="381">
        <f>SUM(S260:S268)</f>
        <v>1</v>
      </c>
      <c r="T269" s="325">
        <f>SUM(T260:T268)</f>
        <v>27607</v>
      </c>
      <c r="U269" s="381">
        <f>SUM(U260:U268)</f>
        <v>1</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v>0</v>
      </c>
      <c r="T272" s="238">
        <v>0</v>
      </c>
      <c r="U272" s="261">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v>0</v>
      </c>
      <c r="T273" s="325">
        <v>0</v>
      </c>
      <c r="U273" s="381">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0</v>
      </c>
      <c r="S281" s="381">
        <f>SUM(S272:S279)</f>
        <v>0</v>
      </c>
      <c r="T281" s="325">
        <f>SUM(T272:T279)</f>
        <v>0</v>
      </c>
      <c r="U281" s="381">
        <f>SUM(U272:U279)</f>
        <v>0</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81" t="s">
        <v>167</v>
      </c>
      <c r="C283" s="272"/>
      <c r="D283" s="272"/>
      <c r="E283" s="272"/>
      <c r="F283" s="272"/>
      <c r="G283" s="272"/>
      <c r="H283" s="383"/>
      <c r="I283" s="383"/>
      <c r="J283" s="383"/>
      <c r="K283" s="383"/>
      <c r="L283" s="383"/>
      <c r="M283" s="383"/>
      <c r="N283" s="383"/>
      <c r="O283" s="383"/>
      <c r="P283" s="383"/>
      <c r="Q283" s="383"/>
      <c r="R283" s="386">
        <f>R281+R269+R257</f>
        <v>8070</v>
      </c>
      <c r="S283" s="381"/>
      <c r="T283" s="387">
        <f>+T281+T269+T257</f>
        <v>1027547</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93</v>
      </c>
      <c r="C287" s="220"/>
      <c r="D287" s="220"/>
      <c r="E287" s="220"/>
      <c r="F287" s="265" t="s">
        <v>151</v>
      </c>
      <c r="G287" s="220"/>
      <c r="H287" s="219" t="s">
        <v>155</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281</v>
      </c>
      <c r="C288" s="219"/>
      <c r="D288" s="219"/>
      <c r="E288" s="219"/>
      <c r="F288" s="265" t="s">
        <v>282</v>
      </c>
      <c r="G288" s="219"/>
      <c r="H288" s="219" t="s">
        <v>283</v>
      </c>
      <c r="I288" s="227"/>
      <c r="J288" s="219"/>
      <c r="K288" s="227"/>
      <c r="L288" s="227"/>
      <c r="M288" s="227"/>
      <c r="N288" s="227"/>
      <c r="O288" s="227"/>
      <c r="P288" s="227"/>
      <c r="Q288" s="227"/>
      <c r="R288" s="227"/>
      <c r="S288" s="227"/>
      <c r="T288" s="227"/>
      <c r="U288" s="227"/>
      <c r="V288" s="227"/>
      <c r="W288" s="227"/>
      <c r="X288" s="5"/>
    </row>
    <row r="289" spans="1:24" ht="15.6" x14ac:dyDescent="0.3">
      <c r="A289" s="216"/>
      <c r="B289" s="219" t="s">
        <v>94</v>
      </c>
      <c r="C289" s="219"/>
      <c r="D289" s="219"/>
      <c r="E289" s="219"/>
      <c r="F289" s="265" t="s">
        <v>150</v>
      </c>
      <c r="G289" s="219"/>
      <c r="H289" s="219" t="s">
        <v>156</v>
      </c>
      <c r="I289" s="219"/>
      <c r="J289" s="219"/>
      <c r="K289" s="227"/>
      <c r="L289" s="227"/>
      <c r="M289" s="227"/>
      <c r="N289" s="227"/>
      <c r="O289" s="227"/>
      <c r="P289" s="227"/>
      <c r="Q289" s="227"/>
      <c r="R289" s="227"/>
      <c r="S289" s="227"/>
      <c r="T289" s="227"/>
      <c r="U289" s="227"/>
      <c r="V289" s="227"/>
      <c r="W289" s="227"/>
      <c r="X289" s="5"/>
    </row>
    <row r="290" spans="1:24" ht="15.6" x14ac:dyDescent="0.3">
      <c r="A290" s="216"/>
      <c r="B290" s="219"/>
      <c r="C290" s="219"/>
      <c r="D290" s="219"/>
      <c r="E290" s="219"/>
      <c r="F290" s="219"/>
      <c r="G290" s="266"/>
      <c r="H290" s="227"/>
      <c r="I290" s="227"/>
      <c r="J290" s="227"/>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8" thickBot="1" x14ac:dyDescent="0.35">
      <c r="A292" s="216"/>
      <c r="B292" s="267" t="str">
        <f>B197</f>
        <v>PM13 INVESTOR REPORT QUARTER ENDING MARCH 2011</v>
      </c>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x14ac:dyDescent="0.25">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row>
  </sheetData>
  <phoneticPr fontId="0" type="noConversion"/>
  <hyperlinks>
    <hyperlink ref="P233" r:id="rId1" xr:uid="{00000000-0004-0000-1100-000000000000}"/>
    <hyperlink ref="I9" r:id="rId2" xr:uid="{00000000-0004-0000-1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7" max="14" man="1"/>
    <brk id="197" max="14"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9CB31"/>
  </sheetPr>
  <dimension ref="A1:Z293"/>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0.63429999999999997</v>
      </c>
      <c r="T16" s="224" t="s">
        <v>143</v>
      </c>
      <c r="U16" s="223">
        <v>0.36570000000000003</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40742</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175"/>
      <c r="B22" s="177"/>
      <c r="C22" s="189"/>
      <c r="D22" s="189" t="s">
        <v>180</v>
      </c>
      <c r="E22" s="189"/>
      <c r="F22" s="189" t="s">
        <v>181</v>
      </c>
      <c r="G22" s="189"/>
      <c r="H22" s="189" t="s">
        <v>182</v>
      </c>
      <c r="I22" s="189"/>
      <c r="J22" s="189" t="s">
        <v>223</v>
      </c>
      <c r="K22" s="189"/>
      <c r="L22" s="189" t="s">
        <v>183</v>
      </c>
      <c r="M22" s="189"/>
      <c r="N22" s="189" t="s">
        <v>184</v>
      </c>
      <c r="O22" s="189"/>
      <c r="P22" s="189" t="s">
        <v>224</v>
      </c>
      <c r="Q22" s="189"/>
      <c r="R22" s="189" t="s">
        <v>185</v>
      </c>
      <c r="S22" s="190"/>
      <c r="T22" s="191"/>
      <c r="U22" s="187"/>
      <c r="V22" s="187"/>
      <c r="W22" s="177"/>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216</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314</v>
      </c>
      <c r="E27" s="389"/>
      <c r="F27" s="389" t="s">
        <v>315</v>
      </c>
      <c r="G27" s="389"/>
      <c r="H27" s="389" t="s">
        <v>315</v>
      </c>
      <c r="I27" s="389"/>
      <c r="J27" s="389" t="s">
        <v>315</v>
      </c>
      <c r="K27" s="389"/>
      <c r="L27" s="389" t="s">
        <v>168</v>
      </c>
      <c r="M27" s="389"/>
      <c r="N27" s="389" t="s">
        <v>168</v>
      </c>
      <c r="O27" s="389"/>
      <c r="P27" s="389" t="s">
        <v>147</v>
      </c>
      <c r="Q27" s="389"/>
      <c r="R27" s="389" t="s">
        <v>147</v>
      </c>
      <c r="S27" s="273"/>
      <c r="T27" s="280"/>
      <c r="U27" s="274"/>
      <c r="V27" s="274"/>
      <c r="W27" s="275"/>
      <c r="X27" s="5"/>
    </row>
    <row r="28" spans="1:24" ht="15.6" x14ac:dyDescent="0.3">
      <c r="A28" s="271"/>
      <c r="B28" s="279" t="s">
        <v>195</v>
      </c>
      <c r="C28" s="273"/>
      <c r="D28" s="389" t="s">
        <v>218</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963088.95</v>
      </c>
      <c r="E32" s="282"/>
      <c r="F32" s="283">
        <f>F31*F38</f>
        <v>80257.55</v>
      </c>
      <c r="G32" s="283"/>
      <c r="H32" s="288">
        <f>H31*H38</f>
        <v>202249.02599999998</v>
      </c>
      <c r="I32" s="288"/>
      <c r="J32" s="287">
        <f>J31*J38</f>
        <v>224720.755</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954033.15</v>
      </c>
      <c r="E33" s="286"/>
      <c r="F33" s="289">
        <f>F37*F31</f>
        <v>79502.899999999994</v>
      </c>
      <c r="G33" s="289"/>
      <c r="H33" s="292">
        <f>H31*H37</f>
        <v>200347.30799999999</v>
      </c>
      <c r="I33" s="292"/>
      <c r="J33" s="291">
        <f>J37*J31</f>
        <v>222607.73500000002</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512281.13780959998</v>
      </c>
      <c r="E35" s="282"/>
      <c r="F35" s="283">
        <f>F34*F38</f>
        <v>80257.55</v>
      </c>
      <c r="G35" s="283"/>
      <c r="H35" s="283">
        <f>H34*H38</f>
        <v>135737.34710359998</v>
      </c>
      <c r="I35" s="283"/>
      <c r="J35" s="283">
        <f>J34*J38</f>
        <v>119532.179881</v>
      </c>
      <c r="K35" s="283"/>
      <c r="L35" s="283">
        <f>L34*L38</f>
        <v>56000</v>
      </c>
      <c r="M35" s="283"/>
      <c r="N35" s="283">
        <f>N34*N38</f>
        <v>56376</v>
      </c>
      <c r="O35" s="283"/>
      <c r="P35" s="283">
        <f>P34*P38</f>
        <v>13000</v>
      </c>
      <c r="Q35" s="283"/>
      <c r="R35" s="283">
        <f>R34*R38</f>
        <v>54363</v>
      </c>
      <c r="S35" s="283"/>
      <c r="T35" s="283"/>
      <c r="U35" s="284"/>
      <c r="V35" s="283">
        <f>SUM(C35:R35)</f>
        <v>1027547.2147941999</v>
      </c>
      <c r="W35" s="285"/>
      <c r="X35" s="5"/>
    </row>
    <row r="36" spans="1:24" ht="15.6" x14ac:dyDescent="0.3">
      <c r="A36" s="276"/>
      <c r="B36" s="279" t="s">
        <v>304</v>
      </c>
      <c r="C36" s="286"/>
      <c r="D36" s="289">
        <f>D34*D37</f>
        <v>507464.22497120005</v>
      </c>
      <c r="E36" s="286"/>
      <c r="F36" s="289">
        <f>F34*F37</f>
        <v>79502.899999999994</v>
      </c>
      <c r="G36" s="289"/>
      <c r="H36" s="289">
        <f>H34*H37</f>
        <v>134461.0286888</v>
      </c>
      <c r="I36" s="289"/>
      <c r="J36" s="289">
        <f>J34*J37</f>
        <v>118408.23435700001</v>
      </c>
      <c r="K36" s="289"/>
      <c r="L36" s="289">
        <v>56000</v>
      </c>
      <c r="M36" s="289"/>
      <c r="N36" s="289">
        <v>56376</v>
      </c>
      <c r="O36" s="289"/>
      <c r="P36" s="289">
        <v>13000</v>
      </c>
      <c r="Q36" s="289"/>
      <c r="R36" s="289">
        <v>54363</v>
      </c>
      <c r="S36" s="314"/>
      <c r="T36" s="314"/>
      <c r="U36" s="284"/>
      <c r="V36" s="289">
        <f>SUM(C36:R36)</f>
        <v>1019575.388017</v>
      </c>
      <c r="W36" s="285"/>
      <c r="X36" s="5"/>
    </row>
    <row r="37" spans="1:24" ht="15.6" x14ac:dyDescent="0.3">
      <c r="A37" s="271"/>
      <c r="B37" s="297" t="s">
        <v>133</v>
      </c>
      <c r="C37" s="298"/>
      <c r="D37" s="299">
        <v>0.63602210000000003</v>
      </c>
      <c r="E37" s="300"/>
      <c r="F37" s="299">
        <v>0.63602320000000001</v>
      </c>
      <c r="G37" s="301"/>
      <c r="H37" s="299">
        <v>0.63602320000000001</v>
      </c>
      <c r="I37" s="301"/>
      <c r="J37" s="299">
        <v>0.63602210000000003</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0.6420593</v>
      </c>
      <c r="E38" s="300"/>
      <c r="F38" s="299">
        <v>0.64206039999999998</v>
      </c>
      <c r="G38" s="301"/>
      <c r="H38" s="299">
        <v>0.64206039999999998</v>
      </c>
      <c r="I38" s="301"/>
      <c r="J38" s="299">
        <v>0.6420593</v>
      </c>
      <c r="K38" s="301"/>
      <c r="L38" s="299">
        <v>1</v>
      </c>
      <c r="M38" s="299"/>
      <c r="N38" s="299">
        <v>1</v>
      </c>
      <c r="O38" s="299"/>
      <c r="P38" s="299">
        <v>1</v>
      </c>
      <c r="Q38" s="299"/>
      <c r="R38" s="299">
        <v>1</v>
      </c>
      <c r="S38" s="305"/>
      <c r="T38" s="306"/>
      <c r="U38" s="303"/>
      <c r="V38" s="305"/>
      <c r="W38" s="304"/>
      <c r="X38" s="5"/>
    </row>
    <row r="39" spans="1:24" ht="15.6" x14ac:dyDescent="0.3">
      <c r="A39" s="271"/>
      <c r="B39" s="272" t="s">
        <v>11</v>
      </c>
      <c r="C39" s="272"/>
      <c r="D39" s="280" t="s">
        <v>225</v>
      </c>
      <c r="E39" s="272"/>
      <c r="F39" s="280" t="s">
        <v>225</v>
      </c>
      <c r="G39" s="280"/>
      <c r="H39" s="280" t="s">
        <v>225</v>
      </c>
      <c r="I39" s="280"/>
      <c r="J39" s="280" t="s">
        <v>251</v>
      </c>
      <c r="K39" s="280"/>
      <c r="L39" s="280" t="s">
        <v>252</v>
      </c>
      <c r="M39" s="280"/>
      <c r="N39" s="280" t="s">
        <v>253</v>
      </c>
      <c r="O39" s="280"/>
      <c r="P39" s="280" t="s">
        <v>254</v>
      </c>
      <c r="Q39" s="280"/>
      <c r="R39" s="280" t="s">
        <v>255</v>
      </c>
      <c r="S39" s="307"/>
      <c r="T39" s="308"/>
      <c r="U39" s="274"/>
      <c r="V39" s="274"/>
      <c r="W39" s="275"/>
      <c r="X39" s="5"/>
    </row>
    <row r="40" spans="1:24" ht="15.6" x14ac:dyDescent="0.3">
      <c r="A40" s="271"/>
      <c r="B40" s="272" t="s">
        <v>12</v>
      </c>
      <c r="C40" s="272"/>
      <c r="D40" s="308">
        <v>3.0704999999999999E-3</v>
      </c>
      <c r="E40" s="272"/>
      <c r="F40" s="308">
        <v>9.3938000000000008E-3</v>
      </c>
      <c r="G40" s="307"/>
      <c r="H40" s="308">
        <v>1.447E-2</v>
      </c>
      <c r="I40" s="308"/>
      <c r="J40" s="308">
        <v>3.6800000000000001E-3</v>
      </c>
      <c r="K40" s="307"/>
      <c r="L40" s="308">
        <v>1.0193799999999999E-2</v>
      </c>
      <c r="M40" s="307"/>
      <c r="N40" s="308">
        <v>1.5169999999999999E-2</v>
      </c>
      <c r="O40" s="307"/>
      <c r="P40" s="308">
        <v>1.2193799999999999E-2</v>
      </c>
      <c r="Q40" s="307"/>
      <c r="R40" s="308">
        <v>1.7170000000000001E-2</v>
      </c>
      <c r="S40" s="307"/>
      <c r="T40" s="308"/>
      <c r="U40" s="274"/>
      <c r="V40" s="280"/>
      <c r="W40" s="275"/>
      <c r="X40" s="5"/>
    </row>
    <row r="41" spans="1:24" ht="15.6" x14ac:dyDescent="0.3">
      <c r="A41" s="271"/>
      <c r="B41" s="272" t="s">
        <v>13</v>
      </c>
      <c r="C41" s="272"/>
      <c r="D41" s="308">
        <v>3.7499999999999999E-3</v>
      </c>
      <c r="E41" s="272"/>
      <c r="F41" s="308">
        <v>8.8999999999999999E-3</v>
      </c>
      <c r="G41" s="307"/>
      <c r="H41" s="308">
        <v>1.1259999999999999E-2</v>
      </c>
      <c r="I41" s="308"/>
      <c r="J41" s="308">
        <v>3.9313000000000004E-3</v>
      </c>
      <c r="K41" s="307"/>
      <c r="L41" s="308">
        <v>9.7000000000000003E-3</v>
      </c>
      <c r="M41" s="307"/>
      <c r="N41" s="308">
        <v>1.196E-2</v>
      </c>
      <c r="O41" s="307"/>
      <c r="P41" s="308">
        <v>1.17E-2</v>
      </c>
      <c r="Q41" s="307"/>
      <c r="R41" s="308">
        <v>1.396E-2</v>
      </c>
      <c r="S41" s="307"/>
      <c r="T41" s="308"/>
      <c r="U41" s="274"/>
      <c r="V41" s="307" t="s">
        <v>196</v>
      </c>
      <c r="W41" s="275"/>
      <c r="X41" s="5"/>
    </row>
    <row r="42" spans="1:24" ht="15.6" x14ac:dyDescent="0.3">
      <c r="A42" s="271"/>
      <c r="B42" s="272" t="s">
        <v>300</v>
      </c>
      <c r="C42" s="272"/>
      <c r="D42" s="280" t="s">
        <v>292</v>
      </c>
      <c r="E42" s="272"/>
      <c r="F42" s="280" t="s">
        <v>225</v>
      </c>
      <c r="G42" s="280"/>
      <c r="H42" s="280" t="s">
        <v>263</v>
      </c>
      <c r="I42" s="280"/>
      <c r="J42" s="280" t="s">
        <v>262</v>
      </c>
      <c r="K42" s="280"/>
      <c r="L42" s="280" t="s">
        <v>252</v>
      </c>
      <c r="M42" s="280"/>
      <c r="N42" s="280" t="s">
        <v>264</v>
      </c>
      <c r="O42" s="280"/>
      <c r="P42" s="280" t="s">
        <v>254</v>
      </c>
      <c r="Q42" s="280"/>
      <c r="R42" s="280" t="s">
        <v>260</v>
      </c>
      <c r="S42" s="307"/>
      <c r="T42" s="308"/>
      <c r="U42" s="274"/>
      <c r="V42" s="274"/>
      <c r="W42" s="275"/>
      <c r="X42" s="5"/>
    </row>
    <row r="43" spans="1:24" ht="15.6" x14ac:dyDescent="0.3">
      <c r="A43" s="271"/>
      <c r="B43" s="272" t="s">
        <v>301</v>
      </c>
      <c r="C43" s="309"/>
      <c r="D43" s="308">
        <v>9.7330000000000003E-3</v>
      </c>
      <c r="E43" s="308"/>
      <c r="F43" s="308">
        <f>+F40</f>
        <v>9.3938000000000008E-3</v>
      </c>
      <c r="G43" s="308"/>
      <c r="H43" s="308">
        <v>9.5157999999999996E-3</v>
      </c>
      <c r="I43" s="308"/>
      <c r="J43" s="308">
        <v>9.4338000000000009E-3</v>
      </c>
      <c r="K43" s="308"/>
      <c r="L43" s="308">
        <f>+L40</f>
        <v>1.0193799999999999E-2</v>
      </c>
      <c r="M43" s="308"/>
      <c r="N43" s="308">
        <v>1.0283799999999999E-2</v>
      </c>
      <c r="O43" s="308"/>
      <c r="P43" s="308">
        <f>+P40</f>
        <v>1.2193799999999999E-2</v>
      </c>
      <c r="Q43" s="307"/>
      <c r="R43" s="308">
        <v>1.23938E-2</v>
      </c>
      <c r="S43" s="280"/>
      <c r="T43" s="280"/>
      <c r="U43" s="274"/>
      <c r="V43" s="307">
        <f>SUMPRODUCT(D43:R43,D35:R35)/V35</f>
        <v>9.8702458882650463E-3</v>
      </c>
      <c r="W43" s="275"/>
      <c r="X43" s="5"/>
    </row>
    <row r="44" spans="1:24" ht="15.6" x14ac:dyDescent="0.3">
      <c r="A44" s="271"/>
      <c r="B44" s="272" t="s">
        <v>302</v>
      </c>
      <c r="C44" s="309"/>
      <c r="D44" s="308">
        <v>9.2391999999999995E-3</v>
      </c>
      <c r="E44" s="308"/>
      <c r="F44" s="308">
        <f>+F41</f>
        <v>8.8999999999999999E-3</v>
      </c>
      <c r="G44" s="308"/>
      <c r="H44" s="308">
        <v>9.0220000000000005E-3</v>
      </c>
      <c r="I44" s="308"/>
      <c r="J44" s="308">
        <v>8.94E-3</v>
      </c>
      <c r="K44" s="308"/>
      <c r="L44" s="308">
        <f>+L41</f>
        <v>9.7000000000000003E-3</v>
      </c>
      <c r="M44" s="308"/>
      <c r="N44" s="308">
        <v>9.7900000000000001E-3</v>
      </c>
      <c r="O44" s="308"/>
      <c r="P44" s="308">
        <f>+P41</f>
        <v>1.17E-2</v>
      </c>
      <c r="Q44" s="307"/>
      <c r="R44" s="308">
        <v>1.1900000000000001E-2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t="s">
        <v>121</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121</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203</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0.21401668535033957</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40739</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87</v>
      </c>
      <c r="S57" s="318"/>
      <c r="T57" s="319">
        <v>40561</v>
      </c>
      <c r="U57" s="320"/>
      <c r="V57" s="319">
        <v>40647</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91</v>
      </c>
      <c r="S58" s="272"/>
      <c r="T58" s="319">
        <v>40648</v>
      </c>
      <c r="U58" s="320"/>
      <c r="V58" s="319">
        <v>40738</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40725</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313</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1027547</v>
      </c>
      <c r="O68" s="324"/>
      <c r="P68" s="324">
        <f>7972+573+569</f>
        <v>9114</v>
      </c>
      <c r="Q68" s="324"/>
      <c r="R68" s="324">
        <f>573+569</f>
        <v>1142</v>
      </c>
      <c r="S68" s="324"/>
      <c r="T68" s="324">
        <v>0</v>
      </c>
      <c r="U68" s="324"/>
      <c r="V68" s="325">
        <f>+N68-P68+R68-T68</f>
        <v>1019575</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1027547</v>
      </c>
      <c r="O71" s="324"/>
      <c r="P71" s="324">
        <f>SUM(P68:P70)</f>
        <v>9114</v>
      </c>
      <c r="Q71" s="324"/>
      <c r="R71" s="324">
        <f>SUM(R68:R70)</f>
        <v>1142</v>
      </c>
      <c r="S71" s="324"/>
      <c r="T71" s="324">
        <f>SUM(T68:T70)</f>
        <v>0</v>
      </c>
      <c r="U71" s="324"/>
      <c r="V71" s="324">
        <f>SUM(V68:V70)</f>
        <v>1019575</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1027547</v>
      </c>
      <c r="O84" s="328"/>
      <c r="P84" s="328"/>
      <c r="Q84" s="328"/>
      <c r="R84" s="328"/>
      <c r="S84" s="328"/>
      <c r="T84" s="328"/>
      <c r="U84" s="328"/>
      <c r="V84" s="328">
        <f>SUM(V71:V83)</f>
        <v>1019575</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+T198</f>
        <v>40724</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9114-23</f>
        <v>9091</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4516+3521-525-1202+123</f>
        <v>6433</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27+20</f>
        <v>47</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63</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0</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9091</v>
      </c>
      <c r="U96" s="272"/>
      <c r="V96" s="324">
        <f>SUM(V88:V95)</f>
        <v>6543</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-262</v>
      </c>
      <c r="U97" s="272"/>
      <c r="V97" s="324">
        <v>262</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-178</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8829</v>
      </c>
      <c r="U100" s="272"/>
      <c r="V100" s="324">
        <f>V96+V98+V97+V99</f>
        <v>6627</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231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272" t="s">
        <v>207</v>
      </c>
      <c r="C104" s="272"/>
      <c r="D104" s="272"/>
      <c r="E104" s="272"/>
      <c r="F104" s="272"/>
      <c r="G104" s="272"/>
      <c r="H104" s="272"/>
      <c r="I104" s="272"/>
      <c r="J104" s="272"/>
      <c r="K104" s="272"/>
      <c r="L104" s="272"/>
      <c r="M104" s="272"/>
      <c r="N104" s="272"/>
      <c r="O104" s="272"/>
      <c r="P104" s="272"/>
      <c r="Q104" s="272"/>
      <c r="R104" s="272"/>
      <c r="S104" s="272"/>
      <c r="T104" s="272"/>
      <c r="U104" s="272"/>
      <c r="V104" s="325">
        <f>-387-273-12</f>
        <v>-672</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-105</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188-2034</f>
        <v>-1846</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-188</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-2</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-144</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-143</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-168</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-40</v>
      </c>
      <c r="W112" s="275"/>
      <c r="X112" s="5"/>
      <c r="Y112" s="109"/>
    </row>
    <row r="113" spans="1:24" ht="15.6" x14ac:dyDescent="0.3">
      <c r="A113" s="338">
        <v>7</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-10</v>
      </c>
      <c r="W113" s="275"/>
      <c r="X113" s="5"/>
    </row>
    <row r="114" spans="1:24" ht="15.6" x14ac:dyDescent="0.3">
      <c r="A114" s="338">
        <f t="shared" ref="A114:A120" si="0">+A113+1</f>
        <v>8</v>
      </c>
      <c r="B114" s="272" t="s">
        <v>45</v>
      </c>
      <c r="C114" s="272"/>
      <c r="D114" s="272"/>
      <c r="E114" s="272"/>
      <c r="F114" s="272"/>
      <c r="G114" s="272"/>
      <c r="H114" s="272"/>
      <c r="I114" s="272"/>
      <c r="J114" s="272"/>
      <c r="K114" s="272"/>
      <c r="L114" s="272"/>
      <c r="M114" s="272"/>
      <c r="N114" s="272"/>
      <c r="O114" s="272"/>
      <c r="P114" s="272"/>
      <c r="Q114" s="272"/>
      <c r="R114" s="272"/>
      <c r="S114" s="272"/>
      <c r="T114" s="324">
        <f>-V114</f>
        <v>23</v>
      </c>
      <c r="U114" s="272"/>
      <c r="V114" s="325">
        <v>-23</v>
      </c>
      <c r="W114" s="275"/>
      <c r="X114" s="5"/>
    </row>
    <row r="115" spans="1:24" ht="15.6" x14ac:dyDescent="0.3">
      <c r="A115" s="338">
        <f t="shared" si="0"/>
        <v>9</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10</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11</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12</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13</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-387</v>
      </c>
      <c r="W119" s="275"/>
      <c r="X119" s="5"/>
    </row>
    <row r="120" spans="1:24" ht="15.6" x14ac:dyDescent="0.3">
      <c r="A120" s="338">
        <f t="shared" si="0"/>
        <v>14</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-V100-SUM(V102:V119)</f>
        <v>-2897</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-450</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-209</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-221</v>
      </c>
      <c r="U124" s="324"/>
      <c r="V124" s="325"/>
      <c r="W124" s="275"/>
      <c r="X124" s="5"/>
    </row>
    <row r="125" spans="1:24" ht="15.6" x14ac:dyDescent="0.3">
      <c r="A125" s="338"/>
      <c r="B125" s="272" t="s">
        <v>200</v>
      </c>
      <c r="C125" s="272"/>
      <c r="D125" s="272"/>
      <c r="E125" s="272"/>
      <c r="F125" s="272"/>
      <c r="G125" s="272"/>
      <c r="H125" s="272"/>
      <c r="I125" s="272"/>
      <c r="J125" s="272"/>
      <c r="K125" s="272"/>
      <c r="L125" s="272"/>
      <c r="M125" s="272"/>
      <c r="N125" s="272"/>
      <c r="O125" s="272"/>
      <c r="P125" s="272"/>
      <c r="Q125" s="272"/>
      <c r="R125" s="272"/>
      <c r="S125" s="272"/>
      <c r="T125" s="324">
        <v>-4817</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-755</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-1276</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-1124</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-8852</v>
      </c>
      <c r="U133" s="324"/>
      <c r="V133" s="324">
        <f>SUM(V101:V130)</f>
        <v>-6627</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T100+T133+T114</f>
        <v>0</v>
      </c>
      <c r="U134" s="324"/>
      <c r="V134" s="324">
        <f>V100+V133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B64</f>
        <v>PM13 INVESTOR REPORT QUARTER ENDING JUNE 2011</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272</v>
      </c>
      <c r="C155" s="272"/>
      <c r="D155" s="272"/>
      <c r="E155" s="272"/>
      <c r="F155" s="272"/>
      <c r="G155" s="272"/>
      <c r="H155" s="272"/>
      <c r="I155" s="272"/>
      <c r="J155" s="272"/>
      <c r="K155" s="272"/>
      <c r="L155" s="272"/>
      <c r="M155" s="272"/>
      <c r="N155" s="272"/>
      <c r="O155" s="272"/>
      <c r="P155" s="272"/>
      <c r="Q155" s="272"/>
      <c r="R155" s="272"/>
      <c r="S155" s="272"/>
      <c r="T155" s="272"/>
      <c r="U155" s="272"/>
      <c r="V155" s="325">
        <v>6000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23</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23</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-23</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f>-V99</f>
        <v>178</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V71</f>
        <v>1019575</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V84</f>
        <v>1019575</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+'March 11'!S183</f>
        <v>44931</v>
      </c>
      <c r="T181" s="325">
        <f>+'March 11'!T183</f>
        <v>8516</v>
      </c>
      <c r="U181" s="272"/>
      <c r="V181" s="325">
        <f>S181+T181</f>
        <v>53447</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f>124+97</f>
        <v>221</v>
      </c>
      <c r="T182" s="324">
        <v>450</v>
      </c>
      <c r="U182" s="272"/>
      <c r="V182" s="325">
        <f>S182+T182</f>
        <v>671</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45152</v>
      </c>
      <c r="T183" s="325">
        <f>T182+T181</f>
        <v>8966</v>
      </c>
      <c r="U183" s="272"/>
      <c r="V183" s="325">
        <f>S183+T183</f>
        <v>54118</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185912.4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(V100+V102+V103+V104+V105)/-(V106+V107)</f>
        <v>2.8751229105211404</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1.55</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(V100+V102+V103+V104+V105+V106+V107)/-(V109+V110)</f>
        <v>13.289198606271777</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5.39</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(V100+V102+V103+V104+V105+V106+V107+V109+V110)/-(V111+V112)</f>
        <v>16.95673076923077</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6.91</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JUNE 2011</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40724</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2.5590000000000002E-2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9.8702458882650463E-3</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1.5719754111734957E-2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+V100/N71</f>
        <v>6.4493400301884E-3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16.34</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P68/N68</f>
        <v>8.8696672755601454E-3</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9.0899999999999995E-2</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2</v>
      </c>
      <c r="T216" s="357">
        <v>336</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193</v>
      </c>
      <c r="T217" s="357">
        <f>+T269</f>
        <v>29751</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v>0</v>
      </c>
      <c r="T218" s="357">
        <v>0</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+N81</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2" t="s">
        <v>84</v>
      </c>
      <c r="C222" s="272"/>
      <c r="D222" s="272"/>
      <c r="E222" s="272"/>
      <c r="F222" s="272"/>
      <c r="G222" s="272"/>
      <c r="H222" s="272"/>
      <c r="I222" s="272"/>
      <c r="J222" s="272"/>
      <c r="K222" s="272"/>
      <c r="L222" s="272"/>
      <c r="M222" s="272"/>
      <c r="N222" s="272"/>
      <c r="O222" s="272"/>
      <c r="P222" s="272"/>
      <c r="Q222" s="272"/>
      <c r="R222" s="272"/>
      <c r="S222" s="280"/>
      <c r="T222" s="357">
        <f>V166</f>
        <v>23</v>
      </c>
      <c r="U222" s="272"/>
      <c r="V222" s="362"/>
      <c r="W222" s="367"/>
      <c r="X222" s="5"/>
    </row>
    <row r="223" spans="1:24" ht="15.6" x14ac:dyDescent="0.3">
      <c r="A223" s="356"/>
      <c r="B223" s="272" t="s">
        <v>85</v>
      </c>
      <c r="C223" s="324"/>
      <c r="D223" s="324"/>
      <c r="E223" s="324"/>
      <c r="F223" s="324"/>
      <c r="G223" s="272"/>
      <c r="H223" s="272"/>
      <c r="I223" s="272"/>
      <c r="J223" s="272"/>
      <c r="K223" s="272"/>
      <c r="L223" s="272"/>
      <c r="M223" s="272"/>
      <c r="N223" s="272"/>
      <c r="O223" s="272"/>
      <c r="P223" s="272"/>
      <c r="Q223" s="272"/>
      <c r="R223" s="272"/>
      <c r="S223" s="280"/>
      <c r="T223" s="357">
        <f>'March 11'!T223+T222</f>
        <v>2832</v>
      </c>
      <c r="U223" s="272"/>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2</v>
      </c>
      <c r="T229" s="357">
        <v>193</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0</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 t="shared" ref="R236:R243" si="1">+R248+R260+R272</f>
        <v>7905</v>
      </c>
      <c r="S236" s="381">
        <f t="shared" ref="S236:S243" si="2">R236/$R$245</f>
        <v>0.98652190190939726</v>
      </c>
      <c r="T236" s="325">
        <f t="shared" ref="T236:T243" si="3">+T248+T260+T272</f>
        <v>1002326</v>
      </c>
      <c r="U236" s="381">
        <f t="shared" ref="U236:U243" si="4">T236/$T$245</f>
        <v>0.98308216658901992</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si="1"/>
        <v>39</v>
      </c>
      <c r="S237" s="381">
        <f t="shared" si="2"/>
        <v>4.8670909771621118E-3</v>
      </c>
      <c r="T237" s="325">
        <f t="shared" si="3"/>
        <v>7848</v>
      </c>
      <c r="U237" s="381">
        <f t="shared" si="4"/>
        <v>7.6973248657528871E-3</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11</v>
      </c>
      <c r="S238" s="381">
        <f t="shared" si="2"/>
        <v>1.3727692499688007E-3</v>
      </c>
      <c r="T238" s="325">
        <f t="shared" si="3"/>
        <v>1529</v>
      </c>
      <c r="U238" s="381">
        <f t="shared" si="4"/>
        <v>1.4996444597013461E-3</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3</v>
      </c>
      <c r="S239" s="381">
        <f t="shared" si="2"/>
        <v>3.7439161362785476E-4</v>
      </c>
      <c r="T239" s="325">
        <f t="shared" si="3"/>
        <v>400</v>
      </c>
      <c r="U239" s="381">
        <f t="shared" si="4"/>
        <v>3.9232032954907681E-4</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6</v>
      </c>
      <c r="S240" s="381">
        <f t="shared" si="2"/>
        <v>7.4878322725570952E-4</v>
      </c>
      <c r="T240" s="325">
        <f t="shared" si="3"/>
        <v>839</v>
      </c>
      <c r="U240" s="381">
        <f t="shared" si="4"/>
        <v>8.2289189122918861E-4</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3</v>
      </c>
      <c r="S241" s="381">
        <f t="shared" si="2"/>
        <v>3.7439161362785476E-4</v>
      </c>
      <c r="T241" s="325">
        <f t="shared" si="3"/>
        <v>411</v>
      </c>
      <c r="U241" s="381">
        <f t="shared" si="4"/>
        <v>4.0310913861167641E-4</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7</v>
      </c>
      <c r="S242" s="381">
        <f t="shared" si="2"/>
        <v>8.7358043179832767E-4</v>
      </c>
      <c r="T242" s="325">
        <f t="shared" si="3"/>
        <v>810</v>
      </c>
      <c r="U242" s="381">
        <f t="shared" si="4"/>
        <v>7.9444866733688053E-4</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39</v>
      </c>
      <c r="S243" s="381">
        <f t="shared" si="2"/>
        <v>4.8670909771621118E-3</v>
      </c>
      <c r="T243" s="325">
        <f t="shared" si="3"/>
        <v>5412</v>
      </c>
      <c r="U243" s="381">
        <f t="shared" si="4"/>
        <v>5.3080940587990092E-3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8013</v>
      </c>
      <c r="S245" s="381">
        <f>SUM(S236:S244)</f>
        <v>0.99999999999999989</v>
      </c>
      <c r="T245" s="325">
        <f>SUM(T236:T244)</f>
        <v>1019575</v>
      </c>
      <c r="U245" s="381">
        <f>SUM(U236:U244)</f>
        <v>1</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7784</v>
      </c>
      <c r="S248" s="261">
        <f t="shared" ref="S248:S255" si="5">R248/$R$257</f>
        <v>0.99539641943734014</v>
      </c>
      <c r="T248" s="238">
        <v>982581</v>
      </c>
      <c r="U248" s="261">
        <f t="shared" ref="U248:U255" si="6">T248/$T$257</f>
        <v>0.9926825375016165</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28</v>
      </c>
      <c r="S249" s="381">
        <f t="shared" si="5"/>
        <v>3.5805626598465474E-3</v>
      </c>
      <c r="T249" s="325">
        <v>6050</v>
      </c>
      <c r="U249" s="381">
        <f t="shared" si="6"/>
        <v>6.1121977240398296E-3</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2</v>
      </c>
      <c r="S250" s="381">
        <f t="shared" si="5"/>
        <v>2.5575447570332479E-4</v>
      </c>
      <c r="T250" s="325">
        <v>229</v>
      </c>
      <c r="U250" s="381">
        <f t="shared" si="6"/>
        <v>2.3135426095952411E-4</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0</v>
      </c>
      <c r="S251" s="381">
        <f t="shared" si="5"/>
        <v>0</v>
      </c>
      <c r="T251" s="325">
        <v>0</v>
      </c>
      <c r="U251" s="381">
        <f t="shared" si="6"/>
        <v>0</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3</v>
      </c>
      <c r="S252" s="381">
        <f t="shared" si="5"/>
        <v>3.8363171355498723E-4</v>
      </c>
      <c r="T252" s="325">
        <v>456</v>
      </c>
      <c r="U252" s="381">
        <f t="shared" si="6"/>
        <v>4.606879606879607E-4</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3</v>
      </c>
      <c r="S255" s="381">
        <f t="shared" si="5"/>
        <v>3.8363171355498723E-4</v>
      </c>
      <c r="T255" s="325">
        <v>508</v>
      </c>
      <c r="U255" s="381">
        <f t="shared" si="6"/>
        <v>5.1322255269623689E-4</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7820</v>
      </c>
      <c r="S257" s="381">
        <f>SUM(S248:S256)</f>
        <v>0.99999999999999989</v>
      </c>
      <c r="T257" s="325">
        <f>SUM(T248:T256)</f>
        <v>989824</v>
      </c>
      <c r="U257" s="381">
        <f>SUM(U248:U256)</f>
        <v>1</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121</v>
      </c>
      <c r="S260" s="261">
        <f t="shared" ref="S260:S267" si="7">R260/$R$269</f>
        <v>0.62694300518134716</v>
      </c>
      <c r="T260" s="238">
        <v>19745</v>
      </c>
      <c r="U260" s="261">
        <f t="shared" ref="U260:U267" si="8">T260/$T$269</f>
        <v>0.66367517058250147</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11</v>
      </c>
      <c r="S261" s="381">
        <f t="shared" si="7"/>
        <v>5.6994818652849742E-2</v>
      </c>
      <c r="T261" s="325">
        <v>1798</v>
      </c>
      <c r="U261" s="381">
        <f t="shared" si="8"/>
        <v>6.0434943363248297E-2</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9</v>
      </c>
      <c r="S262" s="381">
        <f t="shared" si="7"/>
        <v>4.6632124352331605E-2</v>
      </c>
      <c r="T262" s="325">
        <v>1300</v>
      </c>
      <c r="U262" s="381">
        <f t="shared" si="8"/>
        <v>4.3696010218143927E-2</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3</v>
      </c>
      <c r="S263" s="381">
        <f t="shared" si="7"/>
        <v>1.5544041450777202E-2</v>
      </c>
      <c r="T263" s="325">
        <v>400</v>
      </c>
      <c r="U263" s="381">
        <f t="shared" si="8"/>
        <v>1.3444926220967362E-2</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3</v>
      </c>
      <c r="S264" s="381">
        <f t="shared" si="7"/>
        <v>1.5544041450777202E-2</v>
      </c>
      <c r="T264" s="325">
        <v>383</v>
      </c>
      <c r="U264" s="381">
        <f t="shared" si="8"/>
        <v>1.2873516856576249E-2</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3</v>
      </c>
      <c r="S265" s="381">
        <f t="shared" si="7"/>
        <v>1.5544041450777202E-2</v>
      </c>
      <c r="T265" s="325">
        <v>411</v>
      </c>
      <c r="U265" s="381">
        <f t="shared" si="8"/>
        <v>1.3814661692043964E-2</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7</v>
      </c>
      <c r="S266" s="381">
        <f t="shared" si="7"/>
        <v>3.6269430051813469E-2</v>
      </c>
      <c r="T266" s="325">
        <v>810</v>
      </c>
      <c r="U266" s="381">
        <f t="shared" si="8"/>
        <v>2.7225975597458908E-2</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36</v>
      </c>
      <c r="S267" s="381">
        <f t="shared" si="7"/>
        <v>0.18652849740932642</v>
      </c>
      <c r="T267" s="325">
        <v>4904</v>
      </c>
      <c r="U267" s="381">
        <f t="shared" si="8"/>
        <v>0.16483479546905985</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193</v>
      </c>
      <c r="S269" s="381">
        <f>SUM(S260:S268)</f>
        <v>1</v>
      </c>
      <c r="T269" s="325">
        <f>SUM(T260:T268)</f>
        <v>29751</v>
      </c>
      <c r="U269" s="381">
        <f>SUM(U260:U268)</f>
        <v>1</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v>0</v>
      </c>
      <c r="T272" s="238">
        <v>0</v>
      </c>
      <c r="U272" s="261">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v>0</v>
      </c>
      <c r="T273" s="325">
        <v>0</v>
      </c>
      <c r="U273" s="381">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0</v>
      </c>
      <c r="S281" s="381">
        <f>SUM(S272:S279)</f>
        <v>0</v>
      </c>
      <c r="T281" s="325">
        <f>SUM(T272:T279)</f>
        <v>0</v>
      </c>
      <c r="U281" s="381">
        <f>SUM(U272:U279)</f>
        <v>0</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79" t="s">
        <v>167</v>
      </c>
      <c r="C283" s="272"/>
      <c r="D283" s="272"/>
      <c r="E283" s="272"/>
      <c r="F283" s="272"/>
      <c r="G283" s="272"/>
      <c r="H283" s="383"/>
      <c r="I283" s="383"/>
      <c r="J283" s="383"/>
      <c r="K283" s="383"/>
      <c r="L283" s="383"/>
      <c r="M283" s="383"/>
      <c r="N283" s="383"/>
      <c r="O283" s="383"/>
      <c r="P283" s="383"/>
      <c r="Q283" s="383"/>
      <c r="R283" s="390">
        <f>R281+R269+R257</f>
        <v>8013</v>
      </c>
      <c r="S283" s="381"/>
      <c r="T283" s="387">
        <f>+T281+T269+T257</f>
        <v>1019575</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93</v>
      </c>
      <c r="C287" s="220"/>
      <c r="D287" s="220"/>
      <c r="E287" s="220"/>
      <c r="F287" s="265" t="s">
        <v>151</v>
      </c>
      <c r="G287" s="220"/>
      <c r="H287" s="219" t="s">
        <v>155</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281</v>
      </c>
      <c r="C288" s="219"/>
      <c r="D288" s="219"/>
      <c r="E288" s="219"/>
      <c r="F288" s="265" t="s">
        <v>282</v>
      </c>
      <c r="G288" s="219"/>
      <c r="H288" s="219" t="s">
        <v>283</v>
      </c>
      <c r="I288" s="227"/>
      <c r="J288" s="219"/>
      <c r="K288" s="227"/>
      <c r="L288" s="227"/>
      <c r="M288" s="227"/>
      <c r="N288" s="227"/>
      <c r="O288" s="227"/>
      <c r="P288" s="227"/>
      <c r="Q288" s="227"/>
      <c r="R288" s="227"/>
      <c r="S288" s="227"/>
      <c r="T288" s="227"/>
      <c r="U288" s="227"/>
      <c r="V288" s="227"/>
      <c r="W288" s="227"/>
      <c r="X288" s="5"/>
    </row>
    <row r="289" spans="1:24" ht="15.6" x14ac:dyDescent="0.3">
      <c r="A289" s="216"/>
      <c r="B289" s="219" t="s">
        <v>94</v>
      </c>
      <c r="C289" s="219"/>
      <c r="D289" s="219"/>
      <c r="E289" s="219"/>
      <c r="F289" s="265" t="s">
        <v>150</v>
      </c>
      <c r="G289" s="219"/>
      <c r="H289" s="219" t="s">
        <v>156</v>
      </c>
      <c r="I289" s="219"/>
      <c r="J289" s="219"/>
      <c r="K289" s="227"/>
      <c r="L289" s="227"/>
      <c r="M289" s="227"/>
      <c r="N289" s="227"/>
      <c r="O289" s="227"/>
      <c r="P289" s="227"/>
      <c r="Q289" s="227"/>
      <c r="R289" s="227"/>
      <c r="S289" s="227"/>
      <c r="T289" s="227"/>
      <c r="U289" s="227"/>
      <c r="V289" s="227"/>
      <c r="W289" s="227"/>
      <c r="X289" s="5"/>
    </row>
    <row r="290" spans="1:24" ht="15.6" x14ac:dyDescent="0.3">
      <c r="A290" s="216"/>
      <c r="B290" s="219"/>
      <c r="C290" s="219"/>
      <c r="D290" s="219"/>
      <c r="E290" s="219"/>
      <c r="F290" s="219"/>
      <c r="G290" s="266"/>
      <c r="H290" s="227"/>
      <c r="I290" s="227"/>
      <c r="J290" s="227"/>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8" thickBot="1" x14ac:dyDescent="0.35">
      <c r="A292" s="216"/>
      <c r="B292" s="267" t="str">
        <f>B197</f>
        <v>PM13 INVESTOR REPORT QUARTER ENDING JUNE 2011</v>
      </c>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x14ac:dyDescent="0.25">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row>
  </sheetData>
  <phoneticPr fontId="0" type="noConversion"/>
  <hyperlinks>
    <hyperlink ref="P233" r:id="rId1" xr:uid="{00000000-0004-0000-1200-000000000000}"/>
    <hyperlink ref="I9" r:id="rId2" xr:uid="{00000000-0004-0000-1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7" max="14" man="1"/>
    <brk id="197" max="14"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D2926"/>
  </sheetPr>
  <dimension ref="A1:Y28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238</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239</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140</v>
      </c>
      <c r="C5" s="8"/>
      <c r="D5" s="8"/>
      <c r="E5" s="8"/>
      <c r="F5" s="8"/>
      <c r="G5" s="8"/>
      <c r="H5" s="8"/>
      <c r="I5" s="8"/>
      <c r="J5" s="8"/>
      <c r="K5" s="8"/>
      <c r="L5" s="8"/>
      <c r="M5" s="8"/>
      <c r="N5" s="8"/>
      <c r="O5" s="8"/>
      <c r="P5" s="8"/>
      <c r="Q5" s="8"/>
      <c r="R5" s="8"/>
      <c r="S5" s="8"/>
      <c r="T5" s="8"/>
      <c r="U5" s="8"/>
      <c r="V5" s="8"/>
      <c r="W5" s="8"/>
      <c r="X5" s="5"/>
    </row>
    <row r="6" spans="1:24" ht="15.6" x14ac:dyDescent="0.3">
      <c r="A6" s="6"/>
      <c r="B6" s="11" t="s">
        <v>142</v>
      </c>
      <c r="C6" s="8"/>
      <c r="D6" s="8"/>
      <c r="E6" s="8"/>
      <c r="F6" s="8"/>
      <c r="G6" s="8"/>
      <c r="H6" s="8"/>
      <c r="I6" s="8"/>
      <c r="J6" s="8"/>
      <c r="K6" s="8"/>
      <c r="L6" s="8"/>
      <c r="M6" s="8"/>
      <c r="N6" s="8"/>
      <c r="O6" s="8"/>
      <c r="P6" s="8"/>
      <c r="Q6" s="8"/>
      <c r="R6" s="8"/>
      <c r="S6" s="8"/>
      <c r="T6" s="8"/>
      <c r="U6" s="8"/>
      <c r="V6" s="8"/>
      <c r="W6" s="8"/>
      <c r="X6" s="5"/>
    </row>
    <row r="7" spans="1:24" ht="15.6" x14ac:dyDescent="0.3">
      <c r="A7" s="6"/>
      <c r="B7" s="11" t="s">
        <v>141</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169</v>
      </c>
      <c r="C9" s="8"/>
      <c r="D9" s="8"/>
      <c r="E9" s="8"/>
      <c r="F9" s="8"/>
      <c r="G9" s="8"/>
      <c r="H9" s="8"/>
      <c r="I9" s="148" t="s">
        <v>170</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240</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105</v>
      </c>
      <c r="S15" s="137">
        <v>0.57609999999999995</v>
      </c>
      <c r="T15" s="17" t="s">
        <v>143</v>
      </c>
      <c r="U15" s="137">
        <v>0.4239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105</v>
      </c>
      <c r="S16" s="137">
        <v>0.54869999999999997</v>
      </c>
      <c r="T16" s="17" t="s">
        <v>143</v>
      </c>
      <c r="U16" s="137">
        <v>0.45129999999999998</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39016</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39196</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106</v>
      </c>
      <c r="U20" s="8"/>
      <c r="V20" s="16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180</v>
      </c>
      <c r="E22" s="112"/>
      <c r="F22" s="112" t="s">
        <v>181</v>
      </c>
      <c r="G22" s="112"/>
      <c r="H22" s="112" t="s">
        <v>182</v>
      </c>
      <c r="I22" s="112"/>
      <c r="J22" s="112" t="s">
        <v>223</v>
      </c>
      <c r="K22" s="112"/>
      <c r="L22" s="112" t="s">
        <v>183</v>
      </c>
      <c r="M22" s="112"/>
      <c r="N22" s="112" t="s">
        <v>184</v>
      </c>
      <c r="O22" s="112"/>
      <c r="P22" s="112" t="s">
        <v>224</v>
      </c>
      <c r="Q22" s="112"/>
      <c r="R22" s="112" t="s">
        <v>185</v>
      </c>
      <c r="S22" s="113"/>
      <c r="T22" s="23"/>
      <c r="U22" s="162"/>
      <c r="V22" s="162"/>
      <c r="W22" s="8"/>
      <c r="X22" s="5"/>
    </row>
    <row r="23" spans="1:24" ht="15.6" x14ac:dyDescent="0.3">
      <c r="A23" s="24"/>
      <c r="B23" s="25" t="s">
        <v>7</v>
      </c>
      <c r="C23" s="26"/>
      <c r="D23" s="26" t="s">
        <v>216</v>
      </c>
      <c r="E23" s="26"/>
      <c r="F23" s="26" t="s">
        <v>144</v>
      </c>
      <c r="G23" s="26"/>
      <c r="H23" s="26" t="s">
        <v>144</v>
      </c>
      <c r="I23" s="26"/>
      <c r="J23" s="26" t="s">
        <v>144</v>
      </c>
      <c r="K23" s="26"/>
      <c r="L23" s="26" t="s">
        <v>186</v>
      </c>
      <c r="M23" s="26"/>
      <c r="N23" s="26" t="s">
        <v>186</v>
      </c>
      <c r="O23" s="26"/>
      <c r="P23" s="26" t="s">
        <v>145</v>
      </c>
      <c r="Q23" s="26"/>
      <c r="R23" s="26" t="s">
        <v>145</v>
      </c>
      <c r="S23" s="26"/>
      <c r="T23" s="26"/>
      <c r="U23" s="163"/>
      <c r="V23" s="163"/>
      <c r="W23" s="25"/>
      <c r="X23" s="5"/>
    </row>
    <row r="24" spans="1:24" ht="15.6" x14ac:dyDescent="0.3">
      <c r="A24" s="24"/>
      <c r="B24" s="25" t="s">
        <v>8</v>
      </c>
      <c r="C24" s="26"/>
      <c r="D24" s="26" t="s">
        <v>217</v>
      </c>
      <c r="E24" s="26"/>
      <c r="F24" s="26" t="s">
        <v>146</v>
      </c>
      <c r="G24" s="26"/>
      <c r="H24" s="26" t="s">
        <v>146</v>
      </c>
      <c r="I24" s="26"/>
      <c r="J24" s="26" t="s">
        <v>146</v>
      </c>
      <c r="K24" s="26"/>
      <c r="L24" s="26" t="s">
        <v>168</v>
      </c>
      <c r="M24" s="26"/>
      <c r="N24" s="26" t="s">
        <v>168</v>
      </c>
      <c r="O24" s="26"/>
      <c r="P24" s="26" t="s">
        <v>147</v>
      </c>
      <c r="Q24" s="26"/>
      <c r="R24" s="26" t="s">
        <v>147</v>
      </c>
      <c r="S24" s="26"/>
      <c r="T24" s="26"/>
      <c r="U24" s="163"/>
      <c r="V24" s="163"/>
      <c r="W24" s="25"/>
      <c r="X24" s="5"/>
    </row>
    <row r="25" spans="1:24" ht="15.6" x14ac:dyDescent="0.3">
      <c r="A25" s="28"/>
      <c r="B25" s="131" t="s">
        <v>193</v>
      </c>
      <c r="C25" s="123"/>
      <c r="D25" s="26" t="s">
        <v>218</v>
      </c>
      <c r="E25" s="26"/>
      <c r="F25" s="26" t="s">
        <v>146</v>
      </c>
      <c r="G25" s="26"/>
      <c r="H25" s="26" t="s">
        <v>146</v>
      </c>
      <c r="I25" s="26"/>
      <c r="J25" s="26" t="s">
        <v>146</v>
      </c>
      <c r="K25" s="26"/>
      <c r="L25" s="26" t="s">
        <v>168</v>
      </c>
      <c r="M25" s="26"/>
      <c r="N25" s="26" t="s">
        <v>168</v>
      </c>
      <c r="O25" s="26"/>
      <c r="P25" s="26" t="s">
        <v>147</v>
      </c>
      <c r="Q25" s="26"/>
      <c r="R25" s="26" t="s">
        <v>147</v>
      </c>
      <c r="S25" s="123"/>
      <c r="T25" s="26"/>
      <c r="U25" s="163"/>
      <c r="V25" s="163"/>
      <c r="W25" s="25"/>
      <c r="X25" s="5"/>
    </row>
    <row r="26" spans="1:24" ht="15.6" x14ac:dyDescent="0.3">
      <c r="A26" s="28"/>
      <c r="B26" s="29" t="s">
        <v>9</v>
      </c>
      <c r="C26" s="123"/>
      <c r="D26" s="123" t="s">
        <v>216</v>
      </c>
      <c r="E26" s="123"/>
      <c r="F26" s="123" t="s">
        <v>144</v>
      </c>
      <c r="G26" s="123"/>
      <c r="H26" s="123" t="s">
        <v>144</v>
      </c>
      <c r="I26" s="123"/>
      <c r="J26" s="123" t="s">
        <v>144</v>
      </c>
      <c r="K26" s="123"/>
      <c r="L26" s="123" t="s">
        <v>186</v>
      </c>
      <c r="M26" s="123"/>
      <c r="N26" s="123" t="s">
        <v>186</v>
      </c>
      <c r="O26" s="123"/>
      <c r="P26" s="123" t="s">
        <v>145</v>
      </c>
      <c r="Q26" s="123"/>
      <c r="R26" s="123" t="s">
        <v>145</v>
      </c>
      <c r="S26" s="123"/>
      <c r="T26" s="26"/>
      <c r="U26" s="163"/>
      <c r="V26" s="163"/>
      <c r="W26" s="25"/>
      <c r="X26" s="5"/>
    </row>
    <row r="27" spans="1:24" ht="15.6" x14ac:dyDescent="0.3">
      <c r="A27" s="24"/>
      <c r="B27" s="29" t="s">
        <v>194</v>
      </c>
      <c r="C27" s="26"/>
      <c r="D27" s="123" t="s">
        <v>217</v>
      </c>
      <c r="E27" s="123"/>
      <c r="F27" s="123" t="s">
        <v>146</v>
      </c>
      <c r="G27" s="123"/>
      <c r="H27" s="123" t="s">
        <v>146</v>
      </c>
      <c r="I27" s="123"/>
      <c r="J27" s="123" t="s">
        <v>146</v>
      </c>
      <c r="K27" s="123"/>
      <c r="L27" s="123" t="s">
        <v>168</v>
      </c>
      <c r="M27" s="123"/>
      <c r="N27" s="123" t="s">
        <v>168</v>
      </c>
      <c r="O27" s="123"/>
      <c r="P27" s="123" t="s">
        <v>147</v>
      </c>
      <c r="Q27" s="123"/>
      <c r="R27" s="123" t="s">
        <v>147</v>
      </c>
      <c r="S27" s="26"/>
      <c r="T27" s="30"/>
      <c r="U27" s="163"/>
      <c r="V27" s="163"/>
      <c r="W27" s="25"/>
      <c r="X27" s="5"/>
    </row>
    <row r="28" spans="1:24" ht="15.6" x14ac:dyDescent="0.3">
      <c r="A28" s="24"/>
      <c r="B28" s="153" t="s">
        <v>195</v>
      </c>
      <c r="C28" s="26"/>
      <c r="D28" s="123" t="s">
        <v>218</v>
      </c>
      <c r="E28" s="123"/>
      <c r="F28" s="123" t="s">
        <v>146</v>
      </c>
      <c r="G28" s="123"/>
      <c r="H28" s="123" t="s">
        <v>146</v>
      </c>
      <c r="I28" s="123"/>
      <c r="J28" s="123" t="s">
        <v>146</v>
      </c>
      <c r="K28" s="123"/>
      <c r="L28" s="123" t="s">
        <v>168</v>
      </c>
      <c r="M28" s="123"/>
      <c r="N28" s="123" t="s">
        <v>168</v>
      </c>
      <c r="O28" s="123"/>
      <c r="P28" s="123" t="s">
        <v>147</v>
      </c>
      <c r="Q28" s="123"/>
      <c r="R28" s="123" t="s">
        <v>147</v>
      </c>
      <c r="S28" s="26"/>
      <c r="T28" s="30"/>
      <c r="U28" s="163"/>
      <c r="V28" s="163"/>
      <c r="W28" s="25"/>
      <c r="X28" s="5"/>
    </row>
    <row r="29" spans="1:24" ht="15.6" x14ac:dyDescent="0.3">
      <c r="A29" s="24"/>
      <c r="B29" s="25" t="s">
        <v>10</v>
      </c>
      <c r="C29" s="32"/>
      <c r="D29" s="26" t="s">
        <v>348</v>
      </c>
      <c r="E29" s="26"/>
      <c r="F29" s="30" t="s">
        <v>242</v>
      </c>
      <c r="G29" s="26"/>
      <c r="H29" s="26" t="s">
        <v>243</v>
      </c>
      <c r="I29" s="26"/>
      <c r="J29" s="26" t="s">
        <v>245</v>
      </c>
      <c r="K29" s="26"/>
      <c r="L29" s="26" t="s">
        <v>246</v>
      </c>
      <c r="M29" s="26"/>
      <c r="N29" s="26" t="s">
        <v>247</v>
      </c>
      <c r="O29" s="26"/>
      <c r="P29" s="26" t="s">
        <v>248</v>
      </c>
      <c r="Q29" s="26"/>
      <c r="R29" s="26" t="s">
        <v>249</v>
      </c>
      <c r="S29" s="31"/>
      <c r="T29" s="31"/>
      <c r="U29" s="164"/>
      <c r="V29" s="31"/>
      <c r="W29" s="34"/>
      <c r="X29" s="5"/>
    </row>
    <row r="30" spans="1:24" ht="15.6" x14ac:dyDescent="0.3">
      <c r="A30" s="24"/>
      <c r="B30" s="25" t="s">
        <v>10</v>
      </c>
      <c r="C30" s="32"/>
      <c r="D30" s="26" t="s">
        <v>241</v>
      </c>
      <c r="E30" s="26"/>
      <c r="F30" s="30" t="s">
        <v>121</v>
      </c>
      <c r="G30" s="26"/>
      <c r="H30" s="26" t="s">
        <v>121</v>
      </c>
      <c r="I30" s="26"/>
      <c r="J30" s="26" t="s">
        <v>244</v>
      </c>
      <c r="K30" s="26"/>
      <c r="L30" s="26" t="s">
        <v>121</v>
      </c>
      <c r="M30" s="26"/>
      <c r="N30" s="26" t="s">
        <v>121</v>
      </c>
      <c r="O30" s="26"/>
      <c r="P30" s="26" t="s">
        <v>121</v>
      </c>
      <c r="Q30" s="26"/>
      <c r="R30" s="26" t="s">
        <v>121</v>
      </c>
      <c r="S30" s="31"/>
      <c r="T30" s="31"/>
      <c r="U30" s="164"/>
      <c r="V30" s="31"/>
      <c r="W30" s="34"/>
      <c r="X30" s="5"/>
    </row>
    <row r="31" spans="1:24" ht="15.6" x14ac:dyDescent="0.3">
      <c r="A31" s="28"/>
      <c r="B31" s="25" t="s">
        <v>136</v>
      </c>
      <c r="C31" s="36"/>
      <c r="D31" s="146">
        <v>1500000</v>
      </c>
      <c r="E31" s="32"/>
      <c r="F31" s="31">
        <v>125000</v>
      </c>
      <c r="G31" s="31"/>
      <c r="H31" s="124">
        <v>315000</v>
      </c>
      <c r="I31" s="124"/>
      <c r="J31" s="146">
        <v>350000</v>
      </c>
      <c r="K31" s="31"/>
      <c r="L31" s="31">
        <v>56000</v>
      </c>
      <c r="M31" s="31"/>
      <c r="N31" s="124">
        <v>84000</v>
      </c>
      <c r="O31" s="31"/>
      <c r="P31" s="31">
        <v>13000</v>
      </c>
      <c r="Q31" s="31"/>
      <c r="R31" s="124">
        <v>81000</v>
      </c>
      <c r="S31" s="35"/>
      <c r="T31" s="35"/>
      <c r="U31" s="37"/>
      <c r="V31" s="35"/>
      <c r="W31" s="34"/>
      <c r="X31" s="5"/>
    </row>
    <row r="32" spans="1:24" ht="15.6" x14ac:dyDescent="0.3">
      <c r="A32" s="24"/>
      <c r="B32" s="25" t="s">
        <v>135</v>
      </c>
      <c r="C32" s="32"/>
      <c r="D32" s="146">
        <f>D31*D38</f>
        <v>1477113</v>
      </c>
      <c r="E32" s="32"/>
      <c r="F32" s="31">
        <f>F31*F38</f>
        <v>123092.75</v>
      </c>
      <c r="G32" s="31"/>
      <c r="H32" s="124">
        <f>H31*H38</f>
        <v>310193.73</v>
      </c>
      <c r="I32" s="124"/>
      <c r="J32" s="146">
        <f>J31*J38</f>
        <v>344659.7</v>
      </c>
      <c r="K32" s="31"/>
      <c r="L32" s="31">
        <f>L31*L38</f>
        <v>56000</v>
      </c>
      <c r="M32" s="31"/>
      <c r="N32" s="124">
        <f>N31*N38</f>
        <v>84000</v>
      </c>
      <c r="O32" s="31"/>
      <c r="P32" s="31">
        <f>P31*P38</f>
        <v>13000</v>
      </c>
      <c r="Q32" s="31"/>
      <c r="R32" s="124">
        <f>R31*R38</f>
        <v>81000</v>
      </c>
      <c r="S32" s="31"/>
      <c r="T32" s="31"/>
      <c r="U32" s="164"/>
      <c r="V32" s="31"/>
      <c r="W32" s="34"/>
      <c r="X32" s="5"/>
    </row>
    <row r="33" spans="1:24" ht="15.6" x14ac:dyDescent="0.3">
      <c r="A33" s="24"/>
      <c r="B33" s="29" t="s">
        <v>137</v>
      </c>
      <c r="C33" s="32"/>
      <c r="D33" s="151">
        <f>D37*D31</f>
        <v>1442184</v>
      </c>
      <c r="E33" s="36"/>
      <c r="F33" s="35">
        <f>F37*F31</f>
        <v>120182</v>
      </c>
      <c r="G33" s="35"/>
      <c r="H33" s="125">
        <f>H31*H37</f>
        <v>302858.64</v>
      </c>
      <c r="I33" s="125"/>
      <c r="J33" s="151">
        <f>J37*J31</f>
        <v>336509.6</v>
      </c>
      <c r="K33" s="35"/>
      <c r="L33" s="35">
        <f>L31*L37</f>
        <v>56000</v>
      </c>
      <c r="M33" s="35"/>
      <c r="N33" s="125">
        <f>N31*N37</f>
        <v>84000</v>
      </c>
      <c r="O33" s="35"/>
      <c r="P33" s="35">
        <f>P31*P37</f>
        <v>13000</v>
      </c>
      <c r="Q33" s="35"/>
      <c r="R33" s="125">
        <f>R31*R37</f>
        <v>81000</v>
      </c>
      <c r="S33" s="31"/>
      <c r="T33" s="31"/>
      <c r="U33" s="164"/>
      <c r="V33" s="31"/>
      <c r="W33" s="34"/>
      <c r="X33" s="5"/>
    </row>
    <row r="34" spans="1:24" ht="15.6" x14ac:dyDescent="0.3">
      <c r="A34" s="28"/>
      <c r="B34" s="25" t="s">
        <v>298</v>
      </c>
      <c r="C34" s="36"/>
      <c r="D34" s="31">
        <v>797872</v>
      </c>
      <c r="E34" s="32"/>
      <c r="F34" s="31">
        <v>125000</v>
      </c>
      <c r="G34" s="31"/>
      <c r="H34" s="31">
        <v>211409</v>
      </c>
      <c r="I34" s="31"/>
      <c r="J34" s="31">
        <v>186170</v>
      </c>
      <c r="K34" s="31"/>
      <c r="L34" s="31">
        <v>56000</v>
      </c>
      <c r="M34" s="31"/>
      <c r="N34" s="31">
        <v>56376</v>
      </c>
      <c r="O34" s="31"/>
      <c r="P34" s="31">
        <v>13000</v>
      </c>
      <c r="Q34" s="31"/>
      <c r="R34" s="31">
        <v>54363</v>
      </c>
      <c r="S34" s="35"/>
      <c r="T34" s="35"/>
      <c r="U34" s="37"/>
      <c r="V34" s="154">
        <f>SUM(C34:R34)</f>
        <v>1500190</v>
      </c>
      <c r="W34" s="34"/>
      <c r="X34" s="5"/>
    </row>
    <row r="35" spans="1:24" ht="15.6" x14ac:dyDescent="0.3">
      <c r="A35" s="28"/>
      <c r="B35" s="25" t="s">
        <v>299</v>
      </c>
      <c r="C35" s="126"/>
      <c r="D35" s="31">
        <f>D34*D38</f>
        <v>785698.06902399997</v>
      </c>
      <c r="E35" s="32"/>
      <c r="F35" s="31">
        <f>F34*F38</f>
        <v>123092.75</v>
      </c>
      <c r="G35" s="31"/>
      <c r="H35" s="31">
        <f>H34*H38</f>
        <v>208183.321478</v>
      </c>
      <c r="I35" s="31"/>
      <c r="J35" s="31">
        <f>J34*J38</f>
        <v>183329.41813999999</v>
      </c>
      <c r="K35" s="31"/>
      <c r="L35" s="31">
        <f>L34*L38</f>
        <v>56000</v>
      </c>
      <c r="M35" s="31"/>
      <c r="N35" s="31">
        <f>N34*N38</f>
        <v>56376</v>
      </c>
      <c r="O35" s="31"/>
      <c r="P35" s="31">
        <f>P34*P38</f>
        <v>13000</v>
      </c>
      <c r="Q35" s="31"/>
      <c r="R35" s="31">
        <f>R34*R38</f>
        <v>54363</v>
      </c>
      <c r="S35" s="31"/>
      <c r="T35" s="31"/>
      <c r="U35" s="164"/>
      <c r="V35" s="154">
        <f>SUM(C35:R35)</f>
        <v>1480042.558642</v>
      </c>
      <c r="W35" s="34"/>
      <c r="X35" s="5"/>
    </row>
    <row r="36" spans="1:24" ht="15.6" x14ac:dyDescent="0.3">
      <c r="A36" s="28"/>
      <c r="B36" s="29" t="s">
        <v>304</v>
      </c>
      <c r="C36" s="126"/>
      <c r="D36" s="35">
        <f>D34*D37</f>
        <v>767118.82163200004</v>
      </c>
      <c r="E36" s="36"/>
      <c r="F36" s="35">
        <f>F34*F37</f>
        <v>120182</v>
      </c>
      <c r="G36" s="35"/>
      <c r="H36" s="35">
        <f>H34*H37</f>
        <v>203260.451504</v>
      </c>
      <c r="I36" s="35"/>
      <c r="J36" s="35">
        <f>J34*J37</f>
        <v>178994.26352000001</v>
      </c>
      <c r="K36" s="35"/>
      <c r="L36" s="35">
        <v>56000</v>
      </c>
      <c r="M36" s="35"/>
      <c r="N36" s="35">
        <v>56376</v>
      </c>
      <c r="O36" s="35"/>
      <c r="P36" s="35">
        <v>13000</v>
      </c>
      <c r="Q36" s="35"/>
      <c r="R36" s="35">
        <v>54363</v>
      </c>
      <c r="S36" s="128"/>
      <c r="T36" s="128"/>
      <c r="U36" s="164"/>
      <c r="V36" s="155">
        <f>SUM(C36:R36)-1</f>
        <v>1449293.5366560002</v>
      </c>
      <c r="W36" s="34"/>
      <c r="X36" s="5"/>
    </row>
    <row r="37" spans="1:24" ht="15.6" x14ac:dyDescent="0.3">
      <c r="A37" s="24"/>
      <c r="B37" s="122" t="s">
        <v>133</v>
      </c>
      <c r="C37" s="25"/>
      <c r="D37" s="135">
        <v>0.96145599999999998</v>
      </c>
      <c r="E37" s="136"/>
      <c r="F37" s="135">
        <v>0.96145599999999998</v>
      </c>
      <c r="G37" s="135"/>
      <c r="H37" s="135">
        <v>0.96145599999999998</v>
      </c>
      <c r="I37" s="135"/>
      <c r="J37" s="135">
        <v>0.96145599999999998</v>
      </c>
      <c r="K37" s="135"/>
      <c r="L37" s="135">
        <v>1</v>
      </c>
      <c r="M37" s="135"/>
      <c r="N37" s="135">
        <v>1</v>
      </c>
      <c r="O37" s="135"/>
      <c r="P37" s="135">
        <v>1</v>
      </c>
      <c r="Q37" s="135"/>
      <c r="R37" s="135">
        <v>1</v>
      </c>
      <c r="S37" s="30"/>
      <c r="T37" s="30"/>
      <c r="U37" s="163"/>
      <c r="V37" s="163"/>
      <c r="W37" s="25"/>
      <c r="X37" s="5"/>
    </row>
    <row r="38" spans="1:24" ht="15.6" x14ac:dyDescent="0.3">
      <c r="A38" s="24"/>
      <c r="B38" s="122" t="s">
        <v>134</v>
      </c>
      <c r="C38" s="25"/>
      <c r="D38" s="135">
        <v>0.98474200000000001</v>
      </c>
      <c r="E38" s="136"/>
      <c r="F38" s="135">
        <v>0.98474200000000001</v>
      </c>
      <c r="G38" s="135"/>
      <c r="H38" s="135">
        <v>0.98474200000000001</v>
      </c>
      <c r="I38" s="135"/>
      <c r="J38" s="135">
        <v>0.98474200000000001</v>
      </c>
      <c r="K38" s="135"/>
      <c r="L38" s="135">
        <v>1</v>
      </c>
      <c r="M38" s="135"/>
      <c r="N38" s="135">
        <v>1</v>
      </c>
      <c r="O38" s="135"/>
      <c r="P38" s="135">
        <v>1</v>
      </c>
      <c r="Q38" s="135"/>
      <c r="R38" s="135">
        <v>1</v>
      </c>
      <c r="S38" s="39"/>
      <c r="T38" s="38"/>
      <c r="U38" s="163"/>
      <c r="V38" s="39"/>
      <c r="W38" s="25"/>
      <c r="X38" s="5"/>
    </row>
    <row r="39" spans="1:24" ht="15.6" x14ac:dyDescent="0.3">
      <c r="A39" s="24"/>
      <c r="B39" s="25" t="s">
        <v>11</v>
      </c>
      <c r="C39" s="25"/>
      <c r="D39" s="30" t="s">
        <v>250</v>
      </c>
      <c r="E39" s="25"/>
      <c r="F39" s="30" t="s">
        <v>225</v>
      </c>
      <c r="G39" s="30"/>
      <c r="H39" s="30" t="s">
        <v>225</v>
      </c>
      <c r="I39" s="30"/>
      <c r="J39" s="30" t="s">
        <v>251</v>
      </c>
      <c r="K39" s="30"/>
      <c r="L39" s="30" t="s">
        <v>252</v>
      </c>
      <c r="M39" s="30"/>
      <c r="N39" s="30" t="s">
        <v>253</v>
      </c>
      <c r="O39" s="30"/>
      <c r="P39" s="30" t="s">
        <v>254</v>
      </c>
      <c r="Q39" s="30"/>
      <c r="R39" s="30" t="s">
        <v>255</v>
      </c>
      <c r="S39" s="39"/>
      <c r="T39" s="38"/>
      <c r="U39" s="163"/>
      <c r="V39" s="163"/>
      <c r="W39" s="25"/>
      <c r="X39" s="5"/>
    </row>
    <row r="40" spans="1:24" ht="15.6" x14ac:dyDescent="0.3">
      <c r="A40" s="24"/>
      <c r="B40" s="25" t="s">
        <v>12</v>
      </c>
      <c r="C40" s="25"/>
      <c r="D40" s="38">
        <v>5.3100000000000001E-2</v>
      </c>
      <c r="E40" s="25"/>
      <c r="F40" s="38">
        <v>5.6731299999999998E-2</v>
      </c>
      <c r="G40" s="39"/>
      <c r="H40" s="38">
        <v>3.8649999999999997E-2</v>
      </c>
      <c r="I40" s="38"/>
      <c r="J40" s="38">
        <v>5.45E-2</v>
      </c>
      <c r="K40" s="39"/>
      <c r="L40" s="38">
        <v>5.75313E-2</v>
      </c>
      <c r="M40" s="39"/>
      <c r="N40" s="38">
        <v>3.9350000000000003E-2</v>
      </c>
      <c r="O40" s="39"/>
      <c r="P40" s="38">
        <v>5.9531300000000002E-2</v>
      </c>
      <c r="Q40" s="39"/>
      <c r="R40" s="38">
        <v>4.1349999999999998E-2</v>
      </c>
      <c r="S40" s="39"/>
      <c r="T40" s="38"/>
      <c r="U40" s="163"/>
      <c r="V40" s="30"/>
      <c r="W40" s="25"/>
      <c r="X40" s="5"/>
    </row>
    <row r="41" spans="1:24" ht="15.6" x14ac:dyDescent="0.3">
      <c r="A41" s="24"/>
      <c r="B41" s="25" t="s">
        <v>13</v>
      </c>
      <c r="C41" s="25"/>
      <c r="D41" s="38">
        <v>5.3400000000000003E-2</v>
      </c>
      <c r="E41" s="25"/>
      <c r="F41" s="38">
        <v>5.2691700000000001E-2</v>
      </c>
      <c r="G41" s="39"/>
      <c r="H41" s="38">
        <v>3.6170000000000001E-2</v>
      </c>
      <c r="I41" s="38"/>
      <c r="J41" s="38">
        <v>5.4600000000000003E-2</v>
      </c>
      <c r="K41" s="39"/>
      <c r="L41" s="38">
        <v>5.3491700000000003E-2</v>
      </c>
      <c r="M41" s="39"/>
      <c r="N41" s="38">
        <v>3.687E-2</v>
      </c>
      <c r="O41" s="39"/>
      <c r="P41" s="38">
        <v>5.5491699999999998E-2</v>
      </c>
      <c r="Q41" s="39"/>
      <c r="R41" s="38">
        <v>3.8870000000000002E-2</v>
      </c>
      <c r="S41" s="39"/>
      <c r="T41" s="38"/>
      <c r="U41" s="163"/>
      <c r="V41" s="39" t="s">
        <v>196</v>
      </c>
      <c r="W41" s="25"/>
      <c r="X41" s="5"/>
    </row>
    <row r="42" spans="1:24" ht="15.6" x14ac:dyDescent="0.3">
      <c r="A42" s="24"/>
      <c r="B42" s="25" t="s">
        <v>300</v>
      </c>
      <c r="C42" s="25"/>
      <c r="D42" s="30" t="s">
        <v>286</v>
      </c>
      <c r="E42" s="25"/>
      <c r="F42" s="30" t="s">
        <v>225</v>
      </c>
      <c r="G42" s="30"/>
      <c r="H42" s="30" t="s">
        <v>263</v>
      </c>
      <c r="I42" s="30"/>
      <c r="J42" s="30" t="s">
        <v>262</v>
      </c>
      <c r="K42" s="30"/>
      <c r="L42" s="30" t="s">
        <v>252</v>
      </c>
      <c r="M42" s="30"/>
      <c r="N42" s="30" t="s">
        <v>264</v>
      </c>
      <c r="O42" s="30"/>
      <c r="P42" s="30" t="s">
        <v>254</v>
      </c>
      <c r="Q42" s="30"/>
      <c r="R42" s="30" t="s">
        <v>260</v>
      </c>
      <c r="S42" s="39"/>
      <c r="T42" s="38"/>
      <c r="U42" s="163"/>
      <c r="V42" s="163"/>
      <c r="W42" s="25"/>
      <c r="X42" s="5"/>
    </row>
    <row r="43" spans="1:24" ht="15.6" x14ac:dyDescent="0.3">
      <c r="A43" s="24"/>
      <c r="B43" s="25" t="s">
        <v>301</v>
      </c>
      <c r="C43" s="110"/>
      <c r="D43" s="38">
        <v>5.5745799999999998E-2</v>
      </c>
      <c r="E43" s="38"/>
      <c r="F43" s="38">
        <f>+F40</f>
        <v>5.6731299999999998E-2</v>
      </c>
      <c r="G43" s="38"/>
      <c r="H43" s="38">
        <v>5.6853300000000002E-2</v>
      </c>
      <c r="I43" s="38"/>
      <c r="J43" s="38">
        <v>5.6771299999999997E-2</v>
      </c>
      <c r="K43" s="38"/>
      <c r="L43" s="38">
        <f>+L40</f>
        <v>5.75313E-2</v>
      </c>
      <c r="M43" s="38"/>
      <c r="N43" s="38">
        <v>5.76213E-2</v>
      </c>
      <c r="O43" s="38"/>
      <c r="P43" s="38">
        <v>5.9531300000000002E-2</v>
      </c>
      <c r="Q43" s="39"/>
      <c r="R43" s="38">
        <v>5.9731300000000001E-2</v>
      </c>
      <c r="S43" s="30"/>
      <c r="T43" s="30"/>
      <c r="U43" s="163"/>
      <c r="V43" s="39">
        <f>SUMPRODUCT(D43:R43,D35:R35)/V35</f>
        <v>5.642920715647564E-2</v>
      </c>
      <c r="W43" s="25"/>
      <c r="X43" s="5"/>
    </row>
    <row r="44" spans="1:24" ht="15.6" x14ac:dyDescent="0.3">
      <c r="A44" s="24"/>
      <c r="B44" s="25" t="s">
        <v>302</v>
      </c>
      <c r="C44" s="110"/>
      <c r="D44" s="38">
        <v>5.1706200000000001E-2</v>
      </c>
      <c r="E44" s="38"/>
      <c r="F44" s="38">
        <f>+F41</f>
        <v>5.2691700000000001E-2</v>
      </c>
      <c r="G44" s="38"/>
      <c r="H44" s="38">
        <v>5.2813699999999998E-2</v>
      </c>
      <c r="I44" s="38"/>
      <c r="J44" s="38">
        <v>5.2731699999999999E-2</v>
      </c>
      <c r="K44" s="38"/>
      <c r="L44" s="38">
        <f>+L41</f>
        <v>5.3491700000000003E-2</v>
      </c>
      <c r="M44" s="38"/>
      <c r="N44" s="38">
        <v>5.3581700000000003E-2</v>
      </c>
      <c r="O44" s="38"/>
      <c r="P44" s="38">
        <f>+P41</f>
        <v>5.5491699999999998E-2</v>
      </c>
      <c r="Q44" s="39"/>
      <c r="R44" s="38">
        <v>5.5691699999999997E-2</v>
      </c>
      <c r="S44" s="30"/>
      <c r="T44" s="30"/>
      <c r="U44" s="163"/>
      <c r="V44" s="163"/>
      <c r="W44" s="25"/>
      <c r="X44" s="5"/>
    </row>
    <row r="45" spans="1:24" ht="15.6" x14ac:dyDescent="0.3">
      <c r="A45" s="24"/>
      <c r="B45" s="25" t="s">
        <v>14</v>
      </c>
      <c r="C45" s="25"/>
      <c r="D45" s="110">
        <v>40466</v>
      </c>
      <c r="E45" s="110"/>
      <c r="F45" s="110">
        <v>40466</v>
      </c>
      <c r="G45" s="110"/>
      <c r="H45" s="110">
        <v>40466</v>
      </c>
      <c r="I45" s="110"/>
      <c r="J45" s="110">
        <v>40466</v>
      </c>
      <c r="K45" s="110"/>
      <c r="L45" s="110">
        <v>40466</v>
      </c>
      <c r="M45" s="110"/>
      <c r="N45" s="110">
        <v>40466</v>
      </c>
      <c r="O45" s="110"/>
      <c r="P45" s="110">
        <v>40466</v>
      </c>
      <c r="Q45" s="110"/>
      <c r="R45" s="110">
        <v>40466</v>
      </c>
      <c r="S45" s="30"/>
      <c r="T45" s="30"/>
      <c r="U45" s="163"/>
      <c r="V45" s="163"/>
      <c r="W45" s="25"/>
      <c r="X45" s="5"/>
    </row>
    <row r="46" spans="1:24" ht="15.6" x14ac:dyDescent="0.3">
      <c r="A46" s="24"/>
      <c r="B46" s="25" t="s">
        <v>15</v>
      </c>
      <c r="C46" s="25"/>
      <c r="D46" s="110" t="s">
        <v>121</v>
      </c>
      <c r="E46" s="110"/>
      <c r="F46" s="110">
        <v>40831</v>
      </c>
      <c r="G46" s="110"/>
      <c r="H46" s="110">
        <v>40831</v>
      </c>
      <c r="I46" s="110"/>
      <c r="J46" s="110">
        <v>40831</v>
      </c>
      <c r="K46" s="30"/>
      <c r="L46" s="110">
        <v>40831</v>
      </c>
      <c r="M46" s="30"/>
      <c r="N46" s="110">
        <v>40831</v>
      </c>
      <c r="O46" s="30"/>
      <c r="P46" s="110">
        <v>40831</v>
      </c>
      <c r="Q46" s="30"/>
      <c r="R46" s="110">
        <v>40831</v>
      </c>
      <c r="S46" s="30"/>
      <c r="T46" s="30"/>
      <c r="U46" s="163"/>
      <c r="V46" s="163"/>
      <c r="W46" s="25"/>
      <c r="X46" s="5"/>
    </row>
    <row r="47" spans="1:24" ht="15.6" x14ac:dyDescent="0.3">
      <c r="A47" s="24"/>
      <c r="B47" s="25" t="s">
        <v>122</v>
      </c>
      <c r="C47" s="25"/>
      <c r="D47" s="160" t="s">
        <v>121</v>
      </c>
      <c r="E47" s="25"/>
      <c r="F47" s="30" t="s">
        <v>226</v>
      </c>
      <c r="G47" s="30"/>
      <c r="H47" s="30" t="s">
        <v>226</v>
      </c>
      <c r="I47" s="30"/>
      <c r="J47" s="30" t="s">
        <v>256</v>
      </c>
      <c r="K47" s="30"/>
      <c r="L47" s="30" t="s">
        <v>254</v>
      </c>
      <c r="M47" s="30"/>
      <c r="N47" s="30" t="s">
        <v>257</v>
      </c>
      <c r="O47" s="30"/>
      <c r="P47" s="30" t="s">
        <v>258</v>
      </c>
      <c r="Q47" s="30"/>
      <c r="R47" s="30" t="s">
        <v>259</v>
      </c>
      <c r="S47" s="40"/>
      <c r="T47" s="40"/>
      <c r="U47" s="40"/>
      <c r="V47" s="40"/>
      <c r="W47" s="25"/>
      <c r="X47" s="5"/>
    </row>
    <row r="48" spans="1:24" ht="15.6" x14ac:dyDescent="0.3">
      <c r="A48" s="24"/>
      <c r="B48" s="25" t="s">
        <v>303</v>
      </c>
      <c r="C48" s="25"/>
      <c r="D48" s="30" t="s">
        <v>203</v>
      </c>
      <c r="E48" s="25"/>
      <c r="F48" s="30" t="s">
        <v>226</v>
      </c>
      <c r="G48" s="30"/>
      <c r="H48" s="30" t="s">
        <v>227</v>
      </c>
      <c r="I48" s="30"/>
      <c r="J48" s="30" t="s">
        <v>237</v>
      </c>
      <c r="K48" s="30"/>
      <c r="L48" s="30" t="s">
        <v>254</v>
      </c>
      <c r="M48" s="30"/>
      <c r="N48" s="30" t="s">
        <v>260</v>
      </c>
      <c r="O48" s="30"/>
      <c r="P48" s="30" t="s">
        <v>258</v>
      </c>
      <c r="Q48" s="30"/>
      <c r="R48" s="30" t="s">
        <v>261</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196</v>
      </c>
      <c r="W49" s="25"/>
      <c r="X49" s="5"/>
    </row>
    <row r="50" spans="1:25" ht="15.6" x14ac:dyDescent="0.3">
      <c r="A50" s="24"/>
      <c r="B50" s="25" t="s">
        <v>172</v>
      </c>
      <c r="C50" s="25"/>
      <c r="D50" s="30"/>
      <c r="E50" s="25"/>
      <c r="F50" s="30"/>
      <c r="G50" s="30"/>
      <c r="H50" s="30"/>
      <c r="I50" s="30"/>
      <c r="J50" s="30"/>
      <c r="K50" s="30"/>
      <c r="L50" s="30"/>
      <c r="M50" s="30"/>
      <c r="N50" s="30"/>
      <c r="O50" s="30"/>
      <c r="P50" s="30"/>
      <c r="Q50" s="30"/>
      <c r="R50" s="30"/>
      <c r="S50" s="25"/>
      <c r="T50" s="25"/>
      <c r="U50" s="25"/>
      <c r="V50" s="39">
        <f>SUM(L34:R34)/SUM(D34:J34)</f>
        <v>0.13611940162868597</v>
      </c>
      <c r="W50" s="25"/>
      <c r="X50" s="5"/>
    </row>
    <row r="51" spans="1:25" ht="15.6" x14ac:dyDescent="0.3">
      <c r="A51" s="24"/>
      <c r="B51" s="25" t="s">
        <v>173</v>
      </c>
      <c r="C51" s="25"/>
      <c r="D51" s="25"/>
      <c r="E51" s="25"/>
      <c r="F51" s="41"/>
      <c r="G51" s="25"/>
      <c r="H51" s="25"/>
      <c r="I51" s="25"/>
      <c r="J51" s="25"/>
      <c r="K51" s="25"/>
      <c r="L51" s="25"/>
      <c r="M51" s="25"/>
      <c r="N51" s="25"/>
      <c r="O51" s="25"/>
      <c r="P51" s="25"/>
      <c r="Q51" s="25"/>
      <c r="R51" s="25"/>
      <c r="S51" s="25"/>
      <c r="T51" s="25"/>
      <c r="U51" s="25"/>
      <c r="V51" s="39">
        <f>SUM(L36:R36)/SUM(D36:J36)</f>
        <v>0.14157631927897474</v>
      </c>
      <c r="W51" s="25"/>
      <c r="X51" s="5"/>
    </row>
    <row r="52" spans="1:25" ht="15.6" x14ac:dyDescent="0.3">
      <c r="A52" s="24"/>
      <c r="B52" s="25" t="s">
        <v>174</v>
      </c>
      <c r="C52" s="25"/>
      <c r="D52" s="25"/>
      <c r="E52" s="25"/>
      <c r="F52" s="25"/>
      <c r="G52" s="25"/>
      <c r="H52" s="25"/>
      <c r="I52" s="25"/>
      <c r="J52" s="25"/>
      <c r="K52" s="25"/>
      <c r="L52" s="25"/>
      <c r="M52" s="25"/>
      <c r="N52" s="25"/>
      <c r="O52" s="25"/>
      <c r="P52" s="25"/>
      <c r="Q52" s="25"/>
      <c r="R52" s="25"/>
      <c r="S52" s="25"/>
      <c r="T52" s="30" t="s">
        <v>107</v>
      </c>
      <c r="U52" s="30" t="s">
        <v>112</v>
      </c>
      <c r="V52" s="31">
        <f>+V34/2-SUM(L34:R34)</f>
        <v>570356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205</v>
      </c>
      <c r="C54" s="25"/>
      <c r="D54" s="25"/>
      <c r="E54" s="25"/>
      <c r="F54" s="25"/>
      <c r="G54" s="25"/>
      <c r="H54" s="25"/>
      <c r="I54" s="25"/>
      <c r="J54" s="25"/>
      <c r="K54" s="25"/>
      <c r="L54" s="25"/>
      <c r="M54" s="25"/>
      <c r="N54" s="25"/>
      <c r="O54" s="25"/>
      <c r="P54" s="25"/>
      <c r="Q54" s="25"/>
      <c r="R54" s="25"/>
      <c r="S54" s="25"/>
      <c r="T54" s="25"/>
      <c r="U54" s="25"/>
      <c r="V54" s="156" t="s">
        <v>206</v>
      </c>
      <c r="W54" s="25"/>
      <c r="X54" s="5"/>
    </row>
    <row r="55" spans="1:25" ht="15.6" x14ac:dyDescent="0.3">
      <c r="A55" s="24"/>
      <c r="B55" s="25" t="s">
        <v>236</v>
      </c>
      <c r="C55" s="25"/>
      <c r="D55" s="25"/>
      <c r="E55" s="25"/>
      <c r="F55" s="25"/>
      <c r="G55" s="25"/>
      <c r="H55" s="25"/>
      <c r="I55" s="25"/>
      <c r="J55" s="25"/>
      <c r="K55" s="25"/>
      <c r="L55" s="25"/>
      <c r="M55" s="25"/>
      <c r="N55" s="25"/>
      <c r="O55" s="25"/>
      <c r="P55" s="25"/>
      <c r="Q55" s="25"/>
      <c r="R55" s="25"/>
      <c r="S55" s="25"/>
      <c r="T55" s="30"/>
      <c r="U55" s="30"/>
      <c r="V55" s="157" t="s">
        <v>114</v>
      </c>
      <c r="W55" s="25"/>
      <c r="X55" s="5"/>
    </row>
    <row r="56" spans="1:25" ht="15.6" x14ac:dyDescent="0.3">
      <c r="A56" s="24"/>
      <c r="B56" s="29" t="s">
        <v>204</v>
      </c>
      <c r="C56" s="29"/>
      <c r="D56" s="29"/>
      <c r="E56" s="29"/>
      <c r="F56" s="29"/>
      <c r="G56" s="29"/>
      <c r="H56" s="29"/>
      <c r="I56" s="29"/>
      <c r="J56" s="29"/>
      <c r="K56" s="29"/>
      <c r="L56" s="29"/>
      <c r="M56" s="29"/>
      <c r="N56" s="29"/>
      <c r="O56" s="29"/>
      <c r="P56" s="29"/>
      <c r="Q56" s="29"/>
      <c r="R56" s="29"/>
      <c r="S56" s="29"/>
      <c r="T56" s="43"/>
      <c r="U56" s="43"/>
      <c r="V56" s="44">
        <v>39188</v>
      </c>
      <c r="W56" s="25"/>
      <c r="X56" s="5"/>
    </row>
    <row r="57" spans="1:25" ht="15.6" x14ac:dyDescent="0.3">
      <c r="A57" s="24"/>
      <c r="B57" s="25" t="s">
        <v>124</v>
      </c>
      <c r="C57" s="25"/>
      <c r="D57" s="25"/>
      <c r="E57" s="25"/>
      <c r="F57" s="25"/>
      <c r="G57" s="25"/>
      <c r="H57" s="58"/>
      <c r="I57" s="58"/>
      <c r="J57" s="58"/>
      <c r="K57" s="58"/>
      <c r="L57" s="58"/>
      <c r="M57" s="58"/>
      <c r="N57" s="58"/>
      <c r="O57" s="58"/>
      <c r="P57" s="58"/>
      <c r="Q57" s="58"/>
      <c r="R57" s="25">
        <f>+V57-T57+1</f>
        <v>82</v>
      </c>
      <c r="S57" s="58"/>
      <c r="T57" s="45">
        <v>39016</v>
      </c>
      <c r="U57" s="46"/>
      <c r="V57" s="45">
        <v>39097</v>
      </c>
      <c r="W57" s="25"/>
      <c r="X57" s="5"/>
    </row>
    <row r="58" spans="1:25" ht="15.6" x14ac:dyDescent="0.3">
      <c r="A58" s="24"/>
      <c r="B58" s="25" t="s">
        <v>125</v>
      </c>
      <c r="C58" s="25"/>
      <c r="D58" s="25"/>
      <c r="E58" s="25"/>
      <c r="F58" s="25"/>
      <c r="G58" s="25"/>
      <c r="H58" s="25"/>
      <c r="I58" s="25"/>
      <c r="J58" s="25"/>
      <c r="K58" s="25"/>
      <c r="L58" s="25"/>
      <c r="M58" s="25"/>
      <c r="N58" s="25"/>
      <c r="O58" s="25"/>
      <c r="P58" s="25"/>
      <c r="Q58" s="25"/>
      <c r="R58" s="25">
        <f>+V58-T58+1</f>
        <v>90</v>
      </c>
      <c r="S58" s="25"/>
      <c r="T58" s="45">
        <v>39098</v>
      </c>
      <c r="U58" s="46"/>
      <c r="V58" s="45">
        <v>39187</v>
      </c>
      <c r="W58" s="25"/>
      <c r="X58" s="5"/>
    </row>
    <row r="59" spans="1:25" ht="15.6" x14ac:dyDescent="0.3">
      <c r="A59" s="24"/>
      <c r="B59" s="25" t="s">
        <v>235</v>
      </c>
      <c r="C59" s="25"/>
      <c r="D59" s="25"/>
      <c r="E59" s="25"/>
      <c r="F59" s="25"/>
      <c r="G59" s="25"/>
      <c r="H59" s="25"/>
      <c r="I59" s="25"/>
      <c r="J59" s="25"/>
      <c r="K59" s="25"/>
      <c r="L59" s="25"/>
      <c r="M59" s="25"/>
      <c r="N59" s="25"/>
      <c r="O59" s="25"/>
      <c r="P59" s="25"/>
      <c r="Q59" s="25"/>
      <c r="R59" s="25"/>
      <c r="S59" s="25"/>
      <c r="T59" s="45"/>
      <c r="U59" s="46"/>
      <c r="V59" s="45" t="s">
        <v>123</v>
      </c>
      <c r="W59" s="25"/>
      <c r="X59" s="5"/>
    </row>
    <row r="60" spans="1:25" ht="15.6" x14ac:dyDescent="0.3">
      <c r="A60" s="24"/>
      <c r="B60" s="25" t="s">
        <v>234</v>
      </c>
      <c r="C60" s="25"/>
      <c r="D60" s="25"/>
      <c r="E60" s="25"/>
      <c r="F60" s="25"/>
      <c r="G60" s="25"/>
      <c r="H60" s="25"/>
      <c r="I60" s="25"/>
      <c r="J60" s="25"/>
      <c r="K60" s="25"/>
      <c r="L60" s="25"/>
      <c r="M60" s="25"/>
      <c r="N60" s="25"/>
      <c r="O60" s="25"/>
      <c r="P60" s="25"/>
      <c r="Q60" s="25"/>
      <c r="R60" s="25"/>
      <c r="S60" s="25"/>
      <c r="T60" s="45"/>
      <c r="U60" s="46"/>
      <c r="V60" s="45" t="s">
        <v>157</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39174</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276</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95</v>
      </c>
      <c r="M68" s="115"/>
      <c r="N68" s="115" t="s">
        <v>97</v>
      </c>
      <c r="O68" s="115"/>
      <c r="P68" s="115" t="s">
        <v>99</v>
      </c>
      <c r="Q68" s="115"/>
      <c r="R68" s="115" t="s">
        <v>101</v>
      </c>
      <c r="S68" s="115"/>
      <c r="T68" s="115" t="s">
        <v>108</v>
      </c>
      <c r="U68" s="115"/>
      <c r="V68" s="116" t="s">
        <v>115</v>
      </c>
      <c r="W68" s="117"/>
      <c r="X68" s="5"/>
    </row>
    <row r="69" spans="1:24" ht="15.6" x14ac:dyDescent="0.3">
      <c r="A69" s="24"/>
      <c r="B69" s="25" t="s">
        <v>19</v>
      </c>
      <c r="C69" s="34"/>
      <c r="D69" s="34"/>
      <c r="E69" s="34"/>
      <c r="F69" s="34"/>
      <c r="G69" s="34"/>
      <c r="H69" s="34"/>
      <c r="I69" s="34"/>
      <c r="J69" s="34"/>
      <c r="K69" s="34"/>
      <c r="L69" s="34">
        <f>1085286</f>
        <v>1085286</v>
      </c>
      <c r="M69" s="34"/>
      <c r="N69" s="53">
        <v>1480042</v>
      </c>
      <c r="O69" s="34"/>
      <c r="P69" s="34">
        <f>30748+6328+4685</f>
        <v>41761</v>
      </c>
      <c r="Q69" s="34"/>
      <c r="R69" s="34">
        <f>6328+4685</f>
        <v>11013</v>
      </c>
      <c r="S69" s="34"/>
      <c r="T69" s="34">
        <v>0</v>
      </c>
      <c r="U69" s="34"/>
      <c r="V69" s="53">
        <f>+N69-P69+R69-T69</f>
        <v>1449294</v>
      </c>
      <c r="W69" s="25"/>
      <c r="X69" s="5"/>
    </row>
    <row r="70" spans="1:24" ht="15.6" x14ac:dyDescent="0.3">
      <c r="A70" s="24"/>
      <c r="B70" s="25" t="s">
        <v>20</v>
      </c>
      <c r="C70" s="34"/>
      <c r="D70" s="34"/>
      <c r="E70" s="34"/>
      <c r="F70" s="34"/>
      <c r="G70" s="34"/>
      <c r="H70" s="34"/>
      <c r="I70" s="34"/>
      <c r="J70" s="34"/>
      <c r="K70" s="34"/>
      <c r="L70" s="34">
        <v>35</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1085321</v>
      </c>
      <c r="M72" s="34"/>
      <c r="N72" s="54">
        <f>N69+N70</f>
        <v>1480042</v>
      </c>
      <c r="O72" s="34"/>
      <c r="P72" s="34">
        <f>SUM(P69:P71)</f>
        <v>41761</v>
      </c>
      <c r="Q72" s="34"/>
      <c r="R72" s="34">
        <f>SUM(R69:R71)</f>
        <v>11013</v>
      </c>
      <c r="S72" s="34"/>
      <c r="T72" s="34">
        <f>SUM(T69:T71)</f>
        <v>0</v>
      </c>
      <c r="U72" s="34"/>
      <c r="V72" s="54">
        <f>SUM(V69:V71)</f>
        <v>1449294</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120</v>
      </c>
      <c r="C82" s="34"/>
      <c r="D82" s="34"/>
      <c r="E82" s="34"/>
      <c r="F82" s="34"/>
      <c r="G82" s="34"/>
      <c r="H82" s="34"/>
      <c r="I82" s="34"/>
      <c r="J82" s="34"/>
      <c r="K82" s="34"/>
      <c r="L82" s="34">
        <f>414862+7</f>
        <v>414869</v>
      </c>
      <c r="M82" s="34"/>
      <c r="N82" s="34">
        <v>0</v>
      </c>
      <c r="O82" s="34"/>
      <c r="P82" s="34">
        <v>0</v>
      </c>
      <c r="Q82" s="34"/>
      <c r="R82" s="34"/>
      <c r="S82" s="34"/>
      <c r="T82" s="34"/>
      <c r="U82" s="34"/>
      <c r="V82" s="54">
        <f>SUM(N82:R82)</f>
        <v>0</v>
      </c>
      <c r="W82" s="25"/>
      <c r="X82" s="5"/>
    </row>
    <row r="83" spans="1:24" ht="15.6" x14ac:dyDescent="0.3">
      <c r="A83" s="24"/>
      <c r="B83" s="25" t="s">
        <v>149</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1500190</v>
      </c>
      <c r="M85" s="34"/>
      <c r="N85" s="54">
        <f>SUM(N72:N84)</f>
        <v>1480042</v>
      </c>
      <c r="O85" s="34"/>
      <c r="P85" s="34"/>
      <c r="Q85" s="34"/>
      <c r="R85" s="34"/>
      <c r="S85" s="34"/>
      <c r="T85" s="54"/>
      <c r="U85" s="34"/>
      <c r="V85" s="54">
        <f>SUM(V72:V84)</f>
        <v>1449294</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96</v>
      </c>
      <c r="M88" s="17"/>
      <c r="N88" s="158">
        <f>+T197</f>
        <v>39171</v>
      </c>
      <c r="O88" s="17"/>
      <c r="P88" s="17"/>
      <c r="Q88" s="17"/>
      <c r="R88" s="17"/>
      <c r="S88" s="17"/>
      <c r="T88" s="17" t="s">
        <v>109</v>
      </c>
      <c r="U88" s="17"/>
      <c r="V88" s="17" t="s">
        <v>116</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v>41761</v>
      </c>
      <c r="U90" s="25"/>
      <c r="V90" s="53"/>
      <c r="W90" s="25"/>
      <c r="X90" s="5"/>
    </row>
    <row r="91" spans="1:24" ht="15.6" x14ac:dyDescent="0.3">
      <c r="A91" s="24"/>
      <c r="B91" s="25" t="s">
        <v>219</v>
      </c>
      <c r="C91" s="25"/>
      <c r="D91" s="25"/>
      <c r="E91" s="25"/>
      <c r="F91" s="25"/>
      <c r="G91" s="25"/>
      <c r="H91" s="40"/>
      <c r="I91" s="40"/>
      <c r="J91" s="40"/>
      <c r="K91" s="57"/>
      <c r="L91" s="40"/>
      <c r="M91" s="25"/>
      <c r="N91" s="127"/>
      <c r="O91" s="25"/>
      <c r="P91" s="25"/>
      <c r="Q91" s="25"/>
      <c r="R91" s="25"/>
      <c r="S91" s="25"/>
      <c r="T91" s="34"/>
      <c r="U91" s="25"/>
      <c r="V91" s="53">
        <f>11707+10453-433-3604-47</f>
        <v>18076</v>
      </c>
      <c r="W91" s="25"/>
      <c r="X91" s="5"/>
    </row>
    <row r="92" spans="1:24" ht="15.6" x14ac:dyDescent="0.3">
      <c r="A92" s="24"/>
      <c r="B92" s="25" t="s">
        <v>214</v>
      </c>
      <c r="C92" s="25"/>
      <c r="D92" s="25"/>
      <c r="E92" s="25"/>
      <c r="F92" s="25"/>
      <c r="G92" s="25"/>
      <c r="H92" s="40"/>
      <c r="I92" s="40"/>
      <c r="J92" s="40"/>
      <c r="K92" s="57"/>
      <c r="L92" s="40"/>
      <c r="M92" s="25"/>
      <c r="N92" s="127"/>
      <c r="O92" s="25"/>
      <c r="P92" s="25"/>
      <c r="Q92" s="25"/>
      <c r="R92" s="25"/>
      <c r="S92" s="25"/>
      <c r="T92" s="34"/>
      <c r="U92" s="25"/>
      <c r="V92" s="53">
        <f>236+137</f>
        <v>373</v>
      </c>
      <c r="W92" s="25"/>
      <c r="X92" s="5"/>
    </row>
    <row r="93" spans="1:24" ht="15.6" x14ac:dyDescent="0.3">
      <c r="A93" s="24"/>
      <c r="B93" s="25" t="s">
        <v>215</v>
      </c>
      <c r="C93" s="25"/>
      <c r="D93" s="25"/>
      <c r="E93" s="25"/>
      <c r="F93" s="25"/>
      <c r="G93" s="25"/>
      <c r="H93" s="40"/>
      <c r="I93" s="40"/>
      <c r="J93" s="40"/>
      <c r="K93" s="57"/>
      <c r="L93" s="40"/>
      <c r="M93" s="25"/>
      <c r="N93" s="127"/>
      <c r="O93" s="25"/>
      <c r="P93" s="25"/>
      <c r="Q93" s="25"/>
      <c r="R93" s="25"/>
      <c r="S93" s="25"/>
      <c r="T93" s="34"/>
      <c r="U93" s="25"/>
      <c r="V93" s="53">
        <v>560</v>
      </c>
      <c r="W93" s="25"/>
      <c r="X93" s="5"/>
    </row>
    <row r="94" spans="1:24" ht="15.6" x14ac:dyDescent="0.3">
      <c r="A94" s="24"/>
      <c r="B94" s="25" t="s">
        <v>277</v>
      </c>
      <c r="C94" s="25"/>
      <c r="D94" s="25"/>
      <c r="E94" s="25"/>
      <c r="F94" s="25"/>
      <c r="G94" s="25"/>
      <c r="H94" s="40"/>
      <c r="I94" s="40"/>
      <c r="J94" s="40"/>
      <c r="K94" s="57"/>
      <c r="L94" s="40"/>
      <c r="M94" s="25"/>
      <c r="N94" s="127"/>
      <c r="O94" s="25"/>
      <c r="P94" s="25"/>
      <c r="Q94" s="25"/>
      <c r="R94" s="25"/>
      <c r="S94" s="25"/>
      <c r="T94" s="34"/>
      <c r="U94" s="25"/>
      <c r="V94" s="53">
        <v>635</v>
      </c>
      <c r="W94" s="25"/>
      <c r="X94" s="5"/>
    </row>
    <row r="95" spans="1:24" ht="15.6" x14ac:dyDescent="0.3">
      <c r="A95" s="24"/>
      <c r="B95" s="25" t="s">
        <v>138</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265</v>
      </c>
      <c r="C96" s="25"/>
      <c r="D96" s="25"/>
      <c r="E96" s="25"/>
      <c r="F96" s="25"/>
      <c r="G96" s="25"/>
      <c r="H96" s="25"/>
      <c r="I96" s="25"/>
      <c r="J96" s="25"/>
      <c r="K96" s="25"/>
      <c r="L96" s="25"/>
      <c r="M96" s="25"/>
      <c r="N96" s="25"/>
      <c r="O96" s="25"/>
      <c r="P96" s="25"/>
      <c r="Q96" s="25"/>
      <c r="R96" s="25"/>
      <c r="S96" s="25"/>
      <c r="T96" s="34"/>
      <c r="U96" s="25"/>
      <c r="V96" s="53">
        <v>4949</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41761</v>
      </c>
      <c r="U97" s="25"/>
      <c r="V97" s="54">
        <f>SUM(V89:V96)</f>
        <v>24593</v>
      </c>
      <c r="W97" s="25"/>
      <c r="X97" s="5"/>
    </row>
    <row r="98" spans="1:25" ht="15.6" x14ac:dyDescent="0.3">
      <c r="A98" s="24"/>
      <c r="B98" s="25" t="s">
        <v>164</v>
      </c>
      <c r="C98" s="25"/>
      <c r="D98" s="25"/>
      <c r="E98" s="25"/>
      <c r="F98" s="25"/>
      <c r="G98" s="25"/>
      <c r="H98" s="25"/>
      <c r="I98" s="25"/>
      <c r="J98" s="25"/>
      <c r="K98" s="25"/>
      <c r="L98" s="25"/>
      <c r="M98" s="25"/>
      <c r="N98" s="25"/>
      <c r="O98" s="25"/>
      <c r="P98" s="25"/>
      <c r="Q98" s="25"/>
      <c r="R98" s="25"/>
      <c r="S98" s="25"/>
      <c r="T98" s="34">
        <f>-V98</f>
        <v>-1634</v>
      </c>
      <c r="U98" s="25"/>
      <c r="V98" s="54">
        <v>1634</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32</v>
      </c>
      <c r="C100" s="25"/>
      <c r="D100" s="25"/>
      <c r="E100" s="25"/>
      <c r="F100" s="25"/>
      <c r="G100" s="25"/>
      <c r="H100" s="25"/>
      <c r="I100" s="25"/>
      <c r="J100" s="25"/>
      <c r="K100" s="25"/>
      <c r="L100" s="25"/>
      <c r="M100" s="25"/>
      <c r="N100" s="25"/>
      <c r="O100" s="25"/>
      <c r="P100" s="25"/>
      <c r="Q100" s="25"/>
      <c r="R100" s="25"/>
      <c r="S100" s="25"/>
      <c r="T100" s="34">
        <f>T97+T99+T98</f>
        <v>40127</v>
      </c>
      <c r="U100" s="25"/>
      <c r="V100" s="54">
        <f>V97+V99+V98</f>
        <v>26227</v>
      </c>
      <c r="W100" s="25"/>
      <c r="X100" s="5"/>
    </row>
    <row r="101" spans="1:25" ht="15.6" x14ac:dyDescent="0.3">
      <c r="A101" s="24"/>
      <c r="B101" s="118" t="s">
        <v>33</v>
      </c>
      <c r="C101" s="25"/>
      <c r="D101" s="25"/>
      <c r="E101" s="25"/>
      <c r="F101" s="25"/>
      <c r="G101" s="25"/>
      <c r="H101" s="25"/>
      <c r="I101" s="25"/>
      <c r="J101" s="25"/>
      <c r="K101" s="25"/>
      <c r="L101" s="25"/>
      <c r="M101" s="25"/>
      <c r="N101" s="25"/>
      <c r="O101" s="25"/>
      <c r="P101" s="25"/>
      <c r="Q101" s="25"/>
      <c r="R101" s="25"/>
      <c r="S101" s="25"/>
      <c r="T101" s="34"/>
      <c r="U101" s="25"/>
      <c r="V101" s="53"/>
      <c r="W101" s="25"/>
      <c r="X101" s="5"/>
    </row>
    <row r="102" spans="1:25" ht="15.6" x14ac:dyDescent="0.3">
      <c r="A102" s="24">
        <v>1</v>
      </c>
      <c r="B102" s="25" t="s">
        <v>34</v>
      </c>
      <c r="C102" s="25"/>
      <c r="D102" s="25"/>
      <c r="E102" s="25"/>
      <c r="F102" s="25"/>
      <c r="G102" s="25"/>
      <c r="H102" s="25"/>
      <c r="I102" s="25"/>
      <c r="J102" s="25"/>
      <c r="K102" s="25"/>
      <c r="L102" s="25"/>
      <c r="M102" s="25"/>
      <c r="N102" s="25"/>
      <c r="O102" s="25"/>
      <c r="P102" s="25"/>
      <c r="Q102" s="25"/>
      <c r="R102" s="25"/>
      <c r="S102" s="25"/>
      <c r="T102" s="25"/>
      <c r="U102" s="25"/>
      <c r="V102" s="53">
        <v>0</v>
      </c>
      <c r="W102" s="25"/>
      <c r="X102" s="5"/>
    </row>
    <row r="103" spans="1:25" ht="15.6" x14ac:dyDescent="0.3">
      <c r="A103" s="24">
        <f>+A102+1</f>
        <v>2</v>
      </c>
      <c r="B103" s="25" t="s">
        <v>231</v>
      </c>
      <c r="C103" s="25"/>
      <c r="D103" s="25"/>
      <c r="E103" s="25"/>
      <c r="F103" s="25"/>
      <c r="G103" s="25"/>
      <c r="H103" s="25"/>
      <c r="I103" s="25"/>
      <c r="J103" s="25"/>
      <c r="K103" s="25"/>
      <c r="L103" s="25"/>
      <c r="M103" s="25"/>
      <c r="N103" s="25"/>
      <c r="O103" s="25"/>
      <c r="P103" s="25"/>
      <c r="Q103" s="25"/>
      <c r="R103" s="25"/>
      <c r="S103" s="25"/>
      <c r="T103" s="25"/>
      <c r="U103" s="25"/>
      <c r="V103" s="53">
        <f>-2</f>
        <v>-2</v>
      </c>
      <c r="W103" s="25"/>
      <c r="X103" s="5"/>
    </row>
    <row r="104" spans="1:25" ht="15.6" x14ac:dyDescent="0.3">
      <c r="A104" s="24">
        <f>+A103+1</f>
        <v>3</v>
      </c>
      <c r="B104" s="25" t="s">
        <v>207</v>
      </c>
      <c r="C104" s="25"/>
      <c r="D104" s="25"/>
      <c r="E104" s="25"/>
      <c r="F104" s="25"/>
      <c r="G104" s="25"/>
      <c r="H104" s="25"/>
      <c r="I104" s="25"/>
      <c r="J104" s="25"/>
      <c r="K104" s="25"/>
      <c r="L104" s="25"/>
      <c r="M104" s="25"/>
      <c r="N104" s="25"/>
      <c r="O104" s="25"/>
      <c r="P104" s="25"/>
      <c r="Q104" s="25"/>
      <c r="R104" s="25"/>
      <c r="S104" s="25"/>
      <c r="T104" s="25"/>
      <c r="U104" s="25"/>
      <c r="V104" s="53">
        <f>-456-7-17</f>
        <v>-480</v>
      </c>
      <c r="W104" s="25"/>
      <c r="X104" s="5"/>
    </row>
    <row r="105" spans="1:25" ht="15.6" x14ac:dyDescent="0.3">
      <c r="A105" s="24" t="s">
        <v>130</v>
      </c>
      <c r="B105" s="25" t="s">
        <v>119</v>
      </c>
      <c r="C105" s="25"/>
      <c r="D105" s="25"/>
      <c r="E105" s="25"/>
      <c r="F105" s="25"/>
      <c r="G105" s="25"/>
      <c r="H105" s="25"/>
      <c r="I105" s="25"/>
      <c r="J105" s="25"/>
      <c r="K105" s="25"/>
      <c r="L105" s="25"/>
      <c r="M105" s="25"/>
      <c r="N105" s="25"/>
      <c r="O105" s="25"/>
      <c r="P105" s="25"/>
      <c r="Q105" s="25"/>
      <c r="R105" s="25"/>
      <c r="S105" s="25"/>
      <c r="T105" s="25"/>
      <c r="U105" s="25"/>
      <c r="V105" s="53">
        <v>0</v>
      </c>
      <c r="W105" s="25"/>
      <c r="X105" s="5"/>
    </row>
    <row r="106" spans="1:25" ht="15.6" x14ac:dyDescent="0.3">
      <c r="A106" s="24" t="s">
        <v>131</v>
      </c>
      <c r="B106" s="25" t="s">
        <v>228</v>
      </c>
      <c r="C106" s="25"/>
      <c r="D106" s="25"/>
      <c r="E106" s="25"/>
      <c r="F106" s="25"/>
      <c r="G106" s="25"/>
      <c r="H106" s="25"/>
      <c r="I106" s="25"/>
      <c r="J106" s="25"/>
      <c r="K106" s="25"/>
      <c r="L106" s="25"/>
      <c r="M106" s="25"/>
      <c r="N106" s="25"/>
      <c r="O106" s="25"/>
      <c r="P106" s="25"/>
      <c r="Q106" s="25"/>
      <c r="R106" s="25"/>
      <c r="S106" s="25"/>
      <c r="T106" s="25"/>
      <c r="U106" s="25"/>
      <c r="V106" s="53">
        <f>-10799-2919-2566</f>
        <v>-16284</v>
      </c>
      <c r="W106" s="25"/>
      <c r="X106" s="5"/>
      <c r="Y106" s="109"/>
    </row>
    <row r="107" spans="1:25" ht="15.6" x14ac:dyDescent="0.3">
      <c r="A107" s="24" t="s">
        <v>153</v>
      </c>
      <c r="B107" s="25" t="s">
        <v>187</v>
      </c>
      <c r="C107" s="25"/>
      <c r="D107" s="25"/>
      <c r="E107" s="25"/>
      <c r="F107" s="25"/>
      <c r="G107" s="25"/>
      <c r="H107" s="25"/>
      <c r="I107" s="25"/>
      <c r="J107" s="25"/>
      <c r="K107" s="25"/>
      <c r="L107" s="25"/>
      <c r="M107" s="25"/>
      <c r="N107" s="25"/>
      <c r="O107" s="25"/>
      <c r="P107" s="25"/>
      <c r="Q107" s="25"/>
      <c r="R107" s="25"/>
      <c r="S107" s="25"/>
      <c r="T107" s="25"/>
      <c r="U107" s="25"/>
      <c r="V107" s="53">
        <v>-1722</v>
      </c>
      <c r="W107" s="25"/>
      <c r="X107" s="5"/>
      <c r="Y107" s="109"/>
    </row>
    <row r="108" spans="1:25" ht="15.6" x14ac:dyDescent="0.3">
      <c r="A108" s="24" t="s">
        <v>266</v>
      </c>
      <c r="B108" s="25" t="s">
        <v>269</v>
      </c>
      <c r="C108" s="25"/>
      <c r="D108" s="25"/>
      <c r="E108" s="25"/>
      <c r="F108" s="25"/>
      <c r="G108" s="25"/>
      <c r="H108" s="25"/>
      <c r="I108" s="25"/>
      <c r="J108" s="25"/>
      <c r="K108" s="25"/>
      <c r="L108" s="25"/>
      <c r="M108" s="25"/>
      <c r="N108" s="25"/>
      <c r="O108" s="25"/>
      <c r="P108" s="25"/>
      <c r="Q108" s="25"/>
      <c r="R108" s="25"/>
      <c r="S108" s="25"/>
      <c r="T108" s="25"/>
      <c r="U108" s="25"/>
      <c r="V108" s="53">
        <v>-4</v>
      </c>
      <c r="W108" s="25"/>
      <c r="X108" s="5"/>
    </row>
    <row r="109" spans="1:25" ht="15.6" x14ac:dyDescent="0.3">
      <c r="A109" s="24" t="s">
        <v>208</v>
      </c>
      <c r="B109" s="25" t="s">
        <v>188</v>
      </c>
      <c r="C109" s="25"/>
      <c r="D109" s="25"/>
      <c r="E109" s="25"/>
      <c r="F109" s="25"/>
      <c r="G109" s="25"/>
      <c r="H109" s="25"/>
      <c r="I109" s="25"/>
      <c r="J109" s="25"/>
      <c r="K109" s="25"/>
      <c r="L109" s="25"/>
      <c r="M109" s="25"/>
      <c r="N109" s="25"/>
      <c r="O109" s="25"/>
      <c r="P109" s="25"/>
      <c r="Q109" s="25"/>
      <c r="R109" s="25"/>
      <c r="S109" s="25"/>
      <c r="T109" s="25"/>
      <c r="U109" s="25"/>
      <c r="V109" s="53">
        <v>-801</v>
      </c>
      <c r="W109" s="25"/>
      <c r="X109" s="5"/>
      <c r="Y109" s="109"/>
    </row>
    <row r="110" spans="1:25" ht="15.6" x14ac:dyDescent="0.3">
      <c r="A110" s="24" t="s">
        <v>209</v>
      </c>
      <c r="B110" s="25" t="s">
        <v>189</v>
      </c>
      <c r="C110" s="25"/>
      <c r="D110" s="25"/>
      <c r="E110" s="25"/>
      <c r="F110" s="25"/>
      <c r="G110" s="25"/>
      <c r="H110" s="25"/>
      <c r="I110" s="25"/>
      <c r="J110" s="25"/>
      <c r="K110" s="25"/>
      <c r="L110" s="25"/>
      <c r="M110" s="25"/>
      <c r="N110" s="25"/>
      <c r="O110" s="25"/>
      <c r="P110" s="25"/>
      <c r="Q110" s="25"/>
      <c r="R110" s="25"/>
      <c r="S110" s="25"/>
      <c r="T110" s="25"/>
      <c r="U110" s="25"/>
      <c r="V110" s="53">
        <v>-794</v>
      </c>
      <c r="W110" s="25"/>
      <c r="X110" s="5"/>
      <c r="Y110" s="109"/>
    </row>
    <row r="111" spans="1:25" ht="15.6" x14ac:dyDescent="0.3">
      <c r="A111" s="24" t="s">
        <v>210</v>
      </c>
      <c r="B111" s="25" t="s">
        <v>199</v>
      </c>
      <c r="C111" s="25"/>
      <c r="D111" s="25"/>
      <c r="E111" s="25"/>
      <c r="F111" s="25"/>
      <c r="G111" s="25"/>
      <c r="H111" s="25"/>
      <c r="I111" s="25"/>
      <c r="J111" s="25"/>
      <c r="K111" s="25"/>
      <c r="L111" s="25"/>
      <c r="M111" s="25"/>
      <c r="N111" s="25"/>
      <c r="O111" s="25"/>
      <c r="P111" s="25"/>
      <c r="Q111" s="25"/>
      <c r="R111" s="25"/>
      <c r="S111" s="25"/>
      <c r="T111" s="25"/>
      <c r="U111" s="25"/>
      <c r="V111" s="53">
        <v>-801</v>
      </c>
      <c r="W111" s="25"/>
      <c r="X111" s="5"/>
      <c r="Y111" s="109"/>
    </row>
    <row r="112" spans="1:25" ht="15.6" x14ac:dyDescent="0.3">
      <c r="A112" s="24" t="s">
        <v>230</v>
      </c>
      <c r="B112" s="25" t="s">
        <v>229</v>
      </c>
      <c r="C112" s="25"/>
      <c r="D112" s="25"/>
      <c r="E112" s="25"/>
      <c r="F112" s="25"/>
      <c r="G112" s="25"/>
      <c r="H112" s="25"/>
      <c r="I112" s="25"/>
      <c r="J112" s="25"/>
      <c r="K112" s="25"/>
      <c r="L112" s="25"/>
      <c r="M112" s="25"/>
      <c r="N112" s="25"/>
      <c r="O112" s="25"/>
      <c r="P112" s="25"/>
      <c r="Q112" s="25"/>
      <c r="R112" s="25"/>
      <c r="S112" s="25"/>
      <c r="T112" s="25"/>
      <c r="U112" s="25"/>
      <c r="V112" s="53">
        <v>-191</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20" si="0">+A113+1</f>
        <v>8</v>
      </c>
      <c r="B114" s="25" t="s">
        <v>45</v>
      </c>
      <c r="C114" s="25"/>
      <c r="D114" s="25"/>
      <c r="E114" s="25"/>
      <c r="F114" s="25"/>
      <c r="G114" s="25"/>
      <c r="H114" s="25"/>
      <c r="I114" s="25"/>
      <c r="J114" s="25"/>
      <c r="K114" s="25"/>
      <c r="L114" s="25"/>
      <c r="M114" s="25"/>
      <c r="N114" s="25"/>
      <c r="O114" s="25"/>
      <c r="P114" s="25"/>
      <c r="Q114" s="25"/>
      <c r="R114" s="25"/>
      <c r="S114" s="25"/>
      <c r="T114" s="25"/>
      <c r="U114" s="25"/>
      <c r="V114" s="53">
        <v>0</v>
      </c>
      <c r="W114" s="25"/>
      <c r="X114" s="5"/>
    </row>
    <row r="115" spans="1:24" ht="15.6" x14ac:dyDescent="0.3">
      <c r="A115" s="24">
        <f t="shared" si="0"/>
        <v>9</v>
      </c>
      <c r="B115" s="25" t="s">
        <v>128</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271</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36</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270</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4" ht="15.6" x14ac:dyDescent="0.3">
      <c r="A119" s="24">
        <f t="shared" si="0"/>
        <v>13</v>
      </c>
      <c r="B119" s="25" t="s">
        <v>152</v>
      </c>
      <c r="C119" s="25"/>
      <c r="D119" s="25"/>
      <c r="E119" s="25"/>
      <c r="F119" s="25"/>
      <c r="G119" s="25"/>
      <c r="H119" s="25"/>
      <c r="I119" s="25"/>
      <c r="J119" s="25"/>
      <c r="K119" s="25"/>
      <c r="L119" s="25"/>
      <c r="M119" s="25"/>
      <c r="N119" s="25"/>
      <c r="O119" s="25"/>
      <c r="P119" s="25"/>
      <c r="Q119" s="25"/>
      <c r="R119" s="25"/>
      <c r="S119" s="25"/>
      <c r="T119" s="25"/>
      <c r="U119" s="25"/>
      <c r="V119" s="53">
        <v>-822</v>
      </c>
      <c r="W119" s="25"/>
      <c r="X119" s="5"/>
    </row>
    <row r="120" spans="1:24" ht="15.6" x14ac:dyDescent="0.3">
      <c r="A120" s="24">
        <f t="shared" si="0"/>
        <v>14</v>
      </c>
      <c r="B120" s="25" t="s">
        <v>129</v>
      </c>
      <c r="C120" s="25"/>
      <c r="D120" s="25"/>
      <c r="E120" s="25"/>
      <c r="F120" s="25"/>
      <c r="G120" s="25"/>
      <c r="H120" s="25"/>
      <c r="I120" s="25"/>
      <c r="J120" s="25"/>
      <c r="K120" s="25"/>
      <c r="L120" s="25"/>
      <c r="M120" s="25"/>
      <c r="N120" s="25"/>
      <c r="O120" s="25"/>
      <c r="P120" s="25"/>
      <c r="Q120" s="25"/>
      <c r="R120" s="25"/>
      <c r="S120" s="25"/>
      <c r="T120" s="25"/>
      <c r="U120" s="25"/>
      <c r="V120" s="53">
        <f>-V100-SUM(V102:V119)</f>
        <v>-4316</v>
      </c>
      <c r="W120" s="25"/>
      <c r="X120" s="5"/>
    </row>
    <row r="121" spans="1:24" ht="15.6" x14ac:dyDescent="0.3">
      <c r="A121" s="24"/>
      <c r="B121" s="118" t="s">
        <v>37</v>
      </c>
      <c r="C121" s="25"/>
      <c r="D121" s="25"/>
      <c r="E121" s="25"/>
      <c r="F121" s="25"/>
      <c r="G121" s="25"/>
      <c r="H121" s="25"/>
      <c r="I121" s="25"/>
      <c r="J121" s="25"/>
      <c r="K121" s="25"/>
      <c r="L121" s="25"/>
      <c r="M121" s="25"/>
      <c r="N121" s="25"/>
      <c r="O121" s="25"/>
      <c r="P121" s="25"/>
      <c r="Q121" s="25"/>
      <c r="R121" s="25"/>
      <c r="S121" s="25"/>
      <c r="T121" s="25"/>
      <c r="U121" s="25"/>
      <c r="V121" s="59"/>
      <c r="W121" s="25"/>
      <c r="X121" s="5"/>
    </row>
    <row r="122" spans="1:24" ht="15.6" x14ac:dyDescent="0.3">
      <c r="A122" s="24"/>
      <c r="B122" s="25" t="s">
        <v>176</v>
      </c>
      <c r="C122" s="25"/>
      <c r="D122" s="25"/>
      <c r="E122" s="25"/>
      <c r="F122" s="25"/>
      <c r="G122" s="25"/>
      <c r="H122" s="25"/>
      <c r="I122" s="25"/>
      <c r="J122" s="25"/>
      <c r="K122" s="25"/>
      <c r="L122" s="25"/>
      <c r="M122" s="25"/>
      <c r="N122" s="25"/>
      <c r="O122" s="25"/>
      <c r="P122" s="25"/>
      <c r="Q122" s="25"/>
      <c r="R122" s="25"/>
      <c r="S122" s="25"/>
      <c r="T122" s="34">
        <f>-T181</f>
        <v>-2539</v>
      </c>
      <c r="U122" s="34"/>
      <c r="V122" s="53"/>
      <c r="W122" s="25"/>
      <c r="X122" s="5"/>
    </row>
    <row r="123" spans="1:24" ht="15.6" x14ac:dyDescent="0.3">
      <c r="A123" s="24"/>
      <c r="B123" s="25" t="s">
        <v>177</v>
      </c>
      <c r="C123" s="25"/>
      <c r="D123" s="25"/>
      <c r="E123" s="25"/>
      <c r="F123" s="25"/>
      <c r="G123" s="25"/>
      <c r="H123" s="25"/>
      <c r="I123" s="25"/>
      <c r="J123" s="25"/>
      <c r="K123" s="25"/>
      <c r="L123" s="25"/>
      <c r="M123" s="25"/>
      <c r="N123" s="25"/>
      <c r="O123" s="25"/>
      <c r="P123" s="25"/>
      <c r="Q123" s="25"/>
      <c r="R123" s="25"/>
      <c r="S123" s="25"/>
      <c r="T123" s="34">
        <v>-1759</v>
      </c>
      <c r="U123" s="34"/>
      <c r="V123" s="53"/>
      <c r="W123" s="25"/>
      <c r="X123" s="5"/>
    </row>
    <row r="124" spans="1:24" ht="15.6" x14ac:dyDescent="0.3">
      <c r="A124" s="24"/>
      <c r="B124" s="25" t="s">
        <v>38</v>
      </c>
      <c r="C124" s="25"/>
      <c r="D124" s="25"/>
      <c r="E124" s="25"/>
      <c r="F124" s="25"/>
      <c r="G124" s="25"/>
      <c r="H124" s="25"/>
      <c r="I124" s="25"/>
      <c r="J124" s="25"/>
      <c r="K124" s="25"/>
      <c r="L124" s="25"/>
      <c r="M124" s="25"/>
      <c r="N124" s="25"/>
      <c r="O124" s="25"/>
      <c r="P124" s="25"/>
      <c r="Q124" s="25"/>
      <c r="R124" s="25"/>
      <c r="S124" s="25"/>
      <c r="T124" s="34">
        <f>-S181</f>
        <v>-5081</v>
      </c>
      <c r="U124" s="34"/>
      <c r="V124" s="53"/>
      <c r="W124" s="25"/>
      <c r="X124" s="5"/>
    </row>
    <row r="125" spans="1:24" ht="15.6" x14ac:dyDescent="0.3">
      <c r="A125" s="24"/>
      <c r="B125" s="25" t="s">
        <v>200</v>
      </c>
      <c r="C125" s="25"/>
      <c r="D125" s="25"/>
      <c r="E125" s="25"/>
      <c r="F125" s="25"/>
      <c r="G125" s="25"/>
      <c r="H125" s="25"/>
      <c r="I125" s="25"/>
      <c r="J125" s="25"/>
      <c r="K125" s="25"/>
      <c r="L125" s="25"/>
      <c r="M125" s="25"/>
      <c r="N125" s="25"/>
      <c r="O125" s="25"/>
      <c r="P125" s="25"/>
      <c r="Q125" s="25"/>
      <c r="R125" s="25"/>
      <c r="S125" s="25"/>
      <c r="T125" s="34">
        <v>-18579</v>
      </c>
      <c r="U125" s="34"/>
      <c r="V125" s="53"/>
      <c r="W125" s="25"/>
      <c r="X125" s="5"/>
    </row>
    <row r="126" spans="1:24" ht="15.6" x14ac:dyDescent="0.3">
      <c r="A126" s="24"/>
      <c r="B126" s="25" t="s">
        <v>198</v>
      </c>
      <c r="C126" s="25"/>
      <c r="D126" s="25"/>
      <c r="E126" s="25"/>
      <c r="F126" s="25"/>
      <c r="G126" s="25"/>
      <c r="H126" s="25"/>
      <c r="I126" s="25"/>
      <c r="J126" s="25"/>
      <c r="K126" s="25"/>
      <c r="L126" s="25"/>
      <c r="M126" s="25"/>
      <c r="N126" s="25"/>
      <c r="O126" s="25"/>
      <c r="P126" s="25"/>
      <c r="Q126" s="25"/>
      <c r="R126" s="25"/>
      <c r="S126" s="25"/>
      <c r="T126" s="34">
        <v>-2911</v>
      </c>
      <c r="U126" s="34"/>
      <c r="V126" s="53"/>
      <c r="W126" s="25"/>
      <c r="X126" s="5"/>
    </row>
    <row r="127" spans="1:24" ht="15.6" x14ac:dyDescent="0.3">
      <c r="A127" s="24"/>
      <c r="B127" s="25" t="s">
        <v>197</v>
      </c>
      <c r="C127" s="25"/>
      <c r="D127" s="25"/>
      <c r="E127" s="25"/>
      <c r="F127" s="25"/>
      <c r="G127" s="25"/>
      <c r="H127" s="25"/>
      <c r="I127" s="25"/>
      <c r="J127" s="25"/>
      <c r="K127" s="25"/>
      <c r="L127" s="25"/>
      <c r="M127" s="25"/>
      <c r="N127" s="25"/>
      <c r="O127" s="25"/>
      <c r="P127" s="25"/>
      <c r="Q127" s="25"/>
      <c r="R127" s="25"/>
      <c r="S127" s="25"/>
      <c r="T127" s="34">
        <v>-4923</v>
      </c>
      <c r="U127" s="34"/>
      <c r="V127" s="53"/>
      <c r="W127" s="25"/>
      <c r="X127" s="5"/>
    </row>
    <row r="128" spans="1:24" ht="15.6" x14ac:dyDescent="0.3">
      <c r="A128" s="24"/>
      <c r="B128" s="25" t="s">
        <v>232</v>
      </c>
      <c r="C128" s="25"/>
      <c r="D128" s="25"/>
      <c r="E128" s="25"/>
      <c r="F128" s="25"/>
      <c r="G128" s="25"/>
      <c r="H128" s="25"/>
      <c r="I128" s="25"/>
      <c r="J128" s="25"/>
      <c r="K128" s="25"/>
      <c r="L128" s="25"/>
      <c r="M128" s="25"/>
      <c r="N128" s="25"/>
      <c r="O128" s="25"/>
      <c r="P128" s="25"/>
      <c r="Q128" s="25"/>
      <c r="R128" s="25"/>
      <c r="S128" s="25"/>
      <c r="T128" s="34">
        <v>-4335</v>
      </c>
      <c r="U128" s="34"/>
      <c r="V128" s="53"/>
      <c r="W128" s="25"/>
      <c r="X128" s="5"/>
    </row>
    <row r="129" spans="1:24" ht="15.6" x14ac:dyDescent="0.3">
      <c r="A129" s="24"/>
      <c r="B129" s="25" t="s">
        <v>192</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191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233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190</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39</v>
      </c>
      <c r="C133" s="25"/>
      <c r="D133" s="25"/>
      <c r="E133" s="25"/>
      <c r="F133" s="25"/>
      <c r="G133" s="25"/>
      <c r="H133" s="25"/>
      <c r="I133" s="25"/>
      <c r="J133" s="25"/>
      <c r="K133" s="25"/>
      <c r="L133" s="25"/>
      <c r="M133" s="25"/>
      <c r="N133" s="25"/>
      <c r="O133" s="25"/>
      <c r="P133" s="25"/>
      <c r="Q133" s="25"/>
      <c r="R133" s="25"/>
      <c r="S133" s="25"/>
      <c r="T133" s="34">
        <f>SUM(T122:T132)</f>
        <v>-40127</v>
      </c>
      <c r="U133" s="34"/>
      <c r="V133" s="34">
        <f>SUM(V101:V130)</f>
        <v>-26227</v>
      </c>
      <c r="W133" s="25"/>
      <c r="X133" s="5"/>
    </row>
    <row r="134" spans="1:24" ht="15.6" x14ac:dyDescent="0.3">
      <c r="A134" s="24"/>
      <c r="B134" s="25" t="s">
        <v>40</v>
      </c>
      <c r="C134" s="25"/>
      <c r="D134" s="25"/>
      <c r="E134" s="25"/>
      <c r="F134" s="25"/>
      <c r="G134" s="25"/>
      <c r="H134" s="25"/>
      <c r="I134" s="25"/>
      <c r="J134" s="25"/>
      <c r="K134" s="25"/>
      <c r="L134" s="25"/>
      <c r="M134" s="25"/>
      <c r="N134" s="25"/>
      <c r="O134" s="25"/>
      <c r="P134" s="25"/>
      <c r="Q134" s="25"/>
      <c r="R134" s="25"/>
      <c r="S134" s="25"/>
      <c r="T134" s="34">
        <f>T100+T133</f>
        <v>0</v>
      </c>
      <c r="U134" s="34"/>
      <c r="V134" s="34">
        <f>V100+V133</f>
        <v>0</v>
      </c>
      <c r="W134" s="25"/>
      <c r="X134" s="5"/>
    </row>
    <row r="135" spans="1:24" ht="15.6" x14ac:dyDescent="0.3">
      <c r="A135" s="24"/>
      <c r="B135" s="25"/>
      <c r="C135" s="25"/>
      <c r="D135" s="25"/>
      <c r="E135" s="25"/>
      <c r="F135" s="25"/>
      <c r="G135" s="25"/>
      <c r="H135" s="25"/>
      <c r="I135" s="25"/>
      <c r="J135" s="25"/>
      <c r="K135" s="25"/>
      <c r="L135" s="25"/>
      <c r="M135" s="25"/>
      <c r="N135" s="25"/>
      <c r="O135" s="25"/>
      <c r="P135" s="25"/>
      <c r="Q135" s="25"/>
      <c r="R135" s="25"/>
      <c r="S135" s="25"/>
      <c r="T135" s="34"/>
      <c r="U135" s="34"/>
      <c r="V135" s="34"/>
      <c r="W135" s="25"/>
      <c r="X135" s="5"/>
    </row>
    <row r="136" spans="1:24" ht="15.6" x14ac:dyDescent="0.3">
      <c r="A136" s="6"/>
      <c r="B136" s="8"/>
      <c r="C136" s="8"/>
      <c r="D136" s="8"/>
      <c r="E136" s="8"/>
      <c r="F136" s="8"/>
      <c r="G136" s="8"/>
      <c r="H136" s="8"/>
      <c r="I136" s="8"/>
      <c r="J136" s="8"/>
      <c r="K136" s="8"/>
      <c r="L136" s="8"/>
      <c r="M136" s="8"/>
      <c r="N136" s="8"/>
      <c r="O136" s="8"/>
      <c r="P136" s="8"/>
      <c r="Q136" s="8"/>
      <c r="R136" s="8"/>
      <c r="S136" s="8"/>
      <c r="T136" s="8"/>
      <c r="U136" s="8"/>
      <c r="V136" s="52"/>
      <c r="W136" s="8"/>
      <c r="X136" s="5"/>
    </row>
    <row r="137" spans="1:24" ht="18" thickBot="1" x14ac:dyDescent="0.35">
      <c r="A137" s="101"/>
      <c r="B137" s="102" t="str">
        <f>B64</f>
        <v>PM13 INVESTOR REPORT QUARTER ENDING MARCH 2007</v>
      </c>
      <c r="C137" s="103"/>
      <c r="D137" s="103"/>
      <c r="E137" s="103"/>
      <c r="F137" s="103"/>
      <c r="G137" s="103"/>
      <c r="H137" s="103"/>
      <c r="I137" s="103"/>
      <c r="J137" s="103"/>
      <c r="K137" s="103"/>
      <c r="L137" s="103"/>
      <c r="M137" s="103"/>
      <c r="N137" s="103"/>
      <c r="O137" s="103"/>
      <c r="P137" s="103"/>
      <c r="Q137" s="103"/>
      <c r="R137" s="103"/>
      <c r="S137" s="103"/>
      <c r="T137" s="103"/>
      <c r="U137" s="103"/>
      <c r="V137" s="106"/>
      <c r="W137" s="105"/>
      <c r="X137" s="5"/>
    </row>
    <row r="138" spans="1:24" ht="15.6" x14ac:dyDescent="0.3">
      <c r="A138" s="2"/>
      <c r="B138" s="60" t="s">
        <v>41</v>
      </c>
      <c r="C138" s="4"/>
      <c r="D138" s="4"/>
      <c r="E138" s="4"/>
      <c r="F138" s="4"/>
      <c r="G138" s="4"/>
      <c r="H138" s="4"/>
      <c r="I138" s="4"/>
      <c r="J138" s="4"/>
      <c r="K138" s="4"/>
      <c r="L138" s="4"/>
      <c r="M138" s="4"/>
      <c r="N138" s="4"/>
      <c r="O138" s="4"/>
      <c r="P138" s="4"/>
      <c r="Q138" s="4"/>
      <c r="R138" s="4"/>
      <c r="S138" s="4"/>
      <c r="T138" s="4"/>
      <c r="U138" s="4"/>
      <c r="V138" s="50"/>
      <c r="W138" s="4"/>
      <c r="X138" s="5"/>
    </row>
    <row r="139" spans="1:24" ht="15.6" x14ac:dyDescent="0.3">
      <c r="A139" s="6"/>
      <c r="B139" s="21"/>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6"/>
      <c r="B140" s="119" t="s">
        <v>42</v>
      </c>
      <c r="C140" s="8"/>
      <c r="D140" s="8"/>
      <c r="E140" s="8"/>
      <c r="F140" s="8"/>
      <c r="G140" s="8"/>
      <c r="H140" s="8"/>
      <c r="I140" s="8"/>
      <c r="J140" s="8"/>
      <c r="K140" s="8"/>
      <c r="L140" s="8"/>
      <c r="M140" s="8"/>
      <c r="N140" s="8"/>
      <c r="O140" s="8"/>
      <c r="P140" s="8"/>
      <c r="Q140" s="8"/>
      <c r="R140" s="8"/>
      <c r="S140" s="8"/>
      <c r="T140" s="8"/>
      <c r="U140" s="8"/>
      <c r="V140" s="52"/>
      <c r="W140" s="8"/>
      <c r="X140" s="5"/>
    </row>
    <row r="141" spans="1:24" ht="15.6" x14ac:dyDescent="0.3">
      <c r="A141" s="24"/>
      <c r="B141" s="25" t="s">
        <v>43</v>
      </c>
      <c r="C141" s="25"/>
      <c r="D141" s="25"/>
      <c r="E141" s="25"/>
      <c r="F141" s="25"/>
      <c r="G141" s="25"/>
      <c r="H141" s="25"/>
      <c r="I141" s="25"/>
      <c r="J141" s="25"/>
      <c r="K141" s="25"/>
      <c r="L141" s="25"/>
      <c r="M141" s="25"/>
      <c r="N141" s="25"/>
      <c r="O141" s="25"/>
      <c r="P141" s="25"/>
      <c r="Q141" s="25"/>
      <c r="R141" s="25"/>
      <c r="S141" s="25"/>
      <c r="T141" s="25"/>
      <c r="U141" s="25"/>
      <c r="V141" s="53">
        <f>+V34*0.019</f>
        <v>28503.61</v>
      </c>
      <c r="W141" s="25"/>
      <c r="X141" s="5"/>
    </row>
    <row r="142" spans="1:24" ht="15.6" x14ac:dyDescent="0.3">
      <c r="A142" s="24"/>
      <c r="B142" s="25" t="s">
        <v>44</v>
      </c>
      <c r="C142" s="25"/>
      <c r="D142" s="25"/>
      <c r="E142" s="25"/>
      <c r="F142" s="25"/>
      <c r="G142" s="25"/>
      <c r="H142" s="25"/>
      <c r="I142" s="25"/>
      <c r="J142" s="25"/>
      <c r="K142" s="25"/>
      <c r="L142" s="25"/>
      <c r="M142" s="25"/>
      <c r="N142" s="25"/>
      <c r="O142" s="25"/>
      <c r="P142" s="25"/>
      <c r="Q142" s="25"/>
      <c r="R142" s="25"/>
      <c r="S142" s="25"/>
      <c r="T142" s="25"/>
      <c r="U142" s="25"/>
      <c r="V142" s="53">
        <v>28504</v>
      </c>
      <c r="W142" s="25"/>
      <c r="X142" s="5"/>
    </row>
    <row r="143" spans="1:24" ht="15.6" x14ac:dyDescent="0.3">
      <c r="A143" s="24"/>
      <c r="B143" s="25" t="s">
        <v>139</v>
      </c>
      <c r="C143" s="25"/>
      <c r="D143" s="25"/>
      <c r="E143" s="25"/>
      <c r="F143" s="25"/>
      <c r="G143" s="25"/>
      <c r="H143" s="25"/>
      <c r="I143" s="25"/>
      <c r="J143" s="25"/>
      <c r="K143" s="25"/>
      <c r="L143" s="25"/>
      <c r="M143" s="25"/>
      <c r="N143" s="25"/>
      <c r="O143" s="25"/>
      <c r="P143" s="25"/>
      <c r="Q143" s="25"/>
      <c r="R143" s="25"/>
      <c r="S143" s="25"/>
      <c r="T143" s="25"/>
      <c r="U143" s="25"/>
      <c r="V143" s="53"/>
      <c r="W143" s="25"/>
      <c r="X143" s="5"/>
    </row>
    <row r="144" spans="1:24" ht="15.6" x14ac:dyDescent="0.3">
      <c r="A144" s="24"/>
      <c r="B144" s="25" t="s">
        <v>126</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127</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178</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45</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132</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267</v>
      </c>
      <c r="C149" s="25"/>
      <c r="D149" s="25"/>
      <c r="E149" s="25"/>
      <c r="F149" s="25"/>
      <c r="G149" s="25"/>
      <c r="H149" s="25"/>
      <c r="I149" s="25"/>
      <c r="J149" s="25"/>
      <c r="K149" s="25"/>
      <c r="L149" s="25"/>
      <c r="M149" s="25"/>
      <c r="N149" s="25"/>
      <c r="O149" s="25"/>
      <c r="P149" s="25"/>
      <c r="Q149" s="25"/>
      <c r="R149" s="25"/>
      <c r="S149" s="25"/>
      <c r="T149" s="25"/>
      <c r="U149" s="25"/>
      <c r="V149" s="53">
        <v>0</v>
      </c>
      <c r="W149" s="25"/>
      <c r="X149" s="5"/>
      <c r="Y149" s="109"/>
    </row>
    <row r="150" spans="1:25" ht="15.6" x14ac:dyDescent="0.3">
      <c r="A150" s="24"/>
      <c r="B150" s="25" t="s">
        <v>46</v>
      </c>
      <c r="C150" s="25"/>
      <c r="D150" s="25"/>
      <c r="E150" s="25"/>
      <c r="F150" s="25"/>
      <c r="G150" s="25"/>
      <c r="H150" s="25"/>
      <c r="I150" s="25"/>
      <c r="J150" s="25"/>
      <c r="K150" s="25"/>
      <c r="L150" s="25"/>
      <c r="M150" s="25"/>
      <c r="N150" s="25"/>
      <c r="O150" s="25"/>
      <c r="P150" s="25"/>
      <c r="Q150" s="25"/>
      <c r="R150" s="25"/>
      <c r="S150" s="25"/>
      <c r="T150" s="25"/>
      <c r="U150" s="25"/>
      <c r="V150" s="53">
        <f>SUM(V142:V149)</f>
        <v>28504</v>
      </c>
      <c r="W150" s="25"/>
      <c r="X150" s="5"/>
    </row>
    <row r="151" spans="1:25" ht="15.6" x14ac:dyDescent="0.3">
      <c r="A151" s="24"/>
      <c r="B151" s="25"/>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138" t="s">
        <v>268</v>
      </c>
      <c r="C152" s="25"/>
      <c r="D152" s="25"/>
      <c r="E152" s="25"/>
      <c r="F152" s="25"/>
      <c r="G152" s="25"/>
      <c r="H152" s="25"/>
      <c r="I152" s="25"/>
      <c r="J152" s="25"/>
      <c r="K152" s="25"/>
      <c r="L152" s="25"/>
      <c r="M152" s="25"/>
      <c r="N152" s="25"/>
      <c r="O152" s="25"/>
      <c r="P152" s="25"/>
      <c r="Q152" s="25"/>
      <c r="R152" s="25"/>
      <c r="S152" s="25"/>
      <c r="T152" s="25"/>
      <c r="U152" s="25"/>
      <c r="V152" s="53"/>
      <c r="W152" s="25"/>
      <c r="X152" s="5"/>
    </row>
    <row r="153" spans="1:25" ht="15.6" x14ac:dyDescent="0.3">
      <c r="A153" s="24"/>
      <c r="B153" s="25" t="s">
        <v>158</v>
      </c>
      <c r="C153" s="25"/>
      <c r="D153" s="25"/>
      <c r="E153" s="25"/>
      <c r="F153" s="25"/>
      <c r="G153" s="25"/>
      <c r="H153" s="25"/>
      <c r="I153" s="25"/>
      <c r="J153" s="25"/>
      <c r="K153" s="25"/>
      <c r="L153" s="25"/>
      <c r="M153" s="25"/>
      <c r="N153" s="25"/>
      <c r="O153" s="25"/>
      <c r="P153" s="25"/>
      <c r="Q153" s="25"/>
      <c r="R153" s="25"/>
      <c r="S153" s="25"/>
      <c r="T153" s="25"/>
      <c r="U153" s="25"/>
      <c r="V153" s="53">
        <v>15000</v>
      </c>
      <c r="W153" s="25"/>
      <c r="X153" s="5"/>
    </row>
    <row r="154" spans="1:25" ht="15.6" x14ac:dyDescent="0.3">
      <c r="A154" s="24"/>
      <c r="B154" s="25" t="s">
        <v>175</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t="s">
        <v>272</v>
      </c>
      <c r="C155" s="25"/>
      <c r="D155" s="25"/>
      <c r="E155" s="25"/>
      <c r="F155" s="25"/>
      <c r="G155" s="25"/>
      <c r="H155" s="25"/>
      <c r="I155" s="25"/>
      <c r="J155" s="25"/>
      <c r="K155" s="25"/>
      <c r="L155" s="25"/>
      <c r="M155" s="25"/>
      <c r="N155" s="25"/>
      <c r="O155" s="25"/>
      <c r="P155" s="25"/>
      <c r="Q155" s="25"/>
      <c r="R155" s="25"/>
      <c r="S155" s="25"/>
      <c r="T155" s="25"/>
      <c r="U155" s="25"/>
      <c r="V155" s="53">
        <v>14040</v>
      </c>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53"/>
      <c r="W156" s="25"/>
      <c r="X156" s="5"/>
    </row>
    <row r="157" spans="1:25" ht="15.6" x14ac:dyDescent="0.3">
      <c r="A157" s="24"/>
      <c r="B157" s="25"/>
      <c r="C157" s="25"/>
      <c r="D157" s="25"/>
      <c r="E157" s="25"/>
      <c r="F157" s="25"/>
      <c r="G157" s="25"/>
      <c r="H157" s="25"/>
      <c r="I157" s="25"/>
      <c r="J157" s="25"/>
      <c r="K157" s="25"/>
      <c r="L157" s="25"/>
      <c r="M157" s="25"/>
      <c r="N157" s="25"/>
      <c r="O157" s="25"/>
      <c r="P157" s="25"/>
      <c r="Q157" s="25"/>
      <c r="R157" s="25"/>
      <c r="S157" s="25"/>
      <c r="T157" s="25"/>
      <c r="U157" s="25"/>
      <c r="V157" s="61"/>
      <c r="W157" s="25"/>
      <c r="X157" s="5"/>
    </row>
    <row r="158" spans="1:25" ht="15.6" x14ac:dyDescent="0.3">
      <c r="A158" s="6"/>
      <c r="B158" s="119" t="s">
        <v>24</v>
      </c>
      <c r="C158" s="8"/>
      <c r="D158" s="8"/>
      <c r="E158" s="8"/>
      <c r="F158" s="8"/>
      <c r="G158" s="8"/>
      <c r="H158" s="8"/>
      <c r="I158" s="8"/>
      <c r="J158" s="8"/>
      <c r="K158" s="8"/>
      <c r="L158" s="8"/>
      <c r="M158" s="8"/>
      <c r="N158" s="8"/>
      <c r="O158" s="8"/>
      <c r="P158" s="8"/>
      <c r="Q158" s="8"/>
      <c r="R158" s="8"/>
      <c r="S158" s="8"/>
      <c r="T158" s="8"/>
      <c r="U158" s="8"/>
      <c r="V158" s="52"/>
      <c r="W158" s="8"/>
      <c r="X158" s="5"/>
    </row>
    <row r="159" spans="1:25" ht="15.6" x14ac:dyDescent="0.3">
      <c r="A159" s="24"/>
      <c r="B159" s="25" t="s">
        <v>47</v>
      </c>
      <c r="C159" s="25"/>
      <c r="D159" s="25"/>
      <c r="E159" s="25"/>
      <c r="F159" s="25"/>
      <c r="G159" s="25"/>
      <c r="H159" s="25"/>
      <c r="I159" s="25"/>
      <c r="J159" s="25"/>
      <c r="K159" s="25"/>
      <c r="L159" s="25"/>
      <c r="M159" s="25"/>
      <c r="N159" s="25"/>
      <c r="O159" s="25"/>
      <c r="P159" s="25"/>
      <c r="Q159" s="25"/>
      <c r="R159" s="25"/>
      <c r="S159" s="25"/>
      <c r="T159" s="25"/>
      <c r="U159" s="25"/>
      <c r="V159" s="59" t="s">
        <v>121</v>
      </c>
      <c r="W159" s="25"/>
      <c r="X159" s="5"/>
    </row>
    <row r="160" spans="1:25" ht="15.6" x14ac:dyDescent="0.3">
      <c r="A160" s="24"/>
      <c r="B160" s="25" t="s">
        <v>48</v>
      </c>
      <c r="C160" s="163"/>
      <c r="D160" s="163"/>
      <c r="E160" s="163"/>
      <c r="F160" s="163"/>
      <c r="G160" s="163"/>
      <c r="H160" s="163"/>
      <c r="I160" s="163"/>
      <c r="J160" s="163"/>
      <c r="K160" s="163"/>
      <c r="L160" s="163"/>
      <c r="M160" s="163"/>
      <c r="N160" s="163"/>
      <c r="O160" s="163"/>
      <c r="P160" s="163"/>
      <c r="Q160" s="163"/>
      <c r="R160" s="163"/>
      <c r="S160" s="163"/>
      <c r="T160" s="163"/>
      <c r="U160" s="163"/>
      <c r="V160" s="59" t="s">
        <v>121</v>
      </c>
      <c r="W160" s="25"/>
      <c r="X160" s="5"/>
    </row>
    <row r="161" spans="1:24" ht="15.6" x14ac:dyDescent="0.3">
      <c r="A161" s="24"/>
      <c r="B161" s="25" t="s">
        <v>49</v>
      </c>
      <c r="C161" s="25"/>
      <c r="D161" s="25"/>
      <c r="E161" s="25"/>
      <c r="F161" s="25"/>
      <c r="G161" s="25"/>
      <c r="H161" s="25"/>
      <c r="I161" s="25"/>
      <c r="J161" s="25"/>
      <c r="K161" s="25"/>
      <c r="L161" s="25"/>
      <c r="M161" s="25"/>
      <c r="N161" s="25"/>
      <c r="O161" s="25"/>
      <c r="P161" s="25"/>
      <c r="Q161" s="25"/>
      <c r="R161" s="25"/>
      <c r="S161" s="25"/>
      <c r="T161" s="25"/>
      <c r="U161" s="25"/>
      <c r="V161" s="59" t="s">
        <v>121</v>
      </c>
      <c r="W161" s="25"/>
      <c r="X161" s="5"/>
    </row>
    <row r="162" spans="1:24" ht="15.6" x14ac:dyDescent="0.3">
      <c r="A162" s="24"/>
      <c r="B162" s="25" t="s">
        <v>50</v>
      </c>
      <c r="C162" s="25"/>
      <c r="D162" s="25"/>
      <c r="E162" s="25"/>
      <c r="F162" s="25"/>
      <c r="G162" s="25"/>
      <c r="H162" s="25"/>
      <c r="I162" s="25"/>
      <c r="J162" s="25"/>
      <c r="K162" s="25"/>
      <c r="L162" s="25"/>
      <c r="M162" s="25"/>
      <c r="N162" s="25"/>
      <c r="O162" s="25"/>
      <c r="P162" s="25"/>
      <c r="Q162" s="25"/>
      <c r="R162" s="25"/>
      <c r="S162" s="25"/>
      <c r="T162" s="25"/>
      <c r="U162" s="25"/>
      <c r="V162" s="59" t="s">
        <v>121</v>
      </c>
      <c r="W162" s="25"/>
      <c r="X162" s="5"/>
    </row>
    <row r="163" spans="1:24" ht="15.6" x14ac:dyDescent="0.3">
      <c r="A163" s="24"/>
      <c r="B163" s="25"/>
      <c r="C163" s="25"/>
      <c r="D163" s="25"/>
      <c r="E163" s="25"/>
      <c r="F163" s="25"/>
      <c r="G163" s="25"/>
      <c r="H163" s="25"/>
      <c r="I163" s="25"/>
      <c r="J163" s="25"/>
      <c r="K163" s="25"/>
      <c r="L163" s="25"/>
      <c r="M163" s="25"/>
      <c r="N163" s="25"/>
      <c r="O163" s="25"/>
      <c r="P163" s="25"/>
      <c r="Q163" s="25"/>
      <c r="R163" s="25"/>
      <c r="S163" s="25"/>
      <c r="T163" s="25"/>
      <c r="U163" s="25"/>
      <c r="V163" s="61"/>
      <c r="W163" s="25"/>
      <c r="X163" s="5"/>
    </row>
    <row r="164" spans="1:24" ht="15.6" x14ac:dyDescent="0.3">
      <c r="A164" s="6"/>
      <c r="B164" s="119" t="s">
        <v>51</v>
      </c>
      <c r="C164" s="8"/>
      <c r="D164" s="8"/>
      <c r="E164" s="8"/>
      <c r="F164" s="8"/>
      <c r="G164" s="8"/>
      <c r="H164" s="8"/>
      <c r="I164" s="8"/>
      <c r="J164" s="8"/>
      <c r="K164" s="8"/>
      <c r="L164" s="8"/>
      <c r="M164" s="8"/>
      <c r="N164" s="8"/>
      <c r="O164" s="8"/>
      <c r="P164" s="8"/>
      <c r="Q164" s="8"/>
      <c r="R164" s="8"/>
      <c r="S164" s="8"/>
      <c r="T164" s="8"/>
      <c r="U164" s="8"/>
      <c r="V164" s="63"/>
      <c r="W164" s="8"/>
      <c r="X164" s="5"/>
    </row>
    <row r="165" spans="1:24" ht="15.6" x14ac:dyDescent="0.3">
      <c r="A165" s="24"/>
      <c r="B165" s="25" t="s">
        <v>52</v>
      </c>
      <c r="C165" s="25"/>
      <c r="D165" s="25"/>
      <c r="E165" s="25"/>
      <c r="F165" s="25"/>
      <c r="G165" s="25"/>
      <c r="H165" s="25"/>
      <c r="I165" s="25"/>
      <c r="J165" s="25"/>
      <c r="K165" s="25"/>
      <c r="L165" s="25"/>
      <c r="M165" s="25"/>
      <c r="N165" s="25"/>
      <c r="O165" s="25"/>
      <c r="P165" s="25"/>
      <c r="Q165" s="25"/>
      <c r="R165" s="25"/>
      <c r="S165" s="25"/>
      <c r="T165" s="25"/>
      <c r="U165" s="25"/>
      <c r="V165" s="53">
        <v>0</v>
      </c>
      <c r="W165" s="25"/>
      <c r="X165" s="5"/>
    </row>
    <row r="166" spans="1:24" ht="15.6" x14ac:dyDescent="0.3">
      <c r="A166" s="24"/>
      <c r="B166" s="25" t="s">
        <v>53</v>
      </c>
      <c r="C166" s="25"/>
      <c r="D166" s="25"/>
      <c r="E166" s="25"/>
      <c r="F166" s="25"/>
      <c r="G166" s="25"/>
      <c r="H166" s="25"/>
      <c r="I166" s="25"/>
      <c r="J166" s="25"/>
      <c r="K166" s="25"/>
      <c r="L166" s="25"/>
      <c r="M166" s="25"/>
      <c r="N166" s="25"/>
      <c r="O166" s="25"/>
      <c r="P166" s="25"/>
      <c r="Q166" s="25"/>
      <c r="R166" s="25"/>
      <c r="S166" s="25"/>
      <c r="T166" s="25"/>
      <c r="U166" s="25"/>
      <c r="V166" s="53">
        <v>0</v>
      </c>
      <c r="W166" s="25"/>
      <c r="X166" s="5"/>
    </row>
    <row r="167" spans="1:24" ht="15.6" x14ac:dyDescent="0.3">
      <c r="A167" s="24"/>
      <c r="B167" s="25" t="s">
        <v>54</v>
      </c>
      <c r="C167" s="25"/>
      <c r="D167" s="25"/>
      <c r="E167" s="25"/>
      <c r="F167" s="25"/>
      <c r="G167" s="25"/>
      <c r="H167" s="25"/>
      <c r="I167" s="25"/>
      <c r="J167" s="25"/>
      <c r="K167" s="25"/>
      <c r="L167" s="25"/>
      <c r="M167" s="25"/>
      <c r="N167" s="25"/>
      <c r="O167" s="25"/>
      <c r="P167" s="25"/>
      <c r="Q167" s="25"/>
      <c r="R167" s="25"/>
      <c r="S167" s="25"/>
      <c r="T167" s="25"/>
      <c r="U167" s="25"/>
      <c r="V167" s="53">
        <f>V166+V165</f>
        <v>0</v>
      </c>
      <c r="W167" s="25"/>
      <c r="X167" s="5"/>
    </row>
    <row r="168" spans="1:24" ht="15.6" x14ac:dyDescent="0.3">
      <c r="A168" s="24"/>
      <c r="B168" s="391" t="s">
        <v>318</v>
      </c>
      <c r="C168" s="25"/>
      <c r="D168" s="25"/>
      <c r="E168" s="25"/>
      <c r="F168" s="25"/>
      <c r="G168" s="25"/>
      <c r="H168" s="25"/>
      <c r="I168" s="25"/>
      <c r="J168" s="25"/>
      <c r="K168" s="25"/>
      <c r="L168" s="25"/>
      <c r="M168" s="25"/>
      <c r="N168" s="25"/>
      <c r="O168" s="25"/>
      <c r="P168" s="25"/>
      <c r="Q168" s="25"/>
      <c r="R168" s="25"/>
      <c r="S168" s="25"/>
      <c r="T168" s="25"/>
      <c r="U168" s="25"/>
      <c r="V168" s="53">
        <f>V115</f>
        <v>0</v>
      </c>
      <c r="W168" s="25"/>
      <c r="X168" s="5"/>
    </row>
    <row r="169" spans="1:24" ht="15.6" x14ac:dyDescent="0.3">
      <c r="A169" s="24"/>
      <c r="B169" s="25" t="s">
        <v>55</v>
      </c>
      <c r="C169" s="25"/>
      <c r="D169" s="25"/>
      <c r="E169" s="25"/>
      <c r="F169" s="25"/>
      <c r="G169" s="25"/>
      <c r="H169" s="25"/>
      <c r="I169" s="25"/>
      <c r="J169" s="25"/>
      <c r="K169" s="25"/>
      <c r="L169" s="25"/>
      <c r="M169" s="25"/>
      <c r="N169" s="25"/>
      <c r="O169" s="25"/>
      <c r="P169" s="25"/>
      <c r="Q169" s="25"/>
      <c r="R169" s="25"/>
      <c r="S169" s="25"/>
      <c r="T169" s="25"/>
      <c r="U169" s="25"/>
      <c r="V169" s="53">
        <f>V167+V168</f>
        <v>0</v>
      </c>
      <c r="W169" s="25"/>
      <c r="X169" s="5"/>
    </row>
    <row r="170" spans="1:24" ht="16.2" thickBot="1" x14ac:dyDescent="0.35">
      <c r="A170" s="24"/>
      <c r="B170" s="25"/>
      <c r="C170" s="25"/>
      <c r="D170" s="25"/>
      <c r="E170" s="25"/>
      <c r="F170" s="25"/>
      <c r="G170" s="25"/>
      <c r="H170" s="25"/>
      <c r="I170" s="25"/>
      <c r="J170" s="25"/>
      <c r="K170" s="25"/>
      <c r="L170" s="25"/>
      <c r="M170" s="25"/>
      <c r="N170" s="25"/>
      <c r="O170" s="25"/>
      <c r="P170" s="25"/>
      <c r="Q170" s="25"/>
      <c r="R170" s="25"/>
      <c r="S170" s="25"/>
      <c r="T170" s="25"/>
      <c r="U170" s="25"/>
      <c r="V170" s="61"/>
      <c r="W170" s="25"/>
      <c r="X170" s="5"/>
    </row>
    <row r="171" spans="1:24" ht="15.6" x14ac:dyDescent="0.3">
      <c r="A171" s="2"/>
      <c r="B171" s="4"/>
      <c r="C171" s="4"/>
      <c r="D171" s="4"/>
      <c r="E171" s="4"/>
      <c r="F171" s="4"/>
      <c r="G171" s="4"/>
      <c r="H171" s="4"/>
      <c r="I171" s="4"/>
      <c r="J171" s="4"/>
      <c r="K171" s="4"/>
      <c r="L171" s="4"/>
      <c r="M171" s="4"/>
      <c r="N171" s="4"/>
      <c r="O171" s="4"/>
      <c r="P171" s="4"/>
      <c r="Q171" s="4"/>
      <c r="R171" s="4"/>
      <c r="S171" s="4"/>
      <c r="T171" s="4"/>
      <c r="U171" s="4"/>
      <c r="V171" s="50"/>
      <c r="W171" s="4"/>
      <c r="X171" s="5"/>
    </row>
    <row r="172" spans="1:24" ht="15.6" x14ac:dyDescent="0.3">
      <c r="A172" s="6"/>
      <c r="B172" s="119" t="s">
        <v>56</v>
      </c>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6"/>
      <c r="B173" s="21"/>
      <c r="C173" s="8"/>
      <c r="D173" s="8"/>
      <c r="E173" s="8"/>
      <c r="F173" s="8"/>
      <c r="G173" s="8"/>
      <c r="H173" s="8"/>
      <c r="I173" s="8"/>
      <c r="J173" s="8"/>
      <c r="K173" s="8"/>
      <c r="L173" s="8"/>
      <c r="M173" s="8"/>
      <c r="N173" s="8"/>
      <c r="O173" s="8"/>
      <c r="P173" s="8"/>
      <c r="Q173" s="8"/>
      <c r="R173" s="8"/>
      <c r="S173" s="8"/>
      <c r="T173" s="8"/>
      <c r="U173" s="8"/>
      <c r="V173" s="52"/>
      <c r="W173" s="8"/>
      <c r="X173" s="5"/>
    </row>
    <row r="174" spans="1:24" ht="15.6" x14ac:dyDescent="0.3">
      <c r="A174" s="24"/>
      <c r="B174" s="25" t="s">
        <v>57</v>
      </c>
      <c r="C174" s="25"/>
      <c r="D174" s="25"/>
      <c r="E174" s="25"/>
      <c r="F174" s="25"/>
      <c r="G174" s="25"/>
      <c r="H174" s="25"/>
      <c r="I174" s="25"/>
      <c r="J174" s="25"/>
      <c r="K174" s="25"/>
      <c r="L174" s="25"/>
      <c r="M174" s="25"/>
      <c r="N174" s="25"/>
      <c r="O174" s="25"/>
      <c r="P174" s="25"/>
      <c r="Q174" s="25"/>
      <c r="R174" s="25"/>
      <c r="S174" s="25"/>
      <c r="T174" s="25"/>
      <c r="U174" s="25"/>
      <c r="V174" s="53">
        <f>V72</f>
        <v>1449294</v>
      </c>
      <c r="W174" s="25"/>
      <c r="X174" s="5"/>
    </row>
    <row r="175" spans="1:24" ht="15.6" x14ac:dyDescent="0.3">
      <c r="A175" s="24"/>
      <c r="B175" s="25" t="s">
        <v>58</v>
      </c>
      <c r="C175" s="25"/>
      <c r="D175" s="25"/>
      <c r="E175" s="25"/>
      <c r="F175" s="25"/>
      <c r="G175" s="25"/>
      <c r="H175" s="25"/>
      <c r="I175" s="25"/>
      <c r="J175" s="25"/>
      <c r="K175" s="25"/>
      <c r="L175" s="25"/>
      <c r="M175" s="25"/>
      <c r="N175" s="25"/>
      <c r="O175" s="25"/>
      <c r="P175" s="25"/>
      <c r="Q175" s="25"/>
      <c r="R175" s="25"/>
      <c r="S175" s="25"/>
      <c r="T175" s="25"/>
      <c r="U175" s="25"/>
      <c r="V175" s="53">
        <f>V85</f>
        <v>1449294</v>
      </c>
      <c r="W175" s="25"/>
      <c r="X175" s="5"/>
    </row>
    <row r="176" spans="1:24" ht="16.2" thickBot="1" x14ac:dyDescent="0.35">
      <c r="A176" s="24"/>
      <c r="B176" s="25"/>
      <c r="C176" s="25"/>
      <c r="D176" s="25"/>
      <c r="E176" s="25"/>
      <c r="F176" s="25"/>
      <c r="G176" s="25"/>
      <c r="H176" s="25"/>
      <c r="I176" s="25"/>
      <c r="J176" s="25"/>
      <c r="K176" s="25"/>
      <c r="L176" s="25"/>
      <c r="M176" s="25"/>
      <c r="N176" s="25"/>
      <c r="O176" s="25"/>
      <c r="P176" s="25"/>
      <c r="Q176" s="25"/>
      <c r="R176" s="25"/>
      <c r="S176" s="25"/>
      <c r="T176" s="25"/>
      <c r="U176" s="25"/>
      <c r="V176" s="61"/>
      <c r="W176" s="25"/>
      <c r="X176" s="5"/>
    </row>
    <row r="177" spans="1:24" ht="15.6" x14ac:dyDescent="0.3">
      <c r="A177" s="2"/>
      <c r="B177" s="4"/>
      <c r="C177" s="4"/>
      <c r="D177" s="4"/>
      <c r="E177" s="4"/>
      <c r="F177" s="4"/>
      <c r="G177" s="4"/>
      <c r="H177" s="4"/>
      <c r="I177" s="4"/>
      <c r="J177" s="4"/>
      <c r="K177" s="4"/>
      <c r="L177" s="4"/>
      <c r="M177" s="4"/>
      <c r="N177" s="4"/>
      <c r="O177" s="4"/>
      <c r="P177" s="4"/>
      <c r="Q177" s="4"/>
      <c r="R177" s="4"/>
      <c r="S177" s="4"/>
      <c r="T177" s="4"/>
      <c r="U177" s="4"/>
      <c r="V177" s="50"/>
      <c r="W177" s="4"/>
      <c r="X177" s="5"/>
    </row>
    <row r="178" spans="1:24" ht="15.6" x14ac:dyDescent="0.3">
      <c r="A178" s="6"/>
      <c r="B178" s="119" t="s">
        <v>59</v>
      </c>
      <c r="C178" s="117"/>
      <c r="D178" s="117"/>
      <c r="E178" s="117"/>
      <c r="F178" s="117"/>
      <c r="G178" s="117"/>
      <c r="H178" s="120"/>
      <c r="I178" s="120"/>
      <c r="J178" s="120"/>
      <c r="K178" s="120"/>
      <c r="L178" s="120"/>
      <c r="M178" s="120"/>
      <c r="N178" s="120"/>
      <c r="O178" s="120"/>
      <c r="P178" s="120"/>
      <c r="Q178" s="120"/>
      <c r="R178" s="120"/>
      <c r="S178" s="120" t="s">
        <v>102</v>
      </c>
      <c r="T178" s="120" t="s">
        <v>179</v>
      </c>
      <c r="U178" s="111"/>
      <c r="V178" s="121" t="s">
        <v>117</v>
      </c>
      <c r="W178" s="10"/>
      <c r="X178" s="5"/>
    </row>
    <row r="179" spans="1:24" ht="15.6" x14ac:dyDescent="0.3">
      <c r="A179" s="24"/>
      <c r="B179" s="25" t="s">
        <v>60</v>
      </c>
      <c r="C179" s="25"/>
      <c r="D179" s="25"/>
      <c r="E179" s="25"/>
      <c r="F179" s="25"/>
      <c r="G179" s="25"/>
      <c r="H179" s="25"/>
      <c r="I179" s="25"/>
      <c r="J179" s="25"/>
      <c r="K179" s="25"/>
      <c r="L179" s="25"/>
      <c r="M179" s="25"/>
      <c r="N179" s="25"/>
      <c r="O179" s="25"/>
      <c r="P179" s="25"/>
      <c r="Q179" s="25"/>
      <c r="R179" s="25"/>
      <c r="S179" s="53">
        <f>+V34*0.16</f>
        <v>240030.4</v>
      </c>
      <c r="T179" s="40"/>
      <c r="U179" s="25"/>
      <c r="V179" s="53"/>
      <c r="W179" s="25"/>
      <c r="X179" s="5"/>
    </row>
    <row r="180" spans="1:24" ht="15.6" x14ac:dyDescent="0.3">
      <c r="A180" s="24"/>
      <c r="B180" s="25" t="s">
        <v>61</v>
      </c>
      <c r="C180" s="25"/>
      <c r="D180" s="25"/>
      <c r="E180" s="25"/>
      <c r="F180" s="25"/>
      <c r="G180" s="25"/>
      <c r="H180" s="25"/>
      <c r="I180" s="25"/>
      <c r="J180" s="25"/>
      <c r="K180" s="25"/>
      <c r="L180" s="25"/>
      <c r="M180" s="25"/>
      <c r="N180" s="25"/>
      <c r="O180" s="25"/>
      <c r="P180" s="25"/>
      <c r="Q180" s="25"/>
      <c r="R180" s="25"/>
      <c r="S180" s="53">
        <f>+'Dec 06'!S181</f>
        <v>3755</v>
      </c>
      <c r="T180" s="53">
        <f>+'Dec 06'!T181</f>
        <v>3039</v>
      </c>
      <c r="U180" s="25"/>
      <c r="V180" s="53">
        <f>S180+T180</f>
        <v>6794</v>
      </c>
      <c r="W180" s="25"/>
      <c r="X180" s="5"/>
    </row>
    <row r="181" spans="1:24" ht="15.6" x14ac:dyDescent="0.3">
      <c r="A181" s="24"/>
      <c r="B181" s="25" t="s">
        <v>62</v>
      </c>
      <c r="C181" s="25"/>
      <c r="D181" s="25"/>
      <c r="E181" s="25"/>
      <c r="F181" s="25"/>
      <c r="G181" s="25"/>
      <c r="H181" s="25"/>
      <c r="I181" s="25"/>
      <c r="J181" s="25"/>
      <c r="K181" s="25"/>
      <c r="L181" s="25"/>
      <c r="M181" s="25"/>
      <c r="N181" s="25"/>
      <c r="O181" s="25"/>
      <c r="P181" s="25"/>
      <c r="Q181" s="25"/>
      <c r="R181" s="25"/>
      <c r="S181" s="34">
        <v>5081</v>
      </c>
      <c r="T181" s="34">
        <v>2539</v>
      </c>
      <c r="U181" s="25"/>
      <c r="V181" s="53">
        <f>S181+T181</f>
        <v>7620</v>
      </c>
      <c r="W181" s="25"/>
      <c r="X181" s="5"/>
    </row>
    <row r="182" spans="1:24" ht="15.6" x14ac:dyDescent="0.3">
      <c r="A182" s="24"/>
      <c r="B182" s="25" t="s">
        <v>63</v>
      </c>
      <c r="C182" s="25"/>
      <c r="D182" s="25"/>
      <c r="E182" s="25"/>
      <c r="F182" s="25"/>
      <c r="G182" s="25"/>
      <c r="H182" s="25"/>
      <c r="I182" s="25"/>
      <c r="J182" s="25"/>
      <c r="K182" s="25"/>
      <c r="L182" s="25"/>
      <c r="M182" s="25"/>
      <c r="N182" s="25"/>
      <c r="O182" s="25"/>
      <c r="P182" s="25"/>
      <c r="Q182" s="25"/>
      <c r="R182" s="25"/>
      <c r="S182" s="53">
        <f>S180+S181</f>
        <v>8836</v>
      </c>
      <c r="T182" s="53">
        <f>T181+T180</f>
        <v>5578</v>
      </c>
      <c r="U182" s="25"/>
      <c r="V182" s="53">
        <f>S182+T182</f>
        <v>14414</v>
      </c>
      <c r="W182" s="25"/>
      <c r="X182" s="5"/>
    </row>
    <row r="183" spans="1:24" ht="15.6" x14ac:dyDescent="0.3">
      <c r="A183" s="24"/>
      <c r="B183" s="25" t="s">
        <v>64</v>
      </c>
      <c r="C183" s="25"/>
      <c r="D183" s="25"/>
      <c r="E183" s="25"/>
      <c r="F183" s="25"/>
      <c r="G183" s="25"/>
      <c r="H183" s="25"/>
      <c r="I183" s="25"/>
      <c r="J183" s="25"/>
      <c r="K183" s="25"/>
      <c r="L183" s="25"/>
      <c r="M183" s="25"/>
      <c r="N183" s="25"/>
      <c r="O183" s="25"/>
      <c r="P183" s="25"/>
      <c r="Q183" s="25"/>
      <c r="R183" s="25"/>
      <c r="S183" s="53">
        <f>S179-S182-T182</f>
        <v>225616.4</v>
      </c>
      <c r="T183" s="40"/>
      <c r="U183" s="25"/>
      <c r="V183" s="53"/>
      <c r="W183" s="25"/>
      <c r="X183" s="5"/>
    </row>
    <row r="184" spans="1:24" ht="16.2" thickBot="1" x14ac:dyDescent="0.35">
      <c r="A184" s="24"/>
      <c r="B184" s="25"/>
      <c r="C184" s="25"/>
      <c r="D184" s="25"/>
      <c r="E184" s="25"/>
      <c r="F184" s="25"/>
      <c r="G184" s="25"/>
      <c r="H184" s="25"/>
      <c r="I184" s="25"/>
      <c r="J184" s="25"/>
      <c r="K184" s="25"/>
      <c r="L184" s="25"/>
      <c r="M184" s="25"/>
      <c r="N184" s="25"/>
      <c r="O184" s="25"/>
      <c r="P184" s="25"/>
      <c r="Q184" s="25"/>
      <c r="R184" s="25"/>
      <c r="S184" s="25"/>
      <c r="T184" s="25"/>
      <c r="U184" s="25"/>
      <c r="V184" s="61"/>
      <c r="W184" s="25"/>
      <c r="X184" s="5"/>
    </row>
    <row r="185" spans="1:24" ht="15.6" x14ac:dyDescent="0.3">
      <c r="A185" s="2"/>
      <c r="B185" s="4"/>
      <c r="C185" s="4"/>
      <c r="D185" s="4"/>
      <c r="E185" s="4"/>
      <c r="F185" s="4"/>
      <c r="G185" s="4"/>
      <c r="H185" s="4"/>
      <c r="I185" s="4"/>
      <c r="J185" s="4"/>
      <c r="K185" s="4"/>
      <c r="L185" s="4"/>
      <c r="M185" s="4"/>
      <c r="N185" s="4"/>
      <c r="O185" s="4"/>
      <c r="P185" s="4"/>
      <c r="Q185" s="4"/>
      <c r="R185" s="4"/>
      <c r="S185" s="4"/>
      <c r="T185" s="4"/>
      <c r="U185" s="4"/>
      <c r="V185" s="50"/>
      <c r="W185" s="4"/>
      <c r="X185" s="5"/>
    </row>
    <row r="186" spans="1:24" ht="15.6" x14ac:dyDescent="0.3">
      <c r="A186" s="6"/>
      <c r="B186" s="119" t="s">
        <v>65</v>
      </c>
      <c r="C186" s="8"/>
      <c r="D186" s="8"/>
      <c r="E186" s="8"/>
      <c r="F186" s="8"/>
      <c r="G186" s="8"/>
      <c r="H186" s="8"/>
      <c r="I186" s="8"/>
      <c r="J186" s="8"/>
      <c r="K186" s="8"/>
      <c r="L186" s="8"/>
      <c r="M186" s="8"/>
      <c r="N186" s="8"/>
      <c r="O186" s="8"/>
      <c r="P186" s="8"/>
      <c r="Q186" s="8"/>
      <c r="R186" s="8"/>
      <c r="S186" s="8"/>
      <c r="T186" s="8"/>
      <c r="U186" s="8"/>
      <c r="V186" s="65"/>
      <c r="W186" s="8"/>
      <c r="X186" s="5"/>
    </row>
    <row r="187" spans="1:24" ht="15.6" x14ac:dyDescent="0.3">
      <c r="A187" s="24"/>
      <c r="B187" s="25" t="s">
        <v>66</v>
      </c>
      <c r="C187" s="25"/>
      <c r="D187" s="25"/>
      <c r="E187" s="25"/>
      <c r="F187" s="25"/>
      <c r="G187" s="25"/>
      <c r="H187" s="25"/>
      <c r="I187" s="25"/>
      <c r="J187" s="25"/>
      <c r="K187" s="25"/>
      <c r="L187" s="25"/>
      <c r="M187" s="25"/>
      <c r="N187" s="25"/>
      <c r="O187" s="25"/>
      <c r="P187" s="25"/>
      <c r="Q187" s="25"/>
      <c r="R187" s="25"/>
      <c r="S187" s="25"/>
      <c r="T187" s="25"/>
      <c r="U187" s="25"/>
      <c r="V187" s="59">
        <f>(V100+V102+V103+V104+V105)/-(V106+V107)</f>
        <v>1.4298011773853161</v>
      </c>
      <c r="W187" s="25" t="s">
        <v>118</v>
      </c>
      <c r="X187" s="5"/>
    </row>
    <row r="188" spans="1:24" ht="15.6" x14ac:dyDescent="0.3">
      <c r="A188" s="24"/>
      <c r="B188" s="25" t="s">
        <v>67</v>
      </c>
      <c r="C188" s="25"/>
      <c r="D188" s="25"/>
      <c r="E188" s="25"/>
      <c r="F188" s="25"/>
      <c r="G188" s="25"/>
      <c r="H188" s="25"/>
      <c r="I188" s="25"/>
      <c r="J188" s="25"/>
      <c r="K188" s="25"/>
      <c r="L188" s="25"/>
      <c r="M188" s="25"/>
      <c r="N188" s="25"/>
      <c r="O188" s="25"/>
      <c r="P188" s="25"/>
      <c r="Q188" s="25"/>
      <c r="R188" s="25"/>
      <c r="S188" s="25"/>
      <c r="T188" s="25"/>
      <c r="U188" s="25"/>
      <c r="V188" s="66">
        <v>1.3</v>
      </c>
      <c r="W188" s="25" t="s">
        <v>118</v>
      </c>
      <c r="X188" s="5"/>
    </row>
    <row r="189" spans="1:24" ht="15.6" x14ac:dyDescent="0.3">
      <c r="A189" s="24"/>
      <c r="B189" s="25" t="s">
        <v>68</v>
      </c>
      <c r="C189" s="25"/>
      <c r="D189" s="25"/>
      <c r="E189" s="25"/>
      <c r="F189" s="25"/>
      <c r="G189" s="25"/>
      <c r="H189" s="25"/>
      <c r="I189" s="25"/>
      <c r="J189" s="25"/>
      <c r="K189" s="25"/>
      <c r="L189" s="25"/>
      <c r="M189" s="25"/>
      <c r="N189" s="25"/>
      <c r="O189" s="25"/>
      <c r="P189" s="25"/>
      <c r="Q189" s="25"/>
      <c r="R189" s="25"/>
      <c r="S189" s="25"/>
      <c r="T189" s="25"/>
      <c r="U189" s="25"/>
      <c r="V189" s="59">
        <f>(V100+V102+V103+V104+V105+V106+V107)/-(V109+V110)</f>
        <v>4.852037617554859</v>
      </c>
      <c r="W189" s="25" t="s">
        <v>118</v>
      </c>
      <c r="X189" s="5"/>
    </row>
    <row r="190" spans="1:24" ht="15.6" x14ac:dyDescent="0.3">
      <c r="A190" s="24"/>
      <c r="B190" s="25" t="s">
        <v>69</v>
      </c>
      <c r="C190" s="25"/>
      <c r="D190" s="25"/>
      <c r="E190" s="25"/>
      <c r="F190" s="25"/>
      <c r="G190" s="25"/>
      <c r="H190" s="25"/>
      <c r="I190" s="25"/>
      <c r="J190" s="25"/>
      <c r="K190" s="25"/>
      <c r="L190" s="25"/>
      <c r="M190" s="25"/>
      <c r="N190" s="25"/>
      <c r="O190" s="25"/>
      <c r="P190" s="25"/>
      <c r="Q190" s="25"/>
      <c r="R190" s="25"/>
      <c r="S190" s="25"/>
      <c r="T190" s="25"/>
      <c r="U190" s="25"/>
      <c r="V190" s="66">
        <v>3.37</v>
      </c>
      <c r="W190" s="25" t="s">
        <v>118</v>
      </c>
      <c r="X190" s="5"/>
    </row>
    <row r="191" spans="1:24" ht="15.6" x14ac:dyDescent="0.3">
      <c r="A191" s="24"/>
      <c r="B191" s="25" t="s">
        <v>201</v>
      </c>
      <c r="C191" s="25"/>
      <c r="D191" s="25"/>
      <c r="E191" s="25"/>
      <c r="F191" s="25"/>
      <c r="G191" s="25"/>
      <c r="H191" s="25"/>
      <c r="I191" s="25"/>
      <c r="J191" s="25"/>
      <c r="K191" s="25"/>
      <c r="L191" s="25"/>
      <c r="M191" s="25"/>
      <c r="N191" s="25"/>
      <c r="O191" s="25"/>
      <c r="P191" s="25"/>
      <c r="Q191" s="25"/>
      <c r="R191" s="25"/>
      <c r="S191" s="25"/>
      <c r="T191" s="25"/>
      <c r="U191" s="25"/>
      <c r="V191" s="59">
        <f>(V100+V102+V103+V104+V105+V106+V107+V109+V110)/-(V111+V112)</f>
        <v>6.193548387096774</v>
      </c>
      <c r="W191" s="25" t="s">
        <v>118</v>
      </c>
      <c r="X191" s="5"/>
    </row>
    <row r="192" spans="1:24" ht="15.6" x14ac:dyDescent="0.3">
      <c r="A192" s="24"/>
      <c r="B192" s="25" t="s">
        <v>202</v>
      </c>
      <c r="C192" s="25"/>
      <c r="D192" s="25"/>
      <c r="E192" s="25"/>
      <c r="F192" s="25"/>
      <c r="G192" s="25"/>
      <c r="H192" s="25"/>
      <c r="I192" s="25"/>
      <c r="J192" s="25"/>
      <c r="K192" s="25"/>
      <c r="L192" s="25"/>
      <c r="M192" s="25"/>
      <c r="N192" s="25"/>
      <c r="O192" s="25"/>
      <c r="P192" s="25"/>
      <c r="Q192" s="25"/>
      <c r="R192" s="25"/>
      <c r="S192" s="25"/>
      <c r="T192" s="25"/>
      <c r="U192" s="25"/>
      <c r="V192" s="66">
        <v>3.81</v>
      </c>
      <c r="W192" s="25" t="s">
        <v>118</v>
      </c>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5"/>
    </row>
    <row r="195" spans="1:24" ht="15.6" x14ac:dyDescent="0.3">
      <c r="A195" s="6"/>
      <c r="B195" s="8"/>
      <c r="C195" s="8"/>
      <c r="D195" s="8"/>
      <c r="E195" s="8"/>
      <c r="F195" s="8"/>
      <c r="G195" s="8"/>
      <c r="H195" s="8"/>
      <c r="I195" s="8"/>
      <c r="J195" s="8"/>
      <c r="K195" s="8"/>
      <c r="L195" s="8"/>
      <c r="M195" s="8"/>
      <c r="N195" s="8"/>
      <c r="O195" s="8"/>
      <c r="P195" s="8"/>
      <c r="Q195" s="8"/>
      <c r="R195" s="8"/>
      <c r="S195" s="8"/>
      <c r="T195" s="8"/>
      <c r="U195" s="8"/>
      <c r="V195" s="8"/>
      <c r="W195" s="8"/>
      <c r="X195" s="5"/>
    </row>
    <row r="196" spans="1:24" ht="18" thickBot="1" x14ac:dyDescent="0.35">
      <c r="A196" s="101"/>
      <c r="B196" s="102" t="str">
        <f>B137</f>
        <v>PM13 INVESTOR REPORT QUARTER ENDING MARCH 2007</v>
      </c>
      <c r="C196" s="165"/>
      <c r="D196" s="165"/>
      <c r="E196" s="165"/>
      <c r="F196" s="165"/>
      <c r="G196" s="165"/>
      <c r="H196" s="165"/>
      <c r="I196" s="165"/>
      <c r="J196" s="165"/>
      <c r="K196" s="165"/>
      <c r="L196" s="165"/>
      <c r="M196" s="165"/>
      <c r="N196" s="165"/>
      <c r="O196" s="165"/>
      <c r="P196" s="165"/>
      <c r="Q196" s="165"/>
      <c r="R196" s="165"/>
      <c r="S196" s="165"/>
      <c r="T196" s="165"/>
      <c r="U196" s="165"/>
      <c r="V196" s="165"/>
      <c r="W196" s="166"/>
      <c r="X196" s="5"/>
    </row>
    <row r="197" spans="1:24" ht="15.6" x14ac:dyDescent="0.3">
      <c r="A197" s="67"/>
      <c r="B197" s="60" t="s">
        <v>70</v>
      </c>
      <c r="C197" s="68"/>
      <c r="D197" s="68"/>
      <c r="E197" s="68"/>
      <c r="F197" s="68"/>
      <c r="G197" s="69"/>
      <c r="H197" s="69"/>
      <c r="I197" s="69"/>
      <c r="J197" s="69"/>
      <c r="K197" s="69"/>
      <c r="L197" s="69"/>
      <c r="M197" s="69"/>
      <c r="N197" s="69"/>
      <c r="O197" s="69"/>
      <c r="P197" s="69"/>
      <c r="Q197" s="69"/>
      <c r="R197" s="69"/>
      <c r="S197" s="69"/>
      <c r="T197" s="70">
        <v>39171</v>
      </c>
      <c r="U197" s="4"/>
      <c r="V197" s="4"/>
      <c r="W197" s="4"/>
      <c r="X197" s="5"/>
    </row>
    <row r="198" spans="1:24" ht="15.6" x14ac:dyDescent="0.3">
      <c r="A198" s="71"/>
      <c r="B198" s="72"/>
      <c r="C198" s="73"/>
      <c r="D198" s="73"/>
      <c r="E198" s="73"/>
      <c r="F198" s="73"/>
      <c r="G198" s="74"/>
      <c r="H198" s="74"/>
      <c r="I198" s="74"/>
      <c r="J198" s="74"/>
      <c r="K198" s="74"/>
      <c r="L198" s="74"/>
      <c r="M198" s="74"/>
      <c r="N198" s="74"/>
      <c r="O198" s="74"/>
      <c r="P198" s="74"/>
      <c r="Q198" s="74"/>
      <c r="R198" s="74"/>
      <c r="S198" s="74"/>
      <c r="T198" s="74"/>
      <c r="U198" s="8"/>
      <c r="V198" s="8"/>
      <c r="W198" s="8"/>
      <c r="X198" s="5"/>
    </row>
    <row r="199" spans="1:24" ht="15.6" x14ac:dyDescent="0.3">
      <c r="A199" s="75"/>
      <c r="B199" s="76" t="s">
        <v>71</v>
      </c>
      <c r="C199" s="77"/>
      <c r="D199" s="77"/>
      <c r="E199" s="77"/>
      <c r="F199" s="77"/>
      <c r="G199" s="64"/>
      <c r="H199" s="64"/>
      <c r="I199" s="64"/>
      <c r="J199" s="64"/>
      <c r="K199" s="64"/>
      <c r="L199" s="64"/>
      <c r="M199" s="64"/>
      <c r="N199" s="64"/>
      <c r="O199" s="64"/>
      <c r="P199" s="64"/>
      <c r="Q199" s="64"/>
      <c r="R199" s="64"/>
      <c r="S199" s="64"/>
      <c r="T199" s="78">
        <v>5.4539999999999998E-2</v>
      </c>
      <c r="U199" s="25"/>
      <c r="V199" s="25"/>
      <c r="W199" s="25"/>
      <c r="X199" s="5"/>
    </row>
    <row r="200" spans="1:24" ht="15.6" x14ac:dyDescent="0.3">
      <c r="A200" s="75"/>
      <c r="B200" s="76" t="s">
        <v>154</v>
      </c>
      <c r="C200" s="77"/>
      <c r="D200" s="77"/>
      <c r="E200" s="77"/>
      <c r="F200" s="77"/>
      <c r="G200" s="64"/>
      <c r="H200" s="64"/>
      <c r="I200" s="64"/>
      <c r="J200" s="64"/>
      <c r="K200" s="64"/>
      <c r="L200" s="64"/>
      <c r="M200" s="64"/>
      <c r="N200" s="64"/>
      <c r="O200" s="64"/>
      <c r="P200" s="64"/>
      <c r="Q200" s="64"/>
      <c r="R200" s="64"/>
      <c r="S200" s="64"/>
      <c r="T200" s="39">
        <f>'Dec 06'!T199</f>
        <v>5.238600504269459E-2</v>
      </c>
      <c r="U200" s="25"/>
      <c r="V200" s="25"/>
      <c r="W200" s="25"/>
      <c r="X200" s="5"/>
    </row>
    <row r="201" spans="1:24" ht="15.6" x14ac:dyDescent="0.3">
      <c r="A201" s="75"/>
      <c r="B201" s="76" t="s">
        <v>72</v>
      </c>
      <c r="C201" s="77"/>
      <c r="D201" s="77"/>
      <c r="E201" s="77"/>
      <c r="F201" s="77"/>
      <c r="G201" s="64"/>
      <c r="H201" s="64"/>
      <c r="I201" s="64"/>
      <c r="J201" s="64"/>
      <c r="K201" s="64"/>
      <c r="L201" s="64"/>
      <c r="M201" s="64"/>
      <c r="N201" s="64"/>
      <c r="O201" s="64"/>
      <c r="P201" s="64"/>
      <c r="Q201" s="64"/>
      <c r="R201" s="64"/>
      <c r="S201" s="64"/>
      <c r="T201" s="78">
        <f>+T199-T200</f>
        <v>2.1539949573054079E-3</v>
      </c>
      <c r="U201" s="25"/>
      <c r="V201" s="25"/>
      <c r="W201" s="25"/>
      <c r="X201" s="5"/>
    </row>
    <row r="202" spans="1:24" ht="15.6" x14ac:dyDescent="0.3">
      <c r="A202" s="75"/>
      <c r="B202" s="76" t="s">
        <v>73</v>
      </c>
      <c r="C202" s="77"/>
      <c r="D202" s="77"/>
      <c r="E202" s="77"/>
      <c r="F202" s="77"/>
      <c r="G202" s="64"/>
      <c r="H202" s="64"/>
      <c r="I202" s="64"/>
      <c r="J202" s="64"/>
      <c r="K202" s="64"/>
      <c r="L202" s="64"/>
      <c r="M202" s="64"/>
      <c r="N202" s="64"/>
      <c r="O202" s="64"/>
      <c r="P202" s="64"/>
      <c r="Q202" s="64"/>
      <c r="R202" s="64"/>
      <c r="S202" s="64"/>
      <c r="T202" s="78">
        <v>5.4960000000000002E-2</v>
      </c>
      <c r="U202" s="25"/>
      <c r="V202" s="25"/>
      <c r="W202" s="25"/>
      <c r="X202" s="5"/>
    </row>
    <row r="203" spans="1:24" ht="15.6" x14ac:dyDescent="0.3">
      <c r="A203" s="75"/>
      <c r="B203" s="76" t="s">
        <v>222</v>
      </c>
      <c r="C203" s="77"/>
      <c r="D203" s="77"/>
      <c r="E203" s="77"/>
      <c r="F203" s="77"/>
      <c r="G203" s="64"/>
      <c r="H203" s="64"/>
      <c r="I203" s="64"/>
      <c r="J203" s="64"/>
      <c r="K203" s="64"/>
      <c r="L203" s="64"/>
      <c r="M203" s="64"/>
      <c r="N203" s="64"/>
      <c r="O203" s="64"/>
      <c r="P203" s="64"/>
      <c r="Q203" s="64"/>
      <c r="R203" s="64"/>
      <c r="S203" s="64"/>
      <c r="T203" s="78">
        <f>V43</f>
        <v>5.642920715647564E-2</v>
      </c>
      <c r="U203" s="25"/>
      <c r="V203" s="25"/>
      <c r="W203" s="25"/>
      <c r="X203" s="5"/>
    </row>
    <row r="204" spans="1:24" ht="15.6" x14ac:dyDescent="0.3">
      <c r="A204" s="75"/>
      <c r="B204" s="76" t="s">
        <v>74</v>
      </c>
      <c r="C204" s="77"/>
      <c r="D204" s="77"/>
      <c r="E204" s="77"/>
      <c r="F204" s="77"/>
      <c r="G204" s="64"/>
      <c r="H204" s="64"/>
      <c r="I204" s="64"/>
      <c r="J204" s="64"/>
      <c r="K204" s="64"/>
      <c r="L204" s="64"/>
      <c r="M204" s="64"/>
      <c r="N204" s="64"/>
      <c r="O204" s="64"/>
      <c r="P204" s="64"/>
      <c r="Q204" s="64"/>
      <c r="R204" s="64"/>
      <c r="S204" s="64"/>
      <c r="T204" s="78">
        <f>T202-T203</f>
        <v>-1.4692071564756382E-3</v>
      </c>
      <c r="U204" s="25"/>
      <c r="V204" s="25"/>
      <c r="W204" s="25"/>
      <c r="X204" s="5"/>
    </row>
    <row r="205" spans="1:24" ht="15.6" x14ac:dyDescent="0.3">
      <c r="A205" s="75"/>
      <c r="B205" s="76" t="s">
        <v>274</v>
      </c>
      <c r="C205" s="77"/>
      <c r="D205" s="77"/>
      <c r="E205" s="77"/>
      <c r="F205" s="77"/>
      <c r="G205" s="64"/>
      <c r="H205" s="64"/>
      <c r="I205" s="64"/>
      <c r="J205" s="64"/>
      <c r="K205" s="64"/>
      <c r="L205" s="64"/>
      <c r="M205" s="64"/>
      <c r="N205" s="64"/>
      <c r="O205" s="64"/>
      <c r="P205" s="64"/>
      <c r="Q205" s="64"/>
      <c r="R205" s="64"/>
      <c r="S205" s="64"/>
      <c r="T205" s="78">
        <f>+V100/N72</f>
        <v>1.7720443068507515E-2</v>
      </c>
      <c r="U205" s="25"/>
      <c r="V205" s="25"/>
      <c r="W205" s="25"/>
      <c r="X205" s="5"/>
    </row>
    <row r="206" spans="1:24" ht="15.6" x14ac:dyDescent="0.3">
      <c r="A206" s="75"/>
      <c r="B206" s="76" t="s">
        <v>211</v>
      </c>
      <c r="C206" s="77"/>
      <c r="D206" s="77"/>
      <c r="E206" s="77"/>
      <c r="F206" s="77"/>
      <c r="G206" s="64"/>
      <c r="H206" s="64"/>
      <c r="I206" s="64"/>
      <c r="J206" s="64"/>
      <c r="K206" s="64"/>
      <c r="L206" s="64"/>
      <c r="M206" s="64"/>
      <c r="N206" s="64"/>
      <c r="O206" s="64"/>
      <c r="P206" s="64"/>
      <c r="Q206" s="64"/>
      <c r="R206" s="64"/>
      <c r="S206" s="64"/>
      <c r="T206" s="129">
        <v>50771</v>
      </c>
      <c r="U206" s="25"/>
      <c r="V206" s="25"/>
      <c r="W206" s="25"/>
      <c r="X206" s="5"/>
    </row>
    <row r="207" spans="1:24" ht="15.6" x14ac:dyDescent="0.3">
      <c r="A207" s="75"/>
      <c r="B207" s="76" t="s">
        <v>212</v>
      </c>
      <c r="C207" s="77"/>
      <c r="D207" s="77"/>
      <c r="E207" s="77"/>
      <c r="F207" s="77"/>
      <c r="G207" s="64"/>
      <c r="H207" s="64"/>
      <c r="I207" s="64"/>
      <c r="J207" s="64"/>
      <c r="K207" s="64"/>
      <c r="L207" s="64"/>
      <c r="M207" s="64"/>
      <c r="N207" s="64"/>
      <c r="O207" s="64"/>
      <c r="P207" s="64"/>
      <c r="Q207" s="64"/>
      <c r="R207" s="64"/>
      <c r="S207" s="64"/>
      <c r="T207" s="129">
        <v>50771</v>
      </c>
      <c r="U207" s="25"/>
      <c r="V207" s="25"/>
      <c r="W207" s="25"/>
      <c r="X207" s="5"/>
    </row>
    <row r="208" spans="1:24" ht="15.6" x14ac:dyDescent="0.3">
      <c r="A208" s="75"/>
      <c r="B208" s="76" t="s">
        <v>213</v>
      </c>
      <c r="C208" s="77"/>
      <c r="D208" s="77"/>
      <c r="E208" s="77"/>
      <c r="F208" s="77"/>
      <c r="G208" s="64"/>
      <c r="H208" s="64"/>
      <c r="I208" s="64"/>
      <c r="J208" s="64"/>
      <c r="K208" s="64"/>
      <c r="L208" s="64"/>
      <c r="M208" s="64"/>
      <c r="N208" s="64"/>
      <c r="O208" s="64"/>
      <c r="P208" s="64"/>
      <c r="Q208" s="64"/>
      <c r="R208" s="64"/>
      <c r="S208" s="64"/>
      <c r="T208" s="129">
        <v>50771</v>
      </c>
      <c r="U208" s="25"/>
      <c r="V208" s="25"/>
      <c r="W208" s="25"/>
      <c r="X208" s="5"/>
    </row>
    <row r="209" spans="1:24" ht="15.6" x14ac:dyDescent="0.3">
      <c r="A209" s="75"/>
      <c r="B209" s="76" t="s">
        <v>75</v>
      </c>
      <c r="C209" s="77"/>
      <c r="D209" s="77"/>
      <c r="E209" s="77"/>
      <c r="F209" s="77"/>
      <c r="G209" s="64"/>
      <c r="H209" s="64"/>
      <c r="I209" s="64"/>
      <c r="J209" s="64"/>
      <c r="K209" s="64"/>
      <c r="L209" s="64"/>
      <c r="M209" s="64"/>
      <c r="N209" s="64"/>
      <c r="O209" s="64"/>
      <c r="P209" s="64"/>
      <c r="Q209" s="64"/>
      <c r="R209" s="64"/>
      <c r="S209" s="64"/>
      <c r="T209" s="133">
        <v>20.66</v>
      </c>
      <c r="U209" s="25" t="s">
        <v>113</v>
      </c>
      <c r="V209" s="25"/>
      <c r="W209" s="25"/>
      <c r="X209" s="5"/>
    </row>
    <row r="210" spans="1:24" ht="15.6" x14ac:dyDescent="0.3">
      <c r="A210" s="75"/>
      <c r="B210" s="76" t="s">
        <v>76</v>
      </c>
      <c r="C210" s="77"/>
      <c r="D210" s="77"/>
      <c r="E210" s="77"/>
      <c r="F210" s="77"/>
      <c r="G210" s="64"/>
      <c r="H210" s="64"/>
      <c r="I210" s="64"/>
      <c r="J210" s="64"/>
      <c r="K210" s="64"/>
      <c r="L210" s="64"/>
      <c r="M210" s="64"/>
      <c r="N210" s="64"/>
      <c r="O210" s="64"/>
      <c r="P210" s="64"/>
      <c r="Q210" s="64"/>
      <c r="R210" s="64"/>
      <c r="S210" s="64"/>
      <c r="T210" s="133">
        <v>20.329999999999998</v>
      </c>
      <c r="U210" s="25" t="s">
        <v>113</v>
      </c>
      <c r="V210" s="25"/>
      <c r="W210" s="25"/>
      <c r="X210" s="5"/>
    </row>
    <row r="211" spans="1:24" ht="15.6" x14ac:dyDescent="0.3">
      <c r="A211" s="75"/>
      <c r="B211" s="76" t="s">
        <v>77</v>
      </c>
      <c r="C211" s="77"/>
      <c r="D211" s="77"/>
      <c r="E211" s="77"/>
      <c r="F211" s="77"/>
      <c r="G211" s="64"/>
      <c r="H211" s="64"/>
      <c r="I211" s="64"/>
      <c r="J211" s="64"/>
      <c r="K211" s="64"/>
      <c r="L211" s="64"/>
      <c r="M211" s="64"/>
      <c r="N211" s="64"/>
      <c r="O211" s="64"/>
      <c r="P211" s="64"/>
      <c r="Q211" s="64"/>
      <c r="R211" s="64"/>
      <c r="S211" s="64"/>
      <c r="T211" s="78">
        <f>+P69/N69</f>
        <v>2.8216091164980452E-2</v>
      </c>
      <c r="U211" s="25"/>
      <c r="V211" s="25"/>
      <c r="W211" s="25"/>
      <c r="X211" s="5"/>
    </row>
    <row r="212" spans="1:24" ht="15.6" x14ac:dyDescent="0.3">
      <c r="A212" s="75"/>
      <c r="B212" s="76" t="s">
        <v>78</v>
      </c>
      <c r="C212" s="77"/>
      <c r="D212" s="77"/>
      <c r="E212" s="77"/>
      <c r="F212" s="77"/>
      <c r="G212" s="64"/>
      <c r="H212" s="64"/>
      <c r="I212" s="64"/>
      <c r="J212" s="64"/>
      <c r="K212" s="64"/>
      <c r="L212" s="64"/>
      <c r="M212" s="64"/>
      <c r="N212" s="64"/>
      <c r="O212" s="64"/>
      <c r="P212" s="64"/>
      <c r="Q212" s="64"/>
      <c r="R212" s="64"/>
      <c r="S212" s="64"/>
      <c r="T212" s="78">
        <v>0.1033</v>
      </c>
      <c r="U212" s="25"/>
      <c r="V212" s="25"/>
      <c r="W212" s="25"/>
      <c r="X212" s="5"/>
    </row>
    <row r="213" spans="1:24" ht="15.6" x14ac:dyDescent="0.3">
      <c r="A213" s="75"/>
      <c r="B213" s="76"/>
      <c r="C213" s="76"/>
      <c r="D213" s="76"/>
      <c r="E213" s="76"/>
      <c r="F213" s="76"/>
      <c r="G213" s="25"/>
      <c r="H213" s="25"/>
      <c r="I213" s="25"/>
      <c r="J213" s="25"/>
      <c r="K213" s="25"/>
      <c r="L213" s="25"/>
      <c r="M213" s="25"/>
      <c r="N213" s="25"/>
      <c r="O213" s="25"/>
      <c r="P213" s="25"/>
      <c r="Q213" s="25"/>
      <c r="R213" s="25"/>
      <c r="S213" s="25"/>
      <c r="T213" s="61"/>
      <c r="U213" s="25"/>
      <c r="V213" s="79"/>
      <c r="W213" s="25"/>
      <c r="X213" s="5"/>
    </row>
    <row r="214" spans="1:24" ht="15.6" x14ac:dyDescent="0.3">
      <c r="A214" s="80"/>
      <c r="B214" s="14" t="s">
        <v>79</v>
      </c>
      <c r="C214" s="81"/>
      <c r="D214" s="81"/>
      <c r="E214" s="81"/>
      <c r="F214" s="82"/>
      <c r="G214" s="81"/>
      <c r="H214" s="17"/>
      <c r="I214" s="17"/>
      <c r="J214" s="17"/>
      <c r="K214" s="17"/>
      <c r="L214" s="17"/>
      <c r="M214" s="17"/>
      <c r="N214" s="17"/>
      <c r="O214" s="17"/>
      <c r="P214" s="17"/>
      <c r="Q214" s="17"/>
      <c r="R214" s="17"/>
      <c r="S214" s="17" t="s">
        <v>103</v>
      </c>
      <c r="T214" s="83" t="s">
        <v>110</v>
      </c>
      <c r="U214" s="8"/>
      <c r="V214" s="8"/>
      <c r="W214" s="8"/>
      <c r="X214" s="5"/>
    </row>
    <row r="215" spans="1:24" ht="15.6" x14ac:dyDescent="0.3">
      <c r="A215" s="84"/>
      <c r="B215" s="76" t="s">
        <v>80</v>
      </c>
      <c r="C215" s="54"/>
      <c r="D215" s="54"/>
      <c r="E215" s="54"/>
      <c r="F215" s="25"/>
      <c r="G215" s="25"/>
      <c r="H215" s="30"/>
      <c r="I215" s="30"/>
      <c r="J215" s="30"/>
      <c r="K215" s="30"/>
      <c r="L215" s="30"/>
      <c r="M215" s="30"/>
      <c r="N215" s="30"/>
      <c r="O215" s="30"/>
      <c r="P215" s="30"/>
      <c r="Q215" s="30"/>
      <c r="R215" s="30"/>
      <c r="S215" s="30">
        <v>0</v>
      </c>
      <c r="T215" s="85">
        <v>0</v>
      </c>
      <c r="U215" s="25"/>
      <c r="V215" s="79"/>
      <c r="W215" s="86"/>
      <c r="X215" s="5"/>
    </row>
    <row r="216" spans="1:24" ht="15.6" x14ac:dyDescent="0.3">
      <c r="A216" s="84"/>
      <c r="B216" s="76" t="s">
        <v>148</v>
      </c>
      <c r="C216" s="54"/>
      <c r="D216" s="54"/>
      <c r="E216" s="54"/>
      <c r="F216" s="25"/>
      <c r="G216" s="25"/>
      <c r="H216" s="30"/>
      <c r="I216" s="30"/>
      <c r="J216" s="30"/>
      <c r="K216" s="30"/>
      <c r="L216" s="30"/>
      <c r="M216" s="30"/>
      <c r="N216" s="30"/>
      <c r="O216" s="30"/>
      <c r="P216" s="30"/>
      <c r="Q216" s="30"/>
      <c r="R216" s="30"/>
      <c r="S216" s="152">
        <f>+R257</f>
        <v>16</v>
      </c>
      <c r="T216" s="85">
        <f>+T257</f>
        <v>1895</v>
      </c>
      <c r="U216" s="25"/>
      <c r="V216" s="79"/>
      <c r="W216" s="86"/>
      <c r="X216" s="5"/>
    </row>
    <row r="217" spans="1:24" ht="15.6" x14ac:dyDescent="0.3">
      <c r="A217" s="84"/>
      <c r="B217" s="76" t="s">
        <v>81</v>
      </c>
      <c r="C217" s="54"/>
      <c r="D217" s="54"/>
      <c r="E217" s="54"/>
      <c r="F217" s="25"/>
      <c r="G217" s="25"/>
      <c r="H217" s="30"/>
      <c r="I217" s="30"/>
      <c r="J217" s="30"/>
      <c r="K217" s="30"/>
      <c r="L217" s="30"/>
      <c r="M217" s="30"/>
      <c r="N217" s="30"/>
      <c r="O217" s="30"/>
      <c r="P217" s="30"/>
      <c r="Q217" s="30"/>
      <c r="R217" s="30"/>
      <c r="S217" s="30">
        <v>0</v>
      </c>
      <c r="T217" s="85">
        <v>0</v>
      </c>
      <c r="U217" s="25"/>
      <c r="V217" s="79"/>
      <c r="W217" s="86"/>
      <c r="X217" s="5"/>
    </row>
    <row r="218" spans="1:24" ht="15.6" x14ac:dyDescent="0.3">
      <c r="A218" s="84"/>
      <c r="B218" s="122" t="s">
        <v>82</v>
      </c>
      <c r="C218" s="54"/>
      <c r="D218" s="54"/>
      <c r="E218" s="54"/>
      <c r="F218" s="25"/>
      <c r="G218" s="25"/>
      <c r="H218" s="25"/>
      <c r="I218" s="25"/>
      <c r="J218" s="25"/>
      <c r="K218" s="25"/>
      <c r="L218" s="25"/>
      <c r="M218" s="25"/>
      <c r="N218" s="25"/>
      <c r="O218" s="25"/>
      <c r="P218" s="25"/>
      <c r="Q218" s="25"/>
      <c r="R218" s="25"/>
      <c r="S218" s="25"/>
      <c r="T218" s="85">
        <v>0</v>
      </c>
      <c r="U218" s="25"/>
      <c r="V218" s="79"/>
      <c r="W218" s="86"/>
      <c r="X218" s="5"/>
    </row>
    <row r="219" spans="1:24" ht="15.6" x14ac:dyDescent="0.3">
      <c r="A219" s="84"/>
      <c r="B219" s="122" t="s">
        <v>275</v>
      </c>
      <c r="C219" s="54"/>
      <c r="D219" s="54"/>
      <c r="E219" s="54"/>
      <c r="F219" s="25"/>
      <c r="G219" s="25"/>
      <c r="H219" s="25"/>
      <c r="I219" s="25"/>
      <c r="J219" s="25"/>
      <c r="K219" s="25"/>
      <c r="L219" s="25"/>
      <c r="M219" s="25"/>
      <c r="N219" s="25"/>
      <c r="O219" s="25"/>
      <c r="P219" s="25"/>
      <c r="Q219" s="25"/>
      <c r="R219" s="25"/>
      <c r="S219" s="25"/>
      <c r="T219" s="85">
        <f>+N82</f>
        <v>0</v>
      </c>
      <c r="U219" s="25"/>
      <c r="V219" s="79"/>
      <c r="W219" s="86"/>
      <c r="X219" s="5"/>
    </row>
    <row r="220" spans="1:24" ht="15.6" x14ac:dyDescent="0.3">
      <c r="A220" s="87"/>
      <c r="B220" s="122" t="s">
        <v>83</v>
      </c>
      <c r="C220" s="76"/>
      <c r="D220" s="76"/>
      <c r="E220" s="76"/>
      <c r="F220" s="76"/>
      <c r="G220" s="25"/>
      <c r="H220" s="25"/>
      <c r="I220" s="25"/>
      <c r="J220" s="25"/>
      <c r="K220" s="25"/>
      <c r="L220" s="25"/>
      <c r="M220" s="25"/>
      <c r="N220" s="25"/>
      <c r="O220" s="25"/>
      <c r="P220" s="25"/>
      <c r="Q220" s="25"/>
      <c r="R220" s="25"/>
      <c r="S220" s="25"/>
      <c r="T220" s="85"/>
      <c r="U220" s="25"/>
      <c r="V220" s="79"/>
      <c r="W220" s="88"/>
      <c r="X220" s="5"/>
    </row>
    <row r="221" spans="1:24" ht="15.6" x14ac:dyDescent="0.3">
      <c r="A221" s="87"/>
      <c r="B221" s="131" t="s">
        <v>84</v>
      </c>
      <c r="C221" s="76"/>
      <c r="D221" s="76"/>
      <c r="E221" s="76"/>
      <c r="F221" s="76"/>
      <c r="G221" s="25"/>
      <c r="H221" s="25"/>
      <c r="I221" s="25"/>
      <c r="J221" s="25"/>
      <c r="K221" s="25"/>
      <c r="L221" s="25"/>
      <c r="M221" s="25"/>
      <c r="N221" s="25"/>
      <c r="O221" s="25"/>
      <c r="P221" s="25"/>
      <c r="Q221" s="25"/>
      <c r="R221" s="25"/>
      <c r="S221" s="30">
        <v>0</v>
      </c>
      <c r="T221" s="85">
        <f>V166</f>
        <v>0</v>
      </c>
      <c r="U221" s="25"/>
      <c r="V221" s="79"/>
      <c r="W221" s="88"/>
      <c r="X221" s="5"/>
    </row>
    <row r="222" spans="1:24" ht="15.6" x14ac:dyDescent="0.3">
      <c r="A222" s="84"/>
      <c r="B222" s="76" t="s">
        <v>85</v>
      </c>
      <c r="C222" s="54"/>
      <c r="D222" s="54"/>
      <c r="E222" s="54"/>
      <c r="F222" s="54"/>
      <c r="G222" s="25"/>
      <c r="H222" s="25"/>
      <c r="I222" s="25"/>
      <c r="J222" s="25"/>
      <c r="K222" s="25"/>
      <c r="L222" s="25"/>
      <c r="M222" s="25"/>
      <c r="N222" s="25"/>
      <c r="O222" s="25"/>
      <c r="P222" s="25"/>
      <c r="Q222" s="25"/>
      <c r="R222" s="25"/>
      <c r="S222" s="30">
        <v>0</v>
      </c>
      <c r="T222" s="85">
        <f>+'Dec 06'!T221+T221</f>
        <v>0</v>
      </c>
      <c r="U222" s="25"/>
      <c r="V222" s="79"/>
      <c r="W222" s="88"/>
      <c r="X222" s="5"/>
    </row>
    <row r="223" spans="1:24" ht="15.6" x14ac:dyDescent="0.3">
      <c r="A223" s="84"/>
      <c r="B223" s="76" t="s">
        <v>86</v>
      </c>
      <c r="C223" s="54"/>
      <c r="D223" s="54"/>
      <c r="E223" s="54"/>
      <c r="F223" s="54"/>
      <c r="G223" s="25"/>
      <c r="H223" s="25"/>
      <c r="I223" s="25"/>
      <c r="J223" s="25"/>
      <c r="K223" s="25"/>
      <c r="L223" s="25"/>
      <c r="M223" s="25"/>
      <c r="N223" s="25"/>
      <c r="O223" s="25"/>
      <c r="P223" s="25"/>
      <c r="Q223" s="25"/>
      <c r="R223" s="25"/>
      <c r="S223" s="30"/>
      <c r="T223" s="85">
        <v>0</v>
      </c>
      <c r="U223" s="25"/>
      <c r="V223" s="79"/>
      <c r="W223" s="88"/>
      <c r="X223" s="5"/>
    </row>
    <row r="224" spans="1:24" ht="15.6" x14ac:dyDescent="0.3">
      <c r="A224" s="87"/>
      <c r="B224" s="122" t="s">
        <v>297</v>
      </c>
      <c r="C224" s="76"/>
      <c r="D224" s="76"/>
      <c r="E224" s="76"/>
      <c r="F224" s="76"/>
      <c r="G224" s="25"/>
      <c r="H224" s="25"/>
      <c r="I224" s="25"/>
      <c r="J224" s="25"/>
      <c r="K224" s="25"/>
      <c r="L224" s="25"/>
      <c r="M224" s="25"/>
      <c r="N224" s="25"/>
      <c r="O224" s="25"/>
      <c r="P224" s="25"/>
      <c r="Q224" s="25"/>
      <c r="R224" s="25"/>
      <c r="S224" s="30"/>
      <c r="T224" s="85"/>
      <c r="U224" s="25"/>
      <c r="V224" s="79"/>
      <c r="W224" s="88"/>
      <c r="X224" s="5"/>
    </row>
    <row r="225" spans="1:25" ht="15.6" x14ac:dyDescent="0.3">
      <c r="A225" s="87"/>
      <c r="B225" s="76" t="s">
        <v>295</v>
      </c>
      <c r="C225" s="76"/>
      <c r="D225" s="76"/>
      <c r="E225" s="76"/>
      <c r="F225" s="76"/>
      <c r="G225" s="25"/>
      <c r="H225" s="25"/>
      <c r="I225" s="25"/>
      <c r="J225" s="25"/>
      <c r="K225" s="25"/>
      <c r="L225" s="25"/>
      <c r="M225" s="25"/>
      <c r="N225" s="25"/>
      <c r="O225" s="25"/>
      <c r="P225" s="25"/>
      <c r="Q225" s="25"/>
      <c r="R225" s="25"/>
      <c r="S225" s="30">
        <v>0</v>
      </c>
      <c r="T225" s="85">
        <v>0</v>
      </c>
      <c r="U225" s="25"/>
      <c r="V225" s="79"/>
      <c r="W225" s="88"/>
      <c r="X225" s="5"/>
    </row>
    <row r="226" spans="1:25" ht="15.6" x14ac:dyDescent="0.3">
      <c r="A226" s="84"/>
      <c r="B226" s="76" t="s">
        <v>87</v>
      </c>
      <c r="C226" s="89"/>
      <c r="D226" s="89"/>
      <c r="E226" s="89"/>
      <c r="F226" s="90"/>
      <c r="G226" s="25"/>
      <c r="H226" s="25"/>
      <c r="I226" s="25"/>
      <c r="J226" s="25"/>
      <c r="K226" s="25"/>
      <c r="L226" s="25"/>
      <c r="M226" s="25"/>
      <c r="N226" s="25"/>
      <c r="O226" s="25"/>
      <c r="P226" s="25"/>
      <c r="Q226" s="25"/>
      <c r="R226" s="25"/>
      <c r="S226" s="25"/>
      <c r="T226" s="62">
        <v>0</v>
      </c>
      <c r="U226" s="25"/>
      <c r="V226" s="79"/>
      <c r="W226" s="88"/>
      <c r="X226" s="5"/>
    </row>
    <row r="227" spans="1:25" ht="15.6" x14ac:dyDescent="0.3">
      <c r="A227" s="84"/>
      <c r="B227" s="76" t="s">
        <v>88</v>
      </c>
      <c r="C227" s="89"/>
      <c r="D227" s="89"/>
      <c r="E227" s="89"/>
      <c r="F227" s="90"/>
      <c r="G227" s="25"/>
      <c r="H227" s="25"/>
      <c r="I227" s="25"/>
      <c r="J227" s="25"/>
      <c r="K227" s="25"/>
      <c r="L227" s="25"/>
      <c r="M227" s="25"/>
      <c r="N227" s="25"/>
      <c r="O227" s="25"/>
      <c r="P227" s="25"/>
      <c r="Q227" s="25"/>
      <c r="R227" s="25"/>
      <c r="S227" s="25"/>
      <c r="T227" s="62">
        <v>0</v>
      </c>
      <c r="U227" s="25"/>
      <c r="V227" s="79"/>
      <c r="W227" s="88"/>
      <c r="X227" s="5"/>
    </row>
    <row r="228" spans="1:25" ht="15.6" x14ac:dyDescent="0.3">
      <c r="A228" s="84"/>
      <c r="B228" s="122" t="s">
        <v>220</v>
      </c>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5.6" x14ac:dyDescent="0.3">
      <c r="A229" s="84"/>
      <c r="B229" s="76" t="s">
        <v>295</v>
      </c>
      <c r="C229" s="89"/>
      <c r="D229" s="89"/>
      <c r="E229" s="89"/>
      <c r="F229" s="90"/>
      <c r="G229" s="25"/>
      <c r="H229" s="25"/>
      <c r="I229" s="25"/>
      <c r="J229" s="25"/>
      <c r="K229" s="25"/>
      <c r="L229" s="25"/>
      <c r="M229" s="25"/>
      <c r="N229" s="25"/>
      <c r="O229" s="25"/>
      <c r="P229" s="25"/>
      <c r="Q229" s="25"/>
      <c r="R229" s="25"/>
      <c r="S229" s="30">
        <v>0</v>
      </c>
      <c r="T229" s="85">
        <v>0</v>
      </c>
      <c r="U229" s="25"/>
      <c r="V229" s="79"/>
      <c r="W229" s="88"/>
      <c r="X229" s="5"/>
    </row>
    <row r="230" spans="1:25" ht="15.6" x14ac:dyDescent="0.3">
      <c r="A230" s="84"/>
      <c r="B230" s="76" t="s">
        <v>221</v>
      </c>
      <c r="C230" s="89"/>
      <c r="D230" s="89"/>
      <c r="E230" s="89"/>
      <c r="F230" s="90"/>
      <c r="G230" s="25"/>
      <c r="H230" s="25"/>
      <c r="I230" s="25"/>
      <c r="J230" s="25"/>
      <c r="K230" s="25"/>
      <c r="L230" s="25"/>
      <c r="M230" s="25"/>
      <c r="N230" s="25"/>
      <c r="O230" s="25"/>
      <c r="P230" s="25"/>
      <c r="Q230" s="25"/>
      <c r="R230" s="25"/>
      <c r="S230" s="25"/>
      <c r="T230" s="62">
        <v>0</v>
      </c>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7.399999999999999" x14ac:dyDescent="0.3">
      <c r="A233" s="84"/>
      <c r="B233" s="149" t="s">
        <v>171</v>
      </c>
      <c r="C233" s="89"/>
      <c r="D233" s="89"/>
      <c r="E233" s="89"/>
      <c r="F233" s="90"/>
      <c r="G233" s="25"/>
      <c r="H233" s="25"/>
      <c r="I233" s="25"/>
      <c r="J233" s="25"/>
      <c r="K233" s="25"/>
      <c r="L233" s="25"/>
      <c r="M233" s="25"/>
      <c r="N233" s="25"/>
      <c r="O233" s="25"/>
      <c r="P233" s="150" t="s">
        <v>170</v>
      </c>
      <c r="Q233" s="25"/>
      <c r="R233" s="25"/>
      <c r="S233" s="25"/>
      <c r="T233" s="91"/>
      <c r="U233" s="25"/>
      <c r="V233" s="79"/>
      <c r="W233" s="88"/>
      <c r="X233" s="5"/>
    </row>
    <row r="234" spans="1:25" ht="15.6" x14ac:dyDescent="0.3">
      <c r="A234" s="84"/>
      <c r="B234" s="76"/>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5" ht="15.6" x14ac:dyDescent="0.3">
      <c r="A235" s="6"/>
      <c r="B235" s="14" t="s">
        <v>165</v>
      </c>
      <c r="C235" s="81"/>
      <c r="D235" s="81"/>
      <c r="E235" s="81"/>
      <c r="F235" s="82"/>
      <c r="G235" s="81"/>
      <c r="H235" s="17"/>
      <c r="I235" s="17"/>
      <c r="J235" s="17"/>
      <c r="K235" s="17"/>
      <c r="L235" s="17"/>
      <c r="M235" s="17"/>
      <c r="N235" s="17"/>
      <c r="O235" s="17"/>
      <c r="P235" s="17"/>
      <c r="Q235" s="17"/>
      <c r="R235" s="83" t="s">
        <v>103</v>
      </c>
      <c r="S235" s="17" t="s">
        <v>104</v>
      </c>
      <c r="T235" s="83" t="s">
        <v>111</v>
      </c>
      <c r="U235" s="17" t="s">
        <v>104</v>
      </c>
      <c r="V235" s="8"/>
      <c r="W235" s="92"/>
      <c r="X235" s="5"/>
    </row>
    <row r="236" spans="1:25" ht="15.6" x14ac:dyDescent="0.3">
      <c r="A236" s="24"/>
      <c r="B236" s="54" t="s">
        <v>89</v>
      </c>
      <c r="C236" s="93"/>
      <c r="D236" s="93"/>
      <c r="E236" s="93"/>
      <c r="F236" s="25"/>
      <c r="G236" s="93"/>
      <c r="H236" s="93"/>
      <c r="I236" s="93"/>
      <c r="J236" s="93"/>
      <c r="K236" s="93"/>
      <c r="L236" s="93"/>
      <c r="M236" s="93"/>
      <c r="N236" s="93"/>
      <c r="O236" s="93"/>
      <c r="P236" s="93"/>
      <c r="Q236" s="93"/>
      <c r="R236" s="54">
        <v>11684</v>
      </c>
      <c r="S236" s="94">
        <f t="shared" ref="S236:S243" si="1">R236/$R$245</f>
        <v>0.99726869238648008</v>
      </c>
      <c r="T236" s="53">
        <v>1443487</v>
      </c>
      <c r="U236" s="132">
        <f t="shared" ref="U236:U243" si="2">T236/$T$245</f>
        <v>0.99729722073871818</v>
      </c>
      <c r="V236" s="79"/>
      <c r="W236" s="88"/>
      <c r="X236" s="5"/>
    </row>
    <row r="237" spans="1:25" ht="15.6" x14ac:dyDescent="0.3">
      <c r="A237" s="24"/>
      <c r="B237" s="54" t="s">
        <v>90</v>
      </c>
      <c r="C237" s="93"/>
      <c r="D237" s="93"/>
      <c r="E237" s="93"/>
      <c r="F237" s="25"/>
      <c r="G237" s="94"/>
      <c r="H237" s="93"/>
      <c r="I237" s="93"/>
      <c r="J237" s="93"/>
      <c r="K237" s="93"/>
      <c r="L237" s="93"/>
      <c r="M237" s="93"/>
      <c r="N237" s="93"/>
      <c r="O237" s="93"/>
      <c r="P237" s="93"/>
      <c r="Q237" s="93"/>
      <c r="R237" s="54">
        <v>17</v>
      </c>
      <c r="S237" s="94">
        <f t="shared" si="1"/>
        <v>1.4510071696824855E-3</v>
      </c>
      <c r="T237" s="53">
        <v>2384</v>
      </c>
      <c r="U237" s="132">
        <f t="shared" si="2"/>
        <v>1.6470924741553642E-3</v>
      </c>
      <c r="V237" s="79"/>
      <c r="W237" s="88"/>
      <c r="X237" s="5"/>
      <c r="Y237" s="109"/>
    </row>
    <row r="238" spans="1:25" ht="15.6" x14ac:dyDescent="0.3">
      <c r="A238" s="24"/>
      <c r="B238" s="54" t="s">
        <v>91</v>
      </c>
      <c r="C238" s="93"/>
      <c r="D238" s="93"/>
      <c r="E238" s="93"/>
      <c r="F238" s="25"/>
      <c r="G238" s="94"/>
      <c r="H238" s="93"/>
      <c r="I238" s="93"/>
      <c r="J238" s="93"/>
      <c r="K238" s="93"/>
      <c r="L238" s="93"/>
      <c r="M238" s="93"/>
      <c r="N238" s="93"/>
      <c r="O238" s="93"/>
      <c r="P238" s="93"/>
      <c r="Q238" s="93"/>
      <c r="R238" s="54">
        <v>4</v>
      </c>
      <c r="S238" s="94">
        <f t="shared" si="1"/>
        <v>3.414134516899966E-4</v>
      </c>
      <c r="T238" s="53">
        <v>561</v>
      </c>
      <c r="U238" s="132">
        <f t="shared" si="2"/>
        <v>3.8759181124209705E-4</v>
      </c>
      <c r="V238" s="79"/>
      <c r="W238" s="88"/>
      <c r="X238" s="5"/>
    </row>
    <row r="239" spans="1:25" ht="15.6" x14ac:dyDescent="0.3">
      <c r="A239" s="24"/>
      <c r="B239" s="54" t="s">
        <v>159</v>
      </c>
      <c r="C239" s="93"/>
      <c r="D239" s="93"/>
      <c r="E239" s="93"/>
      <c r="F239" s="25"/>
      <c r="G239" s="94"/>
      <c r="H239" s="93"/>
      <c r="I239" s="93"/>
      <c r="J239" s="93"/>
      <c r="K239" s="93"/>
      <c r="L239" s="93"/>
      <c r="M239" s="93"/>
      <c r="N239" s="93"/>
      <c r="O239" s="93"/>
      <c r="P239" s="93"/>
      <c r="Q239" s="93"/>
      <c r="R239" s="54">
        <v>11</v>
      </c>
      <c r="S239" s="94">
        <f t="shared" si="1"/>
        <v>9.3888699214749057E-4</v>
      </c>
      <c r="T239" s="53">
        <v>967</v>
      </c>
      <c r="U239" s="132">
        <f t="shared" si="2"/>
        <v>6.6809497588432771E-4</v>
      </c>
      <c r="V239" s="79"/>
      <c r="W239" s="88"/>
      <c r="X239" s="5"/>
      <c r="Y239" s="109"/>
    </row>
    <row r="240" spans="1:25" ht="15.6" x14ac:dyDescent="0.3">
      <c r="A240" s="24"/>
      <c r="B240" s="54" t="s">
        <v>160</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row>
    <row r="241" spans="1:25" ht="15.6" x14ac:dyDescent="0.3">
      <c r="A241" s="24"/>
      <c r="B241" s="54" t="s">
        <v>161</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c r="Y241" s="109"/>
    </row>
    <row r="242" spans="1:25" ht="15.6" x14ac:dyDescent="0.3">
      <c r="A242" s="24"/>
      <c r="B242" s="54" t="s">
        <v>162</v>
      </c>
      <c r="C242" s="93"/>
      <c r="D242" s="93"/>
      <c r="E242" s="93"/>
      <c r="F242" s="25"/>
      <c r="G242" s="94"/>
      <c r="H242" s="93"/>
      <c r="I242" s="93"/>
      <c r="J242" s="93"/>
      <c r="K242" s="93"/>
      <c r="L242" s="93"/>
      <c r="M242" s="93"/>
      <c r="N242" s="93"/>
      <c r="O242" s="93"/>
      <c r="P242" s="93"/>
      <c r="Q242" s="93"/>
      <c r="R242" s="54">
        <v>0</v>
      </c>
      <c r="S242" s="94">
        <f t="shared" si="1"/>
        <v>0</v>
      </c>
      <c r="T242" s="53">
        <v>0</v>
      </c>
      <c r="U242" s="132">
        <f t="shared" si="2"/>
        <v>0</v>
      </c>
      <c r="V242" s="79"/>
      <c r="W242" s="88"/>
      <c r="X242" s="5"/>
    </row>
    <row r="243" spans="1:25" ht="15.6" x14ac:dyDescent="0.3">
      <c r="A243" s="24"/>
      <c r="B243" s="54" t="s">
        <v>163</v>
      </c>
      <c r="C243" s="93"/>
      <c r="D243" s="93"/>
      <c r="E243" s="93"/>
      <c r="F243" s="25"/>
      <c r="G243" s="94"/>
      <c r="H243" s="93"/>
      <c r="I243" s="93"/>
      <c r="J243" s="93"/>
      <c r="K243" s="93"/>
      <c r="L243" s="93"/>
      <c r="M243" s="93"/>
      <c r="N243" s="93"/>
      <c r="O243" s="93"/>
      <c r="P243" s="93"/>
      <c r="Q243" s="93"/>
      <c r="R243" s="54">
        <v>0</v>
      </c>
      <c r="S243" s="94">
        <f t="shared" si="1"/>
        <v>0</v>
      </c>
      <c r="T243" s="53">
        <v>0</v>
      </c>
      <c r="U243" s="132">
        <f t="shared" si="2"/>
        <v>0</v>
      </c>
      <c r="V243" s="79"/>
      <c r="W243" s="88"/>
      <c r="X243" s="5"/>
      <c r="Y243" s="109"/>
    </row>
    <row r="244" spans="1:25" ht="15.6" x14ac:dyDescent="0.3">
      <c r="A244" s="24"/>
      <c r="B244" s="54"/>
      <c r="C244" s="93"/>
      <c r="D244" s="93"/>
      <c r="E244" s="93"/>
      <c r="F244" s="25"/>
      <c r="G244" s="94"/>
      <c r="H244" s="93"/>
      <c r="I244" s="93"/>
      <c r="J244" s="93"/>
      <c r="K244" s="93"/>
      <c r="L244" s="93"/>
      <c r="M244" s="93"/>
      <c r="N244" s="93"/>
      <c r="O244" s="93"/>
      <c r="P244" s="93"/>
      <c r="Q244" s="93"/>
      <c r="R244" s="54"/>
      <c r="S244" s="94"/>
      <c r="T244" s="53"/>
      <c r="U244" s="132"/>
      <c r="V244" s="79"/>
      <c r="W244" s="88"/>
      <c r="X244" s="5"/>
    </row>
    <row r="245" spans="1:25" ht="15.6" x14ac:dyDescent="0.3">
      <c r="A245" s="24"/>
      <c r="B245" s="25"/>
      <c r="C245" s="25"/>
      <c r="D245" s="25"/>
      <c r="E245" s="25"/>
      <c r="F245" s="25"/>
      <c r="G245" s="25"/>
      <c r="H245" s="95"/>
      <c r="I245" s="95"/>
      <c r="J245" s="95"/>
      <c r="K245" s="95"/>
      <c r="L245" s="95"/>
      <c r="M245" s="95"/>
      <c r="N245" s="95"/>
      <c r="O245" s="95"/>
      <c r="P245" s="95"/>
      <c r="Q245" s="95"/>
      <c r="R245" s="34">
        <f>SUM(R236:R244)</f>
        <v>11716</v>
      </c>
      <c r="S245" s="132">
        <f>SUM(S236:S244)</f>
        <v>1</v>
      </c>
      <c r="T245" s="53">
        <f>SUM(T236:T244)</f>
        <v>1447399</v>
      </c>
      <c r="U245" s="132">
        <f>SUM(U236:U244)</f>
        <v>1</v>
      </c>
      <c r="V245" s="25"/>
      <c r="W245" s="25"/>
      <c r="X245" s="5"/>
    </row>
    <row r="246" spans="1:25" ht="15.6" x14ac:dyDescent="0.3">
      <c r="A246" s="24"/>
      <c r="B246" s="25"/>
      <c r="C246" s="25"/>
      <c r="D246" s="25"/>
      <c r="E246" s="25"/>
      <c r="F246" s="25"/>
      <c r="G246" s="25"/>
      <c r="H246" s="95"/>
      <c r="I246" s="95"/>
      <c r="J246" s="95"/>
      <c r="K246" s="95"/>
      <c r="L246" s="95"/>
      <c r="M246" s="95"/>
      <c r="N246" s="95"/>
      <c r="O246" s="95"/>
      <c r="P246" s="95"/>
      <c r="Q246" s="95"/>
      <c r="R246" s="34"/>
      <c r="S246" s="132"/>
      <c r="T246" s="53"/>
      <c r="U246" s="132"/>
      <c r="V246" s="25"/>
      <c r="W246" s="25"/>
      <c r="X246" s="5"/>
    </row>
    <row r="247" spans="1:25" ht="15.6" x14ac:dyDescent="0.3">
      <c r="A247" s="141"/>
      <c r="B247" s="14" t="s">
        <v>279</v>
      </c>
      <c r="C247" s="81"/>
      <c r="D247" s="81"/>
      <c r="E247" s="81"/>
      <c r="F247" s="82"/>
      <c r="G247" s="81"/>
      <c r="H247" s="17"/>
      <c r="I247" s="17"/>
      <c r="J247" s="17"/>
      <c r="K247" s="17"/>
      <c r="L247" s="17"/>
      <c r="M247" s="17"/>
      <c r="N247" s="17"/>
      <c r="O247" s="17"/>
      <c r="P247" s="17"/>
      <c r="Q247" s="17"/>
      <c r="R247" s="83" t="s">
        <v>103</v>
      </c>
      <c r="S247" s="17" t="s">
        <v>104</v>
      </c>
      <c r="T247" s="83" t="s">
        <v>111</v>
      </c>
      <c r="U247" s="17" t="s">
        <v>104</v>
      </c>
      <c r="V247" s="139"/>
      <c r="W247" s="140"/>
      <c r="X247" s="5"/>
    </row>
    <row r="248" spans="1:25" ht="15.6" x14ac:dyDescent="0.3">
      <c r="A248" s="24"/>
      <c r="B248" s="54" t="s">
        <v>89</v>
      </c>
      <c r="C248" s="93"/>
      <c r="D248" s="93"/>
      <c r="E248" s="93"/>
      <c r="F248" s="25"/>
      <c r="G248" s="93"/>
      <c r="H248" s="93"/>
      <c r="I248" s="93"/>
      <c r="J248" s="93"/>
      <c r="K248" s="93"/>
      <c r="L248" s="93"/>
      <c r="M248" s="93"/>
      <c r="N248" s="93"/>
      <c r="O248" s="93"/>
      <c r="P248" s="93"/>
      <c r="Q248" s="93"/>
      <c r="R248" s="54">
        <v>2</v>
      </c>
      <c r="S248" s="94">
        <f t="shared" ref="S248:S255" si="3">R248/$R$257</f>
        <v>0.125</v>
      </c>
      <c r="T248" s="53">
        <v>308</v>
      </c>
      <c r="U248" s="132">
        <f t="shared" ref="U248:U255" si="4">T248/$T$257</f>
        <v>0.16253298153034301</v>
      </c>
      <c r="V248" s="25"/>
      <c r="W248" s="25"/>
      <c r="X248" s="5"/>
    </row>
    <row r="249" spans="1:25" ht="15.6" x14ac:dyDescent="0.3">
      <c r="A249" s="24"/>
      <c r="B249" s="54" t="s">
        <v>90</v>
      </c>
      <c r="C249" s="93"/>
      <c r="D249" s="93"/>
      <c r="E249" s="93"/>
      <c r="F249" s="25"/>
      <c r="G249" s="94"/>
      <c r="H249" s="93"/>
      <c r="I249" s="93"/>
      <c r="J249" s="93"/>
      <c r="K249" s="93"/>
      <c r="L249" s="93"/>
      <c r="M249" s="93"/>
      <c r="N249" s="93"/>
      <c r="O249" s="93"/>
      <c r="P249" s="93"/>
      <c r="Q249" s="93"/>
      <c r="R249" s="54">
        <v>0</v>
      </c>
      <c r="S249" s="94">
        <f t="shared" si="3"/>
        <v>0</v>
      </c>
      <c r="T249" s="53">
        <v>0</v>
      </c>
      <c r="U249" s="132">
        <f t="shared" si="4"/>
        <v>0</v>
      </c>
      <c r="V249" s="25"/>
      <c r="W249" s="25"/>
      <c r="X249" s="5"/>
    </row>
    <row r="250" spans="1:25" ht="15.6" x14ac:dyDescent="0.3">
      <c r="A250" s="24"/>
      <c r="B250" s="54" t="s">
        <v>91</v>
      </c>
      <c r="C250" s="93"/>
      <c r="D250" s="93"/>
      <c r="E250" s="93"/>
      <c r="F250" s="25"/>
      <c r="G250" s="94"/>
      <c r="H250" s="93"/>
      <c r="I250" s="93"/>
      <c r="J250" s="93"/>
      <c r="K250" s="93"/>
      <c r="L250" s="93"/>
      <c r="M250" s="93"/>
      <c r="N250" s="93"/>
      <c r="O250" s="93"/>
      <c r="P250" s="93"/>
      <c r="Q250" s="93"/>
      <c r="R250" s="54">
        <v>0</v>
      </c>
      <c r="S250" s="94">
        <f t="shared" si="3"/>
        <v>0</v>
      </c>
      <c r="T250" s="53">
        <v>0</v>
      </c>
      <c r="U250" s="132">
        <f t="shared" si="4"/>
        <v>0</v>
      </c>
      <c r="V250" s="25"/>
      <c r="W250" s="25"/>
      <c r="X250" s="5"/>
    </row>
    <row r="251" spans="1:25" ht="15.6" x14ac:dyDescent="0.3">
      <c r="A251" s="24"/>
      <c r="B251" s="54" t="s">
        <v>159</v>
      </c>
      <c r="C251" s="93"/>
      <c r="D251" s="93"/>
      <c r="E251" s="93"/>
      <c r="F251" s="25"/>
      <c r="G251" s="94"/>
      <c r="H251" s="93"/>
      <c r="I251" s="93"/>
      <c r="J251" s="93"/>
      <c r="K251" s="93"/>
      <c r="L251" s="93"/>
      <c r="M251" s="93"/>
      <c r="N251" s="93"/>
      <c r="O251" s="93"/>
      <c r="P251" s="93"/>
      <c r="Q251" s="93"/>
      <c r="R251" s="54">
        <v>1</v>
      </c>
      <c r="S251" s="94">
        <f t="shared" si="3"/>
        <v>6.25E-2</v>
      </c>
      <c r="T251" s="53">
        <v>46</v>
      </c>
      <c r="U251" s="132">
        <f t="shared" si="4"/>
        <v>2.4274406332453827E-2</v>
      </c>
      <c r="V251" s="25"/>
      <c r="W251" s="25"/>
      <c r="X251" s="5"/>
    </row>
    <row r="252" spans="1:25" ht="15.6" x14ac:dyDescent="0.3">
      <c r="A252" s="24"/>
      <c r="B252" s="54" t="s">
        <v>160</v>
      </c>
      <c r="C252" s="93"/>
      <c r="D252" s="93"/>
      <c r="E252" s="93"/>
      <c r="F252" s="25"/>
      <c r="G252" s="94"/>
      <c r="H252" s="93"/>
      <c r="I252" s="93"/>
      <c r="J252" s="93"/>
      <c r="K252" s="93"/>
      <c r="L252" s="93"/>
      <c r="M252" s="93"/>
      <c r="N252" s="93"/>
      <c r="O252" s="93"/>
      <c r="P252" s="93"/>
      <c r="Q252" s="93"/>
      <c r="R252" s="54">
        <v>12</v>
      </c>
      <c r="S252" s="94">
        <f t="shared" si="3"/>
        <v>0.75</v>
      </c>
      <c r="T252" s="53">
        <v>1328</v>
      </c>
      <c r="U252" s="132">
        <f t="shared" si="4"/>
        <v>0.70079155672823223</v>
      </c>
      <c r="V252" s="25"/>
      <c r="W252" s="25"/>
      <c r="X252" s="5"/>
    </row>
    <row r="253" spans="1:25" ht="15.6" x14ac:dyDescent="0.3">
      <c r="A253" s="24"/>
      <c r="B253" s="54" t="s">
        <v>161</v>
      </c>
      <c r="C253" s="93"/>
      <c r="D253" s="93"/>
      <c r="E253" s="93"/>
      <c r="F253" s="25"/>
      <c r="G253" s="94"/>
      <c r="H253" s="93"/>
      <c r="I253" s="93"/>
      <c r="J253" s="93"/>
      <c r="K253" s="93"/>
      <c r="L253" s="93"/>
      <c r="M253" s="93"/>
      <c r="N253" s="93"/>
      <c r="O253" s="93"/>
      <c r="P253" s="93"/>
      <c r="Q253" s="93"/>
      <c r="R253" s="54">
        <v>1</v>
      </c>
      <c r="S253" s="94">
        <f t="shared" si="3"/>
        <v>6.25E-2</v>
      </c>
      <c r="T253" s="53">
        <v>213</v>
      </c>
      <c r="U253" s="132">
        <f t="shared" si="4"/>
        <v>0.11240105540897098</v>
      </c>
      <c r="V253" s="25"/>
      <c r="W253" s="25"/>
      <c r="X253" s="5"/>
    </row>
    <row r="254" spans="1:25" ht="15.6" x14ac:dyDescent="0.3">
      <c r="A254" s="24"/>
      <c r="B254" s="54" t="s">
        <v>162</v>
      </c>
      <c r="C254" s="93"/>
      <c r="D254" s="93"/>
      <c r="E254" s="93"/>
      <c r="F254" s="25"/>
      <c r="G254" s="94"/>
      <c r="H254" s="93"/>
      <c r="I254" s="93"/>
      <c r="J254" s="93"/>
      <c r="K254" s="93"/>
      <c r="L254" s="93"/>
      <c r="M254" s="93"/>
      <c r="N254" s="93"/>
      <c r="O254" s="93"/>
      <c r="P254" s="93"/>
      <c r="Q254" s="93"/>
      <c r="R254" s="54">
        <v>0</v>
      </c>
      <c r="S254" s="94">
        <f t="shared" si="3"/>
        <v>0</v>
      </c>
      <c r="T254" s="53">
        <v>0</v>
      </c>
      <c r="U254" s="132">
        <f t="shared" si="4"/>
        <v>0</v>
      </c>
      <c r="V254" s="25"/>
      <c r="W254" s="25"/>
      <c r="X254" s="5"/>
    </row>
    <row r="255" spans="1:25" ht="15.6" x14ac:dyDescent="0.3">
      <c r="A255" s="24"/>
      <c r="B255" s="54" t="s">
        <v>163</v>
      </c>
      <c r="C255" s="93"/>
      <c r="D255" s="93"/>
      <c r="E255" s="93"/>
      <c r="F255" s="25"/>
      <c r="G255" s="94"/>
      <c r="H255" s="93"/>
      <c r="I255" s="93"/>
      <c r="J255" s="93"/>
      <c r="K255" s="93"/>
      <c r="L255" s="93"/>
      <c r="M255" s="93"/>
      <c r="N255" s="93"/>
      <c r="O255" s="93"/>
      <c r="P255" s="93"/>
      <c r="Q255" s="93"/>
      <c r="R255" s="54">
        <v>0</v>
      </c>
      <c r="S255" s="94">
        <f t="shared" si="3"/>
        <v>0</v>
      </c>
      <c r="T255" s="53">
        <v>0</v>
      </c>
      <c r="U255" s="132">
        <f t="shared" si="4"/>
        <v>0</v>
      </c>
      <c r="V255" s="25"/>
      <c r="W255" s="25"/>
      <c r="X255" s="5"/>
    </row>
    <row r="256" spans="1:25" ht="15.6" x14ac:dyDescent="0.3">
      <c r="A256" s="24"/>
      <c r="B256" s="54"/>
      <c r="C256" s="93"/>
      <c r="D256" s="93"/>
      <c r="E256" s="93"/>
      <c r="F256" s="25"/>
      <c r="G256" s="94"/>
      <c r="H256" s="93"/>
      <c r="I256" s="93"/>
      <c r="J256" s="93"/>
      <c r="K256" s="93"/>
      <c r="L256" s="93"/>
      <c r="M256" s="93"/>
      <c r="N256" s="93"/>
      <c r="O256" s="93"/>
      <c r="P256" s="93"/>
      <c r="Q256" s="93"/>
      <c r="R256" s="54"/>
      <c r="S256" s="94"/>
      <c r="T256" s="53"/>
      <c r="U256" s="132"/>
      <c r="V256" s="25"/>
      <c r="W256" s="25"/>
      <c r="X256" s="5"/>
    </row>
    <row r="257" spans="1:24" ht="15.6" x14ac:dyDescent="0.3">
      <c r="A257" s="24"/>
      <c r="B257" s="25"/>
      <c r="C257" s="25"/>
      <c r="D257" s="25"/>
      <c r="E257" s="25"/>
      <c r="F257" s="25"/>
      <c r="G257" s="25"/>
      <c r="H257" s="95"/>
      <c r="I257" s="95"/>
      <c r="J257" s="95"/>
      <c r="K257" s="95"/>
      <c r="L257" s="95"/>
      <c r="M257" s="95"/>
      <c r="N257" s="95"/>
      <c r="O257" s="95"/>
      <c r="P257" s="95"/>
      <c r="Q257" s="95"/>
      <c r="R257" s="34">
        <f>SUM(R248:R256)</f>
        <v>16</v>
      </c>
      <c r="S257" s="132">
        <f>SUM(S248:S256)</f>
        <v>1</v>
      </c>
      <c r="T257" s="53">
        <f>SUM(T248:T256)</f>
        <v>1895</v>
      </c>
      <c r="U257" s="132">
        <f>SUM(U248:U256)</f>
        <v>1</v>
      </c>
      <c r="V257" s="25"/>
      <c r="W257" s="25"/>
      <c r="X257" s="5"/>
    </row>
    <row r="258" spans="1:24" ht="15.6" x14ac:dyDescent="0.3">
      <c r="A258" s="24"/>
      <c r="B258" s="25"/>
      <c r="C258" s="25"/>
      <c r="D258" s="25"/>
      <c r="E258" s="25"/>
      <c r="F258" s="25"/>
      <c r="G258" s="25"/>
      <c r="H258" s="95"/>
      <c r="I258" s="95"/>
      <c r="J258" s="95"/>
      <c r="K258" s="95"/>
      <c r="L258" s="95"/>
      <c r="M258" s="95"/>
      <c r="N258" s="95"/>
      <c r="O258" s="95"/>
      <c r="P258" s="95"/>
      <c r="Q258" s="95"/>
      <c r="R258" s="34"/>
      <c r="S258" s="132"/>
      <c r="T258" s="53"/>
      <c r="U258" s="132"/>
      <c r="V258" s="25"/>
      <c r="W258" s="25"/>
      <c r="X258" s="5"/>
    </row>
    <row r="259" spans="1:24" ht="15.6" x14ac:dyDescent="0.3">
      <c r="A259" s="141"/>
      <c r="B259" s="14" t="s">
        <v>166</v>
      </c>
      <c r="C259" s="139"/>
      <c r="D259" s="139"/>
      <c r="E259" s="139"/>
      <c r="F259" s="139"/>
      <c r="G259" s="139"/>
      <c r="H259" s="145"/>
      <c r="I259" s="145"/>
      <c r="J259" s="145"/>
      <c r="K259" s="145"/>
      <c r="L259" s="145"/>
      <c r="M259" s="145"/>
      <c r="N259" s="145"/>
      <c r="O259" s="145"/>
      <c r="P259" s="145"/>
      <c r="Q259" s="145"/>
      <c r="R259" s="83" t="s">
        <v>103</v>
      </c>
      <c r="S259" s="17" t="s">
        <v>104</v>
      </c>
      <c r="T259" s="83" t="s">
        <v>111</v>
      </c>
      <c r="U259" s="17" t="s">
        <v>104</v>
      </c>
      <c r="V259" s="139"/>
      <c r="W259" s="140"/>
      <c r="X259" s="5"/>
    </row>
    <row r="260" spans="1:24" ht="15.6" x14ac:dyDescent="0.3">
      <c r="A260" s="24"/>
      <c r="B260" s="54" t="s">
        <v>89</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90</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91</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159</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160</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t="s">
        <v>161</v>
      </c>
      <c r="C265" s="25"/>
      <c r="D265" s="25"/>
      <c r="E265" s="25"/>
      <c r="F265" s="25"/>
      <c r="G265" s="25"/>
      <c r="H265" s="95"/>
      <c r="I265" s="95"/>
      <c r="J265" s="95"/>
      <c r="K265" s="95"/>
      <c r="L265" s="95"/>
      <c r="M265" s="95"/>
      <c r="N265" s="95"/>
      <c r="O265" s="95"/>
      <c r="P265" s="95"/>
      <c r="Q265" s="95"/>
      <c r="R265" s="54">
        <v>0</v>
      </c>
      <c r="S265" s="94">
        <v>0</v>
      </c>
      <c r="T265" s="53">
        <v>0</v>
      </c>
      <c r="U265" s="132">
        <v>0</v>
      </c>
      <c r="V265" s="25"/>
      <c r="W265" s="25"/>
      <c r="X265" s="5"/>
    </row>
    <row r="266" spans="1:24" ht="15.6" x14ac:dyDescent="0.3">
      <c r="A266" s="24"/>
      <c r="B266" s="54" t="s">
        <v>162</v>
      </c>
      <c r="C266" s="25"/>
      <c r="D266" s="25"/>
      <c r="E266" s="25"/>
      <c r="F266" s="25"/>
      <c r="G266" s="25"/>
      <c r="H266" s="95"/>
      <c r="I266" s="95"/>
      <c r="J266" s="95"/>
      <c r="K266" s="95"/>
      <c r="L266" s="95"/>
      <c r="M266" s="95"/>
      <c r="N266" s="95"/>
      <c r="O266" s="95"/>
      <c r="P266" s="95"/>
      <c r="Q266" s="95"/>
      <c r="R266" s="54">
        <v>0</v>
      </c>
      <c r="S266" s="94">
        <v>0</v>
      </c>
      <c r="T266" s="53">
        <v>0</v>
      </c>
      <c r="U266" s="132">
        <v>0</v>
      </c>
      <c r="V266" s="25"/>
      <c r="W266" s="25"/>
      <c r="X266" s="5"/>
    </row>
    <row r="267" spans="1:24" ht="15.6" x14ac:dyDescent="0.3">
      <c r="A267" s="24"/>
      <c r="B267" s="54" t="s">
        <v>163</v>
      </c>
      <c r="C267" s="25"/>
      <c r="D267" s="25"/>
      <c r="E267" s="25"/>
      <c r="F267" s="25"/>
      <c r="G267" s="25"/>
      <c r="H267" s="95"/>
      <c r="I267" s="95"/>
      <c r="J267" s="95"/>
      <c r="K267" s="95"/>
      <c r="L267" s="95"/>
      <c r="M267" s="95"/>
      <c r="N267" s="95"/>
      <c r="O267" s="95"/>
      <c r="P267" s="95"/>
      <c r="Q267" s="95"/>
      <c r="R267" s="54">
        <v>0</v>
      </c>
      <c r="S267" s="94">
        <v>0</v>
      </c>
      <c r="T267" s="53">
        <v>0</v>
      </c>
      <c r="U267" s="132">
        <v>0</v>
      </c>
      <c r="V267" s="25"/>
      <c r="W267" s="25"/>
      <c r="X267" s="5"/>
    </row>
    <row r="268" spans="1:24" ht="15.6" x14ac:dyDescent="0.3">
      <c r="A268" s="24"/>
      <c r="B268" s="54"/>
      <c r="C268" s="25"/>
      <c r="D268" s="25"/>
      <c r="E268" s="25"/>
      <c r="F268" s="25"/>
      <c r="G268" s="25"/>
      <c r="H268" s="95"/>
      <c r="I268" s="95"/>
      <c r="J268" s="95"/>
      <c r="K268" s="95"/>
      <c r="L268" s="95"/>
      <c r="M268" s="95"/>
      <c r="N268" s="95"/>
      <c r="O268" s="95"/>
      <c r="P268" s="95"/>
      <c r="Q268" s="95"/>
      <c r="R268" s="54"/>
      <c r="S268" s="94"/>
      <c r="T268" s="53"/>
      <c r="U268" s="132"/>
      <c r="V268" s="25"/>
      <c r="W268" s="25"/>
      <c r="X268" s="5"/>
    </row>
    <row r="269" spans="1:24" ht="15.6" x14ac:dyDescent="0.3">
      <c r="A269" s="24"/>
      <c r="B269" s="25" t="s">
        <v>117</v>
      </c>
      <c r="C269" s="25"/>
      <c r="D269" s="25"/>
      <c r="E269" s="25"/>
      <c r="F269" s="25"/>
      <c r="G269" s="25"/>
      <c r="H269" s="95"/>
      <c r="I269" s="95"/>
      <c r="J269" s="95"/>
      <c r="K269" s="95"/>
      <c r="L269" s="95"/>
      <c r="M269" s="95"/>
      <c r="N269" s="95"/>
      <c r="O269" s="95"/>
      <c r="P269" s="95"/>
      <c r="Q269" s="95"/>
      <c r="R269" s="34">
        <f>SUM(R260:R267)</f>
        <v>0</v>
      </c>
      <c r="S269" s="94">
        <f>SUM(S260:S267)</f>
        <v>0</v>
      </c>
      <c r="T269" s="53">
        <f>SUM(T260:T267)</f>
        <v>0</v>
      </c>
      <c r="U269" s="132">
        <f>SUM(U260:U267)</f>
        <v>0</v>
      </c>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34"/>
      <c r="S270" s="132"/>
      <c r="T270" s="53"/>
      <c r="U270" s="132"/>
      <c r="V270" s="25"/>
      <c r="W270" s="25"/>
      <c r="X270" s="5"/>
    </row>
    <row r="271" spans="1:24" ht="15.6" x14ac:dyDescent="0.3">
      <c r="A271" s="24"/>
      <c r="B271" s="142" t="s">
        <v>167</v>
      </c>
      <c r="C271" s="25"/>
      <c r="D271" s="25"/>
      <c r="E271" s="25"/>
      <c r="F271" s="25"/>
      <c r="G271" s="25"/>
      <c r="H271" s="95"/>
      <c r="I271" s="95"/>
      <c r="J271" s="95"/>
      <c r="K271" s="95"/>
      <c r="L271" s="95"/>
      <c r="M271" s="95"/>
      <c r="N271" s="95"/>
      <c r="O271" s="95"/>
      <c r="P271" s="95"/>
      <c r="Q271" s="95"/>
      <c r="R271" s="161">
        <f>R269+R257+R245</f>
        <v>11732</v>
      </c>
      <c r="S271" s="143"/>
      <c r="T271" s="144">
        <f>+T269+T257+T245</f>
        <v>1449294</v>
      </c>
      <c r="U271" s="143"/>
      <c r="V271" s="25"/>
      <c r="W271" s="25"/>
      <c r="X271" s="5"/>
    </row>
    <row r="272" spans="1:24" ht="15.6" x14ac:dyDescent="0.3">
      <c r="A272" s="24"/>
      <c r="B272" s="25"/>
      <c r="C272" s="25"/>
      <c r="D272" s="25"/>
      <c r="E272" s="25"/>
      <c r="F272" s="25"/>
      <c r="G272" s="25"/>
      <c r="H272" s="95"/>
      <c r="I272" s="95"/>
      <c r="J272" s="95"/>
      <c r="K272" s="95"/>
      <c r="L272" s="95"/>
      <c r="M272" s="95"/>
      <c r="N272" s="95"/>
      <c r="O272" s="95"/>
      <c r="P272" s="95"/>
      <c r="Q272" s="95"/>
      <c r="R272" s="95"/>
      <c r="S272" s="95"/>
      <c r="T272" s="53"/>
      <c r="U272" s="95"/>
      <c r="V272" s="25"/>
      <c r="W272" s="25"/>
      <c r="X272" s="5"/>
    </row>
    <row r="273" spans="1:24" ht="15.6" x14ac:dyDescent="0.3">
      <c r="A273" s="6"/>
      <c r="B273" s="8"/>
      <c r="C273" s="8"/>
      <c r="D273" s="8"/>
      <c r="E273" s="8"/>
      <c r="F273" s="8"/>
      <c r="G273" s="8"/>
      <c r="H273" s="96"/>
      <c r="I273" s="96"/>
      <c r="J273" s="96"/>
      <c r="K273" s="96"/>
      <c r="L273" s="96"/>
      <c r="M273" s="96"/>
      <c r="N273" s="96"/>
      <c r="O273" s="96"/>
      <c r="P273" s="96"/>
      <c r="Q273" s="96"/>
      <c r="R273" s="96"/>
      <c r="S273" s="96"/>
      <c r="T273" s="97"/>
      <c r="U273" s="96"/>
      <c r="V273" s="8"/>
      <c r="W273" s="8"/>
      <c r="X273" s="5"/>
    </row>
    <row r="274" spans="1:24" ht="15.6" x14ac:dyDescent="0.3">
      <c r="A274" s="167"/>
      <c r="B274" s="14" t="s">
        <v>92</v>
      </c>
      <c r="C274" s="15"/>
      <c r="D274" s="15"/>
      <c r="E274" s="15"/>
      <c r="F274" s="17" t="s">
        <v>98</v>
      </c>
      <c r="G274" s="15"/>
      <c r="H274" s="14" t="s">
        <v>100</v>
      </c>
      <c r="I274" s="14"/>
      <c r="J274" s="14"/>
      <c r="K274" s="162"/>
      <c r="L274" s="162"/>
      <c r="M274" s="162"/>
      <c r="N274" s="162"/>
      <c r="O274" s="162"/>
      <c r="P274" s="162"/>
      <c r="Q274" s="162"/>
      <c r="R274" s="162"/>
      <c r="S274" s="162"/>
      <c r="T274" s="162"/>
      <c r="U274" s="162"/>
      <c r="V274" s="162"/>
      <c r="W274" s="162"/>
      <c r="X274" s="5"/>
    </row>
    <row r="275" spans="1:24" ht="15.6" x14ac:dyDescent="0.3">
      <c r="A275" s="167"/>
      <c r="B275" s="13" t="s">
        <v>93</v>
      </c>
      <c r="C275" s="8"/>
      <c r="D275" s="8"/>
      <c r="E275" s="8"/>
      <c r="F275" s="130" t="s">
        <v>151</v>
      </c>
      <c r="G275" s="8"/>
      <c r="H275" s="13" t="s">
        <v>155</v>
      </c>
      <c r="I275" s="13"/>
      <c r="J275" s="13"/>
      <c r="K275" s="162"/>
      <c r="L275" s="162"/>
      <c r="M275" s="162"/>
      <c r="N275" s="162"/>
      <c r="O275" s="162"/>
      <c r="P275" s="162"/>
      <c r="Q275" s="162"/>
      <c r="R275" s="162"/>
      <c r="S275" s="162"/>
      <c r="T275" s="162"/>
      <c r="U275" s="162"/>
      <c r="V275" s="162"/>
      <c r="W275" s="162"/>
      <c r="X275" s="5"/>
    </row>
    <row r="276" spans="1:24" ht="15.6" x14ac:dyDescent="0.3">
      <c r="A276" s="167"/>
      <c r="B276" s="13" t="s">
        <v>281</v>
      </c>
      <c r="C276" s="13"/>
      <c r="D276" s="13"/>
      <c r="E276" s="13"/>
      <c r="F276" s="130" t="s">
        <v>282</v>
      </c>
      <c r="G276" s="13"/>
      <c r="H276" s="13" t="s">
        <v>283</v>
      </c>
      <c r="I276" s="162"/>
      <c r="J276" s="13"/>
      <c r="K276" s="162"/>
      <c r="L276" s="162"/>
      <c r="M276" s="162"/>
      <c r="N276" s="162"/>
      <c r="O276" s="162"/>
      <c r="P276" s="162"/>
      <c r="Q276" s="162"/>
      <c r="R276" s="162"/>
      <c r="S276" s="162"/>
      <c r="T276" s="162"/>
      <c r="U276" s="162"/>
      <c r="V276" s="162"/>
      <c r="W276" s="162"/>
      <c r="X276" s="5"/>
    </row>
    <row r="277" spans="1:24" ht="15.6" x14ac:dyDescent="0.3">
      <c r="A277" s="167"/>
      <c r="B277" s="13" t="s">
        <v>94</v>
      </c>
      <c r="C277" s="13"/>
      <c r="D277" s="13"/>
      <c r="E277" s="13"/>
      <c r="F277" s="130" t="s">
        <v>150</v>
      </c>
      <c r="G277" s="13"/>
      <c r="H277" s="13" t="s">
        <v>156</v>
      </c>
      <c r="I277" s="13"/>
      <c r="J277" s="13"/>
      <c r="K277" s="162"/>
      <c r="L277" s="162"/>
      <c r="M277" s="162"/>
      <c r="N277" s="162"/>
      <c r="O277" s="162"/>
      <c r="P277" s="162"/>
      <c r="Q277" s="162"/>
      <c r="R277" s="162"/>
      <c r="S277" s="162"/>
      <c r="T277" s="162"/>
      <c r="U277" s="162"/>
      <c r="V277" s="162"/>
      <c r="W277" s="162"/>
      <c r="X277" s="5"/>
    </row>
    <row r="278" spans="1:24" ht="15.6" x14ac:dyDescent="0.3">
      <c r="A278" s="167"/>
      <c r="B278" s="13"/>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ht="15.6" x14ac:dyDescent="0.3">
      <c r="A279" s="167"/>
      <c r="B279" s="13"/>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ht="18" thickBot="1" x14ac:dyDescent="0.35">
      <c r="A280" s="167"/>
      <c r="B280" s="49" t="str">
        <f>B196</f>
        <v>PM13 INVESTOR REPORT QUARTER ENDING MARCH 2007</v>
      </c>
      <c r="C280" s="13"/>
      <c r="D280" s="13"/>
      <c r="E280" s="13"/>
      <c r="F280" s="13"/>
      <c r="G280" s="99"/>
      <c r="H280" s="162"/>
      <c r="I280" s="162"/>
      <c r="J280" s="162"/>
      <c r="K280" s="162"/>
      <c r="L280" s="162"/>
      <c r="M280" s="162"/>
      <c r="N280" s="162"/>
      <c r="O280" s="162"/>
      <c r="P280" s="162"/>
      <c r="Q280" s="162"/>
      <c r="R280" s="162"/>
      <c r="S280" s="162"/>
      <c r="T280" s="162"/>
      <c r="U280" s="162"/>
      <c r="V280" s="162"/>
      <c r="W280" s="162"/>
      <c r="X280" s="5"/>
    </row>
    <row r="281" spans="1:24" x14ac:dyDescent="0.25">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row>
  </sheetData>
  <phoneticPr fontId="0" type="noConversion"/>
  <hyperlinks>
    <hyperlink ref="P233" r:id="rId1" xr:uid="{00000000-0004-0000-0100-000000000000}"/>
    <hyperlink ref="I9" r:id="rId2" xr:uid="{00000000-0004-0000-0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7" max="14" man="1"/>
    <brk id="196" max="14"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2D2926"/>
  </sheetPr>
  <dimension ref="A1:Z293"/>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0.63560000000000005</v>
      </c>
      <c r="T16" s="224" t="s">
        <v>143</v>
      </c>
      <c r="U16" s="223">
        <v>0.3644</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40834</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175"/>
      <c r="B22" s="177"/>
      <c r="C22" s="189"/>
      <c r="D22" s="189" t="s">
        <v>180</v>
      </c>
      <c r="E22" s="189"/>
      <c r="F22" s="189" t="s">
        <v>181</v>
      </c>
      <c r="G22" s="189"/>
      <c r="H22" s="189" t="s">
        <v>182</v>
      </c>
      <c r="I22" s="189"/>
      <c r="J22" s="189" t="s">
        <v>223</v>
      </c>
      <c r="K22" s="189"/>
      <c r="L22" s="189" t="s">
        <v>183</v>
      </c>
      <c r="M22" s="189"/>
      <c r="N22" s="189" t="s">
        <v>184</v>
      </c>
      <c r="O22" s="189"/>
      <c r="P22" s="189" t="s">
        <v>224</v>
      </c>
      <c r="Q22" s="189"/>
      <c r="R22" s="189" t="s">
        <v>185</v>
      </c>
      <c r="S22" s="190"/>
      <c r="T22" s="191"/>
      <c r="U22" s="187"/>
      <c r="V22" s="187"/>
      <c r="W22" s="177"/>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216</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314</v>
      </c>
      <c r="E27" s="389"/>
      <c r="F27" s="389" t="s">
        <v>315</v>
      </c>
      <c r="G27" s="389"/>
      <c r="H27" s="389" t="s">
        <v>315</v>
      </c>
      <c r="I27" s="389"/>
      <c r="J27" s="389" t="s">
        <v>315</v>
      </c>
      <c r="K27" s="389"/>
      <c r="L27" s="389" t="s">
        <v>168</v>
      </c>
      <c r="M27" s="389"/>
      <c r="N27" s="389" t="s">
        <v>168</v>
      </c>
      <c r="O27" s="389"/>
      <c r="P27" s="389" t="s">
        <v>147</v>
      </c>
      <c r="Q27" s="389"/>
      <c r="R27" s="389" t="s">
        <v>147</v>
      </c>
      <c r="S27" s="273"/>
      <c r="T27" s="280"/>
      <c r="U27" s="274"/>
      <c r="V27" s="274"/>
      <c r="W27" s="275"/>
      <c r="X27" s="5"/>
    </row>
    <row r="28" spans="1:24" ht="15.6" x14ac:dyDescent="0.3">
      <c r="A28" s="271"/>
      <c r="B28" s="279" t="s">
        <v>195</v>
      </c>
      <c r="C28" s="273"/>
      <c r="D28" s="389" t="s">
        <v>218</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954033.15</v>
      </c>
      <c r="E32" s="282"/>
      <c r="F32" s="283">
        <f>F31*F38</f>
        <v>79502.899999999994</v>
      </c>
      <c r="G32" s="283"/>
      <c r="H32" s="288">
        <f>H31*H38</f>
        <v>200347.30799999999</v>
      </c>
      <c r="I32" s="288"/>
      <c r="J32" s="287">
        <f>J31*J38</f>
        <v>222607.73500000002</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947206.2</v>
      </c>
      <c r="E33" s="286"/>
      <c r="F33" s="289">
        <f>F37*F31</f>
        <v>78934</v>
      </c>
      <c r="G33" s="289"/>
      <c r="H33" s="292">
        <f>H31*H37</f>
        <v>198913.68000000002</v>
      </c>
      <c r="I33" s="292"/>
      <c r="J33" s="291">
        <f>J37*J31</f>
        <v>221014.78</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507464.22497120005</v>
      </c>
      <c r="E35" s="282"/>
      <c r="F35" s="283">
        <f>F34*F38</f>
        <v>79502.899999999994</v>
      </c>
      <c r="G35" s="283"/>
      <c r="H35" s="283">
        <f>H34*H38</f>
        <v>134461.0286888</v>
      </c>
      <c r="I35" s="283"/>
      <c r="J35" s="283">
        <f>J34*J38</f>
        <v>118408.23435700001</v>
      </c>
      <c r="K35" s="283"/>
      <c r="L35" s="283">
        <f>L34*L38</f>
        <v>56000</v>
      </c>
      <c r="M35" s="283"/>
      <c r="N35" s="283">
        <f>N34*N38</f>
        <v>56376</v>
      </c>
      <c r="O35" s="283"/>
      <c r="P35" s="283">
        <f>P34*P38</f>
        <v>13000</v>
      </c>
      <c r="Q35" s="283"/>
      <c r="R35" s="283">
        <f>R34*R38</f>
        <v>54363</v>
      </c>
      <c r="S35" s="283"/>
      <c r="T35" s="283"/>
      <c r="U35" s="284"/>
      <c r="V35" s="283">
        <f>SUM(C35:R35)</f>
        <v>1019575.388017</v>
      </c>
      <c r="W35" s="285"/>
      <c r="X35" s="5"/>
    </row>
    <row r="36" spans="1:24" ht="15.6" x14ac:dyDescent="0.3">
      <c r="A36" s="276"/>
      <c r="B36" s="279" t="s">
        <v>304</v>
      </c>
      <c r="C36" s="286"/>
      <c r="D36" s="289">
        <f>D34*D37</f>
        <v>503832.8701376</v>
      </c>
      <c r="E36" s="286"/>
      <c r="F36" s="289">
        <f>F34*F37</f>
        <v>78934</v>
      </c>
      <c r="G36" s="289"/>
      <c r="H36" s="289">
        <f>H34*H37</f>
        <v>133498.86404800002</v>
      </c>
      <c r="I36" s="289"/>
      <c r="J36" s="289">
        <f>J34*J37</f>
        <v>117560.918836</v>
      </c>
      <c r="K36" s="289"/>
      <c r="L36" s="289">
        <v>56000</v>
      </c>
      <c r="M36" s="289"/>
      <c r="N36" s="289">
        <v>56376</v>
      </c>
      <c r="O36" s="289"/>
      <c r="P36" s="289">
        <v>13000</v>
      </c>
      <c r="Q36" s="289"/>
      <c r="R36" s="289">
        <v>54363</v>
      </c>
      <c r="S36" s="314"/>
      <c r="T36" s="314"/>
      <c r="U36" s="284"/>
      <c r="V36" s="289">
        <f>SUM(C36:R36)</f>
        <v>1013565.6530216</v>
      </c>
      <c r="W36" s="285"/>
      <c r="X36" s="5"/>
    </row>
    <row r="37" spans="1:24" ht="15.6" x14ac:dyDescent="0.3">
      <c r="A37" s="271"/>
      <c r="B37" s="297" t="s">
        <v>133</v>
      </c>
      <c r="C37" s="298"/>
      <c r="D37" s="299">
        <v>0.6314708</v>
      </c>
      <c r="E37" s="300"/>
      <c r="F37" s="299">
        <v>0.63147200000000003</v>
      </c>
      <c r="G37" s="301"/>
      <c r="H37" s="299">
        <v>0.63147200000000003</v>
      </c>
      <c r="I37" s="301"/>
      <c r="J37" s="299">
        <v>0.6314708</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0.63602210000000003</v>
      </c>
      <c r="E38" s="300"/>
      <c r="F38" s="299">
        <v>0.63602320000000001</v>
      </c>
      <c r="G38" s="301"/>
      <c r="H38" s="299">
        <v>0.63602320000000001</v>
      </c>
      <c r="I38" s="301"/>
      <c r="J38" s="299">
        <v>0.63602210000000003</v>
      </c>
      <c r="K38" s="301"/>
      <c r="L38" s="299">
        <v>1</v>
      </c>
      <c r="M38" s="299"/>
      <c r="N38" s="299">
        <v>1</v>
      </c>
      <c r="O38" s="299"/>
      <c r="P38" s="299">
        <v>1</v>
      </c>
      <c r="Q38" s="299"/>
      <c r="R38" s="299">
        <v>1</v>
      </c>
      <c r="S38" s="305"/>
      <c r="T38" s="306"/>
      <c r="U38" s="303"/>
      <c r="V38" s="305"/>
      <c r="W38" s="304"/>
      <c r="X38" s="5"/>
    </row>
    <row r="39" spans="1:24" ht="15.6" x14ac:dyDescent="0.3">
      <c r="A39" s="271"/>
      <c r="B39" s="272" t="s">
        <v>11</v>
      </c>
      <c r="C39" s="272"/>
      <c r="D39" s="280" t="s">
        <v>225</v>
      </c>
      <c r="E39" s="272"/>
      <c r="F39" s="280" t="s">
        <v>225</v>
      </c>
      <c r="G39" s="280"/>
      <c r="H39" s="280" t="s">
        <v>225</v>
      </c>
      <c r="I39" s="280"/>
      <c r="J39" s="280" t="s">
        <v>251</v>
      </c>
      <c r="K39" s="280"/>
      <c r="L39" s="280" t="s">
        <v>252</v>
      </c>
      <c r="M39" s="280"/>
      <c r="N39" s="280" t="s">
        <v>253</v>
      </c>
      <c r="O39" s="280"/>
      <c r="P39" s="280" t="s">
        <v>254</v>
      </c>
      <c r="Q39" s="280"/>
      <c r="R39" s="280" t="s">
        <v>255</v>
      </c>
      <c r="S39" s="307"/>
      <c r="T39" s="308"/>
      <c r="U39" s="274"/>
      <c r="V39" s="274"/>
      <c r="W39" s="275"/>
      <c r="X39" s="5"/>
    </row>
    <row r="40" spans="1:24" ht="15.6" x14ac:dyDescent="0.3">
      <c r="A40" s="271"/>
      <c r="B40" s="272" t="s">
        <v>12</v>
      </c>
      <c r="C40" s="272"/>
      <c r="D40" s="308">
        <v>3.49E-3</v>
      </c>
      <c r="E40" s="272"/>
      <c r="F40" s="308">
        <v>9.4719000000000001E-3</v>
      </c>
      <c r="G40" s="307"/>
      <c r="H40" s="308">
        <v>1.7250000000000001E-2</v>
      </c>
      <c r="I40" s="308"/>
      <c r="J40" s="308">
        <v>3.3925000000000001E-3</v>
      </c>
      <c r="K40" s="307"/>
      <c r="L40" s="308">
        <v>1.02719E-2</v>
      </c>
      <c r="M40" s="307"/>
      <c r="N40" s="308">
        <v>1.7950000000000001E-2</v>
      </c>
      <c r="O40" s="307"/>
      <c r="P40" s="308">
        <v>1.2271900000000001E-2</v>
      </c>
      <c r="Q40" s="307"/>
      <c r="R40" s="308">
        <v>1.9949999999999999E-2</v>
      </c>
      <c r="S40" s="307"/>
      <c r="T40" s="308"/>
      <c r="U40" s="274"/>
      <c r="V40" s="280"/>
      <c r="W40" s="275"/>
      <c r="X40" s="5"/>
    </row>
    <row r="41" spans="1:24" ht="15.6" x14ac:dyDescent="0.3">
      <c r="A41" s="271"/>
      <c r="B41" s="272" t="s">
        <v>13</v>
      </c>
      <c r="C41" s="272"/>
      <c r="D41" s="308">
        <v>3.0704999999999999E-3</v>
      </c>
      <c r="E41" s="272"/>
      <c r="F41" s="308">
        <v>9.3938000000000008E-3</v>
      </c>
      <c r="G41" s="307"/>
      <c r="H41" s="308">
        <v>1.447E-2</v>
      </c>
      <c r="I41" s="308"/>
      <c r="J41" s="308">
        <v>3.6800000000000001E-3</v>
      </c>
      <c r="K41" s="307"/>
      <c r="L41" s="308">
        <v>1.0193799999999999E-2</v>
      </c>
      <c r="M41" s="307"/>
      <c r="N41" s="308">
        <v>1.5169999999999999E-2</v>
      </c>
      <c r="O41" s="307"/>
      <c r="P41" s="308">
        <v>1.2193799999999999E-2</v>
      </c>
      <c r="Q41" s="307"/>
      <c r="R41" s="308">
        <v>1.7170000000000001E-2</v>
      </c>
      <c r="S41" s="307"/>
      <c r="T41" s="308"/>
      <c r="U41" s="274"/>
      <c r="V41" s="307" t="s">
        <v>196</v>
      </c>
      <c r="W41" s="275"/>
      <c r="X41" s="5"/>
    </row>
    <row r="42" spans="1:24" ht="15.6" x14ac:dyDescent="0.3">
      <c r="A42" s="271"/>
      <c r="B42" s="272" t="s">
        <v>300</v>
      </c>
      <c r="C42" s="272"/>
      <c r="D42" s="280" t="s">
        <v>292</v>
      </c>
      <c r="E42" s="272"/>
      <c r="F42" s="280" t="s">
        <v>225</v>
      </c>
      <c r="G42" s="280"/>
      <c r="H42" s="280" t="s">
        <v>263</v>
      </c>
      <c r="I42" s="280"/>
      <c r="J42" s="280" t="s">
        <v>262</v>
      </c>
      <c r="K42" s="280"/>
      <c r="L42" s="280" t="s">
        <v>252</v>
      </c>
      <c r="M42" s="280"/>
      <c r="N42" s="280" t="s">
        <v>264</v>
      </c>
      <c r="O42" s="280"/>
      <c r="P42" s="280" t="s">
        <v>254</v>
      </c>
      <c r="Q42" s="280"/>
      <c r="R42" s="280" t="s">
        <v>260</v>
      </c>
      <c r="S42" s="307"/>
      <c r="T42" s="308"/>
      <c r="U42" s="274"/>
      <c r="V42" s="274"/>
      <c r="W42" s="275"/>
      <c r="X42" s="5"/>
    </row>
    <row r="43" spans="1:24" ht="15.6" x14ac:dyDescent="0.3">
      <c r="A43" s="271"/>
      <c r="B43" s="272" t="s">
        <v>301</v>
      </c>
      <c r="C43" s="309"/>
      <c r="D43" s="308">
        <v>9.8110999999999997E-3</v>
      </c>
      <c r="E43" s="308"/>
      <c r="F43" s="308">
        <f>+F40</f>
        <v>9.4719000000000001E-3</v>
      </c>
      <c r="G43" s="308"/>
      <c r="H43" s="308">
        <v>9.5939000000000007E-3</v>
      </c>
      <c r="I43" s="308"/>
      <c r="J43" s="308">
        <v>9.5119000000000002E-3</v>
      </c>
      <c r="K43" s="308"/>
      <c r="L43" s="308">
        <f>+L40</f>
        <v>1.02719E-2</v>
      </c>
      <c r="M43" s="308"/>
      <c r="N43" s="308">
        <v>1.03619E-2</v>
      </c>
      <c r="O43" s="308"/>
      <c r="P43" s="308">
        <f>+P40</f>
        <v>1.2271900000000001E-2</v>
      </c>
      <c r="Q43" s="307"/>
      <c r="R43" s="308">
        <v>1.2471899999999999E-2</v>
      </c>
      <c r="S43" s="280"/>
      <c r="T43" s="280"/>
      <c r="U43" s="274"/>
      <c r="V43" s="307">
        <f>SUMPRODUCT(D43:R43,D35:R35)/V35</f>
        <v>9.9502717670285814E-3</v>
      </c>
      <c r="W43" s="275"/>
      <c r="X43" s="5"/>
    </row>
    <row r="44" spans="1:24" ht="15.6" x14ac:dyDescent="0.3">
      <c r="A44" s="271"/>
      <c r="B44" s="272" t="s">
        <v>302</v>
      </c>
      <c r="C44" s="309"/>
      <c r="D44" s="308">
        <v>9.7330000000000003E-3</v>
      </c>
      <c r="E44" s="308"/>
      <c r="F44" s="308">
        <f>+F41</f>
        <v>9.3938000000000008E-3</v>
      </c>
      <c r="G44" s="308"/>
      <c r="H44" s="308">
        <v>9.5157999999999996E-3</v>
      </c>
      <c r="I44" s="308"/>
      <c r="J44" s="308">
        <v>9.4338000000000009E-3</v>
      </c>
      <c r="K44" s="308"/>
      <c r="L44" s="308">
        <f>+L41</f>
        <v>1.0193799999999999E-2</v>
      </c>
      <c r="M44" s="308"/>
      <c r="N44" s="308">
        <v>1.0283799999999999E-2</v>
      </c>
      <c r="O44" s="308"/>
      <c r="P44" s="308">
        <f>+P41</f>
        <v>1.2193799999999999E-2</v>
      </c>
      <c r="Q44" s="307"/>
      <c r="R44" s="308">
        <v>1.23938E-2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t="s">
        <v>121</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121</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203</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0.21555919248763078</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40833</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91</v>
      </c>
      <c r="S57" s="318"/>
      <c r="T57" s="319">
        <v>40648</v>
      </c>
      <c r="U57" s="320"/>
      <c r="V57" s="319">
        <v>40738</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94</v>
      </c>
      <c r="S58" s="272"/>
      <c r="T58" s="319">
        <v>40739</v>
      </c>
      <c r="U58" s="320"/>
      <c r="V58" s="319">
        <v>40832</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40819</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316</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1019575</v>
      </c>
      <c r="O68" s="324"/>
      <c r="P68" s="324">
        <f>6010+416+493-1</f>
        <v>6918</v>
      </c>
      <c r="Q68" s="324"/>
      <c r="R68" s="324">
        <f>416+493</f>
        <v>909</v>
      </c>
      <c r="S68" s="324"/>
      <c r="T68" s="324">
        <v>0</v>
      </c>
      <c r="U68" s="324"/>
      <c r="V68" s="325">
        <f>+N68-P68+R68-T68</f>
        <v>1013566</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1019575</v>
      </c>
      <c r="O71" s="324"/>
      <c r="P71" s="324">
        <f>SUM(P68:P70)</f>
        <v>6918</v>
      </c>
      <c r="Q71" s="324"/>
      <c r="R71" s="324">
        <f>SUM(R68:R70)</f>
        <v>909</v>
      </c>
      <c r="S71" s="324"/>
      <c r="T71" s="324">
        <f>SUM(T68:T70)</f>
        <v>0</v>
      </c>
      <c r="U71" s="324"/>
      <c r="V71" s="324">
        <f>SUM(V68:V70)</f>
        <v>1013566</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1019575</v>
      </c>
      <c r="O84" s="328"/>
      <c r="P84" s="328"/>
      <c r="Q84" s="328"/>
      <c r="R84" s="328"/>
      <c r="S84" s="328"/>
      <c r="T84" s="328"/>
      <c r="U84" s="328"/>
      <c r="V84" s="328">
        <f>SUM(V71:V83)</f>
        <v>1013566</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+T198</f>
        <v>40816</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6918-178</f>
        <v>6740</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4678+3339-580-1161</f>
        <v>6276</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28+18</f>
        <v>46</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36</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0</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6740</v>
      </c>
      <c r="U96" s="272"/>
      <c r="V96" s="324">
        <f>SUM(V88:V95)</f>
        <v>6358</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-374</v>
      </c>
      <c r="U97" s="272"/>
      <c r="V97" s="324">
        <v>374</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63</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6366</v>
      </c>
      <c r="U100" s="272"/>
      <c r="V100" s="324">
        <f>V96+V98+V97+V99</f>
        <v>6795</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231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272" t="s">
        <v>207</v>
      </c>
      <c r="C104" s="272"/>
      <c r="D104" s="272"/>
      <c r="E104" s="272"/>
      <c r="F104" s="272"/>
      <c r="G104" s="272"/>
      <c r="H104" s="272"/>
      <c r="I104" s="272"/>
      <c r="J104" s="272"/>
      <c r="K104" s="272"/>
      <c r="L104" s="272"/>
      <c r="M104" s="272"/>
      <c r="N104" s="272"/>
      <c r="O104" s="272"/>
      <c r="P104" s="272"/>
      <c r="Q104" s="272"/>
      <c r="R104" s="272"/>
      <c r="S104" s="272"/>
      <c r="T104" s="272"/>
      <c r="U104" s="272"/>
      <c r="V104" s="325">
        <f>-388-287-13</f>
        <v>-688</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-27</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-2098+194</f>
        <v>-1904</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-194</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-2</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-150</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-148</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-175</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-41</v>
      </c>
      <c r="W112" s="275"/>
      <c r="X112" s="5"/>
      <c r="Y112" s="109"/>
    </row>
    <row r="113" spans="1:24" ht="15.6" x14ac:dyDescent="0.3">
      <c r="A113" s="338">
        <v>7</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-10</v>
      </c>
      <c r="W113" s="275"/>
      <c r="X113" s="5"/>
    </row>
    <row r="114" spans="1:24" ht="15.6" x14ac:dyDescent="0.3">
      <c r="A114" s="338">
        <f t="shared" ref="A114:A120" si="0">+A113+1</f>
        <v>8</v>
      </c>
      <c r="B114" s="272" t="s">
        <v>45</v>
      </c>
      <c r="C114" s="272"/>
      <c r="D114" s="272"/>
      <c r="E114" s="272"/>
      <c r="F114" s="272"/>
      <c r="G114" s="272"/>
      <c r="H114" s="272"/>
      <c r="I114" s="272"/>
      <c r="J114" s="272"/>
      <c r="K114" s="272"/>
      <c r="L114" s="272"/>
      <c r="M114" s="272"/>
      <c r="N114" s="272"/>
      <c r="O114" s="272"/>
      <c r="P114" s="272"/>
      <c r="Q114" s="272"/>
      <c r="R114" s="272"/>
      <c r="S114" s="272"/>
      <c r="T114" s="324">
        <f>-V114</f>
        <v>178</v>
      </c>
      <c r="U114" s="272"/>
      <c r="V114" s="325">
        <v>-178</v>
      </c>
      <c r="W114" s="275"/>
      <c r="X114" s="5"/>
    </row>
    <row r="115" spans="1:24" ht="15.6" x14ac:dyDescent="0.3">
      <c r="A115" s="338">
        <f t="shared" si="0"/>
        <v>9</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10</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11</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12</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13</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-388</v>
      </c>
      <c r="W119" s="275"/>
      <c r="X119" s="5"/>
    </row>
    <row r="120" spans="1:24" ht="15.6" x14ac:dyDescent="0.3">
      <c r="A120" s="338">
        <f t="shared" si="0"/>
        <v>14</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-V100-SUM(V102:V119)</f>
        <v>-2888</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0</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-119</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-416</v>
      </c>
      <c r="U124" s="324"/>
      <c r="V124" s="325"/>
      <c r="W124" s="275"/>
      <c r="X124" s="5"/>
    </row>
    <row r="125" spans="1:24" ht="15.6" x14ac:dyDescent="0.3">
      <c r="A125" s="338"/>
      <c r="B125" s="272" t="s">
        <v>200</v>
      </c>
      <c r="C125" s="272"/>
      <c r="D125" s="272"/>
      <c r="E125" s="272"/>
      <c r="F125" s="272"/>
      <c r="G125" s="272"/>
      <c r="H125" s="272"/>
      <c r="I125" s="272"/>
      <c r="J125" s="272"/>
      <c r="K125" s="272"/>
      <c r="L125" s="272"/>
      <c r="M125" s="272"/>
      <c r="N125" s="272"/>
      <c r="O125" s="272"/>
      <c r="P125" s="272"/>
      <c r="Q125" s="272"/>
      <c r="R125" s="272"/>
      <c r="S125" s="272"/>
      <c r="T125" s="324">
        <v>-3631</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-569</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-962</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-847</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-6544</v>
      </c>
      <c r="U133" s="324"/>
      <c r="V133" s="324">
        <f>SUM(V101:V130)</f>
        <v>-6795</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T100+T133+T114</f>
        <v>0</v>
      </c>
      <c r="U134" s="324"/>
      <c r="V134" s="324">
        <f>V100+V133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B64</f>
        <v>PM13 INVESTOR REPORT QUARTER ENDING SEPTEMBER 2011</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272</v>
      </c>
      <c r="C155" s="272"/>
      <c r="D155" s="272"/>
      <c r="E155" s="272"/>
      <c r="F155" s="272"/>
      <c r="G155" s="272"/>
      <c r="H155" s="272"/>
      <c r="I155" s="272"/>
      <c r="J155" s="272"/>
      <c r="K155" s="272"/>
      <c r="L155" s="272"/>
      <c r="M155" s="272"/>
      <c r="N155" s="272"/>
      <c r="O155" s="272"/>
      <c r="P155" s="272"/>
      <c r="Q155" s="272"/>
      <c r="R155" s="272"/>
      <c r="S155" s="272"/>
      <c r="T155" s="272"/>
      <c r="U155" s="272"/>
      <c r="V155" s="325">
        <v>6000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178</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178</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-178</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v>0</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V71</f>
        <v>1013566</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V84</f>
        <v>1013566</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+'June 11'!S183</f>
        <v>45152</v>
      </c>
      <c r="T181" s="325">
        <f>+'June 11'!T183</f>
        <v>8966</v>
      </c>
      <c r="U181" s="272"/>
      <c r="V181" s="325">
        <f>S181+T181</f>
        <v>54118</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v>416</v>
      </c>
      <c r="T182" s="324">
        <v>0</v>
      </c>
      <c r="U182" s="272"/>
      <c r="V182" s="325">
        <f>S182+T182</f>
        <v>416</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45568</v>
      </c>
      <c r="T183" s="325">
        <f>T182+T181</f>
        <v>8966</v>
      </c>
      <c r="U183" s="272"/>
      <c r="V183" s="325">
        <f>S183+T183</f>
        <v>54534</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185496.4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(V100+V102+V103+V104+V105)/-(V106+V107)</f>
        <v>2.8970448045757866</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1.57</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(V100+V102+V103+V104+V105+V106+V107)/-(V109+V110)</f>
        <v>13.355704697986576</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5.52</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(V100+V102+V103+V104+V105+V106+V107+V109+V110)/-(V111+V112)</f>
        <v>17.046296296296298</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7.09</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SEPTEMBER 2011</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40816</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2.564E-2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9.9502717670285814E-3</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1.568972823297142E-2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+V100/N71</f>
        <v>6.6645415982149424E-3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16.100000000000001</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P68/N68</f>
        <v>6.7851800995512839E-3</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8.77E-2</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7</v>
      </c>
      <c r="T216" s="357">
        <v>965</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185</v>
      </c>
      <c r="T217" s="357">
        <f>+T269</f>
        <v>28552</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v>0</v>
      </c>
      <c r="T218" s="357">
        <v>0</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+N81</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2" t="s">
        <v>84</v>
      </c>
      <c r="C222" s="272"/>
      <c r="D222" s="272"/>
      <c r="E222" s="272"/>
      <c r="F222" s="272"/>
      <c r="G222" s="272"/>
      <c r="H222" s="272"/>
      <c r="I222" s="272"/>
      <c r="J222" s="272"/>
      <c r="K222" s="272"/>
      <c r="L222" s="272"/>
      <c r="M222" s="272"/>
      <c r="N222" s="272"/>
      <c r="O222" s="272"/>
      <c r="P222" s="272"/>
      <c r="Q222" s="272"/>
      <c r="R222" s="272"/>
      <c r="S222" s="280"/>
      <c r="T222" s="357">
        <f>V166</f>
        <v>178</v>
      </c>
      <c r="U222" s="272"/>
      <c r="V222" s="362"/>
      <c r="W222" s="367"/>
      <c r="X222" s="5"/>
    </row>
    <row r="223" spans="1:24" ht="15.6" x14ac:dyDescent="0.3">
      <c r="A223" s="356"/>
      <c r="B223" s="272" t="s">
        <v>85</v>
      </c>
      <c r="C223" s="324"/>
      <c r="D223" s="324"/>
      <c r="E223" s="324"/>
      <c r="F223" s="324"/>
      <c r="G223" s="272"/>
      <c r="H223" s="272"/>
      <c r="I223" s="272"/>
      <c r="J223" s="272"/>
      <c r="K223" s="272"/>
      <c r="L223" s="272"/>
      <c r="M223" s="272"/>
      <c r="N223" s="272"/>
      <c r="O223" s="272"/>
      <c r="P223" s="272"/>
      <c r="Q223" s="272"/>
      <c r="R223" s="272"/>
      <c r="S223" s="280"/>
      <c r="T223" s="357">
        <f>'June 11'!T223+T222</f>
        <v>3010</v>
      </c>
      <c r="U223" s="272"/>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4</v>
      </c>
      <c r="T229" s="357">
        <v>490</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0.93</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 t="shared" ref="R236:R243" si="1">+R248+R260+R272</f>
        <v>7855</v>
      </c>
      <c r="S236" s="381">
        <f t="shared" ref="S236:S243" si="2">R236/$R$245</f>
        <v>0.98581827309236947</v>
      </c>
      <c r="T236" s="325">
        <f t="shared" ref="T236:T243" si="3">+T248+T260+T272</f>
        <v>996695</v>
      </c>
      <c r="U236" s="381">
        <f t="shared" ref="U236:U243" si="4">T236/$T$245</f>
        <v>0.98335480866564196</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si="1"/>
        <v>52</v>
      </c>
      <c r="S237" s="381">
        <f t="shared" si="2"/>
        <v>6.5261044176706823E-3</v>
      </c>
      <c r="T237" s="325">
        <f t="shared" si="3"/>
        <v>8489</v>
      </c>
      <c r="U237" s="381">
        <f t="shared" si="4"/>
        <v>8.3753796003417629E-3</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8</v>
      </c>
      <c r="S238" s="381">
        <f t="shared" si="2"/>
        <v>1.004016064257028E-3</v>
      </c>
      <c r="T238" s="325">
        <f t="shared" si="3"/>
        <v>1484</v>
      </c>
      <c r="U238" s="381">
        <f t="shared" si="4"/>
        <v>1.4641375105321213E-3</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1</v>
      </c>
      <c r="S239" s="381">
        <f t="shared" si="2"/>
        <v>1.255020080321285E-4</v>
      </c>
      <c r="T239" s="325">
        <f t="shared" si="3"/>
        <v>81</v>
      </c>
      <c r="U239" s="381">
        <f t="shared" si="4"/>
        <v>7.9915861423923061E-5</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2</v>
      </c>
      <c r="S240" s="381">
        <f t="shared" si="2"/>
        <v>2.5100401606425701E-4</v>
      </c>
      <c r="T240" s="325">
        <f t="shared" si="3"/>
        <v>170</v>
      </c>
      <c r="U240" s="381">
        <f t="shared" si="4"/>
        <v>1.6772464743292493E-4</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2</v>
      </c>
      <c r="S241" s="381">
        <f t="shared" si="2"/>
        <v>2.5100401606425701E-4</v>
      </c>
      <c r="T241" s="325">
        <f t="shared" si="3"/>
        <v>257</v>
      </c>
      <c r="U241" s="381">
        <f t="shared" si="4"/>
        <v>2.5356020229565712E-4</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10</v>
      </c>
      <c r="S242" s="381">
        <f t="shared" si="2"/>
        <v>1.2550200803212851E-3</v>
      </c>
      <c r="T242" s="325">
        <f t="shared" si="3"/>
        <v>1406</v>
      </c>
      <c r="U242" s="381">
        <f t="shared" si="4"/>
        <v>1.3871814958276026E-3</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38</v>
      </c>
      <c r="S243" s="381">
        <f t="shared" si="2"/>
        <v>4.7690763052208839E-3</v>
      </c>
      <c r="T243" s="325">
        <f t="shared" si="3"/>
        <v>4984</v>
      </c>
      <c r="U243" s="381">
        <f t="shared" si="4"/>
        <v>4.9172920165041056E-3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7968</v>
      </c>
      <c r="S245" s="381">
        <f>SUM(S236:S244)</f>
        <v>0.99999999999999989</v>
      </c>
      <c r="T245" s="325">
        <f>SUM(T236:T244)</f>
        <v>1013566</v>
      </c>
      <c r="U245" s="381">
        <f>SUM(U236:U244)</f>
        <v>1</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7735</v>
      </c>
      <c r="S248" s="261">
        <f t="shared" ref="S248:S255" si="5">R248/$R$257</f>
        <v>0.99383271232172687</v>
      </c>
      <c r="T248" s="238">
        <v>976482</v>
      </c>
      <c r="U248" s="261">
        <f t="shared" ref="U248:U255" si="6">T248/$T$257</f>
        <v>0.99133819417795077</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38</v>
      </c>
      <c r="S249" s="381">
        <f t="shared" si="5"/>
        <v>4.8824360786329183E-3</v>
      </c>
      <c r="T249" s="325">
        <v>6679</v>
      </c>
      <c r="U249" s="381">
        <f t="shared" si="6"/>
        <v>6.78061428568528E-3</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6</v>
      </c>
      <c r="S250" s="381">
        <f t="shared" si="5"/>
        <v>7.7091095978414493E-4</v>
      </c>
      <c r="T250" s="325">
        <v>1273</v>
      </c>
      <c r="U250" s="381">
        <f t="shared" si="6"/>
        <v>1.2923674181280673E-3</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0</v>
      </c>
      <c r="S251" s="381">
        <f t="shared" si="5"/>
        <v>0</v>
      </c>
      <c r="T251" s="325">
        <v>0</v>
      </c>
      <c r="U251" s="381">
        <f t="shared" si="6"/>
        <v>0</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1</v>
      </c>
      <c r="S252" s="381">
        <f t="shared" si="5"/>
        <v>1.2848515996402416E-4</v>
      </c>
      <c r="T252" s="325">
        <v>72</v>
      </c>
      <c r="U252" s="381">
        <f t="shared" si="6"/>
        <v>7.3095407781006164E-5</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3</v>
      </c>
      <c r="S255" s="381">
        <f t="shared" si="5"/>
        <v>3.8545547989207247E-4</v>
      </c>
      <c r="T255" s="325">
        <v>508</v>
      </c>
      <c r="U255" s="381">
        <f t="shared" si="6"/>
        <v>5.1572871045487681E-4</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7783</v>
      </c>
      <c r="S257" s="381">
        <f>SUM(S248:S256)</f>
        <v>1</v>
      </c>
      <c r="T257" s="325">
        <f>SUM(T248:T256)</f>
        <v>985014</v>
      </c>
      <c r="U257" s="381">
        <f>SUM(U248:U256)</f>
        <v>1</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120</v>
      </c>
      <c r="S260" s="261">
        <f t="shared" ref="S260:S267" si="7">R260/$R$269</f>
        <v>0.64864864864864868</v>
      </c>
      <c r="T260" s="238">
        <v>20213</v>
      </c>
      <c r="U260" s="261">
        <f t="shared" ref="U260:U267" si="8">T260/$T$269</f>
        <v>0.70793639674978981</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14</v>
      </c>
      <c r="S261" s="381">
        <f t="shared" si="7"/>
        <v>7.567567567567568E-2</v>
      </c>
      <c r="T261" s="325">
        <v>1810</v>
      </c>
      <c r="U261" s="381">
        <f t="shared" si="8"/>
        <v>6.3393107312972818E-2</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2</v>
      </c>
      <c r="S262" s="381">
        <f t="shared" si="7"/>
        <v>1.0810810810810811E-2</v>
      </c>
      <c r="T262" s="325">
        <v>211</v>
      </c>
      <c r="U262" s="381">
        <f t="shared" si="8"/>
        <v>7.3900252171476607E-3</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1</v>
      </c>
      <c r="S263" s="381">
        <f t="shared" si="7"/>
        <v>5.4054054054054057E-3</v>
      </c>
      <c r="T263" s="325">
        <v>81</v>
      </c>
      <c r="U263" s="381">
        <f t="shared" si="8"/>
        <v>2.8369291117960214E-3</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1</v>
      </c>
      <c r="S264" s="381">
        <f t="shared" si="7"/>
        <v>5.4054054054054057E-3</v>
      </c>
      <c r="T264" s="325">
        <v>98</v>
      </c>
      <c r="U264" s="381">
        <f t="shared" si="8"/>
        <v>3.4323339871112357E-3</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2</v>
      </c>
      <c r="S265" s="381">
        <f t="shared" si="7"/>
        <v>1.0810810810810811E-2</v>
      </c>
      <c r="T265" s="325">
        <v>257</v>
      </c>
      <c r="U265" s="381">
        <f t="shared" si="8"/>
        <v>9.0011207621182397E-3</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10</v>
      </c>
      <c r="S266" s="381">
        <f t="shared" si="7"/>
        <v>5.4054054054054057E-2</v>
      </c>
      <c r="T266" s="325">
        <v>1406</v>
      </c>
      <c r="U266" s="381">
        <f t="shared" si="8"/>
        <v>4.9243485570187727E-2</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35</v>
      </c>
      <c r="S267" s="381">
        <f t="shared" si="7"/>
        <v>0.1891891891891892</v>
      </c>
      <c r="T267" s="325">
        <v>4476</v>
      </c>
      <c r="U267" s="381">
        <f t="shared" si="8"/>
        <v>0.15676660128887643</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185</v>
      </c>
      <c r="S269" s="381">
        <f>SUM(S260:S268)</f>
        <v>1</v>
      </c>
      <c r="T269" s="325">
        <f>SUM(T260:T268)</f>
        <v>28552</v>
      </c>
      <c r="U269" s="381">
        <f>SUM(U260:U268)</f>
        <v>0.99999999999999989</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v>0</v>
      </c>
      <c r="T272" s="238">
        <v>0</v>
      </c>
      <c r="U272" s="261">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v>0</v>
      </c>
      <c r="T273" s="325">
        <v>0</v>
      </c>
      <c r="U273" s="381">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0</v>
      </c>
      <c r="S281" s="381">
        <f>SUM(S272:S279)</f>
        <v>0</v>
      </c>
      <c r="T281" s="325">
        <f>SUM(T272:T279)</f>
        <v>0</v>
      </c>
      <c r="U281" s="381">
        <f>SUM(U272:U279)</f>
        <v>0</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79" t="s">
        <v>167</v>
      </c>
      <c r="C283" s="272"/>
      <c r="D283" s="272"/>
      <c r="E283" s="272"/>
      <c r="F283" s="272"/>
      <c r="G283" s="272"/>
      <c r="H283" s="383"/>
      <c r="I283" s="383"/>
      <c r="J283" s="383"/>
      <c r="K283" s="383"/>
      <c r="L283" s="383"/>
      <c r="M283" s="383"/>
      <c r="N283" s="383"/>
      <c r="O283" s="383"/>
      <c r="P283" s="383"/>
      <c r="Q283" s="383"/>
      <c r="R283" s="390">
        <f>R281+R269+R257</f>
        <v>7968</v>
      </c>
      <c r="S283" s="381"/>
      <c r="T283" s="387">
        <f>+T281+T269+T257</f>
        <v>1013566</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93</v>
      </c>
      <c r="C287" s="220"/>
      <c r="D287" s="220"/>
      <c r="E287" s="220"/>
      <c r="F287" s="265" t="s">
        <v>151</v>
      </c>
      <c r="G287" s="220"/>
      <c r="H287" s="219" t="s">
        <v>155</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281</v>
      </c>
      <c r="C288" s="219"/>
      <c r="D288" s="219"/>
      <c r="E288" s="219"/>
      <c r="F288" s="265" t="s">
        <v>282</v>
      </c>
      <c r="G288" s="219"/>
      <c r="H288" s="219" t="s">
        <v>283</v>
      </c>
      <c r="I288" s="227"/>
      <c r="J288" s="219"/>
      <c r="K288" s="227"/>
      <c r="L288" s="227"/>
      <c r="M288" s="227"/>
      <c r="N288" s="227"/>
      <c r="O288" s="227"/>
      <c r="P288" s="227"/>
      <c r="Q288" s="227"/>
      <c r="R288" s="227"/>
      <c r="S288" s="227"/>
      <c r="T288" s="227"/>
      <c r="U288" s="227"/>
      <c r="V288" s="227"/>
      <c r="W288" s="227"/>
      <c r="X288" s="5"/>
    </row>
    <row r="289" spans="1:24" ht="15.6" x14ac:dyDescent="0.3">
      <c r="A289" s="216"/>
      <c r="B289" s="219" t="s">
        <v>94</v>
      </c>
      <c r="C289" s="219"/>
      <c r="D289" s="219"/>
      <c r="E289" s="219"/>
      <c r="F289" s="265" t="s">
        <v>150</v>
      </c>
      <c r="G289" s="219"/>
      <c r="H289" s="219" t="s">
        <v>156</v>
      </c>
      <c r="I289" s="219"/>
      <c r="J289" s="219"/>
      <c r="K289" s="227"/>
      <c r="L289" s="227"/>
      <c r="M289" s="227"/>
      <c r="N289" s="227"/>
      <c r="O289" s="227"/>
      <c r="P289" s="227"/>
      <c r="Q289" s="227"/>
      <c r="R289" s="227"/>
      <c r="S289" s="227"/>
      <c r="T289" s="227"/>
      <c r="U289" s="227"/>
      <c r="V289" s="227"/>
      <c r="W289" s="227"/>
      <c r="X289" s="5"/>
    </row>
    <row r="290" spans="1:24" ht="15.6" x14ac:dyDescent="0.3">
      <c r="A290" s="216"/>
      <c r="B290" s="219"/>
      <c r="C290" s="219"/>
      <c r="D290" s="219"/>
      <c r="E290" s="219"/>
      <c r="F290" s="219"/>
      <c r="G290" s="266"/>
      <c r="H290" s="227"/>
      <c r="I290" s="227"/>
      <c r="J290" s="227"/>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8" thickBot="1" x14ac:dyDescent="0.35">
      <c r="A292" s="216"/>
      <c r="B292" s="267" t="str">
        <f>B197</f>
        <v>PM13 INVESTOR REPORT QUARTER ENDING SEPTEMBER 2011</v>
      </c>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x14ac:dyDescent="0.25">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row>
  </sheetData>
  <phoneticPr fontId="0" type="noConversion"/>
  <hyperlinks>
    <hyperlink ref="P233" r:id="rId1" xr:uid="{00000000-0004-0000-1300-000000000000}"/>
    <hyperlink ref="I9" r:id="rId2" xr:uid="{00000000-0004-0000-13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7" max="14" man="1"/>
    <brk id="197" max="14"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89CB31"/>
  </sheetPr>
  <dimension ref="A1:Z293"/>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0.63680000000000003</v>
      </c>
      <c r="T16" s="224" t="s">
        <v>143</v>
      </c>
      <c r="U16" s="223">
        <v>0.36320000000000002</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40928</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175"/>
      <c r="B22" s="177"/>
      <c r="C22" s="189"/>
      <c r="D22" s="189" t="s">
        <v>180</v>
      </c>
      <c r="E22" s="189"/>
      <c r="F22" s="189" t="s">
        <v>181</v>
      </c>
      <c r="G22" s="189"/>
      <c r="H22" s="189" t="s">
        <v>182</v>
      </c>
      <c r="I22" s="189"/>
      <c r="J22" s="189" t="s">
        <v>223</v>
      </c>
      <c r="K22" s="189"/>
      <c r="L22" s="189" t="s">
        <v>183</v>
      </c>
      <c r="M22" s="189"/>
      <c r="N22" s="189" t="s">
        <v>184</v>
      </c>
      <c r="O22" s="189"/>
      <c r="P22" s="189" t="s">
        <v>224</v>
      </c>
      <c r="Q22" s="189"/>
      <c r="R22" s="189" t="s">
        <v>185</v>
      </c>
      <c r="S22" s="190"/>
      <c r="T22" s="191"/>
      <c r="U22" s="187"/>
      <c r="V22" s="187"/>
      <c r="W22" s="177"/>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216</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314</v>
      </c>
      <c r="E27" s="389"/>
      <c r="F27" s="389" t="s">
        <v>315</v>
      </c>
      <c r="G27" s="389"/>
      <c r="H27" s="389" t="s">
        <v>315</v>
      </c>
      <c r="I27" s="389"/>
      <c r="J27" s="389" t="s">
        <v>315</v>
      </c>
      <c r="K27" s="389"/>
      <c r="L27" s="389" t="s">
        <v>168</v>
      </c>
      <c r="M27" s="389"/>
      <c r="N27" s="389" t="s">
        <v>168</v>
      </c>
      <c r="O27" s="389"/>
      <c r="P27" s="389" t="s">
        <v>147</v>
      </c>
      <c r="Q27" s="389"/>
      <c r="R27" s="389" t="s">
        <v>147</v>
      </c>
      <c r="S27" s="273"/>
      <c r="T27" s="280"/>
      <c r="U27" s="274"/>
      <c r="V27" s="274"/>
      <c r="W27" s="275"/>
      <c r="X27" s="5"/>
    </row>
    <row r="28" spans="1:24" ht="15.6" x14ac:dyDescent="0.3">
      <c r="A28" s="271"/>
      <c r="B28" s="279" t="s">
        <v>195</v>
      </c>
      <c r="C28" s="273"/>
      <c r="D28" s="389" t="s">
        <v>319</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947206.2</v>
      </c>
      <c r="E32" s="282"/>
      <c r="F32" s="283">
        <f>F31*F38</f>
        <v>78934</v>
      </c>
      <c r="G32" s="283"/>
      <c r="H32" s="288">
        <f>H31*H38</f>
        <v>198913.68000000002</v>
      </c>
      <c r="I32" s="288"/>
      <c r="J32" s="287">
        <f>J31*J38</f>
        <v>221014.78</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941781.45</v>
      </c>
      <c r="E33" s="286"/>
      <c r="F33" s="289">
        <f>F37*F31</f>
        <v>78481.95</v>
      </c>
      <c r="G33" s="289"/>
      <c r="H33" s="292">
        <f>H31*H37</f>
        <v>197774.514</v>
      </c>
      <c r="I33" s="292"/>
      <c r="J33" s="291">
        <f>J37*J31</f>
        <v>219749.005</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503832.8701376</v>
      </c>
      <c r="E35" s="282"/>
      <c r="F35" s="283">
        <f>F34*F38</f>
        <v>78934</v>
      </c>
      <c r="G35" s="283"/>
      <c r="H35" s="283">
        <f>H34*H38</f>
        <v>133498.86404800002</v>
      </c>
      <c r="I35" s="283"/>
      <c r="J35" s="283">
        <f>J34*J38</f>
        <v>117560.918836</v>
      </c>
      <c r="K35" s="283"/>
      <c r="L35" s="283">
        <f>L34*L38</f>
        <v>56000</v>
      </c>
      <c r="M35" s="283"/>
      <c r="N35" s="283">
        <f>N34*N38</f>
        <v>56376</v>
      </c>
      <c r="O35" s="283"/>
      <c r="P35" s="283">
        <f>P34*P38</f>
        <v>13000</v>
      </c>
      <c r="Q35" s="283"/>
      <c r="R35" s="283">
        <f>R34*R38</f>
        <v>54363</v>
      </c>
      <c r="S35" s="283"/>
      <c r="T35" s="283"/>
      <c r="U35" s="284"/>
      <c r="V35" s="283">
        <f>SUM(C35:R35)</f>
        <v>1013565.6530216</v>
      </c>
      <c r="W35" s="285"/>
      <c r="X35" s="5"/>
    </row>
    <row r="36" spans="1:24" ht="15.6" x14ac:dyDescent="0.3">
      <c r="A36" s="276"/>
      <c r="B36" s="279" t="s">
        <v>304</v>
      </c>
      <c r="C36" s="286"/>
      <c r="D36" s="289">
        <f>D34*D37</f>
        <v>500947.36604960001</v>
      </c>
      <c r="E36" s="286"/>
      <c r="F36" s="289">
        <f>F34*F37</f>
        <v>78481.95</v>
      </c>
      <c r="G36" s="289"/>
      <c r="H36" s="289">
        <f>H34*H37</f>
        <v>132734.3245404</v>
      </c>
      <c r="I36" s="289"/>
      <c r="J36" s="289">
        <f>J34*J37</f>
        <v>116887.635031</v>
      </c>
      <c r="K36" s="289"/>
      <c r="L36" s="289">
        <v>56000</v>
      </c>
      <c r="M36" s="289"/>
      <c r="N36" s="289">
        <v>56376</v>
      </c>
      <c r="O36" s="289"/>
      <c r="P36" s="289">
        <v>13000</v>
      </c>
      <c r="Q36" s="289"/>
      <c r="R36" s="289">
        <v>54363</v>
      </c>
      <c r="S36" s="314"/>
      <c r="T36" s="314"/>
      <c r="U36" s="284"/>
      <c r="V36" s="289">
        <f>SUM(C36:R36)+1</f>
        <v>1008791.275621</v>
      </c>
      <c r="W36" s="285"/>
      <c r="X36" s="5"/>
    </row>
    <row r="37" spans="1:24" ht="15.6" x14ac:dyDescent="0.3">
      <c r="A37" s="271"/>
      <c r="B37" s="297" t="s">
        <v>133</v>
      </c>
      <c r="C37" s="298"/>
      <c r="D37" s="299">
        <v>0.62785429999999998</v>
      </c>
      <c r="E37" s="300"/>
      <c r="F37" s="299">
        <v>0.62785559999999996</v>
      </c>
      <c r="G37" s="301"/>
      <c r="H37" s="299">
        <v>0.62785559999999996</v>
      </c>
      <c r="I37" s="301"/>
      <c r="J37" s="299">
        <v>0.62785429999999998</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0.6314708</v>
      </c>
      <c r="E38" s="300"/>
      <c r="F38" s="299">
        <v>0.63147200000000003</v>
      </c>
      <c r="G38" s="301"/>
      <c r="H38" s="299">
        <v>0.63147200000000003</v>
      </c>
      <c r="I38" s="301"/>
      <c r="J38" s="299">
        <v>0.6314708</v>
      </c>
      <c r="K38" s="301"/>
      <c r="L38" s="299">
        <v>1</v>
      </c>
      <c r="M38" s="299"/>
      <c r="N38" s="299">
        <v>1</v>
      </c>
      <c r="O38" s="299"/>
      <c r="P38" s="299">
        <v>1</v>
      </c>
      <c r="Q38" s="299"/>
      <c r="R38" s="299">
        <v>1</v>
      </c>
      <c r="S38" s="305"/>
      <c r="T38" s="306"/>
      <c r="U38" s="303"/>
      <c r="V38" s="305"/>
      <c r="W38" s="304"/>
      <c r="X38" s="5"/>
    </row>
    <row r="39" spans="1:24" ht="15.6" x14ac:dyDescent="0.3">
      <c r="A39" s="271"/>
      <c r="B39" s="272" t="s">
        <v>11</v>
      </c>
      <c r="C39" s="272"/>
      <c r="D39" s="280" t="s">
        <v>225</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3.9830000000000004E-3</v>
      </c>
      <c r="E40" s="272"/>
      <c r="F40" s="308">
        <v>1.20669E-2</v>
      </c>
      <c r="G40" s="307"/>
      <c r="H40" s="308">
        <v>1.8120000000000001E-2</v>
      </c>
      <c r="I40" s="308"/>
      <c r="J40" s="308">
        <v>5.8306E-3</v>
      </c>
      <c r="K40" s="307"/>
      <c r="L40" s="308">
        <v>1.3666899999999999E-2</v>
      </c>
      <c r="M40" s="307"/>
      <c r="N40" s="308">
        <v>1.9519999999999999E-2</v>
      </c>
      <c r="O40" s="307"/>
      <c r="P40" s="308">
        <v>1.7666899999999999E-2</v>
      </c>
      <c r="Q40" s="307"/>
      <c r="R40" s="308">
        <v>2.3519999999999999E-2</v>
      </c>
      <c r="S40" s="307"/>
      <c r="T40" s="308"/>
      <c r="U40" s="274"/>
      <c r="V40" s="280"/>
      <c r="W40" s="275"/>
      <c r="X40" s="5"/>
    </row>
    <row r="41" spans="1:24" ht="15.6" x14ac:dyDescent="0.3">
      <c r="A41" s="271"/>
      <c r="B41" s="272" t="s">
        <v>13</v>
      </c>
      <c r="C41" s="272"/>
      <c r="D41" s="308">
        <v>3.49E-3</v>
      </c>
      <c r="E41" s="272"/>
      <c r="F41" s="308">
        <v>9.4719000000000001E-3</v>
      </c>
      <c r="G41" s="307"/>
      <c r="H41" s="308">
        <v>1.7250000000000001E-2</v>
      </c>
      <c r="I41" s="308"/>
      <c r="J41" s="308">
        <v>3.3925000000000001E-3</v>
      </c>
      <c r="K41" s="307"/>
      <c r="L41" s="308">
        <v>1.02719E-2</v>
      </c>
      <c r="M41" s="307"/>
      <c r="N41" s="308">
        <v>1.7950000000000001E-2</v>
      </c>
      <c r="O41" s="307"/>
      <c r="P41" s="308">
        <v>1.2271900000000001E-2</v>
      </c>
      <c r="Q41" s="307"/>
      <c r="R41" s="308">
        <v>1.9949999999999999E-2</v>
      </c>
      <c r="S41" s="307"/>
      <c r="T41" s="308"/>
      <c r="U41" s="274"/>
      <c r="V41" s="307" t="s">
        <v>196</v>
      </c>
      <c r="W41" s="275"/>
      <c r="X41" s="5"/>
    </row>
    <row r="42" spans="1:24" ht="15.6" x14ac:dyDescent="0.3">
      <c r="A42" s="271"/>
      <c r="B42" s="272" t="s">
        <v>300</v>
      </c>
      <c r="C42" s="272"/>
      <c r="D42" s="280" t="s">
        <v>292</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v>1.12061E-2</v>
      </c>
      <c r="E43" s="308"/>
      <c r="F43" s="308">
        <f>+F40</f>
        <v>1.20669E-2</v>
      </c>
      <c r="G43" s="308"/>
      <c r="H43" s="308">
        <v>1.23109E-2</v>
      </c>
      <c r="I43" s="308"/>
      <c r="J43" s="308">
        <v>1.21469E-2</v>
      </c>
      <c r="K43" s="308"/>
      <c r="L43" s="308">
        <f>+L40</f>
        <v>1.3666899999999999E-2</v>
      </c>
      <c r="M43" s="308"/>
      <c r="N43" s="308">
        <v>1.3846900000000001E-2</v>
      </c>
      <c r="O43" s="308"/>
      <c r="P43" s="308">
        <f>+P40</f>
        <v>1.7666899999999999E-2</v>
      </c>
      <c r="Q43" s="307"/>
      <c r="R43" s="308">
        <v>1.80669E-2</v>
      </c>
      <c r="S43" s="280"/>
      <c r="T43" s="280"/>
      <c r="U43" s="274"/>
      <c r="V43" s="307">
        <f>SUMPRODUCT(D43:R43,D35:R35)/V35</f>
        <v>1.2261467111792159E-2</v>
      </c>
      <c r="W43" s="275"/>
      <c r="X43" s="5"/>
    </row>
    <row r="44" spans="1:24" ht="15.6" x14ac:dyDescent="0.3">
      <c r="A44" s="271"/>
      <c r="B44" s="272" t="s">
        <v>302</v>
      </c>
      <c r="C44" s="309"/>
      <c r="D44" s="308">
        <v>9.8110999999999997E-3</v>
      </c>
      <c r="E44" s="308"/>
      <c r="F44" s="308">
        <f>+F41</f>
        <v>9.4719000000000001E-3</v>
      </c>
      <c r="G44" s="308"/>
      <c r="H44" s="308">
        <v>9.5939000000000007E-3</v>
      </c>
      <c r="I44" s="308"/>
      <c r="J44" s="308">
        <v>9.5119000000000002E-3</v>
      </c>
      <c r="K44" s="308"/>
      <c r="L44" s="308">
        <f>+L41</f>
        <v>1.02719E-2</v>
      </c>
      <c r="M44" s="308"/>
      <c r="N44" s="308">
        <v>1.03619E-2</v>
      </c>
      <c r="O44" s="308"/>
      <c r="P44" s="308">
        <f>+P41</f>
        <v>1.2271900000000001E-2</v>
      </c>
      <c r="Q44" s="307"/>
      <c r="R44" s="308">
        <v>1.2471899999999999E-2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203</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0.21680082437044282</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40925</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94</v>
      </c>
      <c r="S57" s="318"/>
      <c r="T57" s="319">
        <v>40739</v>
      </c>
      <c r="U57" s="320"/>
      <c r="V57" s="319">
        <v>40832</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92</v>
      </c>
      <c r="S58" s="272"/>
      <c r="T58" s="319">
        <v>40833</v>
      </c>
      <c r="U58" s="320"/>
      <c r="V58" s="319">
        <v>40924</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40911</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317</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1013566</v>
      </c>
      <c r="O68" s="324"/>
      <c r="P68" s="324">
        <f>4775+505+775</f>
        <v>6055</v>
      </c>
      <c r="Q68" s="324"/>
      <c r="R68" s="324">
        <f>505+775</f>
        <v>1280</v>
      </c>
      <c r="S68" s="324"/>
      <c r="T68" s="324">
        <v>0</v>
      </c>
      <c r="U68" s="324"/>
      <c r="V68" s="325">
        <f>+N68-P68+R68-T68</f>
        <v>1008791</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1013566</v>
      </c>
      <c r="O71" s="324"/>
      <c r="P71" s="324">
        <f>SUM(P68:P70)</f>
        <v>6055</v>
      </c>
      <c r="Q71" s="324"/>
      <c r="R71" s="324">
        <f>SUM(R68:R70)</f>
        <v>1280</v>
      </c>
      <c r="S71" s="324"/>
      <c r="T71" s="324">
        <f>SUM(T68:T70)</f>
        <v>0</v>
      </c>
      <c r="U71" s="324"/>
      <c r="V71" s="324">
        <f>SUM(V68:V70)</f>
        <v>1008791</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1013566</v>
      </c>
      <c r="O84" s="328"/>
      <c r="P84" s="328"/>
      <c r="Q84" s="328"/>
      <c r="R84" s="328"/>
      <c r="S84" s="328"/>
      <c r="T84" s="328"/>
      <c r="U84" s="328"/>
      <c r="V84" s="328">
        <f>SUM(V71:V83)</f>
        <v>1008791</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+T198</f>
        <v>40907</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6055-120</f>
        <v>5935</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4585+3756-427-1423</f>
        <v>6491</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33+10</f>
        <v>43</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58</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785</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5935</v>
      </c>
      <c r="U96" s="272"/>
      <c r="V96" s="324">
        <f>SUM(V88:V95)</f>
        <v>7377</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-285</v>
      </c>
      <c r="U97" s="272"/>
      <c r="V97" s="324">
        <v>285</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78</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5650</v>
      </c>
      <c r="U100" s="272"/>
      <c r="V100" s="324">
        <f>V96+V98+V97+V99</f>
        <v>7740</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231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272" t="s">
        <v>207</v>
      </c>
      <c r="C104" s="272"/>
      <c r="D104" s="272"/>
      <c r="E104" s="272"/>
      <c r="F104" s="272"/>
      <c r="G104" s="272"/>
      <c r="H104" s="272"/>
      <c r="I104" s="272"/>
      <c r="J104" s="272"/>
      <c r="K104" s="272"/>
      <c r="L104" s="272"/>
      <c r="M104" s="272"/>
      <c r="N104" s="272"/>
      <c r="O104" s="272"/>
      <c r="P104" s="272"/>
      <c r="Q104" s="272"/>
      <c r="R104" s="272"/>
      <c r="S104" s="272"/>
      <c r="T104" s="272"/>
      <c r="U104" s="272"/>
      <c r="V104" s="325">
        <f>-386-360-12</f>
        <v>-758</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-25</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-2437+240</f>
        <v>-2197</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-240</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-2</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-197</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-193</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-247</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-58</v>
      </c>
      <c r="W112" s="275"/>
      <c r="X112" s="5"/>
      <c r="Y112" s="109"/>
    </row>
    <row r="113" spans="1:24" ht="15.6" x14ac:dyDescent="0.3">
      <c r="A113" s="338">
        <v>7</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-10</v>
      </c>
      <c r="W113" s="275"/>
      <c r="X113" s="5"/>
    </row>
    <row r="114" spans="1:24" ht="15.6" x14ac:dyDescent="0.3">
      <c r="A114" s="338">
        <f t="shared" ref="A114:A120" si="0">+A113+1</f>
        <v>8</v>
      </c>
      <c r="B114" s="272" t="s">
        <v>45</v>
      </c>
      <c r="C114" s="272"/>
      <c r="D114" s="272"/>
      <c r="E114" s="272"/>
      <c r="F114" s="272"/>
      <c r="G114" s="272"/>
      <c r="H114" s="272"/>
      <c r="I114" s="272"/>
      <c r="J114" s="272"/>
      <c r="K114" s="272"/>
      <c r="L114" s="272"/>
      <c r="M114" s="272"/>
      <c r="N114" s="272"/>
      <c r="O114" s="272"/>
      <c r="P114" s="272"/>
      <c r="Q114" s="272"/>
      <c r="R114" s="272"/>
      <c r="S114" s="272"/>
      <c r="T114" s="324">
        <f>-V114</f>
        <v>120</v>
      </c>
      <c r="U114" s="272"/>
      <c r="V114" s="325">
        <v>-120</v>
      </c>
      <c r="W114" s="275"/>
      <c r="X114" s="5"/>
    </row>
    <row r="115" spans="1:24" ht="15.6" x14ac:dyDescent="0.3">
      <c r="A115" s="338">
        <f t="shared" si="0"/>
        <v>9</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10</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11</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12</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13</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-386</v>
      </c>
      <c r="W119" s="275"/>
      <c r="X119" s="5"/>
    </row>
    <row r="120" spans="1:24" ht="15.6" x14ac:dyDescent="0.3">
      <c r="A120" s="338">
        <f t="shared" si="0"/>
        <v>14</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-V100-SUM(V102:V119)</f>
        <v>-3305</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-344</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-440</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-211</v>
      </c>
      <c r="U124" s="324"/>
      <c r="V124" s="325"/>
      <c r="W124" s="275"/>
      <c r="X124" s="5"/>
    </row>
    <row r="125" spans="1:24" ht="15.6" x14ac:dyDescent="0.3">
      <c r="A125" s="338"/>
      <c r="B125" s="272" t="s">
        <v>200</v>
      </c>
      <c r="C125" s="272"/>
      <c r="D125" s="272"/>
      <c r="E125" s="272"/>
      <c r="F125" s="272"/>
      <c r="G125" s="272"/>
      <c r="H125" s="272"/>
      <c r="I125" s="272"/>
      <c r="J125" s="272"/>
      <c r="K125" s="272"/>
      <c r="L125" s="272"/>
      <c r="M125" s="272"/>
      <c r="N125" s="272"/>
      <c r="O125" s="272"/>
      <c r="P125" s="272"/>
      <c r="Q125" s="272"/>
      <c r="R125" s="272"/>
      <c r="S125" s="272"/>
      <c r="T125" s="324">
        <v>-2885</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-452</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-765</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-673</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-5770</v>
      </c>
      <c r="U133" s="324"/>
      <c r="V133" s="324">
        <f>SUM(V101:V130)</f>
        <v>-7740</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T100+T133+T114</f>
        <v>0</v>
      </c>
      <c r="U134" s="324"/>
      <c r="V134" s="324">
        <f>V100+V133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B64</f>
        <v>PM13 INVESTOR REPORT QUARTER ENDING DECEMBER 2011</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272</v>
      </c>
      <c r="C155" s="272"/>
      <c r="D155" s="272"/>
      <c r="E155" s="272"/>
      <c r="F155" s="272"/>
      <c r="G155" s="272"/>
      <c r="H155" s="272"/>
      <c r="I155" s="272"/>
      <c r="J155" s="272"/>
      <c r="K155" s="272"/>
      <c r="L155" s="272"/>
      <c r="M155" s="272"/>
      <c r="N155" s="272"/>
      <c r="O155" s="272"/>
      <c r="P155" s="272"/>
      <c r="Q155" s="272"/>
      <c r="R155" s="272"/>
      <c r="S155" s="272"/>
      <c r="T155" s="272"/>
      <c r="U155" s="272"/>
      <c r="V155" s="325">
        <v>6000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120</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120</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-120</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v>0</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V71</f>
        <v>1008791</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V84</f>
        <v>1008791</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+'September 11'!S183</f>
        <v>45568</v>
      </c>
      <c r="T181" s="325">
        <f>+'September 11'!T183</f>
        <v>8966</v>
      </c>
      <c r="U181" s="272"/>
      <c r="V181" s="325">
        <f>S181+T181</f>
        <v>54534</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f>161+50</f>
        <v>211</v>
      </c>
      <c r="T182" s="324">
        <v>344</v>
      </c>
      <c r="U182" s="272"/>
      <c r="V182" s="325">
        <f>S182+T182</f>
        <v>555</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45779</v>
      </c>
      <c r="T183" s="325">
        <f>T182+T181</f>
        <v>9310</v>
      </c>
      <c r="U183" s="272"/>
      <c r="V183" s="325">
        <f>S183+T183</f>
        <v>55089</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184941.4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(V100+V102+V103+V104+V105)/-(V106+V107)</f>
        <v>2.8539187525646286</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1.58</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(V100+V102+V103+V104+V105+V106+V107)/-(V109+V110)</f>
        <v>11.584615384615384</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5.64</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(V100+V102+V103+V104+V105+V106+V107+V109+V110)/-(V111+V112)</f>
        <v>13.534426229508197</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7.25</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DECEMBER 2011</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40907</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2.6610000000000002E-2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1.2261467111792159E-2</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1.4348532888207843E-2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+V100/N71</f>
        <v>7.6364045360637588E-3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15.87</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P68/N68</f>
        <v>5.973957295331532E-3</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8.48E-2</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3</v>
      </c>
      <c r="T216" s="357">
        <v>418</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197</v>
      </c>
      <c r="T217" s="357">
        <f>+T269</f>
        <v>30872</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f>+R281</f>
        <v>1</v>
      </c>
      <c r="T218" s="357">
        <f>+T281</f>
        <v>264</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+N81</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2" t="s">
        <v>84</v>
      </c>
      <c r="C222" s="272"/>
      <c r="D222" s="272"/>
      <c r="E222" s="272"/>
      <c r="F222" s="272"/>
      <c r="G222" s="272"/>
      <c r="H222" s="272"/>
      <c r="I222" s="272"/>
      <c r="J222" s="272"/>
      <c r="K222" s="272"/>
      <c r="L222" s="272"/>
      <c r="M222" s="272"/>
      <c r="N222" s="272"/>
      <c r="O222" s="272"/>
      <c r="P222" s="272"/>
      <c r="Q222" s="272"/>
      <c r="R222" s="272"/>
      <c r="S222" s="280"/>
      <c r="T222" s="357">
        <f>V166</f>
        <v>120</v>
      </c>
      <c r="U222" s="272"/>
      <c r="V222" s="362"/>
      <c r="W222" s="367"/>
      <c r="X222" s="5"/>
    </row>
    <row r="223" spans="1:24" ht="15.6" x14ac:dyDescent="0.3">
      <c r="A223" s="356"/>
      <c r="B223" s="272" t="s">
        <v>85</v>
      </c>
      <c r="C223" s="324"/>
      <c r="D223" s="324"/>
      <c r="E223" s="324"/>
      <c r="F223" s="324"/>
      <c r="G223" s="272"/>
      <c r="H223" s="272"/>
      <c r="I223" s="272"/>
      <c r="J223" s="272"/>
      <c r="K223" s="272"/>
      <c r="L223" s="272"/>
      <c r="M223" s="272"/>
      <c r="N223" s="272"/>
      <c r="O223" s="272"/>
      <c r="P223" s="272"/>
      <c r="Q223" s="272"/>
      <c r="R223" s="272"/>
      <c r="S223" s="280"/>
      <c r="T223" s="357">
        <f>'September 11'!T223+T222</f>
        <v>3130</v>
      </c>
      <c r="U223" s="272"/>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2</v>
      </c>
      <c r="T229" s="357">
        <v>182</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16.12</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 t="shared" ref="R236:R243" si="1">+R248+R260+R272</f>
        <v>7803</v>
      </c>
      <c r="S236" s="381">
        <f t="shared" ref="S236:S243" si="2">R236/$R$245</f>
        <v>0.98497854077253222</v>
      </c>
      <c r="T236" s="325">
        <f t="shared" ref="T236:T243" si="3">+T248+T260+T272</f>
        <v>990098</v>
      </c>
      <c r="U236" s="381">
        <f t="shared" ref="U236:U243" si="4">T236/$T$245</f>
        <v>0.98146989812557806</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si="1"/>
        <v>50</v>
      </c>
      <c r="S237" s="381">
        <f t="shared" si="2"/>
        <v>6.3115374905326933E-3</v>
      </c>
      <c r="T237" s="325">
        <f t="shared" si="3"/>
        <v>9772</v>
      </c>
      <c r="U237" s="381">
        <f t="shared" si="4"/>
        <v>9.6868429635078024E-3</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11</v>
      </c>
      <c r="S238" s="381">
        <f t="shared" si="2"/>
        <v>1.3885382479171926E-3</v>
      </c>
      <c r="T238" s="325">
        <f t="shared" si="3"/>
        <v>1470</v>
      </c>
      <c r="U238" s="381">
        <f t="shared" si="4"/>
        <v>1.4571898440806866E-3</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3</v>
      </c>
      <c r="S239" s="381">
        <f t="shared" si="2"/>
        <v>3.786922494319616E-4</v>
      </c>
      <c r="T239" s="325">
        <f t="shared" si="3"/>
        <v>245</v>
      </c>
      <c r="U239" s="381">
        <f t="shared" si="4"/>
        <v>2.4286497401344777E-4</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1</v>
      </c>
      <c r="S240" s="381">
        <f t="shared" si="2"/>
        <v>1.2623074981065388E-4</v>
      </c>
      <c r="T240" s="325">
        <f t="shared" si="3"/>
        <v>98</v>
      </c>
      <c r="U240" s="381">
        <f t="shared" si="4"/>
        <v>9.7145989605379107E-5</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0</v>
      </c>
      <c r="S241" s="381">
        <f t="shared" si="2"/>
        <v>0</v>
      </c>
      <c r="T241" s="325">
        <f t="shared" si="3"/>
        <v>0</v>
      </c>
      <c r="U241" s="381">
        <f t="shared" si="4"/>
        <v>0</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10</v>
      </c>
      <c r="S242" s="381">
        <f t="shared" si="2"/>
        <v>1.2623074981065387E-3</v>
      </c>
      <c r="T242" s="325">
        <f t="shared" si="3"/>
        <v>1357</v>
      </c>
      <c r="U242" s="381">
        <f t="shared" si="4"/>
        <v>1.3451745703520353E-3</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44</v>
      </c>
      <c r="S243" s="381">
        <f t="shared" si="2"/>
        <v>5.5541529916687702E-3</v>
      </c>
      <c r="T243" s="325">
        <f t="shared" si="3"/>
        <v>5751</v>
      </c>
      <c r="U243" s="381">
        <f t="shared" si="4"/>
        <v>5.7008835328626051E-3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7922</v>
      </c>
      <c r="S245" s="381">
        <f>SUM(S236:S244)</f>
        <v>1</v>
      </c>
      <c r="T245" s="325">
        <f>SUM(T236:T244)</f>
        <v>1008791</v>
      </c>
      <c r="U245" s="381">
        <f>SUM(U236:U244)</f>
        <v>1</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7682</v>
      </c>
      <c r="S248" s="261">
        <f t="shared" ref="S248:S255" si="5">R248/$R$257</f>
        <v>0.99456240290005182</v>
      </c>
      <c r="T248" s="238">
        <v>969688</v>
      </c>
      <c r="U248" s="261">
        <f t="shared" ref="U248:U255" si="6">T248/$T$257</f>
        <v>0.9918509085515852</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35</v>
      </c>
      <c r="S249" s="381">
        <f t="shared" si="5"/>
        <v>4.5313309166235115E-3</v>
      </c>
      <c r="T249" s="325">
        <v>7152</v>
      </c>
      <c r="U249" s="381">
        <f t="shared" si="6"/>
        <v>7.3154640440646242E-3</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3</v>
      </c>
      <c r="S250" s="381">
        <f t="shared" si="5"/>
        <v>3.8839979285344381E-4</v>
      </c>
      <c r="T250" s="325">
        <v>459</v>
      </c>
      <c r="U250" s="381">
        <f t="shared" si="6"/>
        <v>4.6949077128434876E-4</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1</v>
      </c>
      <c r="S251" s="381">
        <f t="shared" si="5"/>
        <v>1.2946659761781459E-4</v>
      </c>
      <c r="T251" s="325">
        <v>39</v>
      </c>
      <c r="U251" s="381">
        <f t="shared" si="6"/>
        <v>3.9891372723506757E-5</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1</v>
      </c>
      <c r="S254" s="381">
        <f t="shared" si="5"/>
        <v>1.2946659761781459E-4</v>
      </c>
      <c r="T254" s="325">
        <v>72</v>
      </c>
      <c r="U254" s="381">
        <f t="shared" si="6"/>
        <v>7.3645611181858626E-5</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2</v>
      </c>
      <c r="S255" s="381">
        <f t="shared" si="5"/>
        <v>2.5893319523562919E-4</v>
      </c>
      <c r="T255" s="325">
        <v>245</v>
      </c>
      <c r="U255" s="381">
        <f t="shared" si="6"/>
        <v>2.5059964916049115E-4</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7724</v>
      </c>
      <c r="S257" s="381">
        <f>SUM(S248:S256)</f>
        <v>1</v>
      </c>
      <c r="T257" s="325">
        <f>SUM(T248:T256)</f>
        <v>977655</v>
      </c>
      <c r="U257" s="381">
        <f>SUM(U248:U256)</f>
        <v>1</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121</v>
      </c>
      <c r="S260" s="261">
        <f>R260/$R$269</f>
        <v>0.6142131979695431</v>
      </c>
      <c r="T260" s="238">
        <v>20410</v>
      </c>
      <c r="U260" s="261">
        <f t="shared" ref="U260:U267" si="7">T260/$T$269</f>
        <v>0.6611168696553511</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15</v>
      </c>
      <c r="S261" s="381">
        <f t="shared" ref="S261:S267" si="8">R261/$R$269</f>
        <v>7.6142131979695438E-2</v>
      </c>
      <c r="T261" s="325">
        <v>2620</v>
      </c>
      <c r="U261" s="381">
        <f t="shared" si="7"/>
        <v>8.486654573723762E-2</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8</v>
      </c>
      <c r="S262" s="381">
        <f t="shared" si="8"/>
        <v>4.060913705583756E-2</v>
      </c>
      <c r="T262" s="325">
        <v>1011</v>
      </c>
      <c r="U262" s="381">
        <f t="shared" si="7"/>
        <v>3.2748121274941693E-2</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2</v>
      </c>
      <c r="S263" s="381">
        <f t="shared" si="8"/>
        <v>1.015228426395939E-2</v>
      </c>
      <c r="T263" s="325">
        <v>206</v>
      </c>
      <c r="U263" s="381">
        <f t="shared" si="7"/>
        <v>6.6727131381186834E-3</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1</v>
      </c>
      <c r="S264" s="381">
        <f t="shared" si="8"/>
        <v>5.076142131979695E-3</v>
      </c>
      <c r="T264" s="325">
        <v>98</v>
      </c>
      <c r="U264" s="381">
        <f t="shared" si="7"/>
        <v>3.1743975123088883E-3</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0</v>
      </c>
      <c r="S265" s="381">
        <f t="shared" si="8"/>
        <v>0</v>
      </c>
      <c r="T265" s="325">
        <v>0</v>
      </c>
      <c r="U265" s="381">
        <f t="shared" si="7"/>
        <v>0</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9</v>
      </c>
      <c r="S266" s="381">
        <f t="shared" si="8"/>
        <v>4.5685279187817257E-2</v>
      </c>
      <c r="T266" s="325">
        <v>1285</v>
      </c>
      <c r="U266" s="381">
        <f t="shared" si="7"/>
        <v>4.1623477584866543E-2</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41</v>
      </c>
      <c r="S267" s="381">
        <f t="shared" si="8"/>
        <v>0.20812182741116753</v>
      </c>
      <c r="T267" s="325">
        <v>5242</v>
      </c>
      <c r="U267" s="381">
        <f t="shared" si="7"/>
        <v>0.16979787509717542</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197</v>
      </c>
      <c r="S269" s="381">
        <f>SUM(S260:S268)</f>
        <v>1</v>
      </c>
      <c r="T269" s="325">
        <f>SUM(T260:T268)</f>
        <v>30872</v>
      </c>
      <c r="U269" s="381">
        <f>SUM(U260:U268)</f>
        <v>0.99999999999999978</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f>+R272*$R$281</f>
        <v>0</v>
      </c>
      <c r="T272" s="238">
        <v>0</v>
      </c>
      <c r="U272" s="261">
        <f>+T272/$T$281</f>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f>+R273/$R$281</f>
        <v>0</v>
      </c>
      <c r="T273" s="325">
        <v>0</v>
      </c>
      <c r="U273" s="381">
        <f>+T273/$T$281</f>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f t="shared" ref="S274:S279" si="9">+R274/$R$281</f>
        <v>0</v>
      </c>
      <c r="T274" s="325">
        <v>0</v>
      </c>
      <c r="U274" s="381">
        <f t="shared" ref="U274:U279" si="10">+T274/$T$281</f>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f t="shared" si="9"/>
        <v>0</v>
      </c>
      <c r="T275" s="325">
        <v>0</v>
      </c>
      <c r="U275" s="381">
        <f t="shared" si="10"/>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f t="shared" si="9"/>
        <v>0</v>
      </c>
      <c r="T276" s="325">
        <v>0</v>
      </c>
      <c r="U276" s="381">
        <f t="shared" si="10"/>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f t="shared" si="9"/>
        <v>0</v>
      </c>
      <c r="T277" s="325">
        <v>0</v>
      </c>
      <c r="U277" s="381">
        <f t="shared" si="10"/>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f t="shared" si="9"/>
        <v>0</v>
      </c>
      <c r="T278" s="325">
        <v>0</v>
      </c>
      <c r="U278" s="381">
        <f t="shared" si="10"/>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1</v>
      </c>
      <c r="S279" s="381">
        <f t="shared" si="9"/>
        <v>1</v>
      </c>
      <c r="T279" s="325">
        <v>264</v>
      </c>
      <c r="U279" s="381">
        <f t="shared" si="10"/>
        <v>1</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1</v>
      </c>
      <c r="S281" s="381">
        <f>SUM(S272:S279)</f>
        <v>1</v>
      </c>
      <c r="T281" s="325">
        <f>SUM(T272:T279)</f>
        <v>264</v>
      </c>
      <c r="U281" s="381">
        <f>SUM(U272:U279)</f>
        <v>1</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79" t="s">
        <v>167</v>
      </c>
      <c r="C283" s="272"/>
      <c r="D283" s="272"/>
      <c r="E283" s="272"/>
      <c r="F283" s="272"/>
      <c r="G283" s="272"/>
      <c r="H283" s="383"/>
      <c r="I283" s="383"/>
      <c r="J283" s="383"/>
      <c r="K283" s="383"/>
      <c r="L283" s="383"/>
      <c r="M283" s="383"/>
      <c r="N283" s="383"/>
      <c r="O283" s="383"/>
      <c r="P283" s="383"/>
      <c r="Q283" s="383"/>
      <c r="R283" s="390">
        <f>R281+R269+R257</f>
        <v>7922</v>
      </c>
      <c r="S283" s="381"/>
      <c r="T283" s="387">
        <f>+T281+T269+T257</f>
        <v>1008791</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93</v>
      </c>
      <c r="C287" s="220"/>
      <c r="D287" s="220"/>
      <c r="E287" s="220"/>
      <c r="F287" s="265" t="s">
        <v>151</v>
      </c>
      <c r="G287" s="220"/>
      <c r="H287" s="219" t="s">
        <v>155</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281</v>
      </c>
      <c r="C288" s="219"/>
      <c r="D288" s="219"/>
      <c r="E288" s="219"/>
      <c r="F288" s="265" t="s">
        <v>282</v>
      </c>
      <c r="G288" s="219"/>
      <c r="H288" s="219" t="s">
        <v>283</v>
      </c>
      <c r="I288" s="227"/>
      <c r="J288" s="219"/>
      <c r="K288" s="227"/>
      <c r="L288" s="227"/>
      <c r="M288" s="227"/>
      <c r="N288" s="227"/>
      <c r="O288" s="227"/>
      <c r="P288" s="227"/>
      <c r="Q288" s="227"/>
      <c r="R288" s="227"/>
      <c r="S288" s="227"/>
      <c r="T288" s="227"/>
      <c r="U288" s="227"/>
      <c r="V288" s="227"/>
      <c r="W288" s="227"/>
      <c r="X288" s="5"/>
    </row>
    <row r="289" spans="1:24" ht="15.6" x14ac:dyDescent="0.3">
      <c r="A289" s="216"/>
      <c r="B289" s="219" t="s">
        <v>94</v>
      </c>
      <c r="C289" s="219"/>
      <c r="D289" s="219"/>
      <c r="E289" s="219"/>
      <c r="F289" s="265" t="s">
        <v>150</v>
      </c>
      <c r="G289" s="219"/>
      <c r="H289" s="219" t="s">
        <v>156</v>
      </c>
      <c r="I289" s="219"/>
      <c r="J289" s="219"/>
      <c r="K289" s="227"/>
      <c r="L289" s="227"/>
      <c r="M289" s="227"/>
      <c r="N289" s="227"/>
      <c r="O289" s="227"/>
      <c r="P289" s="227"/>
      <c r="Q289" s="227"/>
      <c r="R289" s="227"/>
      <c r="S289" s="227"/>
      <c r="T289" s="227"/>
      <c r="U289" s="227"/>
      <c r="V289" s="227"/>
      <c r="W289" s="227"/>
      <c r="X289" s="5"/>
    </row>
    <row r="290" spans="1:24" ht="15.6" x14ac:dyDescent="0.3">
      <c r="A290" s="216"/>
      <c r="B290" s="219"/>
      <c r="C290" s="219"/>
      <c r="D290" s="219"/>
      <c r="E290" s="219"/>
      <c r="F290" s="219"/>
      <c r="G290" s="266"/>
      <c r="H290" s="227"/>
      <c r="I290" s="227"/>
      <c r="J290" s="227"/>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8" thickBot="1" x14ac:dyDescent="0.35">
      <c r="A292" s="216"/>
      <c r="B292" s="267" t="str">
        <f>B197</f>
        <v>PM13 INVESTOR REPORT QUARTER ENDING DECEMBER 2011</v>
      </c>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x14ac:dyDescent="0.25">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row>
  </sheetData>
  <hyperlinks>
    <hyperlink ref="P233" r:id="rId1" xr:uid="{00000000-0004-0000-1400-000000000000}"/>
    <hyperlink ref="I9" r:id="rId2" xr:uid="{00000000-0004-0000-14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7" max="14" man="1"/>
    <brk id="197" max="14" man="1"/>
  </rowBreak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2D2926"/>
  </sheetPr>
  <dimension ref="A1:Z293"/>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0.6371</v>
      </c>
      <c r="T16" s="224" t="s">
        <v>143</v>
      </c>
      <c r="U16" s="223">
        <v>0.3629</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41019</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175"/>
      <c r="B22" s="177"/>
      <c r="C22" s="189"/>
      <c r="D22" s="189" t="s">
        <v>180</v>
      </c>
      <c r="E22" s="189"/>
      <c r="F22" s="189" t="s">
        <v>181</v>
      </c>
      <c r="G22" s="189"/>
      <c r="H22" s="189" t="s">
        <v>182</v>
      </c>
      <c r="I22" s="189"/>
      <c r="J22" s="189" t="s">
        <v>223</v>
      </c>
      <c r="K22" s="189"/>
      <c r="L22" s="189" t="s">
        <v>183</v>
      </c>
      <c r="M22" s="189"/>
      <c r="N22" s="189" t="s">
        <v>184</v>
      </c>
      <c r="O22" s="189"/>
      <c r="P22" s="189" t="s">
        <v>224</v>
      </c>
      <c r="Q22" s="189"/>
      <c r="R22" s="189" t="s">
        <v>185</v>
      </c>
      <c r="S22" s="190"/>
      <c r="T22" s="191"/>
      <c r="U22" s="187"/>
      <c r="V22" s="187"/>
      <c r="W22" s="177"/>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216</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321</v>
      </c>
      <c r="E27" s="389"/>
      <c r="F27" s="389" t="s">
        <v>168</v>
      </c>
      <c r="G27" s="389"/>
      <c r="H27" s="389" t="s">
        <v>168</v>
      </c>
      <c r="I27" s="389"/>
      <c r="J27" s="389" t="s">
        <v>168</v>
      </c>
      <c r="K27" s="389"/>
      <c r="L27" s="389" t="s">
        <v>168</v>
      </c>
      <c r="M27" s="389"/>
      <c r="N27" s="389" t="s">
        <v>168</v>
      </c>
      <c r="O27" s="389"/>
      <c r="P27" s="389" t="s">
        <v>147</v>
      </c>
      <c r="Q27" s="389"/>
      <c r="R27" s="389" t="s">
        <v>147</v>
      </c>
      <c r="S27" s="273"/>
      <c r="T27" s="280"/>
      <c r="U27" s="274"/>
      <c r="V27" s="274"/>
      <c r="W27" s="275"/>
      <c r="X27" s="5"/>
    </row>
    <row r="28" spans="1:24" ht="15.6" x14ac:dyDescent="0.3">
      <c r="A28" s="271"/>
      <c r="B28" s="279" t="s">
        <v>195</v>
      </c>
      <c r="C28" s="273"/>
      <c r="D28" s="389" t="s">
        <v>319</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941781.45</v>
      </c>
      <c r="E32" s="282"/>
      <c r="F32" s="283">
        <f>F31*F38</f>
        <v>78481.95</v>
      </c>
      <c r="G32" s="283"/>
      <c r="H32" s="288">
        <f>H31*H38</f>
        <v>197774.514</v>
      </c>
      <c r="I32" s="288"/>
      <c r="J32" s="287">
        <f>J31*J38</f>
        <v>219749.005</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933559.2</v>
      </c>
      <c r="E33" s="286"/>
      <c r="F33" s="289">
        <f>F37*F31</f>
        <v>77796.774999999994</v>
      </c>
      <c r="G33" s="289"/>
      <c r="H33" s="292">
        <f>H31*H37</f>
        <v>196047.87299999999</v>
      </c>
      <c r="I33" s="292"/>
      <c r="J33" s="291">
        <f>J37*J31</f>
        <v>217830.47999999998</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500947.36604960001</v>
      </c>
      <c r="E35" s="282"/>
      <c r="F35" s="283">
        <f>F34*F38</f>
        <v>78481.95</v>
      </c>
      <c r="G35" s="283"/>
      <c r="H35" s="283">
        <f>H34*H38</f>
        <v>132734.3245404</v>
      </c>
      <c r="I35" s="283"/>
      <c r="J35" s="283">
        <f>J34*J38</f>
        <v>116887.635031</v>
      </c>
      <c r="K35" s="283"/>
      <c r="L35" s="283">
        <f>L34*L38</f>
        <v>56000</v>
      </c>
      <c r="M35" s="283"/>
      <c r="N35" s="283">
        <f>N34*N38</f>
        <v>56376</v>
      </c>
      <c r="O35" s="283"/>
      <c r="P35" s="283">
        <f>P34*P38</f>
        <v>13000</v>
      </c>
      <c r="Q35" s="283"/>
      <c r="R35" s="283">
        <f>R34*R38</f>
        <v>54363</v>
      </c>
      <c r="S35" s="283"/>
      <c r="T35" s="283"/>
      <c r="U35" s="284"/>
      <c r="V35" s="283">
        <f>SUM(C35:R35)+1</f>
        <v>1008791.275621</v>
      </c>
      <c r="W35" s="285"/>
      <c r="X35" s="5"/>
    </row>
    <row r="36" spans="1:24" ht="15.6" x14ac:dyDescent="0.3">
      <c r="A36" s="276"/>
      <c r="B36" s="279" t="s">
        <v>304</v>
      </c>
      <c r="C36" s="286"/>
      <c r="D36" s="289">
        <f>D34*D37</f>
        <v>496573.83068159997</v>
      </c>
      <c r="E36" s="286"/>
      <c r="F36" s="289">
        <f>F34*F37</f>
        <v>77796.774999999994</v>
      </c>
      <c r="G36" s="289"/>
      <c r="H36" s="289">
        <f>H34*H37</f>
        <v>131575.50724780001</v>
      </c>
      <c r="I36" s="289"/>
      <c r="J36" s="289">
        <f>J34*J37</f>
        <v>115867.14417599999</v>
      </c>
      <c r="K36" s="289"/>
      <c r="L36" s="289">
        <v>56000</v>
      </c>
      <c r="M36" s="289"/>
      <c r="N36" s="289">
        <v>56376</v>
      </c>
      <c r="O36" s="289"/>
      <c r="P36" s="289">
        <v>13000</v>
      </c>
      <c r="Q36" s="289"/>
      <c r="R36" s="289">
        <v>54363</v>
      </c>
      <c r="S36" s="314"/>
      <c r="T36" s="314"/>
      <c r="U36" s="284"/>
      <c r="V36" s="289">
        <f>SUM(C36:R36)+1</f>
        <v>1001553.2571054</v>
      </c>
      <c r="W36" s="285"/>
      <c r="X36" s="5"/>
    </row>
    <row r="37" spans="1:24" ht="15.6" x14ac:dyDescent="0.3">
      <c r="A37" s="271"/>
      <c r="B37" s="297" t="s">
        <v>133</v>
      </c>
      <c r="C37" s="298"/>
      <c r="D37" s="299">
        <v>0.62237279999999995</v>
      </c>
      <c r="E37" s="300"/>
      <c r="F37" s="299">
        <v>0.62237419999999999</v>
      </c>
      <c r="G37" s="301"/>
      <c r="H37" s="299">
        <v>0.62237419999999999</v>
      </c>
      <c r="I37" s="301"/>
      <c r="J37" s="299">
        <v>0.62237279999999995</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0.62785429999999998</v>
      </c>
      <c r="E38" s="300"/>
      <c r="F38" s="299">
        <v>0.62785559999999996</v>
      </c>
      <c r="G38" s="301"/>
      <c r="H38" s="299">
        <v>0.62785559999999996</v>
      </c>
      <c r="I38" s="301"/>
      <c r="J38" s="299">
        <v>0.62785429999999998</v>
      </c>
      <c r="K38" s="301"/>
      <c r="L38" s="299">
        <v>1</v>
      </c>
      <c r="M38" s="299"/>
      <c r="N38" s="299">
        <v>1</v>
      </c>
      <c r="O38" s="299"/>
      <c r="P38" s="299">
        <v>1</v>
      </c>
      <c r="Q38" s="299"/>
      <c r="R38" s="299">
        <v>1</v>
      </c>
      <c r="S38" s="305"/>
      <c r="T38" s="306"/>
      <c r="U38" s="303"/>
      <c r="V38" s="305"/>
      <c r="W38" s="304"/>
      <c r="X38" s="5"/>
    </row>
    <row r="39" spans="1:24" ht="15.6" x14ac:dyDescent="0.3">
      <c r="A39" s="271"/>
      <c r="B39" s="272" t="s">
        <v>11</v>
      </c>
      <c r="C39" s="272"/>
      <c r="D39" s="280" t="s">
        <v>225</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3.6175000000000001E-3</v>
      </c>
      <c r="E40" s="272"/>
      <c r="F40" s="308">
        <v>1.3295599999999999E-2</v>
      </c>
      <c r="G40" s="307"/>
      <c r="H40" s="308">
        <v>1.4710000000000001E-2</v>
      </c>
      <c r="I40" s="308"/>
      <c r="J40" s="308">
        <v>7.4700000000000001E-3</v>
      </c>
      <c r="K40" s="307"/>
      <c r="L40" s="308">
        <v>1.48956E-2</v>
      </c>
      <c r="M40" s="307"/>
      <c r="N40" s="308">
        <v>1.6109999999999999E-2</v>
      </c>
      <c r="O40" s="307"/>
      <c r="P40" s="308">
        <v>1.8895599999999999E-2</v>
      </c>
      <c r="Q40" s="307"/>
      <c r="R40" s="308">
        <v>2.0109999999999999E-2</v>
      </c>
      <c r="S40" s="307"/>
      <c r="T40" s="308"/>
      <c r="U40" s="274"/>
      <c r="V40" s="280"/>
      <c r="W40" s="275"/>
      <c r="X40" s="5"/>
    </row>
    <row r="41" spans="1:24" ht="15.6" x14ac:dyDescent="0.3">
      <c r="A41" s="271"/>
      <c r="B41" s="272" t="s">
        <v>13</v>
      </c>
      <c r="C41" s="272"/>
      <c r="D41" s="308">
        <v>3.9830000000000004E-3</v>
      </c>
      <c r="E41" s="272"/>
      <c r="F41" s="308">
        <v>1.20669E-2</v>
      </c>
      <c r="G41" s="307"/>
      <c r="H41" s="308">
        <v>1.8120000000000001E-2</v>
      </c>
      <c r="I41" s="308"/>
      <c r="J41" s="308">
        <v>5.8306E-3</v>
      </c>
      <c r="K41" s="307"/>
      <c r="L41" s="308">
        <v>1.3666899999999999E-2</v>
      </c>
      <c r="M41" s="307"/>
      <c r="N41" s="308">
        <v>1.9519999999999999E-2</v>
      </c>
      <c r="O41" s="307"/>
      <c r="P41" s="308">
        <v>1.7666899999999999E-2</v>
      </c>
      <c r="Q41" s="307"/>
      <c r="R41" s="308">
        <v>2.3519999999999999E-2</v>
      </c>
      <c r="S41" s="307"/>
      <c r="T41" s="308"/>
      <c r="U41" s="274"/>
      <c r="V41" s="307" t="s">
        <v>196</v>
      </c>
      <c r="W41" s="275"/>
      <c r="X41" s="5"/>
    </row>
    <row r="42" spans="1:24" ht="15.6" x14ac:dyDescent="0.3">
      <c r="A42" s="271"/>
      <c r="B42" s="272" t="s">
        <v>300</v>
      </c>
      <c r="C42" s="272"/>
      <c r="D42" s="280" t="s">
        <v>292</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v>1.2434799999999999E-2</v>
      </c>
      <c r="E43" s="308"/>
      <c r="F43" s="308">
        <f>+F40</f>
        <v>1.3295599999999999E-2</v>
      </c>
      <c r="G43" s="308"/>
      <c r="H43" s="308">
        <v>1.3539600000000001E-2</v>
      </c>
      <c r="I43" s="308"/>
      <c r="J43" s="308">
        <v>1.33756E-2</v>
      </c>
      <c r="K43" s="308"/>
      <c r="L43" s="308">
        <f>+L40</f>
        <v>1.48956E-2</v>
      </c>
      <c r="M43" s="308"/>
      <c r="N43" s="308">
        <v>1.50756E-2</v>
      </c>
      <c r="O43" s="308"/>
      <c r="P43" s="308">
        <f>+P40</f>
        <v>1.8895599999999999E-2</v>
      </c>
      <c r="Q43" s="307"/>
      <c r="R43" s="308">
        <v>1.92956E-2</v>
      </c>
      <c r="S43" s="280"/>
      <c r="T43" s="280"/>
      <c r="U43" s="274"/>
      <c r="V43" s="307">
        <f>SUMPRODUCT(D43:R43,D35:R35)/V35</f>
        <v>1.3493298654334684E-2</v>
      </c>
      <c r="W43" s="275"/>
      <c r="X43" s="5"/>
    </row>
    <row r="44" spans="1:24" ht="15.6" x14ac:dyDescent="0.3">
      <c r="A44" s="271"/>
      <c r="B44" s="272" t="s">
        <v>302</v>
      </c>
      <c r="C44" s="309"/>
      <c r="D44" s="308">
        <v>1.12061E-2</v>
      </c>
      <c r="E44" s="308"/>
      <c r="F44" s="308">
        <f>+F41</f>
        <v>1.20669E-2</v>
      </c>
      <c r="G44" s="308"/>
      <c r="H44" s="308">
        <v>1.23109E-2</v>
      </c>
      <c r="I44" s="308"/>
      <c r="J44" s="308">
        <v>1.21469E-2</v>
      </c>
      <c r="K44" s="308"/>
      <c r="L44" s="308">
        <f>+L41</f>
        <v>1.3666899999999999E-2</v>
      </c>
      <c r="M44" s="308"/>
      <c r="N44" s="308">
        <v>1.3846900000000001E-2</v>
      </c>
      <c r="O44" s="308"/>
      <c r="P44" s="308">
        <f>+P41</f>
        <v>1.7666899999999999E-2</v>
      </c>
      <c r="Q44" s="307"/>
      <c r="R44" s="308">
        <v>1.80669E-2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203</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0.21871027078959368</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41015</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92</v>
      </c>
      <c r="S57" s="318"/>
      <c r="T57" s="319">
        <v>40833</v>
      </c>
      <c r="U57" s="320"/>
      <c r="V57" s="319">
        <v>40924</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90</v>
      </c>
      <c r="S58" s="272"/>
      <c r="T58" s="319">
        <v>40925</v>
      </c>
      <c r="U58" s="320"/>
      <c r="V58" s="319">
        <v>41014</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41001</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320</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1008791</v>
      </c>
      <c r="O68" s="324"/>
      <c r="P68" s="324">
        <f>7238+357+718</f>
        <v>8313</v>
      </c>
      <c r="Q68" s="324"/>
      <c r="R68" s="324">
        <f>357+718</f>
        <v>1075</v>
      </c>
      <c r="S68" s="324"/>
      <c r="T68" s="324">
        <v>0</v>
      </c>
      <c r="U68" s="324"/>
      <c r="V68" s="325">
        <f>+N68-P68+R68-T68</f>
        <v>1001553</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1008791</v>
      </c>
      <c r="O71" s="324"/>
      <c r="P71" s="324">
        <f>SUM(P68:P70)</f>
        <v>8313</v>
      </c>
      <c r="Q71" s="324"/>
      <c r="R71" s="324">
        <f>SUM(R68:R70)</f>
        <v>1075</v>
      </c>
      <c r="S71" s="324"/>
      <c r="T71" s="324">
        <f>SUM(T68:T70)</f>
        <v>0</v>
      </c>
      <c r="U71" s="324"/>
      <c r="V71" s="324">
        <f>SUM(V68:V70)</f>
        <v>1001553</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1008791</v>
      </c>
      <c r="O84" s="328"/>
      <c r="P84" s="328"/>
      <c r="Q84" s="328"/>
      <c r="R84" s="328"/>
      <c r="S84" s="328"/>
      <c r="T84" s="328"/>
      <c r="U84" s="328"/>
      <c r="V84" s="328">
        <f>SUM(V71:V83)</f>
        <v>1001553</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+T198</f>
        <v>40998</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8313-268</f>
        <v>8045</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5150+3589-1006-1198</f>
        <v>6535</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119+14</f>
        <v>133</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73</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765</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8045</v>
      </c>
      <c r="U96" s="272"/>
      <c r="V96" s="324">
        <f>SUM(V88:V95)</f>
        <v>7506</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-275</v>
      </c>
      <c r="U97" s="272"/>
      <c r="V97" s="324">
        <v>275</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-300</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7770</v>
      </c>
      <c r="U100" s="272"/>
      <c r="V100" s="324">
        <f>V96+V98+V97+V99</f>
        <v>7481</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231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272" t="s">
        <v>207</v>
      </c>
      <c r="C104" s="272"/>
      <c r="D104" s="272"/>
      <c r="E104" s="272"/>
      <c r="F104" s="272"/>
      <c r="G104" s="272"/>
      <c r="H104" s="272"/>
      <c r="I104" s="272"/>
      <c r="J104" s="272"/>
      <c r="K104" s="272"/>
      <c r="L104" s="272"/>
      <c r="M104" s="272"/>
      <c r="N104" s="272"/>
      <c r="O104" s="272"/>
      <c r="P104" s="272"/>
      <c r="Q104" s="272"/>
      <c r="R104" s="272"/>
      <c r="S104" s="272"/>
      <c r="T104" s="272"/>
      <c r="U104" s="272"/>
      <c r="V104" s="325">
        <f>-380-271-12</f>
        <v>-663</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-24</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-2621+257</f>
        <v>-2364</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-257</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-2</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-210</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-205</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-259</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-60</v>
      </c>
      <c r="W112" s="275"/>
      <c r="X112" s="5"/>
      <c r="Y112" s="109"/>
    </row>
    <row r="113" spans="1:24" ht="15.6" x14ac:dyDescent="0.3">
      <c r="A113" s="338">
        <v>7</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-10</v>
      </c>
      <c r="W113" s="275"/>
      <c r="X113" s="5"/>
    </row>
    <row r="114" spans="1:24" ht="15.6" x14ac:dyDescent="0.3">
      <c r="A114" s="338">
        <f t="shared" ref="A114:A120" si="0">+A113+1</f>
        <v>8</v>
      </c>
      <c r="B114" s="272" t="s">
        <v>45</v>
      </c>
      <c r="C114" s="272"/>
      <c r="D114" s="272"/>
      <c r="E114" s="272"/>
      <c r="F114" s="272"/>
      <c r="G114" s="272"/>
      <c r="H114" s="272"/>
      <c r="I114" s="272"/>
      <c r="J114" s="272"/>
      <c r="K114" s="272"/>
      <c r="L114" s="272"/>
      <c r="M114" s="272"/>
      <c r="N114" s="272"/>
      <c r="O114" s="272"/>
      <c r="P114" s="272"/>
      <c r="Q114" s="272"/>
      <c r="R114" s="272"/>
      <c r="S114" s="272"/>
      <c r="T114" s="324">
        <f>-V114</f>
        <v>268</v>
      </c>
      <c r="U114" s="272"/>
      <c r="V114" s="325">
        <v>-268</v>
      </c>
      <c r="W114" s="275"/>
      <c r="X114" s="5"/>
    </row>
    <row r="115" spans="1:24" ht="15.6" x14ac:dyDescent="0.3">
      <c r="A115" s="338">
        <f t="shared" si="0"/>
        <v>9</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10</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11</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12</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13</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-380</v>
      </c>
      <c r="W119" s="275"/>
      <c r="X119" s="5"/>
    </row>
    <row r="120" spans="1:24" ht="15.6" x14ac:dyDescent="0.3">
      <c r="A120" s="338">
        <f t="shared" si="0"/>
        <v>14</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-V100-SUM(V102:V119)</f>
        <v>-2777</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-272</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-353</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-175</v>
      </c>
      <c r="U124" s="324"/>
      <c r="V124" s="325"/>
      <c r="W124" s="275"/>
      <c r="X124" s="5"/>
    </row>
    <row r="125" spans="1:24" ht="15.6" x14ac:dyDescent="0.3">
      <c r="A125" s="338"/>
      <c r="B125" s="272" t="s">
        <v>200</v>
      </c>
      <c r="C125" s="272"/>
      <c r="D125" s="272"/>
      <c r="E125" s="272"/>
      <c r="F125" s="272"/>
      <c r="G125" s="272"/>
      <c r="H125" s="272"/>
      <c r="I125" s="272"/>
      <c r="J125" s="272"/>
      <c r="K125" s="272"/>
      <c r="L125" s="272"/>
      <c r="M125" s="272"/>
      <c r="N125" s="272"/>
      <c r="O125" s="272"/>
      <c r="P125" s="272"/>
      <c r="Q125" s="272"/>
      <c r="R125" s="272"/>
      <c r="S125" s="272"/>
      <c r="T125" s="324">
        <v>-4374</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-685</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-1159</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-1020</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-8038</v>
      </c>
      <c r="U133" s="324"/>
      <c r="V133" s="324">
        <f>SUM(V101:V130)</f>
        <v>-7481</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T100+T133+T114</f>
        <v>0</v>
      </c>
      <c r="U134" s="324"/>
      <c r="V134" s="324">
        <f>V100+V133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B64</f>
        <v>PM13 INVESTOR REPORT QUARTER ENDING MARCH 2012</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272</v>
      </c>
      <c r="C155" s="272"/>
      <c r="D155" s="272"/>
      <c r="E155" s="272"/>
      <c r="F155" s="272"/>
      <c r="G155" s="272"/>
      <c r="H155" s="272"/>
      <c r="I155" s="272"/>
      <c r="J155" s="272"/>
      <c r="K155" s="272"/>
      <c r="L155" s="272"/>
      <c r="M155" s="272"/>
      <c r="N155" s="272"/>
      <c r="O155" s="272"/>
      <c r="P155" s="272"/>
      <c r="Q155" s="272"/>
      <c r="R155" s="272"/>
      <c r="S155" s="272"/>
      <c r="T155" s="272"/>
      <c r="U155" s="272"/>
      <c r="V155" s="325">
        <v>6000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268</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268</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-268</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f>-V99</f>
        <v>300</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V71</f>
        <v>1001553</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V84</f>
        <v>1001553</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+'Dec 11'!S183</f>
        <v>45779</v>
      </c>
      <c r="T181" s="325">
        <f>+'Dec 11'!T183</f>
        <v>9310</v>
      </c>
      <c r="U181" s="272"/>
      <c r="V181" s="325">
        <f>S181+T181</f>
        <v>55089</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f>85+90</f>
        <v>175</v>
      </c>
      <c r="T182" s="324">
        <v>272</v>
      </c>
      <c r="U182" s="272"/>
      <c r="V182" s="325">
        <f>S182+T182</f>
        <v>447</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45954</v>
      </c>
      <c r="T183" s="325">
        <f>T182+T181</f>
        <v>9582</v>
      </c>
      <c r="U183" s="272"/>
      <c r="V183" s="325">
        <f>S183+T183</f>
        <v>55536</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184494.4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(V100+V102+V103+V104+V105)/-(V106+V107)</f>
        <v>2.5913773368943152</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1.6</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(V100+V102+V103+V104+V105+V106+V107)/-(V109+V110)</f>
        <v>10.050602409638554</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5.74</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(V100+V102+V103+V104+V105+V106+V107+V109+V110)/-(V111+V112)</f>
        <v>11.774294670846395</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7.37</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MARCH 2012</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40998</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2.7140000000000001E-2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1.3493298654334684E-2</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1.3646701345665316E-2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+V100/N71</f>
        <v>7.415807635080012E-3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15.63</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P68/N68</f>
        <v>8.2405572611175155E-3</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8.2400000000000001E-2</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3</v>
      </c>
      <c r="T216" s="357">
        <v>418</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194</v>
      </c>
      <c r="T217" s="357">
        <f>+T269</f>
        <v>30673</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f>+R281</f>
        <v>1</v>
      </c>
      <c r="T218" s="357">
        <f>+T281</f>
        <v>264</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+N81</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2" t="s">
        <v>84</v>
      </c>
      <c r="C222" s="272"/>
      <c r="D222" s="272"/>
      <c r="E222" s="272"/>
      <c r="F222" s="272"/>
      <c r="G222" s="272"/>
      <c r="H222" s="272"/>
      <c r="I222" s="272"/>
      <c r="J222" s="272"/>
      <c r="K222" s="272"/>
      <c r="L222" s="272"/>
      <c r="M222" s="272"/>
      <c r="N222" s="272"/>
      <c r="O222" s="272"/>
      <c r="P222" s="272"/>
      <c r="Q222" s="272"/>
      <c r="R222" s="272"/>
      <c r="S222" s="280"/>
      <c r="T222" s="357">
        <f>V166</f>
        <v>268</v>
      </c>
      <c r="U222" s="272"/>
      <c r="V222" s="362"/>
      <c r="W222" s="367"/>
      <c r="X222" s="5"/>
    </row>
    <row r="223" spans="1:24" ht="15.6" x14ac:dyDescent="0.3">
      <c r="A223" s="356"/>
      <c r="B223" s="272" t="s">
        <v>85</v>
      </c>
      <c r="C223" s="324"/>
      <c r="D223" s="324"/>
      <c r="E223" s="324"/>
      <c r="F223" s="324"/>
      <c r="G223" s="272"/>
      <c r="H223" s="272"/>
      <c r="I223" s="272"/>
      <c r="J223" s="272"/>
      <c r="K223" s="272"/>
      <c r="L223" s="272"/>
      <c r="M223" s="272"/>
      <c r="N223" s="272"/>
      <c r="O223" s="272"/>
      <c r="P223" s="272"/>
      <c r="Q223" s="272"/>
      <c r="R223" s="272"/>
      <c r="S223" s="280"/>
      <c r="T223" s="357">
        <f>'Dec 11'!T223+T222</f>
        <v>3398</v>
      </c>
      <c r="U223" s="272"/>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4</v>
      </c>
      <c r="T229" s="357">
        <v>600</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8.6199999999999992</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 t="shared" ref="R236:R243" si="1">+R248+R260+R272</f>
        <v>7771</v>
      </c>
      <c r="S236" s="381">
        <f t="shared" ref="S236:S243" si="2">R236/$R$245</f>
        <v>0.98691897383794769</v>
      </c>
      <c r="T236" s="325">
        <f t="shared" ref="T236:T243" si="3">+T248+T260+T272</f>
        <v>986829</v>
      </c>
      <c r="U236" s="381">
        <f t="shared" ref="U236:U243" si="4">T236/$T$245</f>
        <v>0.98529883091558812</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si="1"/>
        <v>43</v>
      </c>
      <c r="S237" s="381">
        <f t="shared" si="2"/>
        <v>5.4610109220218439E-3</v>
      </c>
      <c r="T237" s="325">
        <f t="shared" si="3"/>
        <v>6483</v>
      </c>
      <c r="U237" s="381">
        <f t="shared" si="4"/>
        <v>6.4729475125130673E-3</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9</v>
      </c>
      <c r="S238" s="381">
        <f t="shared" si="2"/>
        <v>1.143002286004572E-3</v>
      </c>
      <c r="T238" s="325">
        <f t="shared" si="3"/>
        <v>1650</v>
      </c>
      <c r="U238" s="381">
        <f t="shared" si="4"/>
        <v>1.6474415233142929E-3</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2</v>
      </c>
      <c r="S239" s="381">
        <f t="shared" si="2"/>
        <v>2.5400050800101598E-4</v>
      </c>
      <c r="T239" s="325">
        <f t="shared" si="3"/>
        <v>183</v>
      </c>
      <c r="U239" s="381">
        <f t="shared" si="4"/>
        <v>1.8271624167667613E-4</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1</v>
      </c>
      <c r="S240" s="381">
        <f t="shared" si="2"/>
        <v>1.2700025400050799E-4</v>
      </c>
      <c r="T240" s="325">
        <f t="shared" si="3"/>
        <v>134</v>
      </c>
      <c r="U240" s="381">
        <f t="shared" si="4"/>
        <v>1.3379222068128196E-4</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0</v>
      </c>
      <c r="S241" s="381">
        <f t="shared" si="2"/>
        <v>0</v>
      </c>
      <c r="T241" s="325">
        <f t="shared" si="3"/>
        <v>0</v>
      </c>
      <c r="U241" s="381">
        <f t="shared" si="4"/>
        <v>0</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10</v>
      </c>
      <c r="S242" s="381">
        <f t="shared" si="2"/>
        <v>1.27000254000508E-3</v>
      </c>
      <c r="T242" s="325">
        <f t="shared" si="3"/>
        <v>1480</v>
      </c>
      <c r="U242" s="381">
        <f t="shared" si="4"/>
        <v>1.4777051239425172E-3</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38</v>
      </c>
      <c r="S243" s="381">
        <f t="shared" si="2"/>
        <v>4.826009652019304E-3</v>
      </c>
      <c r="T243" s="325">
        <f t="shared" si="3"/>
        <v>4794</v>
      </c>
      <c r="U243" s="381">
        <f t="shared" si="4"/>
        <v>4.7865664622840729E-3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7874</v>
      </c>
      <c r="S245" s="381">
        <f>SUM(S236:S244)</f>
        <v>1.0000000000000002</v>
      </c>
      <c r="T245" s="325">
        <f>SUM(T236:T244)</f>
        <v>1001553</v>
      </c>
      <c r="U245" s="381">
        <f>SUM(U236:U244)</f>
        <v>1</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7635</v>
      </c>
      <c r="S248" s="261">
        <f t="shared" ref="S248:S255" si="5">R248/$R$257</f>
        <v>0.99427008725094412</v>
      </c>
      <c r="T248" s="238">
        <v>963682</v>
      </c>
      <c r="U248" s="261">
        <f t="shared" ref="U248:U255" si="6">T248/$T$257</f>
        <v>0.9928560831471972</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40</v>
      </c>
      <c r="S249" s="381">
        <f t="shared" si="5"/>
        <v>5.2090115900507881E-3</v>
      </c>
      <c r="T249" s="325">
        <v>6179</v>
      </c>
      <c r="U249" s="381">
        <f t="shared" si="6"/>
        <v>6.3660603163351931E-3</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1</v>
      </c>
      <c r="S250" s="381">
        <f t="shared" si="5"/>
        <v>1.302252897512697E-4</v>
      </c>
      <c r="T250" s="325">
        <v>446</v>
      </c>
      <c r="U250" s="381">
        <f t="shared" si="6"/>
        <v>4.5950200697289143E-4</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1</v>
      </c>
      <c r="S251" s="381">
        <f t="shared" si="5"/>
        <v>1.302252897512697E-4</v>
      </c>
      <c r="T251" s="325">
        <v>64</v>
      </c>
      <c r="U251" s="381">
        <f t="shared" si="6"/>
        <v>6.5937507727051688E-5</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2</v>
      </c>
      <c r="S255" s="381">
        <f t="shared" si="5"/>
        <v>2.6045057950253939E-4</v>
      </c>
      <c r="T255" s="325">
        <v>245</v>
      </c>
      <c r="U255" s="381">
        <f t="shared" si="6"/>
        <v>2.5241702176761972E-4</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7679</v>
      </c>
      <c r="S257" s="381">
        <f>SUM(S248:S256)</f>
        <v>1</v>
      </c>
      <c r="T257" s="325">
        <f>SUM(T248:T256)</f>
        <v>970616</v>
      </c>
      <c r="U257" s="381">
        <f>SUM(U248:U256)</f>
        <v>1</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136</v>
      </c>
      <c r="S260" s="261">
        <f>R260/$R$269</f>
        <v>0.7010309278350515</v>
      </c>
      <c r="T260" s="238">
        <v>23147</v>
      </c>
      <c r="U260" s="261">
        <f t="shared" ref="U260:U267" si="7">T260/$T$269</f>
        <v>0.75463762918527699</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3</v>
      </c>
      <c r="S261" s="381">
        <f t="shared" ref="S261:S267" si="8">R261/$R$269</f>
        <v>1.5463917525773196E-2</v>
      </c>
      <c r="T261" s="325">
        <v>304</v>
      </c>
      <c r="U261" s="381">
        <f t="shared" si="7"/>
        <v>9.910996641997849E-3</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8</v>
      </c>
      <c r="S262" s="381">
        <f t="shared" si="8"/>
        <v>4.1237113402061855E-2</v>
      </c>
      <c r="T262" s="325">
        <v>1204</v>
      </c>
      <c r="U262" s="381">
        <f t="shared" si="7"/>
        <v>3.9252763016333583E-2</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1</v>
      </c>
      <c r="S263" s="381">
        <f t="shared" si="8"/>
        <v>5.1546391752577319E-3</v>
      </c>
      <c r="T263" s="325">
        <v>119</v>
      </c>
      <c r="U263" s="381">
        <f t="shared" si="7"/>
        <v>3.8796335539399473E-3</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1</v>
      </c>
      <c r="S264" s="381">
        <f t="shared" si="8"/>
        <v>5.1546391752577319E-3</v>
      </c>
      <c r="T264" s="325">
        <v>134</v>
      </c>
      <c r="U264" s="381">
        <f t="shared" si="7"/>
        <v>4.3686629935122097E-3</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0</v>
      </c>
      <c r="S265" s="381">
        <f t="shared" si="8"/>
        <v>0</v>
      </c>
      <c r="T265" s="325">
        <v>0</v>
      </c>
      <c r="U265" s="381">
        <f t="shared" si="7"/>
        <v>0</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10</v>
      </c>
      <c r="S266" s="381">
        <f t="shared" si="8"/>
        <v>5.1546391752577317E-2</v>
      </c>
      <c r="T266" s="325">
        <v>1480</v>
      </c>
      <c r="U266" s="381">
        <f t="shared" si="7"/>
        <v>4.8250904704463207E-2</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35</v>
      </c>
      <c r="S267" s="381">
        <f t="shared" si="8"/>
        <v>0.18041237113402062</v>
      </c>
      <c r="T267" s="325">
        <v>4285</v>
      </c>
      <c r="U267" s="381">
        <f t="shared" si="7"/>
        <v>0.13969940990447624</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194</v>
      </c>
      <c r="S269" s="381">
        <f>SUM(S260:S268)</f>
        <v>0.99999999999999989</v>
      </c>
      <c r="T269" s="325">
        <f>SUM(T260:T268)</f>
        <v>30673</v>
      </c>
      <c r="U269" s="381">
        <f>SUM(U260:U268)</f>
        <v>1.0000000000000002</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f>+R272*$R$281</f>
        <v>0</v>
      </c>
      <c r="T272" s="238">
        <v>0</v>
      </c>
      <c r="U272" s="261">
        <f>+T272/$T$281</f>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f>+R273/$R$281</f>
        <v>0</v>
      </c>
      <c r="T273" s="325">
        <v>0</v>
      </c>
      <c r="U273" s="381">
        <f>+T273/$T$281</f>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f t="shared" ref="S274:S279" si="9">+R274/$R$281</f>
        <v>0</v>
      </c>
      <c r="T274" s="325">
        <v>0</v>
      </c>
      <c r="U274" s="381">
        <f t="shared" ref="U274:U279" si="10">+T274/$T$281</f>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f t="shared" si="9"/>
        <v>0</v>
      </c>
      <c r="T275" s="325">
        <v>0</v>
      </c>
      <c r="U275" s="381">
        <f t="shared" si="10"/>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f t="shared" si="9"/>
        <v>0</v>
      </c>
      <c r="T276" s="325">
        <v>0</v>
      </c>
      <c r="U276" s="381">
        <f t="shared" si="10"/>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f t="shared" si="9"/>
        <v>0</v>
      </c>
      <c r="T277" s="325">
        <v>0</v>
      </c>
      <c r="U277" s="381">
        <f t="shared" si="10"/>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f t="shared" si="9"/>
        <v>0</v>
      </c>
      <c r="T278" s="325">
        <v>0</v>
      </c>
      <c r="U278" s="381">
        <f t="shared" si="10"/>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1</v>
      </c>
      <c r="S279" s="381">
        <f t="shared" si="9"/>
        <v>1</v>
      </c>
      <c r="T279" s="325">
        <v>264</v>
      </c>
      <c r="U279" s="381">
        <f t="shared" si="10"/>
        <v>1</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1</v>
      </c>
      <c r="S281" s="381">
        <f>SUM(S272:S279)</f>
        <v>1</v>
      </c>
      <c r="T281" s="325">
        <f>SUM(T272:T279)</f>
        <v>264</v>
      </c>
      <c r="U281" s="381">
        <f>SUM(U272:U279)</f>
        <v>1</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79" t="s">
        <v>167</v>
      </c>
      <c r="C283" s="272"/>
      <c r="D283" s="272"/>
      <c r="E283" s="272"/>
      <c r="F283" s="272"/>
      <c r="G283" s="272"/>
      <c r="H283" s="383"/>
      <c r="I283" s="383"/>
      <c r="J283" s="383"/>
      <c r="K283" s="383"/>
      <c r="L283" s="383"/>
      <c r="M283" s="383"/>
      <c r="N283" s="383"/>
      <c r="O283" s="383"/>
      <c r="P283" s="383"/>
      <c r="Q283" s="383"/>
      <c r="R283" s="390">
        <f>R281+R269+R257</f>
        <v>7874</v>
      </c>
      <c r="S283" s="381"/>
      <c r="T283" s="387">
        <f>+T281+T269+T257</f>
        <v>1001553</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93</v>
      </c>
      <c r="C287" s="220"/>
      <c r="D287" s="220"/>
      <c r="E287" s="220"/>
      <c r="F287" s="265" t="s">
        <v>151</v>
      </c>
      <c r="G287" s="220"/>
      <c r="H287" s="219" t="s">
        <v>155</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281</v>
      </c>
      <c r="C288" s="219"/>
      <c r="D288" s="219"/>
      <c r="E288" s="219"/>
      <c r="F288" s="265" t="s">
        <v>282</v>
      </c>
      <c r="G288" s="219"/>
      <c r="H288" s="219" t="s">
        <v>283</v>
      </c>
      <c r="I288" s="227"/>
      <c r="J288" s="219"/>
      <c r="K288" s="227"/>
      <c r="L288" s="227"/>
      <c r="M288" s="227"/>
      <c r="N288" s="227"/>
      <c r="O288" s="227"/>
      <c r="P288" s="227"/>
      <c r="Q288" s="227"/>
      <c r="R288" s="227"/>
      <c r="S288" s="227"/>
      <c r="T288" s="227"/>
      <c r="U288" s="227"/>
      <c r="V288" s="227"/>
      <c r="W288" s="227"/>
      <c r="X288" s="5"/>
    </row>
    <row r="289" spans="1:24" ht="15.6" x14ac:dyDescent="0.3">
      <c r="A289" s="216"/>
      <c r="B289" s="219" t="s">
        <v>94</v>
      </c>
      <c r="C289" s="219"/>
      <c r="D289" s="219"/>
      <c r="E289" s="219"/>
      <c r="F289" s="265" t="s">
        <v>150</v>
      </c>
      <c r="G289" s="219"/>
      <c r="H289" s="219" t="s">
        <v>156</v>
      </c>
      <c r="I289" s="219"/>
      <c r="J289" s="219"/>
      <c r="K289" s="227"/>
      <c r="L289" s="227"/>
      <c r="M289" s="227"/>
      <c r="N289" s="227"/>
      <c r="O289" s="227"/>
      <c r="P289" s="227"/>
      <c r="Q289" s="227"/>
      <c r="R289" s="227"/>
      <c r="S289" s="227"/>
      <c r="T289" s="227"/>
      <c r="U289" s="227"/>
      <c r="V289" s="227"/>
      <c r="W289" s="227"/>
      <c r="X289" s="5"/>
    </row>
    <row r="290" spans="1:24" ht="15.6" x14ac:dyDescent="0.3">
      <c r="A290" s="216"/>
      <c r="B290" s="219"/>
      <c r="C290" s="219"/>
      <c r="D290" s="219"/>
      <c r="E290" s="219"/>
      <c r="F290" s="219"/>
      <c r="G290" s="266"/>
      <c r="H290" s="227"/>
      <c r="I290" s="227"/>
      <c r="J290" s="227"/>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8" thickBot="1" x14ac:dyDescent="0.35">
      <c r="A292" s="216"/>
      <c r="B292" s="267" t="str">
        <f>B197</f>
        <v>PM13 INVESTOR REPORT QUARTER ENDING MARCH 2012</v>
      </c>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x14ac:dyDescent="0.25">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row>
  </sheetData>
  <hyperlinks>
    <hyperlink ref="P233" r:id="rId1" xr:uid="{00000000-0004-0000-1500-000000000000}"/>
    <hyperlink ref="I9" r:id="rId2" xr:uid="{00000000-0004-0000-15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7" max="14" man="1"/>
    <brk id="197" max="14" man="1"/>
  </rowBreak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89CB31"/>
  </sheetPr>
  <dimension ref="A1:Z293"/>
  <sheetViews>
    <sheetView showGridLines="0" showOutlineSymbols="0" topLeftCell="A7"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0.63749999999999996</v>
      </c>
      <c r="T16" s="224" t="s">
        <v>143</v>
      </c>
      <c r="U16" s="223">
        <v>0.36249999999999999</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41108</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175"/>
      <c r="B22" s="177"/>
      <c r="C22" s="189"/>
      <c r="D22" s="189" t="s">
        <v>180</v>
      </c>
      <c r="E22" s="189"/>
      <c r="F22" s="189" t="s">
        <v>181</v>
      </c>
      <c r="G22" s="189"/>
      <c r="H22" s="189" t="s">
        <v>182</v>
      </c>
      <c r="I22" s="189"/>
      <c r="J22" s="189" t="s">
        <v>223</v>
      </c>
      <c r="K22" s="189"/>
      <c r="L22" s="189" t="s">
        <v>183</v>
      </c>
      <c r="M22" s="189"/>
      <c r="N22" s="189" t="s">
        <v>184</v>
      </c>
      <c r="O22" s="189"/>
      <c r="P22" s="189" t="s">
        <v>224</v>
      </c>
      <c r="Q22" s="189"/>
      <c r="R22" s="189" t="s">
        <v>185</v>
      </c>
      <c r="S22" s="190"/>
      <c r="T22" s="191"/>
      <c r="U22" s="187"/>
      <c r="V22" s="187"/>
      <c r="W22" s="177"/>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323</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321</v>
      </c>
      <c r="E27" s="389"/>
      <c r="F27" s="389" t="s">
        <v>168</v>
      </c>
      <c r="G27" s="389"/>
      <c r="H27" s="389" t="s">
        <v>168</v>
      </c>
      <c r="I27" s="389"/>
      <c r="J27" s="389" t="s">
        <v>168</v>
      </c>
      <c r="K27" s="389"/>
      <c r="L27" s="389" t="s">
        <v>324</v>
      </c>
      <c r="M27" s="389"/>
      <c r="N27" s="389" t="s">
        <v>324</v>
      </c>
      <c r="O27" s="389"/>
      <c r="P27" s="389" t="s">
        <v>325</v>
      </c>
      <c r="Q27" s="389"/>
      <c r="R27" s="389" t="s">
        <v>325</v>
      </c>
      <c r="S27" s="273"/>
      <c r="T27" s="280"/>
      <c r="U27" s="274"/>
      <c r="V27" s="274"/>
      <c r="W27" s="275"/>
      <c r="X27" s="5"/>
    </row>
    <row r="28" spans="1:24" ht="15.6" x14ac:dyDescent="0.3">
      <c r="A28" s="271"/>
      <c r="B28" s="279" t="s">
        <v>195</v>
      </c>
      <c r="C28" s="273"/>
      <c r="D28" s="389" t="s">
        <v>319</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933559.2</v>
      </c>
      <c r="E32" s="282"/>
      <c r="F32" s="283">
        <f>F31*F38</f>
        <v>77796.774999999994</v>
      </c>
      <c r="G32" s="283"/>
      <c r="H32" s="288">
        <f>H31*H38</f>
        <v>196047.87299999999</v>
      </c>
      <c r="I32" s="288"/>
      <c r="J32" s="287">
        <f>J31*J38</f>
        <v>217830.47999999998</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930463.64999999991</v>
      </c>
      <c r="E33" s="286"/>
      <c r="F33" s="289">
        <f>F37*F31</f>
        <v>77538.825000000012</v>
      </c>
      <c r="G33" s="289"/>
      <c r="H33" s="292">
        <f>H31*H37</f>
        <v>195397.83900000001</v>
      </c>
      <c r="I33" s="292"/>
      <c r="J33" s="291">
        <f>J37*J31</f>
        <v>217108.18499999997</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496573.83068159997</v>
      </c>
      <c r="E35" s="282"/>
      <c r="F35" s="283">
        <f>F34*F38</f>
        <v>77796.774999999994</v>
      </c>
      <c r="G35" s="283"/>
      <c r="H35" s="283">
        <f>H34*H38</f>
        <v>131575.50724780001</v>
      </c>
      <c r="I35" s="283"/>
      <c r="J35" s="283">
        <f>J34*J38</f>
        <v>115867.14417599999</v>
      </c>
      <c r="K35" s="283"/>
      <c r="L35" s="283">
        <f>L34*L38</f>
        <v>56000</v>
      </c>
      <c r="M35" s="283"/>
      <c r="N35" s="283">
        <f>N34*N38</f>
        <v>56376</v>
      </c>
      <c r="O35" s="283"/>
      <c r="P35" s="283">
        <f>P34*P38</f>
        <v>13000</v>
      </c>
      <c r="Q35" s="283"/>
      <c r="R35" s="283">
        <f>R34*R38</f>
        <v>54363</v>
      </c>
      <c r="S35" s="283"/>
      <c r="T35" s="283"/>
      <c r="U35" s="284"/>
      <c r="V35" s="283">
        <f>SUM(C35:R35)+1</f>
        <v>1001553.2571054</v>
      </c>
      <c r="W35" s="285"/>
      <c r="X35" s="5"/>
    </row>
    <row r="36" spans="1:24" ht="15.6" x14ac:dyDescent="0.3">
      <c r="A36" s="276"/>
      <c r="B36" s="279" t="s">
        <v>304</v>
      </c>
      <c r="C36" s="286"/>
      <c r="D36" s="289">
        <f>D34*D37</f>
        <v>494927.26223519997</v>
      </c>
      <c r="E36" s="286"/>
      <c r="F36" s="289">
        <f>F34*F37</f>
        <v>77538.825000000012</v>
      </c>
      <c r="G36" s="289"/>
      <c r="H36" s="289">
        <f>H34*H37</f>
        <v>131139.24363540002</v>
      </c>
      <c r="I36" s="289"/>
      <c r="J36" s="289">
        <f>J34*J37</f>
        <v>115482.94514699999</v>
      </c>
      <c r="K36" s="289"/>
      <c r="L36" s="289">
        <v>56000</v>
      </c>
      <c r="M36" s="289"/>
      <c r="N36" s="289">
        <v>56376</v>
      </c>
      <c r="O36" s="289"/>
      <c r="P36" s="289">
        <v>13000</v>
      </c>
      <c r="Q36" s="289"/>
      <c r="R36" s="289">
        <v>54363</v>
      </c>
      <c r="S36" s="314"/>
      <c r="T36" s="314"/>
      <c r="U36" s="284"/>
      <c r="V36" s="289">
        <f>SUM(C36:R36)+1</f>
        <v>998828.27601759997</v>
      </c>
      <c r="W36" s="285"/>
      <c r="X36" s="5"/>
    </row>
    <row r="37" spans="1:24" ht="15.6" x14ac:dyDescent="0.3">
      <c r="A37" s="271"/>
      <c r="B37" s="297" t="s">
        <v>133</v>
      </c>
      <c r="C37" s="298"/>
      <c r="D37" s="299">
        <v>0.62030909999999995</v>
      </c>
      <c r="E37" s="300"/>
      <c r="F37" s="299">
        <v>0.62031060000000005</v>
      </c>
      <c r="G37" s="301"/>
      <c r="H37" s="299">
        <v>0.62031060000000005</v>
      </c>
      <c r="I37" s="301"/>
      <c r="J37" s="299">
        <v>0.62030909999999995</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0.62237279999999995</v>
      </c>
      <c r="E38" s="300"/>
      <c r="F38" s="299">
        <v>0.62237419999999999</v>
      </c>
      <c r="G38" s="301"/>
      <c r="H38" s="299">
        <v>0.62237419999999999</v>
      </c>
      <c r="I38" s="301"/>
      <c r="J38" s="299">
        <v>0.62237279999999995</v>
      </c>
      <c r="K38" s="301"/>
      <c r="L38" s="299">
        <v>1</v>
      </c>
      <c r="M38" s="299"/>
      <c r="N38" s="299">
        <v>1</v>
      </c>
      <c r="O38" s="299"/>
      <c r="P38" s="299">
        <v>1</v>
      </c>
      <c r="Q38" s="299"/>
      <c r="R38" s="299">
        <v>1</v>
      </c>
      <c r="S38" s="305"/>
      <c r="T38" s="306"/>
      <c r="U38" s="303"/>
      <c r="V38" s="305"/>
      <c r="W38" s="304"/>
      <c r="X38" s="5"/>
    </row>
    <row r="39" spans="1:24" ht="15.6" x14ac:dyDescent="0.3">
      <c r="A39" s="271"/>
      <c r="B39" s="272" t="s">
        <v>11</v>
      </c>
      <c r="C39" s="272"/>
      <c r="D39" s="280" t="s">
        <v>225</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3.6175000000000001E-3</v>
      </c>
      <c r="E40" s="272"/>
      <c r="F40" s="308">
        <v>1.2574999999999999E-2</v>
      </c>
      <c r="G40" s="307"/>
      <c r="H40" s="308">
        <v>9.9699999999999997E-3</v>
      </c>
      <c r="I40" s="308"/>
      <c r="J40" s="308">
        <v>6.4665E-3</v>
      </c>
      <c r="K40" s="307"/>
      <c r="L40" s="308">
        <v>1.4175E-2</v>
      </c>
      <c r="M40" s="307"/>
      <c r="N40" s="308">
        <v>1.137E-2</v>
      </c>
      <c r="O40" s="307"/>
      <c r="P40" s="308">
        <v>1.8175E-2</v>
      </c>
      <c r="Q40" s="307"/>
      <c r="R40" s="308">
        <v>1.537E-2</v>
      </c>
      <c r="S40" s="307"/>
      <c r="T40" s="308"/>
      <c r="U40" s="274"/>
      <c r="V40" s="280"/>
      <c r="W40" s="275"/>
      <c r="X40" s="5"/>
    </row>
    <row r="41" spans="1:24" ht="15.6" x14ac:dyDescent="0.3">
      <c r="A41" s="271"/>
      <c r="B41" s="272" t="s">
        <v>13</v>
      </c>
      <c r="C41" s="272"/>
      <c r="D41" s="308">
        <v>3.6175000000000001E-3</v>
      </c>
      <c r="E41" s="272"/>
      <c r="F41" s="308">
        <v>1.3295599999999999E-2</v>
      </c>
      <c r="G41" s="307"/>
      <c r="H41" s="308">
        <v>1.4710000000000001E-2</v>
      </c>
      <c r="I41" s="308"/>
      <c r="J41" s="308">
        <v>7.4700000000000001E-3</v>
      </c>
      <c r="K41" s="307"/>
      <c r="L41" s="308">
        <v>1.48956E-2</v>
      </c>
      <c r="M41" s="307"/>
      <c r="N41" s="308">
        <v>1.6109999999999999E-2</v>
      </c>
      <c r="O41" s="307"/>
      <c r="P41" s="308">
        <v>1.8895599999999999E-2</v>
      </c>
      <c r="Q41" s="307"/>
      <c r="R41" s="308">
        <v>2.0109999999999999E-2</v>
      </c>
      <c r="S41" s="307"/>
      <c r="T41" s="308"/>
      <c r="U41" s="274"/>
      <c r="V41" s="307" t="s">
        <v>196</v>
      </c>
      <c r="W41" s="275"/>
      <c r="X41" s="5"/>
    </row>
    <row r="42" spans="1:24" ht="15.6" x14ac:dyDescent="0.3">
      <c r="A42" s="271"/>
      <c r="B42" s="272" t="s">
        <v>300</v>
      </c>
      <c r="C42" s="272"/>
      <c r="D42" s="280" t="s">
        <v>292</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v>1.1714199999999999E-2</v>
      </c>
      <c r="E43" s="308"/>
      <c r="F43" s="308">
        <f>+F40</f>
        <v>1.2574999999999999E-2</v>
      </c>
      <c r="G43" s="308"/>
      <c r="H43" s="308">
        <v>1.2819000000000001E-2</v>
      </c>
      <c r="I43" s="308"/>
      <c r="J43" s="308">
        <v>1.2655E-2</v>
      </c>
      <c r="K43" s="308"/>
      <c r="L43" s="308">
        <f>+L40</f>
        <v>1.4175E-2</v>
      </c>
      <c r="M43" s="308"/>
      <c r="N43" s="308">
        <v>1.4355E-2</v>
      </c>
      <c r="O43" s="308"/>
      <c r="P43" s="308">
        <f>+P40</f>
        <v>1.8175E-2</v>
      </c>
      <c r="Q43" s="307"/>
      <c r="R43" s="308">
        <v>1.8575000000000001E-2</v>
      </c>
      <c r="S43" s="280"/>
      <c r="T43" s="280"/>
      <c r="U43" s="274"/>
      <c r="V43" s="307">
        <f>SUMPRODUCT(D43:R43,D35:R35)/V35</f>
        <v>1.2777523176289241E-2</v>
      </c>
      <c r="W43" s="275"/>
      <c r="X43" s="5"/>
    </row>
    <row r="44" spans="1:24" ht="15.6" x14ac:dyDescent="0.3">
      <c r="A44" s="271"/>
      <c r="B44" s="272" t="s">
        <v>302</v>
      </c>
      <c r="C44" s="309"/>
      <c r="D44" s="308">
        <v>1.2434799999999999E-2</v>
      </c>
      <c r="E44" s="308"/>
      <c r="F44" s="308">
        <f>+F41</f>
        <v>1.3295599999999999E-2</v>
      </c>
      <c r="G44" s="308"/>
      <c r="H44" s="308">
        <v>1.3539600000000001E-2</v>
      </c>
      <c r="I44" s="308"/>
      <c r="J44" s="308">
        <v>1.33756E-2</v>
      </c>
      <c r="K44" s="308"/>
      <c r="L44" s="308">
        <f>+L41</f>
        <v>1.48956E-2</v>
      </c>
      <c r="M44" s="308"/>
      <c r="N44" s="308">
        <v>1.50756E-2</v>
      </c>
      <c r="O44" s="308"/>
      <c r="P44" s="308">
        <f>+P41</f>
        <v>1.8895599999999999E-2</v>
      </c>
      <c r="Q44" s="307"/>
      <c r="R44" s="308">
        <v>1.92956E-2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203</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0.21943788632147129</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41106</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90</v>
      </c>
      <c r="S57" s="318"/>
      <c r="T57" s="319">
        <v>40925</v>
      </c>
      <c r="U57" s="320"/>
      <c r="V57" s="319">
        <v>41014</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91</v>
      </c>
      <c r="S58" s="272"/>
      <c r="T58" s="319">
        <v>41015</v>
      </c>
      <c r="U58" s="320"/>
      <c r="V58" s="319">
        <v>41105</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41092</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322</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1001553</v>
      </c>
      <c r="O68" s="324"/>
      <c r="P68" s="324">
        <f>2725+254+1114</f>
        <v>4093</v>
      </c>
      <c r="Q68" s="324"/>
      <c r="R68" s="324">
        <f>254+1114</f>
        <v>1368</v>
      </c>
      <c r="S68" s="324"/>
      <c r="T68" s="324">
        <v>0</v>
      </c>
      <c r="U68" s="324"/>
      <c r="V68" s="325">
        <f>+N68-P68+R68-T68</f>
        <v>998828</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1001553</v>
      </c>
      <c r="O71" s="324"/>
      <c r="P71" s="324">
        <f>SUM(P68:P70)</f>
        <v>4093</v>
      </c>
      <c r="Q71" s="324"/>
      <c r="R71" s="324">
        <f>SUM(R68:R70)</f>
        <v>1368</v>
      </c>
      <c r="S71" s="324"/>
      <c r="T71" s="324">
        <f>SUM(T68:T70)</f>
        <v>0</v>
      </c>
      <c r="U71" s="324"/>
      <c r="V71" s="324">
        <f>SUM(V68:V70)</f>
        <v>998828</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1001553</v>
      </c>
      <c r="O84" s="328"/>
      <c r="P84" s="328"/>
      <c r="Q84" s="328"/>
      <c r="R84" s="328"/>
      <c r="S84" s="328"/>
      <c r="T84" s="328"/>
      <c r="U84" s="328"/>
      <c r="V84" s="328">
        <f>SUM(V71:V83)</f>
        <v>998828</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+T198</f>
        <v>41089</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4093+108</f>
        <v>4201</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5097+3382-872-1055</f>
        <v>6552</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35+7</f>
        <v>42</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59</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707</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4201</v>
      </c>
      <c r="U96" s="272"/>
      <c r="V96" s="324">
        <f>SUM(V88:V95)</f>
        <v>7360</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-311</v>
      </c>
      <c r="U97" s="272"/>
      <c r="V97" s="324">
        <v>311</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-58</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3890</v>
      </c>
      <c r="U100" s="272"/>
      <c r="V100" s="324">
        <f>V96+V98+V97+V99</f>
        <v>7613</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231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272" t="s">
        <v>207</v>
      </c>
      <c r="C104" s="272"/>
      <c r="D104" s="272"/>
      <c r="E104" s="272"/>
      <c r="F104" s="272"/>
      <c r="G104" s="272"/>
      <c r="H104" s="272"/>
      <c r="I104" s="272"/>
      <c r="J104" s="272"/>
      <c r="K104" s="272"/>
      <c r="L104" s="272"/>
      <c r="M104" s="272"/>
      <c r="N104" s="272"/>
      <c r="O104" s="272"/>
      <c r="P104" s="272"/>
      <c r="Q104" s="272"/>
      <c r="R104" s="272"/>
      <c r="S104" s="272"/>
      <c r="T104" s="272"/>
      <c r="U104" s="272"/>
      <c r="V104" s="325">
        <f>-378-289-12</f>
        <v>-679</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-25</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-2480+244</f>
        <v>-2236</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-244</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-2</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-202</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-198</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-252</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-59</v>
      </c>
      <c r="W112" s="275"/>
      <c r="X112" s="5"/>
      <c r="Y112" s="109"/>
    </row>
    <row r="113" spans="1:24" ht="15.6" x14ac:dyDescent="0.3">
      <c r="A113" s="338">
        <v>7</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-10</v>
      </c>
      <c r="W113" s="275"/>
      <c r="X113" s="5"/>
    </row>
    <row r="114" spans="1:24" ht="15.6" x14ac:dyDescent="0.3">
      <c r="A114" s="338">
        <f t="shared" ref="A114:A120" si="0">+A113+1</f>
        <v>8</v>
      </c>
      <c r="B114" s="272" t="s">
        <v>45</v>
      </c>
      <c r="C114" s="272"/>
      <c r="D114" s="272"/>
      <c r="E114" s="272"/>
      <c r="F114" s="272"/>
      <c r="G114" s="272"/>
      <c r="H114" s="272"/>
      <c r="I114" s="272"/>
      <c r="J114" s="272"/>
      <c r="K114" s="272"/>
      <c r="L114" s="272"/>
      <c r="M114" s="272"/>
      <c r="N114" s="272"/>
      <c r="O114" s="272"/>
      <c r="P114" s="272"/>
      <c r="Q114" s="272"/>
      <c r="R114" s="272"/>
      <c r="S114" s="272"/>
      <c r="T114" s="324">
        <f>-V114</f>
        <v>-108</v>
      </c>
      <c r="U114" s="272"/>
      <c r="V114" s="325">
        <v>108</v>
      </c>
      <c r="W114" s="275"/>
      <c r="X114" s="5"/>
    </row>
    <row r="115" spans="1:24" ht="15.6" x14ac:dyDescent="0.3">
      <c r="A115" s="338">
        <f t="shared" si="0"/>
        <v>9</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10</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11</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12</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13</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-377</v>
      </c>
      <c r="W119" s="275"/>
      <c r="X119" s="5"/>
    </row>
    <row r="120" spans="1:24" ht="15.6" x14ac:dyDescent="0.3">
      <c r="A120" s="338">
        <f t="shared" si="0"/>
        <v>14</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-V100-SUM(V102:V119)</f>
        <v>-3435</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-141</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-117</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-799</v>
      </c>
      <c r="U124" s="324"/>
      <c r="V124" s="325"/>
      <c r="W124" s="275"/>
      <c r="X124" s="5"/>
    </row>
    <row r="125" spans="1:24" ht="15.6" x14ac:dyDescent="0.3">
      <c r="A125" s="338"/>
      <c r="B125" s="272" t="s">
        <v>200</v>
      </c>
      <c r="C125" s="272"/>
      <c r="D125" s="272"/>
      <c r="E125" s="272"/>
      <c r="F125" s="272"/>
      <c r="G125" s="272"/>
      <c r="H125" s="272"/>
      <c r="I125" s="272"/>
      <c r="J125" s="272"/>
      <c r="K125" s="272"/>
      <c r="L125" s="272"/>
      <c r="M125" s="272"/>
      <c r="N125" s="272"/>
      <c r="O125" s="272"/>
      <c r="P125" s="272"/>
      <c r="Q125" s="272"/>
      <c r="R125" s="272"/>
      <c r="S125" s="272"/>
      <c r="T125" s="324">
        <v>-1647</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-258</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-436</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-384</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-3782</v>
      </c>
      <c r="U133" s="324"/>
      <c r="V133" s="324">
        <f>SUM(V101:V130)</f>
        <v>-7613</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T100+T133+T114</f>
        <v>0</v>
      </c>
      <c r="U134" s="324"/>
      <c r="V134" s="324">
        <f>V100+V133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B64</f>
        <v>PM13 INVESTOR REPORT QUARTER ENDING JUNE 2012</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272</v>
      </c>
      <c r="C155" s="272"/>
      <c r="D155" s="272"/>
      <c r="E155" s="272"/>
      <c r="F155" s="272"/>
      <c r="G155" s="272"/>
      <c r="H155" s="272"/>
      <c r="I155" s="272"/>
      <c r="J155" s="272"/>
      <c r="K155" s="272"/>
      <c r="L155" s="272"/>
      <c r="M155" s="272"/>
      <c r="N155" s="272"/>
      <c r="O155" s="272"/>
      <c r="P155" s="272"/>
      <c r="Q155" s="272"/>
      <c r="R155" s="272"/>
      <c r="S155" s="272"/>
      <c r="T155" s="272"/>
      <c r="U155" s="272"/>
      <c r="V155" s="325">
        <v>6000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-108</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-108</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108</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f>-V99</f>
        <v>58</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V71</f>
        <v>998828</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V84</f>
        <v>998828</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+'March 12'!S183</f>
        <v>45954</v>
      </c>
      <c r="T181" s="325">
        <f>+'March 12'!T183</f>
        <v>9582</v>
      </c>
      <c r="U181" s="272"/>
      <c r="V181" s="325">
        <f>S181+T181</f>
        <v>55536</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f>113+686</f>
        <v>799</v>
      </c>
      <c r="T182" s="324">
        <v>141</v>
      </c>
      <c r="U182" s="272"/>
      <c r="V182" s="325">
        <f>S182+T182</f>
        <v>940</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46753</v>
      </c>
      <c r="T183" s="325">
        <f>T182+T181</f>
        <v>9723</v>
      </c>
      <c r="U183" s="272"/>
      <c r="V183" s="325">
        <f>S183+T183</f>
        <v>56476</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183554.4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(V100+V102+V103+V104+V105)/-(V106+V107)</f>
        <v>2.7850806451612904</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1.61</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(V100+V102+V103+V104+V105+V106+V107)/-(V109+V110)</f>
        <v>11.067500000000001</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5.85</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(V100+V102+V103+V104+V105+V106+V107+V109+V110)/-(V111+V112)</f>
        <v>12.94855305466238</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7.5</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JUNE 2012</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41089</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2.6880000000000001E-2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1.2777523176289241E-2</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1.410247682371076E-2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+V100/N71</f>
        <v>7.6011953436313402E-3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15.39</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P68/N68</f>
        <v>4.0866534272275155E-3</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7.9600000000000004E-2</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5</v>
      </c>
      <c r="T216" s="357">
        <v>883</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198</v>
      </c>
      <c r="T217" s="357">
        <f>+T269</f>
        <v>30596</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f>+R281</f>
        <v>1</v>
      </c>
      <c r="T218" s="357">
        <f>+T281</f>
        <v>264</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+N81</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2" t="s">
        <v>84</v>
      </c>
      <c r="C222" s="272"/>
      <c r="D222" s="272"/>
      <c r="E222" s="272"/>
      <c r="F222" s="272"/>
      <c r="G222" s="272"/>
      <c r="H222" s="272"/>
      <c r="I222" s="272"/>
      <c r="J222" s="272"/>
      <c r="K222" s="272"/>
      <c r="L222" s="272"/>
      <c r="M222" s="272"/>
      <c r="N222" s="272"/>
      <c r="O222" s="272"/>
      <c r="P222" s="272"/>
      <c r="Q222" s="272"/>
      <c r="R222" s="272"/>
      <c r="S222" s="280"/>
      <c r="T222" s="357">
        <f>V166</f>
        <v>-108</v>
      </c>
      <c r="U222" s="272"/>
      <c r="V222" s="362"/>
      <c r="W222" s="367"/>
      <c r="X222" s="5"/>
    </row>
    <row r="223" spans="1:24" ht="15.6" x14ac:dyDescent="0.3">
      <c r="A223" s="356"/>
      <c r="B223" s="272" t="s">
        <v>85</v>
      </c>
      <c r="C223" s="324"/>
      <c r="D223" s="324"/>
      <c r="E223" s="324"/>
      <c r="F223" s="324"/>
      <c r="G223" s="272"/>
      <c r="H223" s="272"/>
      <c r="I223" s="272"/>
      <c r="J223" s="272"/>
      <c r="K223" s="272"/>
      <c r="L223" s="272"/>
      <c r="M223" s="272"/>
      <c r="N223" s="272"/>
      <c r="O223" s="272"/>
      <c r="P223" s="272"/>
      <c r="Q223" s="272"/>
      <c r="R223" s="272"/>
      <c r="S223" s="280"/>
      <c r="T223" s="357">
        <f>'March 12'!T223+T222</f>
        <v>3290</v>
      </c>
      <c r="U223" s="272"/>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1</v>
      </c>
      <c r="T229" s="357">
        <v>257</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0</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 t="shared" ref="R236:R243" si="1">+R248+R260+R272</f>
        <v>7718</v>
      </c>
      <c r="S236" s="381">
        <f t="shared" ref="S236:S243" si="2">R236/$R$245</f>
        <v>0.98494129657988772</v>
      </c>
      <c r="T236" s="325">
        <f t="shared" ref="T236:T243" si="3">+T248+T260+T272</f>
        <v>980697</v>
      </c>
      <c r="U236" s="381">
        <f t="shared" ref="U236:U243" si="4">T236/$T$245</f>
        <v>0.9818477255343262</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si="1"/>
        <v>51</v>
      </c>
      <c r="S237" s="381">
        <f t="shared" si="2"/>
        <v>6.508422664624809E-3</v>
      </c>
      <c r="T237" s="325">
        <f t="shared" si="3"/>
        <v>9359</v>
      </c>
      <c r="U237" s="381">
        <f t="shared" si="4"/>
        <v>9.3699816184568321E-3</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16</v>
      </c>
      <c r="S238" s="381">
        <f t="shared" si="2"/>
        <v>2.0418580908626851E-3</v>
      </c>
      <c r="T238" s="325">
        <f t="shared" si="3"/>
        <v>2058</v>
      </c>
      <c r="U238" s="381">
        <f t="shared" si="4"/>
        <v>2.0604148061528112E-3</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2</v>
      </c>
      <c r="S239" s="381">
        <f t="shared" si="2"/>
        <v>2.5523226135783564E-4</v>
      </c>
      <c r="T239" s="325">
        <f t="shared" si="3"/>
        <v>357</v>
      </c>
      <c r="U239" s="381">
        <f t="shared" si="4"/>
        <v>3.5741889494487539E-4</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1</v>
      </c>
      <c r="S240" s="381">
        <f t="shared" si="2"/>
        <v>1.2761613067891782E-4</v>
      </c>
      <c r="T240" s="325">
        <f t="shared" si="3"/>
        <v>89</v>
      </c>
      <c r="U240" s="381">
        <f t="shared" si="4"/>
        <v>8.9104430392419911E-5</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1</v>
      </c>
      <c r="S241" s="381">
        <f t="shared" si="2"/>
        <v>1.2761613067891782E-4</v>
      </c>
      <c r="T241" s="325">
        <f t="shared" si="3"/>
        <v>90</v>
      </c>
      <c r="U241" s="381">
        <f t="shared" si="4"/>
        <v>9.0105603767615648E-5</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8</v>
      </c>
      <c r="S242" s="381">
        <f t="shared" si="2"/>
        <v>1.0209290454313426E-3</v>
      </c>
      <c r="T242" s="325">
        <f t="shared" si="3"/>
        <v>1205</v>
      </c>
      <c r="U242" s="381">
        <f t="shared" si="4"/>
        <v>1.206413917110854E-3</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39</v>
      </c>
      <c r="S243" s="381">
        <f t="shared" si="2"/>
        <v>4.9770290964777945E-3</v>
      </c>
      <c r="T243" s="325">
        <f t="shared" si="3"/>
        <v>4973</v>
      </c>
      <c r="U243" s="381">
        <f t="shared" si="4"/>
        <v>4.9788351948483623E-3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7836</v>
      </c>
      <c r="S245" s="381">
        <f>SUM(S236:S244)</f>
        <v>1</v>
      </c>
      <c r="T245" s="325">
        <f>SUM(T236:T244)</f>
        <v>998828</v>
      </c>
      <c r="U245" s="381">
        <f>SUM(U236:U244)</f>
        <v>1</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7591</v>
      </c>
      <c r="S248" s="261">
        <f t="shared" ref="S248:S255" si="5">R248/$R$257</f>
        <v>0.99397669241848896</v>
      </c>
      <c r="T248" s="238">
        <v>958904</v>
      </c>
      <c r="U248" s="261">
        <f t="shared" ref="U248:U255" si="6">T248/$T$257</f>
        <v>0.99063605408443256</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40</v>
      </c>
      <c r="S249" s="381">
        <f t="shared" si="5"/>
        <v>5.2376587665313602E-3</v>
      </c>
      <c r="T249" s="325">
        <v>7782</v>
      </c>
      <c r="U249" s="381">
        <f t="shared" si="6"/>
        <v>8.0395219676683526E-3</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3</v>
      </c>
      <c r="S250" s="381">
        <f t="shared" si="5"/>
        <v>3.9282440748985203E-4</v>
      </c>
      <c r="T250" s="325">
        <v>762</v>
      </c>
      <c r="U250" s="381">
        <f t="shared" si="6"/>
        <v>7.8721610631756422E-4</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1</v>
      </c>
      <c r="S251" s="381">
        <f t="shared" si="5"/>
        <v>1.3094146916328402E-4</v>
      </c>
      <c r="T251" s="325">
        <v>275</v>
      </c>
      <c r="U251" s="381">
        <f t="shared" si="6"/>
        <v>2.841003008363913E-4</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2</v>
      </c>
      <c r="S255" s="381">
        <f t="shared" si="5"/>
        <v>2.6188293832656804E-4</v>
      </c>
      <c r="T255" s="325">
        <v>245</v>
      </c>
      <c r="U255" s="381">
        <f t="shared" si="6"/>
        <v>2.5310754074514861E-4</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7637</v>
      </c>
      <c r="S257" s="381">
        <f>SUM(S248:S256)</f>
        <v>1</v>
      </c>
      <c r="T257" s="325">
        <f>SUM(T248:T256)</f>
        <v>967968</v>
      </c>
      <c r="U257" s="381">
        <f>SUM(U248:U256)</f>
        <v>1</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127</v>
      </c>
      <c r="S260" s="261">
        <f>R260/$R$269</f>
        <v>0.64141414141414144</v>
      </c>
      <c r="T260" s="238">
        <v>21793</v>
      </c>
      <c r="U260" s="261">
        <f t="shared" ref="U260:U267" si="7">T260/$T$269</f>
        <v>0.71228265132697088</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11</v>
      </c>
      <c r="S261" s="381">
        <f t="shared" ref="S261:S267" si="8">R261/$R$269</f>
        <v>5.5555555555555552E-2</v>
      </c>
      <c r="T261" s="325">
        <v>1577</v>
      </c>
      <c r="U261" s="381">
        <f t="shared" si="7"/>
        <v>5.1542685318342267E-2</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13</v>
      </c>
      <c r="S262" s="381">
        <f t="shared" si="8"/>
        <v>6.5656565656565663E-2</v>
      </c>
      <c r="T262" s="325">
        <v>1296</v>
      </c>
      <c r="U262" s="381">
        <f t="shared" si="7"/>
        <v>4.2358478232448683E-2</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1</v>
      </c>
      <c r="S263" s="381">
        <f t="shared" si="8"/>
        <v>5.0505050505050509E-3</v>
      </c>
      <c r="T263" s="325">
        <v>82</v>
      </c>
      <c r="U263" s="381">
        <f t="shared" si="7"/>
        <v>2.6800889005098704E-3</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1</v>
      </c>
      <c r="S264" s="381">
        <f t="shared" si="8"/>
        <v>5.0505050505050509E-3</v>
      </c>
      <c r="T264" s="325">
        <v>89</v>
      </c>
      <c r="U264" s="381">
        <f t="shared" si="7"/>
        <v>2.9088769773826643E-3</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1</v>
      </c>
      <c r="S265" s="381">
        <f t="shared" si="8"/>
        <v>5.0505050505050509E-3</v>
      </c>
      <c r="T265" s="325">
        <v>90</v>
      </c>
      <c r="U265" s="381">
        <f t="shared" si="7"/>
        <v>2.941560988364492E-3</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8</v>
      </c>
      <c r="S266" s="381">
        <f t="shared" si="8"/>
        <v>4.0404040404040407E-2</v>
      </c>
      <c r="T266" s="325">
        <v>1205</v>
      </c>
      <c r="U266" s="381">
        <f t="shared" si="7"/>
        <v>3.9384233233102368E-2</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36</v>
      </c>
      <c r="S267" s="381">
        <f t="shared" si="8"/>
        <v>0.18181818181818182</v>
      </c>
      <c r="T267" s="325">
        <v>4464</v>
      </c>
      <c r="U267" s="381">
        <f t="shared" si="7"/>
        <v>0.14590142502287881</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198</v>
      </c>
      <c r="S269" s="381">
        <f>SUM(S260:S268)</f>
        <v>1.0000000000000002</v>
      </c>
      <c r="T269" s="325">
        <f>SUM(T260:T268)</f>
        <v>30596</v>
      </c>
      <c r="U269" s="381">
        <f>SUM(U260:U268)</f>
        <v>1</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f>+R272*$R$281</f>
        <v>0</v>
      </c>
      <c r="T272" s="238">
        <v>0</v>
      </c>
      <c r="U272" s="261">
        <f>+T272/$T$281</f>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f>+R273/$R$281</f>
        <v>0</v>
      </c>
      <c r="T273" s="325">
        <v>0</v>
      </c>
      <c r="U273" s="381">
        <f>+T273/$T$281</f>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f t="shared" ref="S274:S279" si="9">+R274/$R$281</f>
        <v>0</v>
      </c>
      <c r="T274" s="325">
        <v>0</v>
      </c>
      <c r="U274" s="381">
        <f t="shared" ref="U274:U279" si="10">+T274/$T$281</f>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f t="shared" si="9"/>
        <v>0</v>
      </c>
      <c r="T275" s="325">
        <v>0</v>
      </c>
      <c r="U275" s="381">
        <f t="shared" si="10"/>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f t="shared" si="9"/>
        <v>0</v>
      </c>
      <c r="T276" s="325">
        <v>0</v>
      </c>
      <c r="U276" s="381">
        <f t="shared" si="10"/>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f t="shared" si="9"/>
        <v>0</v>
      </c>
      <c r="T277" s="325">
        <v>0</v>
      </c>
      <c r="U277" s="381">
        <f t="shared" si="10"/>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f t="shared" si="9"/>
        <v>0</v>
      </c>
      <c r="T278" s="325">
        <v>0</v>
      </c>
      <c r="U278" s="381">
        <f t="shared" si="10"/>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1</v>
      </c>
      <c r="S279" s="381">
        <f t="shared" si="9"/>
        <v>1</v>
      </c>
      <c r="T279" s="325">
        <v>264</v>
      </c>
      <c r="U279" s="381">
        <f t="shared" si="10"/>
        <v>1</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1</v>
      </c>
      <c r="S281" s="381">
        <f>SUM(S272:S279)</f>
        <v>1</v>
      </c>
      <c r="T281" s="325">
        <f>SUM(T272:T279)</f>
        <v>264</v>
      </c>
      <c r="U281" s="381">
        <f>SUM(U272:U279)</f>
        <v>1</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79" t="s">
        <v>167</v>
      </c>
      <c r="C283" s="272"/>
      <c r="D283" s="272"/>
      <c r="E283" s="272"/>
      <c r="F283" s="272"/>
      <c r="G283" s="272"/>
      <c r="H283" s="383"/>
      <c r="I283" s="383"/>
      <c r="J283" s="383"/>
      <c r="K283" s="383"/>
      <c r="L283" s="383"/>
      <c r="M283" s="383"/>
      <c r="N283" s="383"/>
      <c r="O283" s="383"/>
      <c r="P283" s="383"/>
      <c r="Q283" s="383"/>
      <c r="R283" s="390">
        <f>R281+R269+R257</f>
        <v>7836</v>
      </c>
      <c r="S283" s="381"/>
      <c r="T283" s="387">
        <f>+T281+T269+T257</f>
        <v>998828</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93</v>
      </c>
      <c r="C287" s="220"/>
      <c r="D287" s="220"/>
      <c r="E287" s="220"/>
      <c r="F287" s="265" t="s">
        <v>151</v>
      </c>
      <c r="G287" s="220"/>
      <c r="H287" s="219" t="s">
        <v>155</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281</v>
      </c>
      <c r="C288" s="219"/>
      <c r="D288" s="219"/>
      <c r="E288" s="219"/>
      <c r="F288" s="265" t="s">
        <v>282</v>
      </c>
      <c r="G288" s="219"/>
      <c r="H288" s="219" t="s">
        <v>283</v>
      </c>
      <c r="I288" s="227"/>
      <c r="J288" s="219"/>
      <c r="K288" s="227"/>
      <c r="L288" s="227"/>
      <c r="M288" s="227"/>
      <c r="N288" s="227"/>
      <c r="O288" s="227"/>
      <c r="P288" s="227"/>
      <c r="Q288" s="227"/>
      <c r="R288" s="227"/>
      <c r="S288" s="227"/>
      <c r="T288" s="227"/>
      <c r="U288" s="227"/>
      <c r="V288" s="227"/>
      <c r="W288" s="227"/>
      <c r="X288" s="5"/>
    </row>
    <row r="289" spans="1:24" ht="15.6" x14ac:dyDescent="0.3">
      <c r="A289" s="216"/>
      <c r="B289" s="219" t="s">
        <v>94</v>
      </c>
      <c r="C289" s="219"/>
      <c r="D289" s="219"/>
      <c r="E289" s="219"/>
      <c r="F289" s="265" t="s">
        <v>150</v>
      </c>
      <c r="G289" s="219"/>
      <c r="H289" s="219" t="s">
        <v>156</v>
      </c>
      <c r="I289" s="219"/>
      <c r="J289" s="219"/>
      <c r="K289" s="227"/>
      <c r="L289" s="227"/>
      <c r="M289" s="227"/>
      <c r="N289" s="227"/>
      <c r="O289" s="227"/>
      <c r="P289" s="227"/>
      <c r="Q289" s="227"/>
      <c r="R289" s="227"/>
      <c r="S289" s="227"/>
      <c r="T289" s="227"/>
      <c r="U289" s="227"/>
      <c r="V289" s="227"/>
      <c r="W289" s="227"/>
      <c r="X289" s="5"/>
    </row>
    <row r="290" spans="1:24" ht="15.6" x14ac:dyDescent="0.3">
      <c r="A290" s="216"/>
      <c r="B290" s="219"/>
      <c r="C290" s="219"/>
      <c r="D290" s="219"/>
      <c r="E290" s="219"/>
      <c r="F290" s="219"/>
      <c r="G290" s="266"/>
      <c r="H290" s="227"/>
      <c r="I290" s="227"/>
      <c r="J290" s="227"/>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8" thickBot="1" x14ac:dyDescent="0.35">
      <c r="A292" s="216"/>
      <c r="B292" s="267" t="str">
        <f>B197</f>
        <v>PM13 INVESTOR REPORT QUARTER ENDING JUNE 2012</v>
      </c>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x14ac:dyDescent="0.25">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row>
  </sheetData>
  <hyperlinks>
    <hyperlink ref="P233" r:id="rId1" xr:uid="{00000000-0004-0000-1600-000000000000}"/>
    <hyperlink ref="I9" r:id="rId2" xr:uid="{00000000-0004-0000-16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7" max="14" man="1"/>
    <brk id="197" max="14" man="1"/>
  </row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2D2926"/>
  </sheetPr>
  <dimension ref="A1:Z293"/>
  <sheetViews>
    <sheetView showGridLines="0" showOutlineSymbols="0" topLeftCell="A19"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0.63859999999999995</v>
      </c>
      <c r="T16" s="224" t="s">
        <v>143</v>
      </c>
      <c r="U16" s="223">
        <v>0.3614</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41201</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175"/>
      <c r="B22" s="177"/>
      <c r="C22" s="189"/>
      <c r="D22" s="189" t="s">
        <v>180</v>
      </c>
      <c r="E22" s="189"/>
      <c r="F22" s="189" t="s">
        <v>181</v>
      </c>
      <c r="G22" s="189"/>
      <c r="H22" s="189" t="s">
        <v>182</v>
      </c>
      <c r="I22" s="189"/>
      <c r="J22" s="189" t="s">
        <v>223</v>
      </c>
      <c r="K22" s="189"/>
      <c r="L22" s="189" t="s">
        <v>183</v>
      </c>
      <c r="M22" s="189"/>
      <c r="N22" s="189" t="s">
        <v>184</v>
      </c>
      <c r="O22" s="189"/>
      <c r="P22" s="189" t="s">
        <v>224</v>
      </c>
      <c r="Q22" s="189"/>
      <c r="R22" s="189" t="s">
        <v>185</v>
      </c>
      <c r="S22" s="190"/>
      <c r="T22" s="191"/>
      <c r="U22" s="187"/>
      <c r="V22" s="187"/>
      <c r="W22" s="177"/>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323</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321</v>
      </c>
      <c r="E27" s="389"/>
      <c r="F27" s="389" t="s">
        <v>168</v>
      </c>
      <c r="G27" s="389"/>
      <c r="H27" s="389" t="s">
        <v>168</v>
      </c>
      <c r="I27" s="389"/>
      <c r="J27" s="389" t="s">
        <v>168</v>
      </c>
      <c r="K27" s="389"/>
      <c r="L27" s="389" t="s">
        <v>324</v>
      </c>
      <c r="M27" s="389"/>
      <c r="N27" s="389" t="s">
        <v>324</v>
      </c>
      <c r="O27" s="389"/>
      <c r="P27" s="389" t="s">
        <v>325</v>
      </c>
      <c r="Q27" s="389"/>
      <c r="R27" s="389" t="s">
        <v>325</v>
      </c>
      <c r="S27" s="273"/>
      <c r="T27" s="280"/>
      <c r="U27" s="274"/>
      <c r="V27" s="274"/>
      <c r="W27" s="275"/>
      <c r="X27" s="5"/>
    </row>
    <row r="28" spans="1:24" ht="15.6" x14ac:dyDescent="0.3">
      <c r="A28" s="271"/>
      <c r="B28" s="279" t="s">
        <v>195</v>
      </c>
      <c r="C28" s="273"/>
      <c r="D28" s="389" t="s">
        <v>319</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930463.64999999991</v>
      </c>
      <c r="E32" s="282"/>
      <c r="F32" s="283">
        <f>F31*F38</f>
        <v>77538.825000000012</v>
      </c>
      <c r="G32" s="283"/>
      <c r="H32" s="288">
        <f>H31*H38</f>
        <v>195397.83900000001</v>
      </c>
      <c r="I32" s="288"/>
      <c r="J32" s="287">
        <f>J31*J38</f>
        <v>217108.18499999997</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921228.45</v>
      </c>
      <c r="E33" s="286"/>
      <c r="F33" s="289">
        <f>F37*F31</f>
        <v>76769.224999999991</v>
      </c>
      <c r="G33" s="289"/>
      <c r="H33" s="292">
        <f>H31*H37</f>
        <v>193458.44699999999</v>
      </c>
      <c r="I33" s="292"/>
      <c r="J33" s="291">
        <f>J37*J31</f>
        <v>214953.30499999999</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494927.26223519997</v>
      </c>
      <c r="E35" s="282"/>
      <c r="F35" s="283">
        <f>F34*F38</f>
        <v>77538.825000000012</v>
      </c>
      <c r="G35" s="283"/>
      <c r="H35" s="283">
        <f>H34*H38</f>
        <v>131139.24363540002</v>
      </c>
      <c r="I35" s="283"/>
      <c r="J35" s="283">
        <f>J34*J38</f>
        <v>115482.94514699999</v>
      </c>
      <c r="K35" s="283"/>
      <c r="L35" s="283">
        <f>L34*L38</f>
        <v>56000</v>
      </c>
      <c r="M35" s="283"/>
      <c r="N35" s="283">
        <f>N34*N38</f>
        <v>56376</v>
      </c>
      <c r="O35" s="283"/>
      <c r="P35" s="283">
        <f>P34*P38</f>
        <v>13000</v>
      </c>
      <c r="Q35" s="283"/>
      <c r="R35" s="283">
        <f>R34*R38</f>
        <v>54363</v>
      </c>
      <c r="S35" s="283"/>
      <c r="T35" s="283"/>
      <c r="U35" s="284"/>
      <c r="V35" s="283">
        <f>SUM(C35:R35)+1</f>
        <v>998828.27601759997</v>
      </c>
      <c r="W35" s="285"/>
      <c r="X35" s="5"/>
    </row>
    <row r="36" spans="1:24" ht="15.6" x14ac:dyDescent="0.3">
      <c r="A36" s="276"/>
      <c r="B36" s="279" t="s">
        <v>304</v>
      </c>
      <c r="C36" s="286"/>
      <c r="D36" s="289">
        <f>D34*D37</f>
        <v>490014.92390559998</v>
      </c>
      <c r="E36" s="286"/>
      <c r="F36" s="289">
        <f>F34*F37</f>
        <v>76769.224999999991</v>
      </c>
      <c r="G36" s="289"/>
      <c r="H36" s="289">
        <f>H34*H37</f>
        <v>129837.64070419999</v>
      </c>
      <c r="I36" s="289"/>
      <c r="J36" s="289">
        <f>J34*J37</f>
        <v>114336.733691</v>
      </c>
      <c r="K36" s="289"/>
      <c r="L36" s="289">
        <v>56000</v>
      </c>
      <c r="M36" s="289"/>
      <c r="N36" s="289">
        <v>56376</v>
      </c>
      <c r="O36" s="289"/>
      <c r="P36" s="289">
        <v>13000</v>
      </c>
      <c r="Q36" s="289"/>
      <c r="R36" s="289">
        <v>54363</v>
      </c>
      <c r="S36" s="314"/>
      <c r="T36" s="314"/>
      <c r="U36" s="284"/>
      <c r="V36" s="289">
        <f>SUM(C36:R36)</f>
        <v>990697.52330080001</v>
      </c>
      <c r="W36" s="285"/>
      <c r="X36" s="5"/>
    </row>
    <row r="37" spans="1:24" ht="15.6" x14ac:dyDescent="0.3">
      <c r="A37" s="271"/>
      <c r="B37" s="297" t="s">
        <v>133</v>
      </c>
      <c r="C37" s="298"/>
      <c r="D37" s="299">
        <v>0.61415229999999998</v>
      </c>
      <c r="E37" s="300"/>
      <c r="F37" s="299">
        <v>0.61415379999999997</v>
      </c>
      <c r="G37" s="301"/>
      <c r="H37" s="299">
        <v>0.61415379999999997</v>
      </c>
      <c r="I37" s="301"/>
      <c r="J37" s="299">
        <v>0.61415229999999998</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0.62030909999999995</v>
      </c>
      <c r="E38" s="300"/>
      <c r="F38" s="299">
        <v>0.62031060000000005</v>
      </c>
      <c r="G38" s="301"/>
      <c r="H38" s="299">
        <v>0.62031060000000005</v>
      </c>
      <c r="I38" s="301"/>
      <c r="J38" s="299">
        <v>0.62030909999999995</v>
      </c>
      <c r="K38" s="301"/>
      <c r="L38" s="299">
        <v>1</v>
      </c>
      <c r="M38" s="299"/>
      <c r="N38" s="299">
        <v>1</v>
      </c>
      <c r="O38" s="299"/>
      <c r="P38" s="299">
        <v>1</v>
      </c>
      <c r="Q38" s="299"/>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4.6074999999999996E-3</v>
      </c>
      <c r="E40" s="272"/>
      <c r="F40" s="308">
        <v>1.06838E-2</v>
      </c>
      <c r="G40" s="307"/>
      <c r="H40" s="308">
        <v>7.3699999999999998E-3</v>
      </c>
      <c r="I40" s="308"/>
      <c r="J40" s="308">
        <v>6.3509999999999999E-3</v>
      </c>
      <c r="K40" s="307"/>
      <c r="L40" s="308">
        <v>1.2283799999999999E-2</v>
      </c>
      <c r="M40" s="307"/>
      <c r="N40" s="308">
        <v>8.77E-3</v>
      </c>
      <c r="O40" s="307"/>
      <c r="P40" s="308">
        <v>1.6283800000000001E-2</v>
      </c>
      <c r="Q40" s="307"/>
      <c r="R40" s="308">
        <v>1.277E-2</v>
      </c>
      <c r="S40" s="307"/>
      <c r="T40" s="308"/>
      <c r="U40" s="274"/>
      <c r="V40" s="280"/>
      <c r="W40" s="275"/>
      <c r="X40" s="5"/>
    </row>
    <row r="41" spans="1:24" ht="15.6" x14ac:dyDescent="0.3">
      <c r="A41" s="271"/>
      <c r="B41" s="272" t="s">
        <v>13</v>
      </c>
      <c r="C41" s="272"/>
      <c r="D41" s="308">
        <v>3.6175000000000001E-3</v>
      </c>
      <c r="E41" s="272"/>
      <c r="F41" s="308">
        <v>1.2574999999999999E-2</v>
      </c>
      <c r="G41" s="307"/>
      <c r="H41" s="308">
        <v>9.9699999999999997E-3</v>
      </c>
      <c r="I41" s="308"/>
      <c r="J41" s="308">
        <v>6.4665E-3</v>
      </c>
      <c r="K41" s="307"/>
      <c r="L41" s="308">
        <v>1.4175E-2</v>
      </c>
      <c r="M41" s="307"/>
      <c r="N41" s="308">
        <v>1.137E-2</v>
      </c>
      <c r="O41" s="307"/>
      <c r="P41" s="308">
        <v>1.8175E-2</v>
      </c>
      <c r="Q41" s="307"/>
      <c r="R41" s="308">
        <v>1.537E-2</v>
      </c>
      <c r="S41" s="307"/>
      <c r="T41" s="308"/>
      <c r="U41" s="274"/>
      <c r="V41" s="307" t="s">
        <v>196</v>
      </c>
      <c r="W41" s="275"/>
      <c r="X41" s="5"/>
    </row>
    <row r="42" spans="1:24" ht="15.6" x14ac:dyDescent="0.3">
      <c r="A42" s="271"/>
      <c r="B42" s="272" t="s">
        <v>300</v>
      </c>
      <c r="C42" s="272"/>
      <c r="D42" s="280" t="s">
        <v>327</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v>1.10458E-2</v>
      </c>
      <c r="E43" s="308"/>
      <c r="F43" s="308">
        <f>+F40</f>
        <v>1.06838E-2</v>
      </c>
      <c r="G43" s="308"/>
      <c r="H43" s="308">
        <v>1.09278E-2</v>
      </c>
      <c r="I43" s="308"/>
      <c r="J43" s="308">
        <v>1.07638E-2</v>
      </c>
      <c r="K43" s="308"/>
      <c r="L43" s="308">
        <f>+L40</f>
        <v>1.2283799999999999E-2</v>
      </c>
      <c r="M43" s="308"/>
      <c r="N43" s="308">
        <v>1.2463800000000001E-2</v>
      </c>
      <c r="O43" s="308"/>
      <c r="P43" s="308">
        <f>+P40</f>
        <v>1.6283800000000001E-2</v>
      </c>
      <c r="Q43" s="307"/>
      <c r="R43" s="308">
        <v>1.6683799999999999E-2</v>
      </c>
      <c r="S43" s="280"/>
      <c r="T43" s="280"/>
      <c r="U43" s="274"/>
      <c r="V43" s="307">
        <f>SUMPRODUCT(D43:R43,D35:R35)/V35</f>
        <v>1.1494066284625765E-2</v>
      </c>
      <c r="W43" s="275"/>
      <c r="X43" s="5"/>
    </row>
    <row r="44" spans="1:24" ht="15.6" x14ac:dyDescent="0.3">
      <c r="A44" s="271"/>
      <c r="B44" s="272" t="s">
        <v>302</v>
      </c>
      <c r="C44" s="309"/>
      <c r="D44" s="308">
        <v>1.1714199999999999E-2</v>
      </c>
      <c r="E44" s="308"/>
      <c r="F44" s="308">
        <f>+F41</f>
        <v>1.2574999999999999E-2</v>
      </c>
      <c r="G44" s="308"/>
      <c r="H44" s="308">
        <v>1.2819000000000001E-2</v>
      </c>
      <c r="I44" s="308"/>
      <c r="J44" s="308">
        <v>1.2655E-2</v>
      </c>
      <c r="K44" s="308"/>
      <c r="L44" s="308">
        <f>+L41</f>
        <v>1.4175E-2</v>
      </c>
      <c r="M44" s="308"/>
      <c r="N44" s="308">
        <v>1.4355E-2</v>
      </c>
      <c r="O44" s="308"/>
      <c r="P44" s="308">
        <f>+P41</f>
        <v>1.8175E-2</v>
      </c>
      <c r="Q44" s="307"/>
      <c r="R44" s="308">
        <v>1.8575000000000001E-2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328</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0.22163772231953147</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41197</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91</v>
      </c>
      <c r="S57" s="318"/>
      <c r="T57" s="319">
        <v>41015</v>
      </c>
      <c r="U57" s="320"/>
      <c r="V57" s="319">
        <v>41105</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91</v>
      </c>
      <c r="S58" s="272"/>
      <c r="T58" s="319">
        <v>41106</v>
      </c>
      <c r="U58" s="320"/>
      <c r="V58" s="319">
        <v>41196</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41183</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326</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998828</v>
      </c>
      <c r="O68" s="324"/>
      <c r="P68" s="324">
        <f>8130+522</f>
        <v>8652</v>
      </c>
      <c r="Q68" s="324"/>
      <c r="R68" s="324">
        <v>522</v>
      </c>
      <c r="S68" s="324"/>
      <c r="T68" s="324">
        <v>0</v>
      </c>
      <c r="U68" s="324"/>
      <c r="V68" s="325">
        <f>+N68-P68+R68-T68</f>
        <v>990698</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998828</v>
      </c>
      <c r="O71" s="324"/>
      <c r="P71" s="324">
        <f>SUM(P68:P70)</f>
        <v>8652</v>
      </c>
      <c r="Q71" s="324"/>
      <c r="R71" s="324">
        <f>SUM(R68:R70)</f>
        <v>522</v>
      </c>
      <c r="S71" s="324"/>
      <c r="T71" s="324">
        <f>SUM(T68:T70)</f>
        <v>0</v>
      </c>
      <c r="U71" s="324"/>
      <c r="V71" s="324">
        <f>SUM(V68:V70)</f>
        <v>990698</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998828</v>
      </c>
      <c r="O84" s="328"/>
      <c r="P84" s="328"/>
      <c r="Q84" s="328"/>
      <c r="R84" s="328"/>
      <c r="S84" s="328"/>
      <c r="T84" s="328"/>
      <c r="U84" s="328"/>
      <c r="V84" s="328">
        <f>SUM(V71:V83)</f>
        <v>990698</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+T198</f>
        <v>41180</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8652-470</f>
        <v>8182</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4543+3497-471-1181</f>
        <v>6388</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120+17</f>
        <v>137</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52</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507</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8182</v>
      </c>
      <c r="U96" s="272"/>
      <c r="V96" s="324">
        <f>SUM(V88:V95)</f>
        <v>7084</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-207</v>
      </c>
      <c r="U97" s="272"/>
      <c r="V97" s="324">
        <v>207</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305</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7975</v>
      </c>
      <c r="U100" s="272"/>
      <c r="V100" s="324">
        <f>V96+V98+V97+V99</f>
        <v>7596</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231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272" t="s">
        <v>207</v>
      </c>
      <c r="C104" s="272"/>
      <c r="D104" s="272"/>
      <c r="E104" s="272"/>
      <c r="F104" s="272"/>
      <c r="G104" s="272"/>
      <c r="H104" s="272"/>
      <c r="I104" s="272"/>
      <c r="J104" s="272"/>
      <c r="K104" s="272"/>
      <c r="L104" s="272"/>
      <c r="M104" s="272"/>
      <c r="N104" s="272"/>
      <c r="O104" s="272"/>
      <c r="P104" s="272"/>
      <c r="Q104" s="272"/>
      <c r="R104" s="272"/>
      <c r="S104" s="272"/>
      <c r="T104" s="272"/>
      <c r="U104" s="272"/>
      <c r="V104" s="325">
        <f>-381-264-12</f>
        <v>-657</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-26</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-2237+207</f>
        <v>-2030</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-207</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-2</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-175</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-172</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-226</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-53</v>
      </c>
      <c r="W112" s="275"/>
      <c r="X112" s="5"/>
      <c r="Y112" s="109"/>
    </row>
    <row r="113" spans="1:24" ht="15.6" x14ac:dyDescent="0.3">
      <c r="A113" s="338">
        <v>7</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-10</v>
      </c>
      <c r="W113" s="275"/>
      <c r="X113" s="5"/>
    </row>
    <row r="114" spans="1:24" ht="15.6" x14ac:dyDescent="0.3">
      <c r="A114" s="338">
        <f t="shared" ref="A114:A120" si="0">+A113+1</f>
        <v>8</v>
      </c>
      <c r="B114" s="272" t="s">
        <v>45</v>
      </c>
      <c r="C114" s="272"/>
      <c r="D114" s="272"/>
      <c r="E114" s="272"/>
      <c r="F114" s="272"/>
      <c r="G114" s="272"/>
      <c r="H114" s="272"/>
      <c r="I114" s="272"/>
      <c r="J114" s="272"/>
      <c r="K114" s="272"/>
      <c r="L114" s="272"/>
      <c r="M114" s="272"/>
      <c r="N114" s="272"/>
      <c r="O114" s="272"/>
      <c r="P114" s="272"/>
      <c r="Q114" s="272"/>
      <c r="R114" s="272"/>
      <c r="S114" s="272"/>
      <c r="T114" s="324">
        <f>-V114</f>
        <v>470</v>
      </c>
      <c r="U114" s="272"/>
      <c r="V114" s="325">
        <v>-470</v>
      </c>
      <c r="W114" s="275"/>
      <c r="X114" s="5"/>
    </row>
    <row r="115" spans="1:24" ht="15.6" x14ac:dyDescent="0.3">
      <c r="A115" s="338">
        <f t="shared" si="0"/>
        <v>9</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10</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11</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12</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13</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-380</v>
      </c>
      <c r="W119" s="275"/>
      <c r="X119" s="5"/>
    </row>
    <row r="120" spans="1:24" ht="15.6" x14ac:dyDescent="0.3">
      <c r="A120" s="338">
        <f t="shared" si="0"/>
        <v>14</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-V100-SUM(V102:V119)</f>
        <v>-3186</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0</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-218</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-97</v>
      </c>
      <c r="U124" s="324"/>
      <c r="V124" s="325"/>
      <c r="W124" s="275"/>
      <c r="X124" s="5"/>
    </row>
    <row r="125" spans="1:24" ht="15.6" x14ac:dyDescent="0.3">
      <c r="A125" s="338"/>
      <c r="B125" s="272" t="s">
        <v>200</v>
      </c>
      <c r="C125" s="272"/>
      <c r="D125" s="272"/>
      <c r="E125" s="272"/>
      <c r="F125" s="272"/>
      <c r="G125" s="272"/>
      <c r="H125" s="272"/>
      <c r="I125" s="272"/>
      <c r="J125" s="272"/>
      <c r="K125" s="272"/>
      <c r="L125" s="272"/>
      <c r="M125" s="272"/>
      <c r="N125" s="272"/>
      <c r="O125" s="272"/>
      <c r="P125" s="272"/>
      <c r="Q125" s="272"/>
      <c r="R125" s="272"/>
      <c r="S125" s="272"/>
      <c r="T125" s="324">
        <v>-4912</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-770</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-1302</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-1146</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-8445</v>
      </c>
      <c r="U133" s="324"/>
      <c r="V133" s="324">
        <f>SUM(V101:V130)</f>
        <v>-7596</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T100+T133+T114</f>
        <v>0</v>
      </c>
      <c r="U134" s="324"/>
      <c r="V134" s="324">
        <f>V100+V133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B64</f>
        <v>PM13 INVESTOR REPORT QUARTER ENDING SEPTEMBER 2012</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272</v>
      </c>
      <c r="C155" s="272"/>
      <c r="D155" s="272"/>
      <c r="E155" s="272"/>
      <c r="F155" s="272"/>
      <c r="G155" s="272"/>
      <c r="H155" s="272"/>
      <c r="I155" s="272"/>
      <c r="J155" s="272"/>
      <c r="K155" s="272"/>
      <c r="L155" s="272"/>
      <c r="M155" s="272"/>
      <c r="N155" s="272"/>
      <c r="O155" s="272"/>
      <c r="P155" s="272"/>
      <c r="Q155" s="272"/>
      <c r="R155" s="272"/>
      <c r="S155" s="272"/>
      <c r="T155" s="272"/>
      <c r="U155" s="272"/>
      <c r="V155" s="325">
        <v>6000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470</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470</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-470</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v>0</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V71</f>
        <v>990698</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V84</f>
        <v>990698</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+'June 12'!S183</f>
        <v>46753</v>
      </c>
      <c r="T181" s="325">
        <f>+'June 12'!T183</f>
        <v>9723</v>
      </c>
      <c r="U181" s="272"/>
      <c r="V181" s="325">
        <f>S181+T181</f>
        <v>56476</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v>97</v>
      </c>
      <c r="T182" s="324">
        <v>0</v>
      </c>
      <c r="U182" s="272"/>
      <c r="V182" s="325">
        <f>S182+T182</f>
        <v>97</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46850</v>
      </c>
      <c r="T183" s="325">
        <f>T182+T181</f>
        <v>9723</v>
      </c>
      <c r="U183" s="272"/>
      <c r="V183" s="325">
        <f>S183+T183</f>
        <v>56573</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183457.4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(V100+V102+V103+V104+V105)/-(V106+V107)</f>
        <v>3.0894054537326778</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1.63</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(V100+V102+V103+V104+V105+V106+V107)/-(V109+V110)</f>
        <v>13.469740634005763</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5.98</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(V100+V102+V103+V104+V105+V106+V107+V109+V110)/-(V111+V112)</f>
        <v>15.508960573476703</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7.67</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SEPTEMBER 2012</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41180</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2.4899999999999999E-2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1.1494066284625765E-2</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1.3405933715374234E-2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+V100/N71</f>
        <v>7.6049129579867604E-3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15.16</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P68/N68</f>
        <v>8.6621520421934512E-3</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7.7700000000000005E-2</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7</v>
      </c>
      <c r="T216" s="357">
        <v>1014</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188</v>
      </c>
      <c r="T217" s="357">
        <f>+T269</f>
        <v>29067</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f>+R281</f>
        <v>2</v>
      </c>
      <c r="T218" s="357">
        <f>+T281</f>
        <v>341</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+N81</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2" t="s">
        <v>84</v>
      </c>
      <c r="C222" s="272"/>
      <c r="D222" s="272"/>
      <c r="E222" s="272"/>
      <c r="F222" s="272"/>
      <c r="G222" s="272"/>
      <c r="H222" s="272"/>
      <c r="I222" s="272"/>
      <c r="J222" s="272"/>
      <c r="K222" s="272"/>
      <c r="L222" s="272"/>
      <c r="M222" s="272"/>
      <c r="N222" s="272"/>
      <c r="O222" s="272"/>
      <c r="P222" s="272"/>
      <c r="Q222" s="272"/>
      <c r="R222" s="272"/>
      <c r="S222" s="280"/>
      <c r="T222" s="357">
        <f>V166</f>
        <v>470</v>
      </c>
      <c r="U222" s="272"/>
      <c r="V222" s="362"/>
      <c r="W222" s="367"/>
      <c r="X222" s="5"/>
    </row>
    <row r="223" spans="1:24" ht="15.6" x14ac:dyDescent="0.3">
      <c r="A223" s="356"/>
      <c r="B223" s="272" t="s">
        <v>85</v>
      </c>
      <c r="C223" s="324"/>
      <c r="D223" s="324"/>
      <c r="E223" s="324"/>
      <c r="F223" s="324"/>
      <c r="G223" s="272"/>
      <c r="H223" s="272"/>
      <c r="I223" s="272"/>
      <c r="J223" s="272"/>
      <c r="K223" s="272"/>
      <c r="L223" s="272"/>
      <c r="M223" s="272"/>
      <c r="N223" s="272"/>
      <c r="O223" s="272"/>
      <c r="P223" s="272"/>
      <c r="Q223" s="272"/>
      <c r="R223" s="272"/>
      <c r="S223" s="280"/>
      <c r="T223" s="357">
        <f>'June 12'!T223+T222</f>
        <v>3760</v>
      </c>
      <c r="U223" s="272"/>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8</v>
      </c>
      <c r="T229" s="357">
        <v>964</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1.51</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 t="shared" ref="R236:R243" si="1">+R248+R260+R272</f>
        <v>7685</v>
      </c>
      <c r="S236" s="381">
        <f t="shared" ref="S236:S243" si="2">R236/$R$245</f>
        <v>0.98829732510288071</v>
      </c>
      <c r="T236" s="325">
        <f t="shared" ref="T236:T243" si="3">+T248+T260+T272</f>
        <v>975768</v>
      </c>
      <c r="U236" s="381">
        <f t="shared" ref="U236:U243" si="4">T236/$T$245</f>
        <v>0.98492981715921502</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si="1"/>
        <v>40</v>
      </c>
      <c r="S237" s="381">
        <f t="shared" si="2"/>
        <v>5.1440329218106996E-3</v>
      </c>
      <c r="T237" s="325">
        <f t="shared" si="3"/>
        <v>8569</v>
      </c>
      <c r="U237" s="381">
        <f t="shared" si="4"/>
        <v>8.6494572513520773E-3</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7</v>
      </c>
      <c r="S238" s="381">
        <f t="shared" si="2"/>
        <v>9.0020576131687245E-4</v>
      </c>
      <c r="T238" s="325">
        <f t="shared" si="3"/>
        <v>708</v>
      </c>
      <c r="U238" s="381">
        <f t="shared" si="4"/>
        <v>7.146476524632128E-4</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1</v>
      </c>
      <c r="S239" s="381">
        <f t="shared" si="2"/>
        <v>1.286008230452675E-4</v>
      </c>
      <c r="T239" s="325">
        <f t="shared" si="3"/>
        <v>72</v>
      </c>
      <c r="U239" s="381">
        <f t="shared" si="4"/>
        <v>7.2676032453886048E-5</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3</v>
      </c>
      <c r="S240" s="381">
        <f t="shared" si="2"/>
        <v>3.8580246913580245E-4</v>
      </c>
      <c r="T240" s="325">
        <f t="shared" si="3"/>
        <v>346</v>
      </c>
      <c r="U240" s="381">
        <f t="shared" si="4"/>
        <v>3.4924871151450793E-4</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0</v>
      </c>
      <c r="S241" s="381">
        <f t="shared" si="2"/>
        <v>0</v>
      </c>
      <c r="T241" s="325">
        <f t="shared" si="3"/>
        <v>0</v>
      </c>
      <c r="U241" s="381">
        <f t="shared" si="4"/>
        <v>0</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2</v>
      </c>
      <c r="S242" s="381">
        <f t="shared" si="2"/>
        <v>2.57201646090535E-4</v>
      </c>
      <c r="T242" s="325">
        <f t="shared" si="3"/>
        <v>371</v>
      </c>
      <c r="U242" s="381">
        <f t="shared" si="4"/>
        <v>3.7448344500544059E-4</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38</v>
      </c>
      <c r="S243" s="381">
        <f t="shared" si="2"/>
        <v>4.8868312757201649E-3</v>
      </c>
      <c r="T243" s="325">
        <f t="shared" si="3"/>
        <v>4864</v>
      </c>
      <c r="U243" s="381">
        <f t="shared" si="4"/>
        <v>4.9096697479958573E-3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7776</v>
      </c>
      <c r="S245" s="381">
        <f>SUM(S236:S244)</f>
        <v>1</v>
      </c>
      <c r="T245" s="325">
        <f>SUM(T236:T244)</f>
        <v>990698</v>
      </c>
      <c r="U245" s="381">
        <f>SUM(U236:U244)</f>
        <v>1</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7548</v>
      </c>
      <c r="S248" s="261">
        <f t="shared" ref="S248:S255" si="5">R248/$R$257</f>
        <v>0.99499077247561296</v>
      </c>
      <c r="T248" s="238">
        <v>953025</v>
      </c>
      <c r="U248" s="261">
        <f t="shared" ref="U248:U255" si="6">T248/$T$257</f>
        <v>0.99140217832287858</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32</v>
      </c>
      <c r="S249" s="381">
        <f t="shared" si="5"/>
        <v>4.2182968626417088E-3</v>
      </c>
      <c r="T249" s="325">
        <v>7618</v>
      </c>
      <c r="U249" s="381">
        <f t="shared" si="6"/>
        <v>7.9247677599891819E-3</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3</v>
      </c>
      <c r="S250" s="381">
        <f t="shared" si="5"/>
        <v>3.9546533087266017E-4</v>
      </c>
      <c r="T250" s="325">
        <v>330</v>
      </c>
      <c r="U250" s="381">
        <f t="shared" si="6"/>
        <v>3.4328870580157915E-4</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1</v>
      </c>
      <c r="S251" s="381">
        <f t="shared" si="5"/>
        <v>1.318217769575534E-4</v>
      </c>
      <c r="T251" s="325">
        <v>72</v>
      </c>
      <c r="U251" s="381">
        <f t="shared" si="6"/>
        <v>7.489935399307181E-5</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2</v>
      </c>
      <c r="S255" s="381">
        <f t="shared" si="5"/>
        <v>2.636435539151068E-4</v>
      </c>
      <c r="T255" s="325">
        <v>245</v>
      </c>
      <c r="U255" s="381">
        <f t="shared" si="6"/>
        <v>2.5486585733753604E-4</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7586</v>
      </c>
      <c r="S257" s="381">
        <f>SUM(S248:S256)</f>
        <v>1</v>
      </c>
      <c r="T257" s="325">
        <f>SUM(T248:T256)</f>
        <v>961290</v>
      </c>
      <c r="U257" s="381">
        <f>SUM(U248:U256)</f>
        <v>1</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137</v>
      </c>
      <c r="S260" s="261">
        <f>R260/$R$269</f>
        <v>0.72872340425531912</v>
      </c>
      <c r="T260" s="238">
        <v>22743</v>
      </c>
      <c r="U260" s="261">
        <f t="shared" ref="U260:U267" si="7">T260/$T$269</f>
        <v>0.78243368768706778</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8</v>
      </c>
      <c r="S261" s="381">
        <f t="shared" ref="S261:S267" si="8">R261/$R$269</f>
        <v>4.2553191489361701E-2</v>
      </c>
      <c r="T261" s="325">
        <v>951</v>
      </c>
      <c r="U261" s="381">
        <f t="shared" si="7"/>
        <v>3.2717514707400142E-2</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4</v>
      </c>
      <c r="S262" s="381">
        <f t="shared" si="8"/>
        <v>2.1276595744680851E-2</v>
      </c>
      <c r="T262" s="325">
        <v>378</v>
      </c>
      <c r="U262" s="381">
        <f t="shared" si="7"/>
        <v>1.3004438022499742E-2</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0</v>
      </c>
      <c r="S263" s="381">
        <f t="shared" si="8"/>
        <v>0</v>
      </c>
      <c r="T263" s="325">
        <v>0</v>
      </c>
      <c r="U263" s="381">
        <f t="shared" si="7"/>
        <v>0</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3</v>
      </c>
      <c r="S264" s="381">
        <f t="shared" si="8"/>
        <v>1.5957446808510637E-2</v>
      </c>
      <c r="T264" s="325">
        <v>346</v>
      </c>
      <c r="U264" s="381">
        <f t="shared" si="7"/>
        <v>1.1903533216362198E-2</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0</v>
      </c>
      <c r="S265" s="381">
        <f t="shared" si="8"/>
        <v>0</v>
      </c>
      <c r="T265" s="325">
        <v>0</v>
      </c>
      <c r="U265" s="381">
        <f t="shared" si="7"/>
        <v>0</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2</v>
      </c>
      <c r="S266" s="381">
        <f t="shared" si="8"/>
        <v>1.0638297872340425E-2</v>
      </c>
      <c r="T266" s="325">
        <v>371</v>
      </c>
      <c r="U266" s="381">
        <f t="shared" si="7"/>
        <v>1.2763615096157154E-2</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34</v>
      </c>
      <c r="S267" s="381">
        <f t="shared" si="8"/>
        <v>0.18085106382978725</v>
      </c>
      <c r="T267" s="325">
        <v>4278</v>
      </c>
      <c r="U267" s="381">
        <f t="shared" si="7"/>
        <v>0.14717721127051295</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188</v>
      </c>
      <c r="S269" s="381">
        <f>SUM(S260:S268)</f>
        <v>0.99999999999999989</v>
      </c>
      <c r="T269" s="325">
        <f>SUM(T260:T268)</f>
        <v>29067</v>
      </c>
      <c r="U269" s="381">
        <f>SUM(U260:U268)</f>
        <v>1</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f>+R272*$R$281</f>
        <v>0</v>
      </c>
      <c r="T272" s="238">
        <v>0</v>
      </c>
      <c r="U272" s="261">
        <f>+T272/$T$281</f>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f>+R273/$R$281</f>
        <v>0</v>
      </c>
      <c r="T273" s="325">
        <v>0</v>
      </c>
      <c r="U273" s="381">
        <f>+T273/$T$281</f>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f t="shared" ref="S274:S279" si="9">+R274/$R$281</f>
        <v>0</v>
      </c>
      <c r="T274" s="325">
        <v>0</v>
      </c>
      <c r="U274" s="381">
        <f t="shared" ref="U274:U279" si="10">+T274/$T$281</f>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f t="shared" si="9"/>
        <v>0</v>
      </c>
      <c r="T275" s="325">
        <v>0</v>
      </c>
      <c r="U275" s="381">
        <f t="shared" si="10"/>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f t="shared" si="9"/>
        <v>0</v>
      </c>
      <c r="T276" s="325">
        <v>0</v>
      </c>
      <c r="U276" s="381">
        <f t="shared" si="10"/>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f t="shared" si="9"/>
        <v>0</v>
      </c>
      <c r="T277" s="325">
        <v>0</v>
      </c>
      <c r="U277" s="381">
        <f t="shared" si="10"/>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f t="shared" si="9"/>
        <v>0</v>
      </c>
      <c r="T278" s="325">
        <v>0</v>
      </c>
      <c r="U278" s="381">
        <f t="shared" si="10"/>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2</v>
      </c>
      <c r="S279" s="381">
        <f t="shared" si="9"/>
        <v>1</v>
      </c>
      <c r="T279" s="325">
        <v>341</v>
      </c>
      <c r="U279" s="381">
        <f t="shared" si="10"/>
        <v>1</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2</v>
      </c>
      <c r="S281" s="381">
        <f>SUM(S272:S279)</f>
        <v>1</v>
      </c>
      <c r="T281" s="325">
        <f>SUM(T272:T279)</f>
        <v>341</v>
      </c>
      <c r="U281" s="381">
        <f>SUM(U272:U279)</f>
        <v>1</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79" t="s">
        <v>167</v>
      </c>
      <c r="C283" s="272"/>
      <c r="D283" s="272"/>
      <c r="E283" s="272"/>
      <c r="F283" s="272"/>
      <c r="G283" s="272"/>
      <c r="H283" s="383"/>
      <c r="I283" s="383"/>
      <c r="J283" s="383"/>
      <c r="K283" s="383"/>
      <c r="L283" s="383"/>
      <c r="M283" s="383"/>
      <c r="N283" s="383"/>
      <c r="O283" s="383"/>
      <c r="P283" s="383"/>
      <c r="Q283" s="383"/>
      <c r="R283" s="390">
        <f>R281+R269+R257</f>
        <v>7776</v>
      </c>
      <c r="S283" s="381"/>
      <c r="T283" s="387">
        <f>+T281+T269+T257</f>
        <v>990698</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93</v>
      </c>
      <c r="C287" s="220"/>
      <c r="D287" s="220"/>
      <c r="E287" s="220"/>
      <c r="F287" s="265" t="s">
        <v>151</v>
      </c>
      <c r="G287" s="220"/>
      <c r="H287" s="219" t="s">
        <v>155</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281</v>
      </c>
      <c r="C288" s="219"/>
      <c r="D288" s="219"/>
      <c r="E288" s="219"/>
      <c r="F288" s="265" t="s">
        <v>282</v>
      </c>
      <c r="G288" s="219"/>
      <c r="H288" s="219" t="s">
        <v>283</v>
      </c>
      <c r="I288" s="227"/>
      <c r="J288" s="219"/>
      <c r="K288" s="227"/>
      <c r="L288" s="227"/>
      <c r="M288" s="227"/>
      <c r="N288" s="227"/>
      <c r="O288" s="227"/>
      <c r="P288" s="227"/>
      <c r="Q288" s="227"/>
      <c r="R288" s="227"/>
      <c r="S288" s="227"/>
      <c r="T288" s="227"/>
      <c r="U288" s="227"/>
      <c r="V288" s="227"/>
      <c r="W288" s="227"/>
      <c r="X288" s="5"/>
    </row>
    <row r="289" spans="1:24" ht="15.6" x14ac:dyDescent="0.3">
      <c r="A289" s="216"/>
      <c r="B289" s="219" t="s">
        <v>94</v>
      </c>
      <c r="C289" s="219"/>
      <c r="D289" s="219"/>
      <c r="E289" s="219"/>
      <c r="F289" s="265" t="s">
        <v>150</v>
      </c>
      <c r="G289" s="219"/>
      <c r="H289" s="219" t="s">
        <v>156</v>
      </c>
      <c r="I289" s="219"/>
      <c r="J289" s="219"/>
      <c r="K289" s="227"/>
      <c r="L289" s="227"/>
      <c r="M289" s="227"/>
      <c r="N289" s="227"/>
      <c r="O289" s="227"/>
      <c r="P289" s="227"/>
      <c r="Q289" s="227"/>
      <c r="R289" s="227"/>
      <c r="S289" s="227"/>
      <c r="T289" s="227"/>
      <c r="U289" s="227"/>
      <c r="V289" s="227"/>
      <c r="W289" s="227"/>
      <c r="X289" s="5"/>
    </row>
    <row r="290" spans="1:24" ht="15.6" x14ac:dyDescent="0.3">
      <c r="A290" s="216"/>
      <c r="B290" s="219"/>
      <c r="C290" s="219"/>
      <c r="D290" s="219"/>
      <c r="E290" s="219"/>
      <c r="F290" s="219"/>
      <c r="G290" s="266"/>
      <c r="H290" s="227"/>
      <c r="I290" s="227"/>
      <c r="J290" s="227"/>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8" thickBot="1" x14ac:dyDescent="0.35">
      <c r="A292" s="216"/>
      <c r="B292" s="267" t="str">
        <f>B197</f>
        <v>PM13 INVESTOR REPORT QUARTER ENDING SEPTEMBER 2012</v>
      </c>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x14ac:dyDescent="0.25">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row>
  </sheetData>
  <hyperlinks>
    <hyperlink ref="P233" r:id="rId1" xr:uid="{00000000-0004-0000-1700-000000000000}"/>
    <hyperlink ref="I9" r:id="rId2" xr:uid="{00000000-0004-0000-17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7" max="14" man="1"/>
    <brk id="197" max="14" man="1"/>
  </row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89CB31"/>
  </sheetPr>
  <dimension ref="A1:Z293"/>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0.63990000000000002</v>
      </c>
      <c r="T16" s="224" t="s">
        <v>143</v>
      </c>
      <c r="U16" s="223">
        <v>0.36009999999999998</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41296</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175"/>
      <c r="B22" s="177"/>
      <c r="C22" s="189"/>
      <c r="D22" s="189" t="s">
        <v>180</v>
      </c>
      <c r="E22" s="189"/>
      <c r="F22" s="189" t="s">
        <v>181</v>
      </c>
      <c r="G22" s="189"/>
      <c r="H22" s="189" t="s">
        <v>182</v>
      </c>
      <c r="I22" s="189"/>
      <c r="J22" s="189" t="s">
        <v>223</v>
      </c>
      <c r="K22" s="189"/>
      <c r="L22" s="189" t="s">
        <v>183</v>
      </c>
      <c r="M22" s="189"/>
      <c r="N22" s="189" t="s">
        <v>184</v>
      </c>
      <c r="O22" s="189"/>
      <c r="P22" s="189" t="s">
        <v>224</v>
      </c>
      <c r="Q22" s="189"/>
      <c r="R22" s="189" t="s">
        <v>185</v>
      </c>
      <c r="S22" s="190"/>
      <c r="T22" s="191"/>
      <c r="U22" s="187"/>
      <c r="V22" s="187"/>
      <c r="W22" s="177"/>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323</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321</v>
      </c>
      <c r="E27" s="389"/>
      <c r="F27" s="389" t="s">
        <v>168</v>
      </c>
      <c r="G27" s="389"/>
      <c r="H27" s="389" t="s">
        <v>168</v>
      </c>
      <c r="I27" s="389"/>
      <c r="J27" s="389" t="s">
        <v>168</v>
      </c>
      <c r="K27" s="389"/>
      <c r="L27" s="389" t="s">
        <v>324</v>
      </c>
      <c r="M27" s="389"/>
      <c r="N27" s="389" t="s">
        <v>324</v>
      </c>
      <c r="O27" s="389"/>
      <c r="P27" s="389" t="s">
        <v>325</v>
      </c>
      <c r="Q27" s="389"/>
      <c r="R27" s="389" t="s">
        <v>325</v>
      </c>
      <c r="S27" s="273"/>
      <c r="T27" s="280"/>
      <c r="U27" s="274"/>
      <c r="V27" s="274"/>
      <c r="W27" s="275"/>
      <c r="X27" s="5"/>
    </row>
    <row r="28" spans="1:24" ht="15.6" x14ac:dyDescent="0.3">
      <c r="A28" s="271"/>
      <c r="B28" s="279" t="s">
        <v>195</v>
      </c>
      <c r="C28" s="273"/>
      <c r="D28" s="389" t="s">
        <v>319</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921228.45</v>
      </c>
      <c r="E32" s="282"/>
      <c r="F32" s="283">
        <f>F31*F38</f>
        <v>76769.224999999991</v>
      </c>
      <c r="G32" s="283"/>
      <c r="H32" s="288">
        <f>H31*H38</f>
        <v>193458.44699999999</v>
      </c>
      <c r="I32" s="288"/>
      <c r="J32" s="287">
        <f>J31*J38</f>
        <v>214953.30499999999</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914521.95</v>
      </c>
      <c r="E33" s="286"/>
      <c r="F33" s="289">
        <f>F37*F31</f>
        <v>76210.349999999991</v>
      </c>
      <c r="G33" s="289"/>
      <c r="H33" s="292">
        <f>H31*H37</f>
        <v>192050.08199999999</v>
      </c>
      <c r="I33" s="292"/>
      <c r="J33" s="291">
        <f>J37*J31</f>
        <v>213388.45499999999</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490014.92390559998</v>
      </c>
      <c r="E35" s="282"/>
      <c r="F35" s="283">
        <f>F34*F38</f>
        <v>76769.224999999991</v>
      </c>
      <c r="G35" s="283"/>
      <c r="H35" s="283">
        <f>H34*H38</f>
        <v>129837.64070419999</v>
      </c>
      <c r="I35" s="283"/>
      <c r="J35" s="283">
        <f>J34*J38</f>
        <v>114336.733691</v>
      </c>
      <c r="K35" s="283"/>
      <c r="L35" s="283">
        <f>L34*L38</f>
        <v>56000</v>
      </c>
      <c r="M35" s="283"/>
      <c r="N35" s="283">
        <f>N34*N38</f>
        <v>56376</v>
      </c>
      <c r="O35" s="283"/>
      <c r="P35" s="283">
        <f>P34*P38</f>
        <v>13000</v>
      </c>
      <c r="Q35" s="283"/>
      <c r="R35" s="283">
        <f>R34*R38</f>
        <v>54363</v>
      </c>
      <c r="S35" s="283"/>
      <c r="T35" s="283"/>
      <c r="U35" s="284"/>
      <c r="V35" s="283">
        <f>SUM(C35:R35)</f>
        <v>990697.52330080001</v>
      </c>
      <c r="W35" s="285"/>
      <c r="X35" s="5"/>
    </row>
    <row r="36" spans="1:24" ht="15.6" x14ac:dyDescent="0.3">
      <c r="A36" s="276"/>
      <c r="B36" s="279" t="s">
        <v>304</v>
      </c>
      <c r="C36" s="286"/>
      <c r="D36" s="289">
        <f>D34*D37</f>
        <v>486447.6381936</v>
      </c>
      <c r="E36" s="286"/>
      <c r="F36" s="289">
        <f>F34*F37</f>
        <v>76210.349999999991</v>
      </c>
      <c r="G36" s="289"/>
      <c r="H36" s="289">
        <f>H34*H37</f>
        <v>128892.4310652</v>
      </c>
      <c r="I36" s="289"/>
      <c r="J36" s="289">
        <f>J34*J37</f>
        <v>113504.367621</v>
      </c>
      <c r="K36" s="289"/>
      <c r="L36" s="289">
        <v>56000</v>
      </c>
      <c r="M36" s="289"/>
      <c r="N36" s="289">
        <v>56376</v>
      </c>
      <c r="O36" s="289"/>
      <c r="P36" s="289">
        <v>13000</v>
      </c>
      <c r="Q36" s="289"/>
      <c r="R36" s="289">
        <v>54363</v>
      </c>
      <c r="S36" s="314"/>
      <c r="T36" s="314"/>
      <c r="U36" s="284"/>
      <c r="V36" s="289">
        <f>SUM(C36:R36)</f>
        <v>984793.78687980003</v>
      </c>
      <c r="W36" s="285"/>
      <c r="X36" s="5"/>
    </row>
    <row r="37" spans="1:24" ht="15.6" x14ac:dyDescent="0.3">
      <c r="A37" s="271"/>
      <c r="B37" s="297" t="s">
        <v>133</v>
      </c>
      <c r="C37" s="298"/>
      <c r="D37" s="299">
        <v>0.60968129999999998</v>
      </c>
      <c r="E37" s="300"/>
      <c r="F37" s="299">
        <v>0.60968279999999997</v>
      </c>
      <c r="G37" s="301"/>
      <c r="H37" s="299">
        <v>0.60968279999999997</v>
      </c>
      <c r="I37" s="301"/>
      <c r="J37" s="299">
        <v>0.60968129999999998</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0.61415229999999998</v>
      </c>
      <c r="E38" s="300"/>
      <c r="F38" s="299">
        <v>0.61415379999999997</v>
      </c>
      <c r="G38" s="301"/>
      <c r="H38" s="299">
        <v>0.61415379999999997</v>
      </c>
      <c r="I38" s="301"/>
      <c r="J38" s="299">
        <v>0.61415229999999998</v>
      </c>
      <c r="K38" s="301"/>
      <c r="L38" s="299">
        <v>1</v>
      </c>
      <c r="M38" s="299"/>
      <c r="N38" s="299">
        <v>1</v>
      </c>
      <c r="O38" s="299"/>
      <c r="P38" s="299">
        <v>1</v>
      </c>
      <c r="Q38" s="299"/>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4.4900000000000001E-3</v>
      </c>
      <c r="E40" s="272"/>
      <c r="F40" s="308">
        <v>7.7875000000000002E-3</v>
      </c>
      <c r="G40" s="307"/>
      <c r="H40" s="308">
        <v>4.4999999999999997E-3</v>
      </c>
      <c r="I40" s="308"/>
      <c r="J40" s="308">
        <v>5.2024999999999997E-3</v>
      </c>
      <c r="K40" s="307"/>
      <c r="L40" s="308">
        <v>9.3875E-3</v>
      </c>
      <c r="M40" s="307"/>
      <c r="N40" s="308">
        <v>5.8999999999999999E-3</v>
      </c>
      <c r="O40" s="307"/>
      <c r="P40" s="308">
        <v>1.33875E-2</v>
      </c>
      <c r="Q40" s="307"/>
      <c r="R40" s="308">
        <v>9.9000000000000008E-3</v>
      </c>
      <c r="S40" s="307"/>
      <c r="T40" s="308"/>
      <c r="U40" s="274"/>
      <c r="V40" s="280"/>
      <c r="W40" s="275"/>
      <c r="X40" s="5"/>
    </row>
    <row r="41" spans="1:24" ht="15.6" x14ac:dyDescent="0.3">
      <c r="A41" s="271"/>
      <c r="B41" s="272" t="s">
        <v>13</v>
      </c>
      <c r="C41" s="272"/>
      <c r="D41" s="308">
        <v>4.6074999999999996E-3</v>
      </c>
      <c r="E41" s="272"/>
      <c r="F41" s="308">
        <v>1.06838E-2</v>
      </c>
      <c r="G41" s="307"/>
      <c r="H41" s="308">
        <v>7.3699999999999998E-3</v>
      </c>
      <c r="I41" s="308"/>
      <c r="J41" s="308">
        <v>6.3509999999999999E-3</v>
      </c>
      <c r="K41" s="307"/>
      <c r="L41" s="308">
        <v>1.2283799999999999E-2</v>
      </c>
      <c r="M41" s="307"/>
      <c r="N41" s="308">
        <v>8.77E-3</v>
      </c>
      <c r="O41" s="307"/>
      <c r="P41" s="308">
        <v>1.6283800000000001E-2</v>
      </c>
      <c r="Q41" s="307"/>
      <c r="R41" s="308">
        <v>1.277E-2</v>
      </c>
      <c r="S41" s="307"/>
      <c r="T41" s="308"/>
      <c r="U41" s="274"/>
      <c r="V41" s="307" t="s">
        <v>196</v>
      </c>
      <c r="W41" s="275"/>
      <c r="X41" s="5"/>
    </row>
    <row r="42" spans="1:24" ht="15.6" x14ac:dyDescent="0.3">
      <c r="A42" s="271"/>
      <c r="B42" s="272" t="s">
        <v>300</v>
      </c>
      <c r="C42" s="272"/>
      <c r="D42" s="280" t="s">
        <v>327</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v>8.1495000000000005E-3</v>
      </c>
      <c r="E43" s="308"/>
      <c r="F43" s="308">
        <f>+F40</f>
        <v>7.7875000000000002E-3</v>
      </c>
      <c r="G43" s="308"/>
      <c r="H43" s="308">
        <v>8.0315000000000004E-3</v>
      </c>
      <c r="I43" s="308"/>
      <c r="J43" s="308">
        <v>7.8674999999999995E-3</v>
      </c>
      <c r="K43" s="308"/>
      <c r="L43" s="308">
        <f>+L40</f>
        <v>9.3875E-3</v>
      </c>
      <c r="M43" s="308"/>
      <c r="N43" s="308">
        <v>9.5674999999999996E-3</v>
      </c>
      <c r="O43" s="308"/>
      <c r="P43" s="308">
        <f>+P40</f>
        <v>1.33875E-2</v>
      </c>
      <c r="Q43" s="307"/>
      <c r="R43" s="308">
        <v>1.3787499999999999E-2</v>
      </c>
      <c r="S43" s="280"/>
      <c r="T43" s="280"/>
      <c r="U43" s="274"/>
      <c r="V43" s="307">
        <f>SUMPRODUCT(D43:R43,D35:R35)/V35</f>
        <v>8.6022189091496948E-3</v>
      </c>
      <c r="W43" s="275"/>
      <c r="X43" s="5"/>
    </row>
    <row r="44" spans="1:24" ht="15.6" x14ac:dyDescent="0.3">
      <c r="A44" s="271"/>
      <c r="B44" s="272" t="s">
        <v>302</v>
      </c>
      <c r="C44" s="309"/>
      <c r="D44" s="308">
        <v>1.10458E-2</v>
      </c>
      <c r="E44" s="308"/>
      <c r="F44" s="308">
        <f>+F41</f>
        <v>1.06838E-2</v>
      </c>
      <c r="G44" s="308"/>
      <c r="H44" s="308">
        <v>1.09278E-2</v>
      </c>
      <c r="I44" s="308"/>
      <c r="J44" s="308">
        <v>1.07638E-2</v>
      </c>
      <c r="K44" s="308"/>
      <c r="L44" s="308">
        <f>+L41</f>
        <v>1.2283799999999999E-2</v>
      </c>
      <c r="M44" s="308"/>
      <c r="N44" s="308">
        <v>1.2463800000000001E-2</v>
      </c>
      <c r="O44" s="308"/>
      <c r="P44" s="308">
        <f>+P41</f>
        <v>1.6283800000000001E-2</v>
      </c>
      <c r="Q44" s="307"/>
      <c r="R44" s="308">
        <v>1.6683799999999999E-2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328</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0.22326306597918064</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41289</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91</v>
      </c>
      <c r="S57" s="318"/>
      <c r="T57" s="319">
        <v>41106</v>
      </c>
      <c r="U57" s="320"/>
      <c r="V57" s="319">
        <v>41196</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92</v>
      </c>
      <c r="S58" s="272"/>
      <c r="T58" s="319">
        <v>41197</v>
      </c>
      <c r="U58" s="320"/>
      <c r="V58" s="319">
        <v>41288</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41276</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329</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990698</v>
      </c>
      <c r="O68" s="324"/>
      <c r="P68" s="324">
        <f>5904+228+405</f>
        <v>6537</v>
      </c>
      <c r="Q68" s="324"/>
      <c r="R68" s="324">
        <f>228+405</f>
        <v>633</v>
      </c>
      <c r="S68" s="324"/>
      <c r="T68" s="324">
        <v>0</v>
      </c>
      <c r="U68" s="324"/>
      <c r="V68" s="325">
        <f>+N68-P68+R68-T68</f>
        <v>984794</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990698</v>
      </c>
      <c r="O71" s="324"/>
      <c r="P71" s="324">
        <f>SUM(P68:P70)</f>
        <v>6537</v>
      </c>
      <c r="Q71" s="324"/>
      <c r="R71" s="324">
        <f>SUM(R68:R70)</f>
        <v>633</v>
      </c>
      <c r="S71" s="324"/>
      <c r="T71" s="324">
        <f>SUM(T68:T70)</f>
        <v>0</v>
      </c>
      <c r="U71" s="324"/>
      <c r="V71" s="324">
        <f>SUM(V68:V70)</f>
        <v>984794</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990698</v>
      </c>
      <c r="O84" s="328"/>
      <c r="P84" s="328"/>
      <c r="Q84" s="328"/>
      <c r="R84" s="328"/>
      <c r="S84" s="328"/>
      <c r="T84" s="328"/>
      <c r="U84" s="328"/>
      <c r="V84" s="328">
        <f>SUM(V71:V83)</f>
        <v>984794</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+T198</f>
        <v>41274</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6537-336</f>
        <v>6201</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4241+3430-856-1361</f>
        <v>5454</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42+60</f>
        <v>102</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48</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406</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6201</v>
      </c>
      <c r="U96" s="272"/>
      <c r="V96" s="324">
        <f>SUM(V88:V95)</f>
        <v>6010</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-211</v>
      </c>
      <c r="U97" s="272"/>
      <c r="V97" s="324">
        <v>211</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1</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5990</v>
      </c>
      <c r="U100" s="272"/>
      <c r="V100" s="324">
        <f>V96+V98+V97+V99</f>
        <v>6222</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231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272" t="s">
        <v>207</v>
      </c>
      <c r="C104" s="272"/>
      <c r="D104" s="272"/>
      <c r="E104" s="272"/>
      <c r="F104" s="272"/>
      <c r="G104" s="272"/>
      <c r="H104" s="272"/>
      <c r="I104" s="272"/>
      <c r="J104" s="272"/>
      <c r="K104" s="272"/>
      <c r="L104" s="272"/>
      <c r="M104" s="272"/>
      <c r="N104" s="272"/>
      <c r="O104" s="272"/>
      <c r="P104" s="272"/>
      <c r="Q104" s="272"/>
      <c r="R104" s="272"/>
      <c r="S104" s="272"/>
      <c r="T104" s="272"/>
      <c r="U104" s="272"/>
      <c r="V104" s="325">
        <f>-378-244-12</f>
        <v>-634</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-28</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-1647+151</f>
        <v>-1496</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-151</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-2</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-136</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-132</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-189</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-44</v>
      </c>
      <c r="W112" s="275"/>
      <c r="X112" s="5"/>
      <c r="Y112" s="109"/>
    </row>
    <row r="113" spans="1:24" ht="15.6" x14ac:dyDescent="0.3">
      <c r="A113" s="338">
        <v>7</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-10</v>
      </c>
      <c r="W113" s="275"/>
      <c r="X113" s="5"/>
    </row>
    <row r="114" spans="1:24" ht="15.6" x14ac:dyDescent="0.3">
      <c r="A114" s="338">
        <f t="shared" ref="A114:A120" si="0">+A113+1</f>
        <v>8</v>
      </c>
      <c r="B114" s="272" t="s">
        <v>45</v>
      </c>
      <c r="C114" s="272"/>
      <c r="D114" s="272"/>
      <c r="E114" s="272"/>
      <c r="F114" s="272"/>
      <c r="G114" s="272"/>
      <c r="H114" s="272"/>
      <c r="I114" s="272"/>
      <c r="J114" s="272"/>
      <c r="K114" s="272"/>
      <c r="L114" s="272"/>
      <c r="M114" s="272"/>
      <c r="N114" s="272"/>
      <c r="O114" s="272"/>
      <c r="P114" s="272"/>
      <c r="Q114" s="272"/>
      <c r="R114" s="272"/>
      <c r="S114" s="272"/>
      <c r="T114" s="324">
        <f>-V114</f>
        <v>336</v>
      </c>
      <c r="U114" s="272"/>
      <c r="V114" s="325">
        <v>-336</v>
      </c>
      <c r="W114" s="275"/>
      <c r="X114" s="5"/>
    </row>
    <row r="115" spans="1:24" ht="15.6" x14ac:dyDescent="0.3">
      <c r="A115" s="338">
        <f t="shared" si="0"/>
        <v>9</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10</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11</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12</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13</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-378</v>
      </c>
      <c r="W119" s="275"/>
      <c r="X119" s="5"/>
    </row>
    <row r="120" spans="1:24" ht="15.6" x14ac:dyDescent="0.3">
      <c r="A120" s="338">
        <f t="shared" si="0"/>
        <v>14</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-V100-SUM(V102:V119)</f>
        <v>-2684</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0</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-122</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-300</v>
      </c>
      <c r="U124" s="324"/>
      <c r="V124" s="325"/>
      <c r="W124" s="275"/>
      <c r="X124" s="5"/>
    </row>
    <row r="125" spans="1:24" ht="15.6" x14ac:dyDescent="0.3">
      <c r="A125" s="338"/>
      <c r="B125" s="272" t="s">
        <v>200</v>
      </c>
      <c r="C125" s="272"/>
      <c r="D125" s="272"/>
      <c r="E125" s="272"/>
      <c r="F125" s="272"/>
      <c r="G125" s="272"/>
      <c r="H125" s="272"/>
      <c r="I125" s="272"/>
      <c r="J125" s="272"/>
      <c r="K125" s="272"/>
      <c r="L125" s="272"/>
      <c r="M125" s="272"/>
      <c r="N125" s="272"/>
      <c r="O125" s="272"/>
      <c r="P125" s="272"/>
      <c r="Q125" s="272"/>
      <c r="R125" s="272"/>
      <c r="S125" s="272"/>
      <c r="T125" s="324">
        <v>-3567</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-559</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-945</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-833</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-6326</v>
      </c>
      <c r="U133" s="324"/>
      <c r="V133" s="324">
        <f>SUM(V101:V130)</f>
        <v>-6222</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T100+T133+T114</f>
        <v>0</v>
      </c>
      <c r="U134" s="324"/>
      <c r="V134" s="324">
        <f>V100+V133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B64</f>
        <v>PM13 INVESTOR REPORT QUARTER ENDING DECEMBER 2012</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272</v>
      </c>
      <c r="C155" s="272"/>
      <c r="D155" s="272"/>
      <c r="E155" s="272"/>
      <c r="F155" s="272"/>
      <c r="G155" s="272"/>
      <c r="H155" s="272"/>
      <c r="I155" s="272"/>
      <c r="J155" s="272"/>
      <c r="K155" s="272"/>
      <c r="L155" s="272"/>
      <c r="M155" s="272"/>
      <c r="N155" s="272"/>
      <c r="O155" s="272"/>
      <c r="P155" s="272"/>
      <c r="Q155" s="272"/>
      <c r="R155" s="272"/>
      <c r="S155" s="272"/>
      <c r="T155" s="272"/>
      <c r="U155" s="272"/>
      <c r="V155" s="325">
        <v>6000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336</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336</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-336</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v>0</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V71</f>
        <v>984794</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V84</f>
        <v>984794</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+'September 12'!S183</f>
        <v>46850</v>
      </c>
      <c r="T181" s="325">
        <f>+'September 12'!T183</f>
        <v>9723</v>
      </c>
      <c r="U181" s="272"/>
      <c r="V181" s="325">
        <f>S181+T181</f>
        <v>56573</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f>228+72</f>
        <v>300</v>
      </c>
      <c r="T182" s="324">
        <v>0</v>
      </c>
      <c r="U182" s="272"/>
      <c r="V182" s="325">
        <f>S182+T182</f>
        <v>300</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47150</v>
      </c>
      <c r="T183" s="325">
        <f>T182+T181</f>
        <v>9723</v>
      </c>
      <c r="U183" s="272"/>
      <c r="V183" s="325">
        <f>S183+T183</f>
        <v>56873</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183157.4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(V100+V102+V103+V104+V105)/-(V106+V107)</f>
        <v>3.3746205221615058</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1.64</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(V100+V102+V103+V104+V105+V106+V107)/-(V109+V110)</f>
        <v>14.593283582089553</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6.09</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(V100+V102+V103+V104+V105+V106+V107+V109+V110)/-(V111+V112)</f>
        <v>15.63519313304721</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7.81</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DECEMBER 2012</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41274</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2.29E-2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8.6022189091496948E-3</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1.4297781090850305E-2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+V100/N71</f>
        <v>6.2804204712233191E-3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14.92</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P68/N68</f>
        <v>6.5983781132090708E-3</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7.5700000000000003E-2</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4</v>
      </c>
      <c r="T216" s="357">
        <v>381</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175</v>
      </c>
      <c r="T217" s="357">
        <f>+T269</f>
        <v>27592</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f>+R281</f>
        <v>1</v>
      </c>
      <c r="T218" s="357">
        <f>+T281</f>
        <v>264</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+N81</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2" t="s">
        <v>84</v>
      </c>
      <c r="C222" s="272"/>
      <c r="D222" s="272"/>
      <c r="E222" s="272"/>
      <c r="F222" s="272"/>
      <c r="G222" s="272"/>
      <c r="H222" s="272"/>
      <c r="I222" s="272"/>
      <c r="J222" s="272"/>
      <c r="K222" s="272"/>
      <c r="L222" s="272"/>
      <c r="M222" s="272"/>
      <c r="N222" s="272"/>
      <c r="O222" s="272"/>
      <c r="P222" s="272"/>
      <c r="Q222" s="272"/>
      <c r="R222" s="272"/>
      <c r="S222" s="280"/>
      <c r="T222" s="357">
        <f>V166</f>
        <v>336</v>
      </c>
      <c r="U222" s="272"/>
      <c r="V222" s="362"/>
      <c r="W222" s="367"/>
      <c r="X222" s="5"/>
    </row>
    <row r="223" spans="1:24" ht="15.6" x14ac:dyDescent="0.3">
      <c r="A223" s="356"/>
      <c r="B223" s="272" t="s">
        <v>85</v>
      </c>
      <c r="C223" s="324"/>
      <c r="D223" s="324"/>
      <c r="E223" s="324"/>
      <c r="F223" s="324"/>
      <c r="G223" s="272"/>
      <c r="H223" s="272"/>
      <c r="I223" s="272"/>
      <c r="J223" s="272"/>
      <c r="K223" s="272"/>
      <c r="L223" s="272"/>
      <c r="M223" s="272"/>
      <c r="N223" s="272"/>
      <c r="O223" s="272"/>
      <c r="P223" s="272"/>
      <c r="Q223" s="272"/>
      <c r="R223" s="272"/>
      <c r="S223" s="280"/>
      <c r="T223" s="357">
        <f>'September 12'!T223+T222</f>
        <v>4096</v>
      </c>
      <c r="U223" s="272"/>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1</v>
      </c>
      <c r="T225" s="357">
        <v>77</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21.21</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4.4400000000000004</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9</v>
      </c>
      <c r="T229" s="357">
        <v>816</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0.41</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 t="shared" ref="R236:R243" si="1">+R248+R260+R272</f>
        <v>7639</v>
      </c>
      <c r="S236" s="381">
        <f t="shared" ref="S236:S243" si="2">R236/$R$245</f>
        <v>0.98937961403963215</v>
      </c>
      <c r="T236" s="325">
        <f t="shared" ref="T236:T243" si="3">+T248+T260+T272</f>
        <v>970983</v>
      </c>
      <c r="U236" s="381">
        <f t="shared" ref="U236:U243" si="4">T236/$T$245</f>
        <v>0.98597574721210735</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si="1"/>
        <v>27</v>
      </c>
      <c r="S237" s="381">
        <f t="shared" si="2"/>
        <v>3.496956352804041E-3</v>
      </c>
      <c r="T237" s="325">
        <f t="shared" si="3"/>
        <v>6387</v>
      </c>
      <c r="U237" s="381">
        <f t="shared" si="4"/>
        <v>6.4856203429346643E-3</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15</v>
      </c>
      <c r="S238" s="381">
        <f t="shared" si="2"/>
        <v>1.9427535293355784E-3</v>
      </c>
      <c r="T238" s="325">
        <f t="shared" si="3"/>
        <v>2218</v>
      </c>
      <c r="U238" s="381">
        <f t="shared" si="4"/>
        <v>2.2522476781946274E-3</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1</v>
      </c>
      <c r="S239" s="381">
        <f t="shared" si="2"/>
        <v>1.2951690195570523E-4</v>
      </c>
      <c r="T239" s="325">
        <f t="shared" si="3"/>
        <v>97</v>
      </c>
      <c r="U239" s="381">
        <f t="shared" si="4"/>
        <v>9.8497756891288945E-5</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0</v>
      </c>
      <c r="S240" s="381">
        <f t="shared" si="2"/>
        <v>0</v>
      </c>
      <c r="T240" s="325">
        <f t="shared" si="3"/>
        <v>0</v>
      </c>
      <c r="U240" s="381">
        <f t="shared" si="4"/>
        <v>0</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0</v>
      </c>
      <c r="S241" s="381">
        <f t="shared" si="2"/>
        <v>0</v>
      </c>
      <c r="T241" s="325">
        <f t="shared" si="3"/>
        <v>0</v>
      </c>
      <c r="U241" s="381">
        <f t="shared" si="4"/>
        <v>0</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2</v>
      </c>
      <c r="S242" s="381">
        <f t="shared" si="2"/>
        <v>2.5903380391141046E-4</v>
      </c>
      <c r="T242" s="325">
        <f t="shared" si="3"/>
        <v>323</v>
      </c>
      <c r="U242" s="381">
        <f t="shared" si="4"/>
        <v>3.2798737604006526E-4</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37</v>
      </c>
      <c r="S243" s="381">
        <f t="shared" si="2"/>
        <v>4.7921253723610929E-3</v>
      </c>
      <c r="T243" s="325">
        <f t="shared" si="3"/>
        <v>4786</v>
      </c>
      <c r="U243" s="381">
        <f t="shared" si="4"/>
        <v>4.8598996338320502E-3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7721</v>
      </c>
      <c r="S245" s="381">
        <f>SUM(S236:S244)</f>
        <v>1</v>
      </c>
      <c r="T245" s="325">
        <f>SUM(T236:T244)</f>
        <v>984794</v>
      </c>
      <c r="U245" s="381">
        <f>SUM(U236:U244)</f>
        <v>1.0000000000000002</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7512</v>
      </c>
      <c r="S248" s="261">
        <f t="shared" ref="S248:S255" si="5">R248/$R$257</f>
        <v>0.99562624254473164</v>
      </c>
      <c r="T248" s="238">
        <v>949358</v>
      </c>
      <c r="U248" s="261">
        <f t="shared" ref="U248:U255" si="6">T248/$T$257</f>
        <v>0.9920789016634306</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21</v>
      </c>
      <c r="S249" s="381">
        <f t="shared" si="5"/>
        <v>2.7833001988071572E-3</v>
      </c>
      <c r="T249" s="325">
        <v>5759</v>
      </c>
      <c r="U249" s="381">
        <f t="shared" si="6"/>
        <v>6.018153736187715E-3</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9</v>
      </c>
      <c r="S250" s="381">
        <f t="shared" si="5"/>
        <v>1.1928429423459245E-3</v>
      </c>
      <c r="T250" s="325">
        <v>1504</v>
      </c>
      <c r="U250" s="381">
        <f t="shared" si="6"/>
        <v>1.5716796699472694E-3</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0</v>
      </c>
      <c r="S251" s="381">
        <f t="shared" si="5"/>
        <v>0</v>
      </c>
      <c r="T251" s="325">
        <v>0</v>
      </c>
      <c r="U251" s="381">
        <f t="shared" si="6"/>
        <v>0</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1</v>
      </c>
      <c r="S254" s="381">
        <f t="shared" si="5"/>
        <v>1.3253810470510271E-4</v>
      </c>
      <c r="T254" s="325">
        <v>72</v>
      </c>
      <c r="U254" s="381">
        <f t="shared" si="6"/>
        <v>7.5239984199603315E-5</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2</v>
      </c>
      <c r="S255" s="381">
        <f t="shared" si="5"/>
        <v>2.6507620941020542E-4</v>
      </c>
      <c r="T255" s="325">
        <v>245</v>
      </c>
      <c r="U255" s="381">
        <f t="shared" si="6"/>
        <v>2.5602494623476127E-4</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7545</v>
      </c>
      <c r="S257" s="381">
        <f>SUM(S248:S256)</f>
        <v>1</v>
      </c>
      <c r="T257" s="325">
        <f>SUM(T248:T256)</f>
        <v>956938</v>
      </c>
      <c r="U257" s="381">
        <f>SUM(U248:U256)</f>
        <v>1</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127</v>
      </c>
      <c r="S260" s="261">
        <f>R260/$R$269</f>
        <v>0.72571428571428576</v>
      </c>
      <c r="T260" s="238">
        <v>21625</v>
      </c>
      <c r="U260" s="261">
        <f t="shared" ref="U260:U267" si="7">T260/$T$269</f>
        <v>0.7837416642505074</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6</v>
      </c>
      <c r="S261" s="381">
        <f t="shared" ref="S261:S267" si="8">R261/$R$269</f>
        <v>3.4285714285714287E-2</v>
      </c>
      <c r="T261" s="325">
        <v>628</v>
      </c>
      <c r="U261" s="381">
        <f t="shared" si="7"/>
        <v>2.2760220353725717E-2</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6</v>
      </c>
      <c r="S262" s="381">
        <f t="shared" si="8"/>
        <v>3.4285714285714287E-2</v>
      </c>
      <c r="T262" s="325">
        <v>714</v>
      </c>
      <c r="U262" s="381">
        <f t="shared" si="7"/>
        <v>2.5877065816178602E-2</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1</v>
      </c>
      <c r="S263" s="381">
        <f t="shared" si="8"/>
        <v>5.7142857142857143E-3</v>
      </c>
      <c r="T263" s="325">
        <v>97</v>
      </c>
      <c r="U263" s="381">
        <f t="shared" si="7"/>
        <v>3.5155117425340679E-3</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0</v>
      </c>
      <c r="S264" s="381">
        <f t="shared" si="8"/>
        <v>0</v>
      </c>
      <c r="T264" s="325">
        <v>0</v>
      </c>
      <c r="U264" s="381">
        <f t="shared" si="7"/>
        <v>0</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0</v>
      </c>
      <c r="S265" s="381">
        <f t="shared" si="8"/>
        <v>0</v>
      </c>
      <c r="T265" s="325">
        <v>0</v>
      </c>
      <c r="U265" s="381">
        <f t="shared" si="7"/>
        <v>0</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1</v>
      </c>
      <c r="S266" s="381">
        <f t="shared" si="8"/>
        <v>5.7142857142857143E-3</v>
      </c>
      <c r="T266" s="325">
        <v>251</v>
      </c>
      <c r="U266" s="381">
        <f t="shared" si="7"/>
        <v>9.0968396636706295E-3</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34</v>
      </c>
      <c r="S267" s="381">
        <f t="shared" si="8"/>
        <v>0.19428571428571428</v>
      </c>
      <c r="T267" s="325">
        <v>4277</v>
      </c>
      <c r="U267" s="381">
        <f t="shared" si="7"/>
        <v>0.15500869817338359</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175</v>
      </c>
      <c r="S269" s="381">
        <f>SUM(S260:S268)</f>
        <v>0.99999999999999989</v>
      </c>
      <c r="T269" s="325">
        <f>SUM(T260:T268)</f>
        <v>27592</v>
      </c>
      <c r="U269" s="381">
        <f>SUM(U260:U268)</f>
        <v>1</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f>+R272*$R$281</f>
        <v>0</v>
      </c>
      <c r="T272" s="238">
        <v>0</v>
      </c>
      <c r="U272" s="261">
        <f>+T272/$T$281</f>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f>+R273/$R$281</f>
        <v>0</v>
      </c>
      <c r="T273" s="325">
        <v>0</v>
      </c>
      <c r="U273" s="381">
        <f>+T273/$T$281</f>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f t="shared" ref="S274:S279" si="9">+R274/$R$281</f>
        <v>0</v>
      </c>
      <c r="T274" s="325">
        <v>0</v>
      </c>
      <c r="U274" s="381">
        <f t="shared" ref="U274:U279" si="10">+T274/$T$281</f>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f t="shared" si="9"/>
        <v>0</v>
      </c>
      <c r="T275" s="325">
        <v>0</v>
      </c>
      <c r="U275" s="381">
        <f t="shared" si="10"/>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f t="shared" si="9"/>
        <v>0</v>
      </c>
      <c r="T276" s="325">
        <v>0</v>
      </c>
      <c r="U276" s="381">
        <f t="shared" si="10"/>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f t="shared" si="9"/>
        <v>0</v>
      </c>
      <c r="T277" s="325">
        <v>0</v>
      </c>
      <c r="U277" s="381">
        <f t="shared" si="10"/>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f t="shared" si="9"/>
        <v>0</v>
      </c>
      <c r="T278" s="325">
        <v>0</v>
      </c>
      <c r="U278" s="381">
        <f t="shared" si="10"/>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1</v>
      </c>
      <c r="S279" s="381">
        <f t="shared" si="9"/>
        <v>1</v>
      </c>
      <c r="T279" s="325">
        <v>264</v>
      </c>
      <c r="U279" s="381">
        <f t="shared" si="10"/>
        <v>1</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1</v>
      </c>
      <c r="S281" s="381">
        <f>SUM(S272:S279)</f>
        <v>1</v>
      </c>
      <c r="T281" s="325">
        <f>SUM(T272:T279)</f>
        <v>264</v>
      </c>
      <c r="U281" s="381">
        <f>SUM(U272:U279)</f>
        <v>1</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79" t="s">
        <v>167</v>
      </c>
      <c r="C283" s="272"/>
      <c r="D283" s="272"/>
      <c r="E283" s="272"/>
      <c r="F283" s="272"/>
      <c r="G283" s="272"/>
      <c r="H283" s="383"/>
      <c r="I283" s="383"/>
      <c r="J283" s="383"/>
      <c r="K283" s="383"/>
      <c r="L283" s="383"/>
      <c r="M283" s="383"/>
      <c r="N283" s="383"/>
      <c r="O283" s="383"/>
      <c r="P283" s="383"/>
      <c r="Q283" s="383"/>
      <c r="R283" s="390">
        <f>R281+R269+R257</f>
        <v>7721</v>
      </c>
      <c r="S283" s="381"/>
      <c r="T283" s="387">
        <f>+T281+T269+T257</f>
        <v>984794</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93</v>
      </c>
      <c r="C287" s="220"/>
      <c r="D287" s="220"/>
      <c r="E287" s="220"/>
      <c r="F287" s="265" t="s">
        <v>151</v>
      </c>
      <c r="G287" s="220"/>
      <c r="H287" s="219" t="s">
        <v>155</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281</v>
      </c>
      <c r="C288" s="219"/>
      <c r="D288" s="219"/>
      <c r="E288" s="219"/>
      <c r="F288" s="265" t="s">
        <v>282</v>
      </c>
      <c r="G288" s="219"/>
      <c r="H288" s="219" t="s">
        <v>283</v>
      </c>
      <c r="I288" s="227"/>
      <c r="J288" s="219"/>
      <c r="K288" s="227"/>
      <c r="L288" s="227"/>
      <c r="M288" s="227"/>
      <c r="N288" s="227"/>
      <c r="O288" s="227"/>
      <c r="P288" s="227"/>
      <c r="Q288" s="227"/>
      <c r="R288" s="227"/>
      <c r="S288" s="227"/>
      <c r="T288" s="227"/>
      <c r="U288" s="227"/>
      <c r="V288" s="227"/>
      <c r="W288" s="227"/>
      <c r="X288" s="5"/>
    </row>
    <row r="289" spans="1:24" ht="15.6" x14ac:dyDescent="0.3">
      <c r="A289" s="216"/>
      <c r="B289" s="219" t="s">
        <v>94</v>
      </c>
      <c r="C289" s="219"/>
      <c r="D289" s="219"/>
      <c r="E289" s="219"/>
      <c r="F289" s="265" t="s">
        <v>150</v>
      </c>
      <c r="G289" s="219"/>
      <c r="H289" s="219" t="s">
        <v>156</v>
      </c>
      <c r="I289" s="219"/>
      <c r="J289" s="219"/>
      <c r="K289" s="227"/>
      <c r="L289" s="227"/>
      <c r="M289" s="227"/>
      <c r="N289" s="227"/>
      <c r="O289" s="227"/>
      <c r="P289" s="227"/>
      <c r="Q289" s="227"/>
      <c r="R289" s="227"/>
      <c r="S289" s="227"/>
      <c r="T289" s="227"/>
      <c r="U289" s="227"/>
      <c r="V289" s="227"/>
      <c r="W289" s="227"/>
      <c r="X289" s="5"/>
    </row>
    <row r="290" spans="1:24" ht="15.6" x14ac:dyDescent="0.3">
      <c r="A290" s="216"/>
      <c r="B290" s="219"/>
      <c r="C290" s="219"/>
      <c r="D290" s="219"/>
      <c r="E290" s="219"/>
      <c r="F290" s="219"/>
      <c r="G290" s="266"/>
      <c r="H290" s="227"/>
      <c r="I290" s="227"/>
      <c r="J290" s="227"/>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8" thickBot="1" x14ac:dyDescent="0.35">
      <c r="A292" s="216"/>
      <c r="B292" s="267" t="str">
        <f>B197</f>
        <v>PM13 INVESTOR REPORT QUARTER ENDING DECEMBER 2012</v>
      </c>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x14ac:dyDescent="0.25">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row>
  </sheetData>
  <hyperlinks>
    <hyperlink ref="P233" r:id="rId1" xr:uid="{00000000-0004-0000-1800-000000000000}"/>
    <hyperlink ref="I9" r:id="rId2" xr:uid="{00000000-0004-0000-18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7" max="14" man="1"/>
    <brk id="197" max="14" man="1"/>
  </rowBreak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2D2926"/>
  </sheetPr>
  <dimension ref="A1:Z294"/>
  <sheetViews>
    <sheetView showGridLines="0" showOutlineSymbols="0" topLeftCell="A19"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0.6411</v>
      </c>
      <c r="T16" s="224" t="s">
        <v>143</v>
      </c>
      <c r="U16" s="223">
        <v>0.3589</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41386</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175"/>
      <c r="B22" s="177"/>
      <c r="C22" s="189"/>
      <c r="D22" s="189" t="s">
        <v>180</v>
      </c>
      <c r="E22" s="189"/>
      <c r="F22" s="189" t="s">
        <v>181</v>
      </c>
      <c r="G22" s="189"/>
      <c r="H22" s="189" t="s">
        <v>182</v>
      </c>
      <c r="I22" s="189"/>
      <c r="J22" s="189" t="s">
        <v>223</v>
      </c>
      <c r="K22" s="189"/>
      <c r="L22" s="189" t="s">
        <v>183</v>
      </c>
      <c r="M22" s="189"/>
      <c r="N22" s="189" t="s">
        <v>184</v>
      </c>
      <c r="O22" s="189"/>
      <c r="P22" s="189" t="s">
        <v>224</v>
      </c>
      <c r="Q22" s="189"/>
      <c r="R22" s="189" t="s">
        <v>185</v>
      </c>
      <c r="S22" s="190"/>
      <c r="T22" s="191"/>
      <c r="U22" s="187"/>
      <c r="V22" s="187"/>
      <c r="W22" s="177"/>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323</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321</v>
      </c>
      <c r="E27" s="389"/>
      <c r="F27" s="389" t="s">
        <v>168</v>
      </c>
      <c r="G27" s="389"/>
      <c r="H27" s="389" t="s">
        <v>168</v>
      </c>
      <c r="I27" s="389"/>
      <c r="J27" s="389" t="s">
        <v>168</v>
      </c>
      <c r="K27" s="389"/>
      <c r="L27" s="389" t="s">
        <v>324</v>
      </c>
      <c r="M27" s="389"/>
      <c r="N27" s="389" t="s">
        <v>324</v>
      </c>
      <c r="O27" s="389"/>
      <c r="P27" s="389" t="s">
        <v>325</v>
      </c>
      <c r="Q27" s="389"/>
      <c r="R27" s="389" t="s">
        <v>325</v>
      </c>
      <c r="S27" s="273"/>
      <c r="T27" s="280"/>
      <c r="U27" s="274"/>
      <c r="V27" s="274"/>
      <c r="W27" s="275"/>
      <c r="X27" s="5"/>
    </row>
    <row r="28" spans="1:24" ht="15.6" x14ac:dyDescent="0.3">
      <c r="A28" s="271"/>
      <c r="B28" s="279" t="s">
        <v>195</v>
      </c>
      <c r="C28" s="273"/>
      <c r="D28" s="389" t="s">
        <v>319</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914521.95</v>
      </c>
      <c r="E32" s="282"/>
      <c r="F32" s="283">
        <f>F31*F38</f>
        <v>76210.349999999991</v>
      </c>
      <c r="G32" s="283"/>
      <c r="H32" s="288">
        <f>H31*H38</f>
        <v>192050.08199999999</v>
      </c>
      <c r="I32" s="288"/>
      <c r="J32" s="287">
        <f>J31*J38</f>
        <v>213388.45499999999</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909235.49999999988</v>
      </c>
      <c r="E33" s="286"/>
      <c r="F33" s="289">
        <f>F37*F31</f>
        <v>75769.824999999997</v>
      </c>
      <c r="G33" s="289"/>
      <c r="H33" s="292">
        <f>H31*H37</f>
        <v>190939.959</v>
      </c>
      <c r="I33" s="292"/>
      <c r="J33" s="291">
        <f>J37*J31</f>
        <v>212154.94999999998</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486447.6381936</v>
      </c>
      <c r="E35" s="282"/>
      <c r="F35" s="283">
        <f>F34*F38</f>
        <v>76210.349999999991</v>
      </c>
      <c r="G35" s="283"/>
      <c r="H35" s="283">
        <f>H34*H38</f>
        <v>128892.4310652</v>
      </c>
      <c r="I35" s="283"/>
      <c r="J35" s="283">
        <f>J34*J38</f>
        <v>113504.367621</v>
      </c>
      <c r="K35" s="283"/>
      <c r="L35" s="283">
        <f>L34*L38</f>
        <v>56000</v>
      </c>
      <c r="M35" s="283"/>
      <c r="N35" s="283">
        <f>N34*N38</f>
        <v>56376</v>
      </c>
      <c r="O35" s="283"/>
      <c r="P35" s="283">
        <f>P34*P38</f>
        <v>13000</v>
      </c>
      <c r="Q35" s="283"/>
      <c r="R35" s="283">
        <f>R34*R38</f>
        <v>54363</v>
      </c>
      <c r="S35" s="283"/>
      <c r="T35" s="283"/>
      <c r="U35" s="284"/>
      <c r="V35" s="283">
        <f>SUM(C35:R35)</f>
        <v>984793.78687980003</v>
      </c>
      <c r="W35" s="285"/>
      <c r="X35" s="5"/>
    </row>
    <row r="36" spans="1:24" ht="15.6" x14ac:dyDescent="0.3">
      <c r="A36" s="276"/>
      <c r="B36" s="279" t="s">
        <v>304</v>
      </c>
      <c r="C36" s="286"/>
      <c r="D36" s="289">
        <f>D34*D37</f>
        <v>483635.69790399994</v>
      </c>
      <c r="E36" s="286"/>
      <c r="F36" s="289">
        <f>F34*F37</f>
        <v>75769.824999999997</v>
      </c>
      <c r="G36" s="289"/>
      <c r="H36" s="289">
        <f>H34*H37</f>
        <v>128147.3834674</v>
      </c>
      <c r="I36" s="289"/>
      <c r="J36" s="289">
        <f>J34*J37</f>
        <v>112848.24868999999</v>
      </c>
      <c r="K36" s="289"/>
      <c r="L36" s="289">
        <v>56000</v>
      </c>
      <c r="M36" s="289"/>
      <c r="N36" s="289">
        <v>56376</v>
      </c>
      <c r="O36" s="289"/>
      <c r="P36" s="289">
        <v>13000</v>
      </c>
      <c r="Q36" s="289"/>
      <c r="R36" s="289">
        <v>54363</v>
      </c>
      <c r="S36" s="314"/>
      <c r="T36" s="314"/>
      <c r="U36" s="284"/>
      <c r="V36" s="289">
        <f>SUM(C36:R36)</f>
        <v>980140.15506139991</v>
      </c>
      <c r="W36" s="285"/>
      <c r="X36" s="5"/>
    </row>
    <row r="37" spans="1:24" ht="15.6" x14ac:dyDescent="0.3">
      <c r="A37" s="271"/>
      <c r="B37" s="297" t="s">
        <v>133</v>
      </c>
      <c r="C37" s="298"/>
      <c r="D37" s="299">
        <v>0.60615699999999995</v>
      </c>
      <c r="E37" s="300"/>
      <c r="F37" s="299">
        <v>0.60615859999999999</v>
      </c>
      <c r="G37" s="301"/>
      <c r="H37" s="299">
        <v>0.60615859999999999</v>
      </c>
      <c r="I37" s="301"/>
      <c r="J37" s="299">
        <v>0.60615699999999995</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0.60968129999999998</v>
      </c>
      <c r="E38" s="300"/>
      <c r="F38" s="299">
        <v>0.60968279999999997</v>
      </c>
      <c r="G38" s="301"/>
      <c r="H38" s="299">
        <v>0.60968279999999997</v>
      </c>
      <c r="I38" s="301"/>
      <c r="J38" s="299">
        <v>0.60968129999999998</v>
      </c>
      <c r="K38" s="301"/>
      <c r="L38" s="299">
        <v>1</v>
      </c>
      <c r="M38" s="299"/>
      <c r="N38" s="299">
        <v>1</v>
      </c>
      <c r="O38" s="299"/>
      <c r="P38" s="299">
        <v>1</v>
      </c>
      <c r="Q38" s="299"/>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4.4320000000000002E-3</v>
      </c>
      <c r="E40" s="272"/>
      <c r="F40" s="308">
        <v>7.5125000000000001E-3</v>
      </c>
      <c r="G40" s="307"/>
      <c r="H40" s="308">
        <v>4.3499999999999997E-3</v>
      </c>
      <c r="I40" s="308"/>
      <c r="J40" s="308">
        <v>4.8399999999999997E-3</v>
      </c>
      <c r="K40" s="307"/>
      <c r="L40" s="308">
        <v>9.1125000000000008E-3</v>
      </c>
      <c r="M40" s="307"/>
      <c r="N40" s="308">
        <v>5.7499999999999999E-3</v>
      </c>
      <c r="O40" s="307"/>
      <c r="P40" s="308">
        <v>1.3112499999999999E-2</v>
      </c>
      <c r="Q40" s="307"/>
      <c r="R40" s="308">
        <v>9.75E-3</v>
      </c>
      <c r="S40" s="307"/>
      <c r="T40" s="308"/>
      <c r="U40" s="274"/>
      <c r="V40" s="280"/>
      <c r="W40" s="275"/>
      <c r="X40" s="5"/>
    </row>
    <row r="41" spans="1:24" ht="15.6" x14ac:dyDescent="0.3">
      <c r="A41" s="271"/>
      <c r="B41" s="272" t="s">
        <v>13</v>
      </c>
      <c r="C41" s="272"/>
      <c r="D41" s="308">
        <v>4.4900000000000001E-3</v>
      </c>
      <c r="E41" s="272"/>
      <c r="F41" s="308">
        <v>7.7875000000000002E-3</v>
      </c>
      <c r="G41" s="307"/>
      <c r="H41" s="308">
        <v>4.4999999999999997E-3</v>
      </c>
      <c r="I41" s="308"/>
      <c r="J41" s="308">
        <v>5.2024999999999997E-3</v>
      </c>
      <c r="K41" s="307"/>
      <c r="L41" s="308">
        <v>9.3875E-3</v>
      </c>
      <c r="M41" s="307"/>
      <c r="N41" s="308">
        <v>5.8999999999999999E-3</v>
      </c>
      <c r="O41" s="307"/>
      <c r="P41" s="308">
        <v>1.33875E-2</v>
      </c>
      <c r="Q41" s="307"/>
      <c r="R41" s="308">
        <v>9.9000000000000008E-3</v>
      </c>
      <c r="S41" s="307"/>
      <c r="T41" s="308"/>
      <c r="U41" s="274"/>
      <c r="V41" s="307" t="s">
        <v>196</v>
      </c>
      <c r="W41" s="275"/>
      <c r="X41" s="5"/>
    </row>
    <row r="42" spans="1:24" ht="15.6" x14ac:dyDescent="0.3">
      <c r="A42" s="271"/>
      <c r="B42" s="272" t="s">
        <v>300</v>
      </c>
      <c r="C42" s="272"/>
      <c r="D42" s="280" t="s">
        <v>327</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v>7.8744999999999996E-3</v>
      </c>
      <c r="E43" s="308"/>
      <c r="F43" s="308">
        <f>+F40</f>
        <v>7.5125000000000001E-3</v>
      </c>
      <c r="G43" s="308"/>
      <c r="H43" s="308">
        <v>7.7565000000000004E-3</v>
      </c>
      <c r="I43" s="308"/>
      <c r="J43" s="308">
        <v>7.5925000000000003E-3</v>
      </c>
      <c r="K43" s="308"/>
      <c r="L43" s="308">
        <f>+L40</f>
        <v>9.1125000000000008E-3</v>
      </c>
      <c r="M43" s="308"/>
      <c r="N43" s="308">
        <v>9.2925000000000004E-3</v>
      </c>
      <c r="O43" s="308"/>
      <c r="P43" s="308">
        <f>+P40</f>
        <v>1.3112499999999999E-2</v>
      </c>
      <c r="Q43" s="307"/>
      <c r="R43" s="308">
        <v>1.35125E-2</v>
      </c>
      <c r="S43" s="280"/>
      <c r="T43" s="280"/>
      <c r="U43" s="274"/>
      <c r="V43" s="307">
        <f>SUMPRODUCT(D43:R43,D35:R35)/V35</f>
        <v>8.3304899572355789E-3</v>
      </c>
      <c r="W43" s="275"/>
      <c r="X43" s="5"/>
    </row>
    <row r="44" spans="1:24" ht="15.6" x14ac:dyDescent="0.3">
      <c r="A44" s="271"/>
      <c r="B44" s="272" t="s">
        <v>302</v>
      </c>
      <c r="C44" s="309"/>
      <c r="D44" s="308">
        <v>8.1495000000000005E-3</v>
      </c>
      <c r="E44" s="308"/>
      <c r="F44" s="308">
        <f>+F41</f>
        <v>7.7875000000000002E-3</v>
      </c>
      <c r="G44" s="308"/>
      <c r="H44" s="308">
        <v>8.0315000000000004E-3</v>
      </c>
      <c r="I44" s="308"/>
      <c r="J44" s="308">
        <v>7.8674999999999995E-3</v>
      </c>
      <c r="K44" s="308"/>
      <c r="L44" s="308">
        <f>+L41</f>
        <v>9.3875E-3</v>
      </c>
      <c r="M44" s="308"/>
      <c r="N44" s="308">
        <v>9.5674999999999996E-3</v>
      </c>
      <c r="O44" s="308"/>
      <c r="P44" s="308">
        <f>+P41</f>
        <v>1.33875E-2</v>
      </c>
      <c r="Q44" s="307"/>
      <c r="R44" s="308">
        <v>1.3787499999999999E-2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328</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0.22456114520001158</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41379</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92</v>
      </c>
      <c r="S57" s="318"/>
      <c r="T57" s="319">
        <v>41197</v>
      </c>
      <c r="U57" s="320"/>
      <c r="V57" s="319">
        <v>41288</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90</v>
      </c>
      <c r="S58" s="272"/>
      <c r="T58" s="319">
        <v>41289</v>
      </c>
      <c r="U58" s="320"/>
      <c r="V58" s="319">
        <v>41378</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41366</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330</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984794</v>
      </c>
      <c r="O68" s="324"/>
      <c r="P68" s="324">
        <f>4654+238+190+246</f>
        <v>5328</v>
      </c>
      <c r="Q68" s="324"/>
      <c r="R68" s="324">
        <f>238+190+246</f>
        <v>674</v>
      </c>
      <c r="S68" s="324"/>
      <c r="T68" s="324">
        <v>0</v>
      </c>
      <c r="U68" s="324"/>
      <c r="V68" s="325">
        <f>+N68-P68+R68-T68</f>
        <v>980140</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984794</v>
      </c>
      <c r="O71" s="324"/>
      <c r="P71" s="324">
        <f>SUM(P68:P70)</f>
        <v>5328</v>
      </c>
      <c r="Q71" s="324"/>
      <c r="R71" s="324">
        <f>SUM(R68:R70)</f>
        <v>674</v>
      </c>
      <c r="S71" s="324"/>
      <c r="T71" s="324">
        <f>SUM(T68:T70)</f>
        <v>0</v>
      </c>
      <c r="U71" s="324"/>
      <c r="V71" s="324">
        <f>SUM(V68:V70)</f>
        <v>980140</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984794</v>
      </c>
      <c r="O84" s="328"/>
      <c r="P84" s="328"/>
      <c r="Q84" s="328"/>
      <c r="R84" s="328"/>
      <c r="S84" s="328"/>
      <c r="T84" s="328"/>
      <c r="U84" s="328"/>
      <c r="V84" s="328">
        <f>SUM(V71:V83)</f>
        <v>980140</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+T199</f>
        <v>41361</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5328-170</f>
        <v>5158</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4351+2877-687-1016</f>
        <v>5525</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111+36</f>
        <v>147</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34</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397</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5158</v>
      </c>
      <c r="U96" s="272"/>
      <c r="V96" s="324">
        <f>SUM(V88:V95)</f>
        <v>6103</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-246</v>
      </c>
      <c r="U97" s="272"/>
      <c r="V97" s="324">
        <v>246</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-148</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4912</v>
      </c>
      <c r="U100" s="272"/>
      <c r="V100" s="324">
        <f>V96+V98+V97+V99</f>
        <v>6201</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331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343" t="s">
        <v>332</v>
      </c>
      <c r="C104" s="272"/>
      <c r="D104" s="272"/>
      <c r="E104" s="272"/>
      <c r="F104" s="272"/>
      <c r="G104" s="272"/>
      <c r="H104" s="272"/>
      <c r="I104" s="272"/>
      <c r="J104" s="272"/>
      <c r="K104" s="272"/>
      <c r="L104" s="272"/>
      <c r="M104" s="272"/>
      <c r="N104" s="272"/>
      <c r="O104" s="272"/>
      <c r="P104" s="272"/>
      <c r="Q104" s="272"/>
      <c r="R104" s="272"/>
      <c r="S104" s="272"/>
      <c r="T104" s="272"/>
      <c r="U104" s="272"/>
      <c r="V104" s="325">
        <f>-368-273-12</f>
        <v>-653</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-27</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-1545+141</f>
        <v>-1404</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-141</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-2</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-129</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-126</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-181</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-42</v>
      </c>
      <c r="W112" s="275"/>
      <c r="X112" s="5"/>
      <c r="Y112" s="109"/>
    </row>
    <row r="113" spans="1:25" ht="15.6" x14ac:dyDescent="0.3">
      <c r="A113" s="392">
        <v>7</v>
      </c>
      <c r="B113" s="343" t="s">
        <v>333</v>
      </c>
      <c r="C113" s="343"/>
      <c r="D113" s="343"/>
      <c r="E113" s="343"/>
      <c r="F113" s="343"/>
      <c r="G113" s="272"/>
      <c r="H113" s="272"/>
      <c r="I113" s="272"/>
      <c r="J113" s="272"/>
      <c r="K113" s="272"/>
      <c r="L113" s="272"/>
      <c r="M113" s="272"/>
      <c r="N113" s="272"/>
      <c r="O113" s="272"/>
      <c r="P113" s="272"/>
      <c r="Q113" s="272"/>
      <c r="R113" s="272"/>
      <c r="S113" s="272"/>
      <c r="T113" s="272"/>
      <c r="U113" s="272"/>
      <c r="V113" s="325">
        <v>0</v>
      </c>
      <c r="W113" s="275"/>
      <c r="X113" s="5"/>
      <c r="Y113" s="109"/>
    </row>
    <row r="114" spans="1:25" ht="15.6" x14ac:dyDescent="0.3">
      <c r="A114" s="338">
        <f t="shared" ref="A114:A121" si="0">+A113+1</f>
        <v>8</v>
      </c>
      <c r="B114" s="272" t="s">
        <v>35</v>
      </c>
      <c r="C114" s="272"/>
      <c r="D114" s="272"/>
      <c r="E114" s="272"/>
      <c r="F114" s="272"/>
      <c r="G114" s="272"/>
      <c r="H114" s="272"/>
      <c r="I114" s="272"/>
      <c r="J114" s="272"/>
      <c r="K114" s="272"/>
      <c r="L114" s="272"/>
      <c r="M114" s="272"/>
      <c r="N114" s="272"/>
      <c r="O114" s="272"/>
      <c r="P114" s="272"/>
      <c r="Q114" s="272"/>
      <c r="R114" s="272"/>
      <c r="S114" s="272"/>
      <c r="T114" s="272"/>
      <c r="U114" s="272"/>
      <c r="V114" s="325">
        <v>-10</v>
      </c>
      <c r="W114" s="275"/>
      <c r="X114" s="5"/>
    </row>
    <row r="115" spans="1:25" ht="15.6" x14ac:dyDescent="0.3">
      <c r="A115" s="338">
        <f t="shared" si="0"/>
        <v>9</v>
      </c>
      <c r="B115" s="272" t="s">
        <v>45</v>
      </c>
      <c r="C115" s="272"/>
      <c r="D115" s="272"/>
      <c r="E115" s="272"/>
      <c r="F115" s="272"/>
      <c r="G115" s="272"/>
      <c r="H115" s="272"/>
      <c r="I115" s="272"/>
      <c r="J115" s="272"/>
      <c r="K115" s="272"/>
      <c r="L115" s="272"/>
      <c r="M115" s="272"/>
      <c r="N115" s="272"/>
      <c r="O115" s="272"/>
      <c r="P115" s="272"/>
      <c r="Q115" s="272"/>
      <c r="R115" s="272"/>
      <c r="S115" s="272"/>
      <c r="T115" s="324">
        <f>-V115</f>
        <v>170</v>
      </c>
      <c r="U115" s="272"/>
      <c r="V115" s="325">
        <v>-170</v>
      </c>
      <c r="W115" s="275"/>
      <c r="X115" s="5"/>
    </row>
    <row r="116" spans="1:25" ht="15.6" x14ac:dyDescent="0.3">
      <c r="A116" s="338">
        <f t="shared" si="0"/>
        <v>10</v>
      </c>
      <c r="B116" s="272" t="s">
        <v>128</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5" ht="15.6" x14ac:dyDescent="0.3">
      <c r="A117" s="338">
        <f t="shared" si="0"/>
        <v>11</v>
      </c>
      <c r="B117" s="272" t="s">
        <v>271</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5" ht="15.6" x14ac:dyDescent="0.3">
      <c r="A118" s="338">
        <f t="shared" si="0"/>
        <v>12</v>
      </c>
      <c r="B118" s="272" t="s">
        <v>36</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5" ht="15.6" x14ac:dyDescent="0.3">
      <c r="A119" s="338">
        <f t="shared" si="0"/>
        <v>13</v>
      </c>
      <c r="B119" s="272" t="s">
        <v>270</v>
      </c>
      <c r="C119" s="272"/>
      <c r="D119" s="272"/>
      <c r="E119" s="272"/>
      <c r="F119" s="272"/>
      <c r="G119" s="272"/>
      <c r="H119" s="272"/>
      <c r="I119" s="272"/>
      <c r="J119" s="272"/>
      <c r="K119" s="272"/>
      <c r="L119" s="272"/>
      <c r="M119" s="272"/>
      <c r="N119" s="272"/>
      <c r="O119" s="272"/>
      <c r="P119" s="272"/>
      <c r="Q119" s="272"/>
      <c r="R119" s="272"/>
      <c r="S119" s="272"/>
      <c r="T119" s="272"/>
      <c r="U119" s="272"/>
      <c r="V119" s="325">
        <v>0</v>
      </c>
      <c r="W119" s="275"/>
      <c r="X119" s="5"/>
    </row>
    <row r="120" spans="1:25" ht="15.6" x14ac:dyDescent="0.3">
      <c r="A120" s="338">
        <f t="shared" si="0"/>
        <v>14</v>
      </c>
      <c r="B120" s="272" t="s">
        <v>152</v>
      </c>
      <c r="C120" s="272"/>
      <c r="D120" s="272"/>
      <c r="E120" s="272"/>
      <c r="F120" s="272"/>
      <c r="G120" s="272"/>
      <c r="H120" s="272"/>
      <c r="I120" s="272"/>
      <c r="J120" s="272"/>
      <c r="K120" s="272"/>
      <c r="L120" s="272"/>
      <c r="M120" s="272"/>
      <c r="N120" s="272"/>
      <c r="O120" s="272"/>
      <c r="P120" s="272"/>
      <c r="Q120" s="272"/>
      <c r="R120" s="272"/>
      <c r="S120" s="272"/>
      <c r="T120" s="272"/>
      <c r="U120" s="272"/>
      <c r="V120" s="325">
        <v>-367</v>
      </c>
      <c r="W120" s="275"/>
      <c r="X120" s="5"/>
    </row>
    <row r="121" spans="1:25" ht="15.6" x14ac:dyDescent="0.3">
      <c r="A121" s="338">
        <f t="shared" si="0"/>
        <v>15</v>
      </c>
      <c r="B121" s="272" t="s">
        <v>129</v>
      </c>
      <c r="C121" s="272"/>
      <c r="D121" s="272"/>
      <c r="E121" s="272"/>
      <c r="F121" s="272"/>
      <c r="G121" s="272"/>
      <c r="H121" s="272"/>
      <c r="I121" s="272"/>
      <c r="J121" s="272"/>
      <c r="K121" s="272"/>
      <c r="L121" s="272"/>
      <c r="M121" s="272"/>
      <c r="N121" s="272"/>
      <c r="O121" s="272"/>
      <c r="P121" s="272"/>
      <c r="Q121" s="272"/>
      <c r="R121" s="272"/>
      <c r="S121" s="272"/>
      <c r="T121" s="272"/>
      <c r="U121" s="272"/>
      <c r="V121" s="325">
        <f>-V100-SUM(V102:V120)</f>
        <v>-2947</v>
      </c>
      <c r="W121" s="275"/>
      <c r="X121" s="5"/>
    </row>
    <row r="122" spans="1:25" ht="15.6" x14ac:dyDescent="0.3">
      <c r="A122" s="271"/>
      <c r="B122" s="335" t="s">
        <v>37</v>
      </c>
      <c r="C122" s="298"/>
      <c r="D122" s="298"/>
      <c r="E122" s="298"/>
      <c r="F122" s="298"/>
      <c r="G122" s="298"/>
      <c r="H122" s="298"/>
      <c r="I122" s="298"/>
      <c r="J122" s="298"/>
      <c r="K122" s="298"/>
      <c r="L122" s="298"/>
      <c r="M122" s="298"/>
      <c r="N122" s="298"/>
      <c r="O122" s="298"/>
      <c r="P122" s="298"/>
      <c r="Q122" s="298"/>
      <c r="R122" s="298"/>
      <c r="S122" s="298"/>
      <c r="T122" s="298"/>
      <c r="U122" s="298"/>
      <c r="V122" s="339"/>
      <c r="W122" s="304"/>
      <c r="X122" s="5"/>
    </row>
    <row r="123" spans="1:25" ht="15.6" x14ac:dyDescent="0.3">
      <c r="A123" s="338"/>
      <c r="B123" s="272" t="s">
        <v>176</v>
      </c>
      <c r="C123" s="272"/>
      <c r="D123" s="272"/>
      <c r="E123" s="272"/>
      <c r="F123" s="272"/>
      <c r="G123" s="272"/>
      <c r="H123" s="272"/>
      <c r="I123" s="272"/>
      <c r="J123" s="272"/>
      <c r="K123" s="272"/>
      <c r="L123" s="272"/>
      <c r="M123" s="272"/>
      <c r="N123" s="272"/>
      <c r="O123" s="272"/>
      <c r="P123" s="272"/>
      <c r="Q123" s="272"/>
      <c r="R123" s="272"/>
      <c r="S123" s="272"/>
      <c r="T123" s="324">
        <f>-T183</f>
        <v>0</v>
      </c>
      <c r="U123" s="324"/>
      <c r="V123" s="325"/>
      <c r="W123" s="275"/>
      <c r="X123" s="5"/>
    </row>
    <row r="124" spans="1:25" ht="15.6" x14ac:dyDescent="0.3">
      <c r="A124" s="338"/>
      <c r="B124" s="272" t="s">
        <v>177</v>
      </c>
      <c r="C124" s="272"/>
      <c r="D124" s="272"/>
      <c r="E124" s="272"/>
      <c r="F124" s="272"/>
      <c r="G124" s="272"/>
      <c r="H124" s="272"/>
      <c r="I124" s="272"/>
      <c r="J124" s="272"/>
      <c r="K124" s="272"/>
      <c r="L124" s="272"/>
      <c r="M124" s="272"/>
      <c r="N124" s="272"/>
      <c r="O124" s="272"/>
      <c r="P124" s="272"/>
      <c r="Q124" s="272"/>
      <c r="R124" s="272"/>
      <c r="S124" s="272"/>
      <c r="T124" s="324">
        <v>-190</v>
      </c>
      <c r="U124" s="324"/>
      <c r="V124" s="325"/>
      <c r="W124" s="275"/>
      <c r="X124" s="5"/>
    </row>
    <row r="125" spans="1:25" ht="15.6" x14ac:dyDescent="0.3">
      <c r="A125" s="338"/>
      <c r="B125" s="272" t="s">
        <v>38</v>
      </c>
      <c r="C125" s="272"/>
      <c r="D125" s="272"/>
      <c r="E125" s="272"/>
      <c r="F125" s="272"/>
      <c r="G125" s="272"/>
      <c r="H125" s="272"/>
      <c r="I125" s="272"/>
      <c r="J125" s="272"/>
      <c r="K125" s="272"/>
      <c r="L125" s="272"/>
      <c r="M125" s="272"/>
      <c r="N125" s="272"/>
      <c r="O125" s="272"/>
      <c r="P125" s="272"/>
      <c r="Q125" s="272"/>
      <c r="R125" s="272"/>
      <c r="S125" s="272"/>
      <c r="T125" s="324">
        <f>-S183</f>
        <v>-238</v>
      </c>
      <c r="U125" s="324"/>
      <c r="V125" s="325"/>
      <c r="W125" s="275"/>
      <c r="X125" s="5"/>
    </row>
    <row r="126" spans="1:25" ht="15.6" x14ac:dyDescent="0.3">
      <c r="A126" s="338"/>
      <c r="B126" s="272" t="s">
        <v>200</v>
      </c>
      <c r="C126" s="272"/>
      <c r="D126" s="272"/>
      <c r="E126" s="272"/>
      <c r="F126" s="272"/>
      <c r="G126" s="272"/>
      <c r="H126" s="272"/>
      <c r="I126" s="272"/>
      <c r="J126" s="272"/>
      <c r="K126" s="272"/>
      <c r="L126" s="272"/>
      <c r="M126" s="272"/>
      <c r="N126" s="272"/>
      <c r="O126" s="272"/>
      <c r="P126" s="272"/>
      <c r="Q126" s="272"/>
      <c r="R126" s="272"/>
      <c r="S126" s="272"/>
      <c r="T126" s="324">
        <v>-2812</v>
      </c>
      <c r="U126" s="324"/>
      <c r="V126" s="325"/>
      <c r="W126" s="275"/>
      <c r="X126" s="5"/>
    </row>
    <row r="127" spans="1:25" ht="15.6" x14ac:dyDescent="0.3">
      <c r="A127" s="338"/>
      <c r="B127" s="272" t="s">
        <v>198</v>
      </c>
      <c r="C127" s="272"/>
      <c r="D127" s="272"/>
      <c r="E127" s="272"/>
      <c r="F127" s="272"/>
      <c r="G127" s="272"/>
      <c r="H127" s="272"/>
      <c r="I127" s="272"/>
      <c r="J127" s="272"/>
      <c r="K127" s="272"/>
      <c r="L127" s="272"/>
      <c r="M127" s="272"/>
      <c r="N127" s="272"/>
      <c r="O127" s="272"/>
      <c r="P127" s="272"/>
      <c r="Q127" s="272"/>
      <c r="R127" s="272"/>
      <c r="S127" s="272"/>
      <c r="T127" s="324">
        <v>-441</v>
      </c>
      <c r="U127" s="324"/>
      <c r="V127" s="325"/>
      <c r="W127" s="275"/>
      <c r="X127" s="5"/>
    </row>
    <row r="128" spans="1:25" ht="15.6" x14ac:dyDescent="0.3">
      <c r="A128" s="338"/>
      <c r="B128" s="272" t="s">
        <v>197</v>
      </c>
      <c r="C128" s="272"/>
      <c r="D128" s="272"/>
      <c r="E128" s="272"/>
      <c r="F128" s="272"/>
      <c r="G128" s="272"/>
      <c r="H128" s="272"/>
      <c r="I128" s="272"/>
      <c r="J128" s="272"/>
      <c r="K128" s="272"/>
      <c r="L128" s="272"/>
      <c r="M128" s="272"/>
      <c r="N128" s="272"/>
      <c r="O128" s="272"/>
      <c r="P128" s="272"/>
      <c r="Q128" s="272"/>
      <c r="R128" s="272"/>
      <c r="S128" s="272"/>
      <c r="T128" s="324">
        <v>-745</v>
      </c>
      <c r="U128" s="324"/>
      <c r="V128" s="325"/>
      <c r="W128" s="275"/>
      <c r="X128" s="5"/>
    </row>
    <row r="129" spans="1:24" ht="15.6" x14ac:dyDescent="0.3">
      <c r="A129" s="338"/>
      <c r="B129" s="272" t="s">
        <v>232</v>
      </c>
      <c r="C129" s="272"/>
      <c r="D129" s="272"/>
      <c r="E129" s="272"/>
      <c r="F129" s="272"/>
      <c r="G129" s="272"/>
      <c r="H129" s="272"/>
      <c r="I129" s="272"/>
      <c r="J129" s="272"/>
      <c r="K129" s="272"/>
      <c r="L129" s="272"/>
      <c r="M129" s="272"/>
      <c r="N129" s="272"/>
      <c r="O129" s="272"/>
      <c r="P129" s="272"/>
      <c r="Q129" s="272"/>
      <c r="R129" s="272"/>
      <c r="S129" s="272"/>
      <c r="T129" s="324">
        <v>-656</v>
      </c>
      <c r="U129" s="324"/>
      <c r="V129" s="325"/>
      <c r="W129" s="275"/>
      <c r="X129" s="5"/>
    </row>
    <row r="130" spans="1:24" ht="15.6" x14ac:dyDescent="0.3">
      <c r="A130" s="338"/>
      <c r="B130" s="272" t="s">
        <v>192</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191</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233</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190</v>
      </c>
      <c r="C133" s="272"/>
      <c r="D133" s="272"/>
      <c r="E133" s="272"/>
      <c r="F133" s="272"/>
      <c r="G133" s="272"/>
      <c r="H133" s="272"/>
      <c r="I133" s="272"/>
      <c r="J133" s="272"/>
      <c r="K133" s="272"/>
      <c r="L133" s="272"/>
      <c r="M133" s="272"/>
      <c r="N133" s="272"/>
      <c r="O133" s="272"/>
      <c r="P133" s="272"/>
      <c r="Q133" s="272"/>
      <c r="R133" s="272"/>
      <c r="S133" s="272"/>
      <c r="T133" s="324">
        <v>0</v>
      </c>
      <c r="U133" s="324"/>
      <c r="V133" s="325"/>
      <c r="W133" s="275"/>
      <c r="X133" s="5"/>
    </row>
    <row r="134" spans="1:24" ht="15.6" x14ac:dyDescent="0.3">
      <c r="A134" s="338"/>
      <c r="B134" s="272" t="s">
        <v>39</v>
      </c>
      <c r="C134" s="272"/>
      <c r="D134" s="272"/>
      <c r="E134" s="272"/>
      <c r="F134" s="272"/>
      <c r="G134" s="272"/>
      <c r="H134" s="272"/>
      <c r="I134" s="272"/>
      <c r="J134" s="272"/>
      <c r="K134" s="272"/>
      <c r="L134" s="272"/>
      <c r="M134" s="272"/>
      <c r="N134" s="272"/>
      <c r="O134" s="272"/>
      <c r="P134" s="272"/>
      <c r="Q134" s="272"/>
      <c r="R134" s="272"/>
      <c r="S134" s="272"/>
      <c r="T134" s="324">
        <f>SUM(T123:T133)</f>
        <v>-5082</v>
      </c>
      <c r="U134" s="324"/>
      <c r="V134" s="324">
        <f>SUM(V101:V131)</f>
        <v>-6201</v>
      </c>
      <c r="W134" s="275"/>
      <c r="X134" s="5"/>
    </row>
    <row r="135" spans="1:24" ht="15.6" x14ac:dyDescent="0.3">
      <c r="A135" s="338"/>
      <c r="B135" s="272" t="s">
        <v>40</v>
      </c>
      <c r="C135" s="272"/>
      <c r="D135" s="272"/>
      <c r="E135" s="272"/>
      <c r="F135" s="272"/>
      <c r="G135" s="272"/>
      <c r="H135" s="272"/>
      <c r="I135" s="272"/>
      <c r="J135" s="272"/>
      <c r="K135" s="272"/>
      <c r="L135" s="272"/>
      <c r="M135" s="272"/>
      <c r="N135" s="272"/>
      <c r="O135" s="272"/>
      <c r="P135" s="272"/>
      <c r="Q135" s="272"/>
      <c r="R135" s="272"/>
      <c r="S135" s="272"/>
      <c r="T135" s="324">
        <f>T100+T134+T115</f>
        <v>0</v>
      </c>
      <c r="U135" s="324"/>
      <c r="V135" s="324">
        <f>V100+V134</f>
        <v>0</v>
      </c>
      <c r="W135" s="275"/>
      <c r="X135" s="5"/>
    </row>
    <row r="136" spans="1:24" ht="15.6" x14ac:dyDescent="0.3">
      <c r="A136" s="242"/>
      <c r="B136" s="268"/>
      <c r="C136" s="268"/>
      <c r="D136" s="268"/>
      <c r="E136" s="268"/>
      <c r="F136" s="268"/>
      <c r="G136" s="268"/>
      <c r="H136" s="268"/>
      <c r="I136" s="268"/>
      <c r="J136" s="268"/>
      <c r="K136" s="268"/>
      <c r="L136" s="268"/>
      <c r="M136" s="268"/>
      <c r="N136" s="268"/>
      <c r="O136" s="268"/>
      <c r="P136" s="268"/>
      <c r="Q136" s="268"/>
      <c r="R136" s="268"/>
      <c r="S136" s="268"/>
      <c r="T136" s="332"/>
      <c r="U136" s="332"/>
      <c r="V136" s="332"/>
      <c r="W136" s="268"/>
      <c r="X136" s="5"/>
    </row>
    <row r="137" spans="1:24" ht="15.6" x14ac:dyDescent="0.3">
      <c r="A137" s="242"/>
      <c r="B137" s="220"/>
      <c r="C137" s="220"/>
      <c r="D137" s="220"/>
      <c r="E137" s="220"/>
      <c r="F137" s="220"/>
      <c r="G137" s="220"/>
      <c r="H137" s="220"/>
      <c r="I137" s="220"/>
      <c r="J137" s="220"/>
      <c r="K137" s="220"/>
      <c r="L137" s="220"/>
      <c r="M137" s="220"/>
      <c r="N137" s="220"/>
      <c r="O137" s="220"/>
      <c r="P137" s="220"/>
      <c r="Q137" s="220"/>
      <c r="R137" s="220"/>
      <c r="S137" s="220"/>
      <c r="T137" s="220"/>
      <c r="U137" s="220"/>
      <c r="V137" s="243"/>
      <c r="W137" s="220"/>
      <c r="X137" s="5"/>
    </row>
    <row r="138" spans="1:24" ht="18" thickBot="1" x14ac:dyDescent="0.35">
      <c r="A138" s="244"/>
      <c r="B138" s="234" t="str">
        <f>B64</f>
        <v>PM13 INVESTOR REPORT QUARTER ENDING MARCH 2013</v>
      </c>
      <c r="C138" s="235"/>
      <c r="D138" s="235"/>
      <c r="E138" s="235"/>
      <c r="F138" s="235"/>
      <c r="G138" s="235"/>
      <c r="H138" s="235"/>
      <c r="I138" s="235"/>
      <c r="J138" s="235"/>
      <c r="K138" s="235"/>
      <c r="L138" s="235"/>
      <c r="M138" s="235"/>
      <c r="N138" s="235"/>
      <c r="O138" s="235"/>
      <c r="P138" s="235"/>
      <c r="Q138" s="235"/>
      <c r="R138" s="235"/>
      <c r="S138" s="235"/>
      <c r="T138" s="235"/>
      <c r="U138" s="235"/>
      <c r="V138" s="245"/>
      <c r="W138" s="237"/>
      <c r="X138" s="5"/>
    </row>
    <row r="139" spans="1:24" ht="15.6" x14ac:dyDescent="0.3">
      <c r="A139" s="246"/>
      <c r="B139" s="388" t="s">
        <v>41</v>
      </c>
      <c r="C139" s="247"/>
      <c r="D139" s="247"/>
      <c r="E139" s="247"/>
      <c r="F139" s="247"/>
      <c r="G139" s="247"/>
      <c r="H139" s="247"/>
      <c r="I139" s="247"/>
      <c r="J139" s="247"/>
      <c r="K139" s="247"/>
      <c r="L139" s="247"/>
      <c r="M139" s="247"/>
      <c r="N139" s="247"/>
      <c r="O139" s="247"/>
      <c r="P139" s="247"/>
      <c r="Q139" s="247"/>
      <c r="R139" s="247"/>
      <c r="S139" s="247"/>
      <c r="T139" s="247"/>
      <c r="U139" s="247"/>
      <c r="V139" s="248"/>
      <c r="W139" s="247"/>
      <c r="X139" s="5"/>
    </row>
    <row r="140" spans="1:24" ht="15.6" x14ac:dyDescent="0.3">
      <c r="A140" s="175"/>
      <c r="B140" s="186"/>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175"/>
      <c r="B141" s="203" t="s">
        <v>42</v>
      </c>
      <c r="C141" s="177"/>
      <c r="D141" s="177"/>
      <c r="E141" s="177"/>
      <c r="F141" s="177"/>
      <c r="G141" s="177"/>
      <c r="H141" s="177"/>
      <c r="I141" s="177"/>
      <c r="J141" s="177"/>
      <c r="K141" s="177"/>
      <c r="L141" s="177"/>
      <c r="M141" s="177"/>
      <c r="N141" s="177"/>
      <c r="O141" s="177"/>
      <c r="P141" s="177"/>
      <c r="Q141" s="177"/>
      <c r="R141" s="177"/>
      <c r="S141" s="177"/>
      <c r="T141" s="177"/>
      <c r="U141" s="177"/>
      <c r="V141" s="196"/>
      <c r="W141" s="177"/>
      <c r="X141" s="5"/>
    </row>
    <row r="142" spans="1:24" ht="15.6" x14ac:dyDescent="0.3">
      <c r="A142" s="271"/>
      <c r="B142" s="272" t="s">
        <v>43</v>
      </c>
      <c r="C142" s="272"/>
      <c r="D142" s="272"/>
      <c r="E142" s="272"/>
      <c r="F142" s="272"/>
      <c r="G142" s="272"/>
      <c r="H142" s="272"/>
      <c r="I142" s="272"/>
      <c r="J142" s="272"/>
      <c r="K142" s="272"/>
      <c r="L142" s="272"/>
      <c r="M142" s="272"/>
      <c r="N142" s="272"/>
      <c r="O142" s="272"/>
      <c r="P142" s="272"/>
      <c r="Q142" s="272"/>
      <c r="R142" s="272"/>
      <c r="S142" s="272"/>
      <c r="T142" s="272"/>
      <c r="U142" s="272"/>
      <c r="V142" s="325">
        <f>+V34*0.019</f>
        <v>28503.61</v>
      </c>
      <c r="W142" s="275"/>
      <c r="X142" s="5"/>
    </row>
    <row r="143" spans="1:24" ht="15.6" x14ac:dyDescent="0.3">
      <c r="A143" s="271"/>
      <c r="B143" s="272" t="s">
        <v>44</v>
      </c>
      <c r="C143" s="272"/>
      <c r="D143" s="272"/>
      <c r="E143" s="272"/>
      <c r="F143" s="272"/>
      <c r="G143" s="272"/>
      <c r="H143" s="272"/>
      <c r="I143" s="272"/>
      <c r="J143" s="272"/>
      <c r="K143" s="272"/>
      <c r="L143" s="272"/>
      <c r="M143" s="272"/>
      <c r="N143" s="272"/>
      <c r="O143" s="272"/>
      <c r="P143" s="272"/>
      <c r="Q143" s="272"/>
      <c r="R143" s="272"/>
      <c r="S143" s="272"/>
      <c r="T143" s="272"/>
      <c r="U143" s="272"/>
      <c r="V143" s="325">
        <v>28504</v>
      </c>
      <c r="W143" s="275"/>
      <c r="X143" s="5"/>
    </row>
    <row r="144" spans="1:24" ht="15.6" x14ac:dyDescent="0.3">
      <c r="A144" s="271"/>
      <c r="B144" s="272" t="s">
        <v>139</v>
      </c>
      <c r="C144" s="272"/>
      <c r="D144" s="272"/>
      <c r="E144" s="272"/>
      <c r="F144" s="272"/>
      <c r="G144" s="272"/>
      <c r="H144" s="272"/>
      <c r="I144" s="272"/>
      <c r="J144" s="272"/>
      <c r="K144" s="272"/>
      <c r="L144" s="272"/>
      <c r="M144" s="272"/>
      <c r="N144" s="272"/>
      <c r="O144" s="272"/>
      <c r="P144" s="272"/>
      <c r="Q144" s="272"/>
      <c r="R144" s="272"/>
      <c r="S144" s="272"/>
      <c r="T144" s="272"/>
      <c r="U144" s="272"/>
      <c r="V144" s="325"/>
      <c r="W144" s="275"/>
      <c r="X144" s="5"/>
    </row>
    <row r="145" spans="1:25" ht="15.6" x14ac:dyDescent="0.3">
      <c r="A145" s="271"/>
      <c r="B145" s="272" t="s">
        <v>126</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127</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178</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45</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132</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row>
    <row r="150" spans="1:25" ht="15.6" x14ac:dyDescent="0.3">
      <c r="A150" s="271"/>
      <c r="B150" s="272" t="s">
        <v>267</v>
      </c>
      <c r="C150" s="272"/>
      <c r="D150" s="272"/>
      <c r="E150" s="272"/>
      <c r="F150" s="272"/>
      <c r="G150" s="272"/>
      <c r="H150" s="272"/>
      <c r="I150" s="272"/>
      <c r="J150" s="272"/>
      <c r="K150" s="272"/>
      <c r="L150" s="272"/>
      <c r="M150" s="272"/>
      <c r="N150" s="272"/>
      <c r="O150" s="272"/>
      <c r="P150" s="272"/>
      <c r="Q150" s="272"/>
      <c r="R150" s="272"/>
      <c r="S150" s="272"/>
      <c r="T150" s="272"/>
      <c r="U150" s="272"/>
      <c r="V150" s="325">
        <v>0</v>
      </c>
      <c r="W150" s="275"/>
      <c r="X150" s="5"/>
      <c r="Y150" s="109"/>
    </row>
    <row r="151" spans="1:25" ht="15.6" x14ac:dyDescent="0.3">
      <c r="A151" s="271"/>
      <c r="B151" s="272" t="s">
        <v>46</v>
      </c>
      <c r="C151" s="272"/>
      <c r="D151" s="272"/>
      <c r="E151" s="272"/>
      <c r="F151" s="272"/>
      <c r="G151" s="272"/>
      <c r="H151" s="272"/>
      <c r="I151" s="272"/>
      <c r="J151" s="272"/>
      <c r="K151" s="272"/>
      <c r="L151" s="272"/>
      <c r="M151" s="272"/>
      <c r="N151" s="272"/>
      <c r="O151" s="272"/>
      <c r="P151" s="272"/>
      <c r="Q151" s="272"/>
      <c r="R151" s="272"/>
      <c r="S151" s="272"/>
      <c r="T151" s="272"/>
      <c r="U151" s="272"/>
      <c r="V151" s="325">
        <f>SUM(V143:V150)</f>
        <v>28504</v>
      </c>
      <c r="W151" s="275"/>
      <c r="X151" s="5"/>
    </row>
    <row r="152" spans="1:25" ht="15.6" x14ac:dyDescent="0.3">
      <c r="A152" s="271"/>
      <c r="B152" s="298"/>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335" t="s">
        <v>268</v>
      </c>
      <c r="C153" s="298"/>
      <c r="D153" s="298"/>
      <c r="E153" s="298"/>
      <c r="F153" s="298"/>
      <c r="G153" s="298"/>
      <c r="H153" s="298"/>
      <c r="I153" s="298"/>
      <c r="J153" s="298"/>
      <c r="K153" s="298"/>
      <c r="L153" s="298"/>
      <c r="M153" s="298"/>
      <c r="N153" s="298"/>
      <c r="O153" s="298"/>
      <c r="P153" s="298"/>
      <c r="Q153" s="298"/>
      <c r="R153" s="298"/>
      <c r="S153" s="298"/>
      <c r="T153" s="298"/>
      <c r="U153" s="298"/>
      <c r="V153" s="337"/>
      <c r="W153" s="304"/>
      <c r="X153" s="5"/>
    </row>
    <row r="154" spans="1:25" ht="15.6" x14ac:dyDescent="0.3">
      <c r="A154" s="271"/>
      <c r="B154" s="272" t="s">
        <v>158</v>
      </c>
      <c r="C154" s="272"/>
      <c r="D154" s="272"/>
      <c r="E154" s="272"/>
      <c r="F154" s="272"/>
      <c r="G154" s="272"/>
      <c r="H154" s="272"/>
      <c r="I154" s="272"/>
      <c r="J154" s="272"/>
      <c r="K154" s="272"/>
      <c r="L154" s="272"/>
      <c r="M154" s="272"/>
      <c r="N154" s="272"/>
      <c r="O154" s="272"/>
      <c r="P154" s="272"/>
      <c r="Q154" s="272"/>
      <c r="R154" s="272"/>
      <c r="S154" s="272"/>
      <c r="T154" s="272"/>
      <c r="U154" s="272"/>
      <c r="V154" s="325">
        <v>15000</v>
      </c>
      <c r="W154" s="275"/>
      <c r="X154" s="5"/>
    </row>
    <row r="155" spans="1:25" ht="15.6" x14ac:dyDescent="0.3">
      <c r="A155" s="271"/>
      <c r="B155" s="272" t="s">
        <v>175</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72" t="s">
        <v>272</v>
      </c>
      <c r="C156" s="272"/>
      <c r="D156" s="272"/>
      <c r="E156" s="272"/>
      <c r="F156" s="272"/>
      <c r="G156" s="272"/>
      <c r="H156" s="272"/>
      <c r="I156" s="272"/>
      <c r="J156" s="272"/>
      <c r="K156" s="272"/>
      <c r="L156" s="272"/>
      <c r="M156" s="272"/>
      <c r="N156" s="272"/>
      <c r="O156" s="272"/>
      <c r="P156" s="272"/>
      <c r="Q156" s="272"/>
      <c r="R156" s="272"/>
      <c r="S156" s="272"/>
      <c r="T156" s="272"/>
      <c r="U156" s="272"/>
      <c r="V156" s="325">
        <v>6000</v>
      </c>
      <c r="W156" s="275"/>
      <c r="X156" s="5"/>
    </row>
    <row r="157" spans="1:25" ht="15.6" x14ac:dyDescent="0.3">
      <c r="A157" s="271"/>
      <c r="B157" s="298"/>
      <c r="C157" s="298"/>
      <c r="D157" s="298"/>
      <c r="E157" s="298"/>
      <c r="F157" s="298"/>
      <c r="G157" s="298"/>
      <c r="H157" s="298"/>
      <c r="I157" s="298"/>
      <c r="J157" s="298"/>
      <c r="K157" s="298"/>
      <c r="L157" s="298"/>
      <c r="M157" s="298"/>
      <c r="N157" s="298"/>
      <c r="O157" s="298"/>
      <c r="P157" s="298"/>
      <c r="Q157" s="298"/>
      <c r="R157" s="298"/>
      <c r="S157" s="298"/>
      <c r="T157" s="298"/>
      <c r="U157" s="298"/>
      <c r="V157" s="337"/>
      <c r="W157" s="304"/>
      <c r="X157" s="5"/>
    </row>
    <row r="158" spans="1:25" ht="15.6" x14ac:dyDescent="0.3">
      <c r="A158" s="175"/>
      <c r="B158" s="321"/>
      <c r="C158" s="321"/>
      <c r="D158" s="321"/>
      <c r="E158" s="321"/>
      <c r="F158" s="321"/>
      <c r="G158" s="321"/>
      <c r="H158" s="321"/>
      <c r="I158" s="321"/>
      <c r="J158" s="321"/>
      <c r="K158" s="321"/>
      <c r="L158" s="321"/>
      <c r="M158" s="321"/>
      <c r="N158" s="321"/>
      <c r="O158" s="321"/>
      <c r="P158" s="321"/>
      <c r="Q158" s="321"/>
      <c r="R158" s="321"/>
      <c r="S158" s="321"/>
      <c r="T158" s="321"/>
      <c r="U158" s="321"/>
      <c r="V158" s="340"/>
      <c r="W158" s="321"/>
      <c r="X158" s="5"/>
    </row>
    <row r="159" spans="1:25" ht="15.6" x14ac:dyDescent="0.3">
      <c r="A159" s="175"/>
      <c r="B159" s="203" t="s">
        <v>24</v>
      </c>
      <c r="C159" s="177"/>
      <c r="D159" s="177"/>
      <c r="E159" s="177"/>
      <c r="F159" s="177"/>
      <c r="G159" s="177"/>
      <c r="H159" s="177"/>
      <c r="I159" s="177"/>
      <c r="J159" s="177"/>
      <c r="K159" s="177"/>
      <c r="L159" s="177"/>
      <c r="M159" s="177"/>
      <c r="N159" s="177"/>
      <c r="O159" s="177"/>
      <c r="P159" s="177"/>
      <c r="Q159" s="177"/>
      <c r="R159" s="177"/>
      <c r="S159" s="177"/>
      <c r="T159" s="177"/>
      <c r="U159" s="177"/>
      <c r="V159" s="196"/>
      <c r="W159" s="177"/>
      <c r="X159" s="5"/>
    </row>
    <row r="160" spans="1:25" ht="15.6" x14ac:dyDescent="0.3">
      <c r="A160" s="271"/>
      <c r="B160" s="272" t="s">
        <v>47</v>
      </c>
      <c r="C160" s="272"/>
      <c r="D160" s="272"/>
      <c r="E160" s="272"/>
      <c r="F160" s="272"/>
      <c r="G160" s="272"/>
      <c r="H160" s="272"/>
      <c r="I160" s="272"/>
      <c r="J160" s="272"/>
      <c r="K160" s="272"/>
      <c r="L160" s="272"/>
      <c r="M160" s="272"/>
      <c r="N160" s="272"/>
      <c r="O160" s="272"/>
      <c r="P160" s="272"/>
      <c r="Q160" s="272"/>
      <c r="R160" s="272"/>
      <c r="S160" s="272"/>
      <c r="T160" s="272"/>
      <c r="U160" s="272"/>
      <c r="V160" s="341" t="s">
        <v>121</v>
      </c>
      <c r="W160" s="275"/>
      <c r="X160" s="5"/>
    </row>
    <row r="161" spans="1:24" ht="15.6" x14ac:dyDescent="0.3">
      <c r="A161" s="271"/>
      <c r="B161" s="272" t="s">
        <v>48</v>
      </c>
      <c r="C161" s="274"/>
      <c r="D161" s="274"/>
      <c r="E161" s="274"/>
      <c r="F161" s="274"/>
      <c r="G161" s="274"/>
      <c r="H161" s="274"/>
      <c r="I161" s="274"/>
      <c r="J161" s="274"/>
      <c r="K161" s="274"/>
      <c r="L161" s="274"/>
      <c r="M161" s="274"/>
      <c r="N161" s="274"/>
      <c r="O161" s="274"/>
      <c r="P161" s="274"/>
      <c r="Q161" s="274"/>
      <c r="R161" s="274"/>
      <c r="S161" s="274"/>
      <c r="T161" s="274"/>
      <c r="U161" s="274"/>
      <c r="V161" s="341" t="s">
        <v>121</v>
      </c>
      <c r="W161" s="275"/>
      <c r="X161" s="5"/>
    </row>
    <row r="162" spans="1:24" ht="15.6" x14ac:dyDescent="0.3">
      <c r="A162" s="271"/>
      <c r="B162" s="272" t="s">
        <v>49</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271"/>
      <c r="B163" s="272" t="s">
        <v>50</v>
      </c>
      <c r="C163" s="272"/>
      <c r="D163" s="272"/>
      <c r="E163" s="272"/>
      <c r="F163" s="272"/>
      <c r="G163" s="272"/>
      <c r="H163" s="272"/>
      <c r="I163" s="272"/>
      <c r="J163" s="272"/>
      <c r="K163" s="272"/>
      <c r="L163" s="272"/>
      <c r="M163" s="272"/>
      <c r="N163" s="272"/>
      <c r="O163" s="272"/>
      <c r="P163" s="272"/>
      <c r="Q163" s="272"/>
      <c r="R163" s="272"/>
      <c r="S163" s="272"/>
      <c r="T163" s="272"/>
      <c r="U163" s="272"/>
      <c r="V163" s="341" t="s">
        <v>121</v>
      </c>
      <c r="W163" s="275"/>
      <c r="X163" s="5"/>
    </row>
    <row r="164" spans="1:24" ht="15.6" x14ac:dyDescent="0.3">
      <c r="A164" s="175"/>
      <c r="B164" s="321"/>
      <c r="C164" s="321"/>
      <c r="D164" s="321"/>
      <c r="E164" s="321"/>
      <c r="F164" s="321"/>
      <c r="G164" s="321"/>
      <c r="H164" s="321"/>
      <c r="I164" s="321"/>
      <c r="J164" s="321"/>
      <c r="K164" s="321"/>
      <c r="L164" s="321"/>
      <c r="M164" s="321"/>
      <c r="N164" s="321"/>
      <c r="O164" s="321"/>
      <c r="P164" s="321"/>
      <c r="Q164" s="321"/>
      <c r="R164" s="321"/>
      <c r="S164" s="321"/>
      <c r="T164" s="321"/>
      <c r="U164" s="321"/>
      <c r="V164" s="340"/>
      <c r="W164" s="321"/>
      <c r="X164" s="5"/>
    </row>
    <row r="165" spans="1:24" ht="15.6" x14ac:dyDescent="0.3">
      <c r="A165" s="175"/>
      <c r="B165" s="203" t="s">
        <v>51</v>
      </c>
      <c r="C165" s="177"/>
      <c r="D165" s="177"/>
      <c r="E165" s="177"/>
      <c r="F165" s="177"/>
      <c r="G165" s="177"/>
      <c r="H165" s="177"/>
      <c r="I165" s="177"/>
      <c r="J165" s="177"/>
      <c r="K165" s="177"/>
      <c r="L165" s="177"/>
      <c r="M165" s="177"/>
      <c r="N165" s="177"/>
      <c r="O165" s="177"/>
      <c r="P165" s="177"/>
      <c r="Q165" s="177"/>
      <c r="R165" s="177"/>
      <c r="S165" s="177"/>
      <c r="T165" s="177"/>
      <c r="U165" s="177"/>
      <c r="V165" s="204"/>
      <c r="W165" s="177"/>
      <c r="X165" s="5"/>
    </row>
    <row r="166" spans="1:24" ht="15.6" x14ac:dyDescent="0.3">
      <c r="A166" s="342"/>
      <c r="B166" s="343" t="s">
        <v>52</v>
      </c>
      <c r="C166" s="343"/>
      <c r="D166" s="343"/>
      <c r="E166" s="343"/>
      <c r="F166" s="343"/>
      <c r="G166" s="343"/>
      <c r="H166" s="343"/>
      <c r="I166" s="343"/>
      <c r="J166" s="343"/>
      <c r="K166" s="343"/>
      <c r="L166" s="343"/>
      <c r="M166" s="343"/>
      <c r="N166" s="343"/>
      <c r="O166" s="343"/>
      <c r="P166" s="343"/>
      <c r="Q166" s="343"/>
      <c r="R166" s="343"/>
      <c r="S166" s="343"/>
      <c r="T166" s="343"/>
      <c r="U166" s="343"/>
      <c r="V166" s="344">
        <v>0</v>
      </c>
      <c r="W166" s="345"/>
      <c r="X166" s="5"/>
    </row>
    <row r="167" spans="1:24" ht="15.6" x14ac:dyDescent="0.3">
      <c r="A167" s="342"/>
      <c r="B167" s="343" t="s">
        <v>53</v>
      </c>
      <c r="C167" s="343"/>
      <c r="D167" s="343"/>
      <c r="E167" s="343"/>
      <c r="F167" s="343"/>
      <c r="G167" s="343"/>
      <c r="H167" s="343"/>
      <c r="I167" s="343"/>
      <c r="J167" s="343"/>
      <c r="K167" s="343"/>
      <c r="L167" s="343"/>
      <c r="M167" s="343"/>
      <c r="N167" s="343"/>
      <c r="O167" s="343"/>
      <c r="P167" s="343"/>
      <c r="Q167" s="343"/>
      <c r="R167" s="343"/>
      <c r="S167" s="343"/>
      <c r="T167" s="343"/>
      <c r="U167" s="343"/>
      <c r="V167" s="344">
        <v>170</v>
      </c>
      <c r="W167" s="345"/>
      <c r="X167" s="5"/>
    </row>
    <row r="168" spans="1:24" ht="15.6" x14ac:dyDescent="0.3">
      <c r="A168" s="342"/>
      <c r="B168" s="343" t="s">
        <v>54</v>
      </c>
      <c r="C168" s="343"/>
      <c r="D168" s="343"/>
      <c r="E168" s="343"/>
      <c r="F168" s="343"/>
      <c r="G168" s="343"/>
      <c r="H168" s="343"/>
      <c r="I168" s="343"/>
      <c r="J168" s="343"/>
      <c r="K168" s="343"/>
      <c r="L168" s="343"/>
      <c r="M168" s="343"/>
      <c r="N168" s="343"/>
      <c r="O168" s="343"/>
      <c r="P168" s="343"/>
      <c r="Q168" s="343"/>
      <c r="R168" s="343"/>
      <c r="S168" s="343"/>
      <c r="T168" s="343"/>
      <c r="U168" s="343"/>
      <c r="V168" s="344">
        <f>V167+V166</f>
        <v>170</v>
      </c>
      <c r="W168" s="345"/>
      <c r="X168" s="5"/>
    </row>
    <row r="169" spans="1:24" ht="15.6" x14ac:dyDescent="0.3">
      <c r="A169" s="342"/>
      <c r="B169" s="272" t="s">
        <v>318</v>
      </c>
      <c r="C169" s="343"/>
      <c r="D169" s="343"/>
      <c r="E169" s="343"/>
      <c r="F169" s="343"/>
      <c r="G169" s="343"/>
      <c r="H169" s="343"/>
      <c r="I169" s="343"/>
      <c r="J169" s="343"/>
      <c r="K169" s="343"/>
      <c r="L169" s="343"/>
      <c r="M169" s="343"/>
      <c r="N169" s="343"/>
      <c r="O169" s="343"/>
      <c r="P169" s="343"/>
      <c r="Q169" s="343"/>
      <c r="R169" s="343"/>
      <c r="S169" s="343"/>
      <c r="T169" s="343"/>
      <c r="U169" s="343"/>
      <c r="V169" s="344">
        <f>V115</f>
        <v>-170</v>
      </c>
      <c r="W169" s="345"/>
      <c r="X169" s="5"/>
    </row>
    <row r="170" spans="1:24" ht="15.6" x14ac:dyDescent="0.3">
      <c r="A170" s="342"/>
      <c r="B170" s="343" t="s">
        <v>55</v>
      </c>
      <c r="C170" s="343"/>
      <c r="D170" s="343"/>
      <c r="E170" s="343"/>
      <c r="F170" s="343"/>
      <c r="G170" s="343"/>
      <c r="H170" s="343"/>
      <c r="I170" s="343"/>
      <c r="J170" s="343"/>
      <c r="K170" s="343"/>
      <c r="L170" s="343"/>
      <c r="M170" s="343"/>
      <c r="N170" s="343"/>
      <c r="O170" s="343"/>
      <c r="P170" s="343"/>
      <c r="Q170" s="343"/>
      <c r="R170" s="343"/>
      <c r="S170" s="343"/>
      <c r="T170" s="343"/>
      <c r="U170" s="343"/>
      <c r="V170" s="344">
        <f>V168+V169</f>
        <v>0</v>
      </c>
      <c r="W170" s="345"/>
      <c r="X170" s="5"/>
    </row>
    <row r="171" spans="1:24" ht="15.6" x14ac:dyDescent="0.3">
      <c r="A171" s="342"/>
      <c r="B171" s="343" t="s">
        <v>288</v>
      </c>
      <c r="C171" s="343"/>
      <c r="D171" s="343"/>
      <c r="E171" s="343"/>
      <c r="F171" s="343"/>
      <c r="G171" s="343"/>
      <c r="H171" s="343"/>
      <c r="I171" s="343"/>
      <c r="J171" s="343"/>
      <c r="K171" s="343"/>
      <c r="L171" s="343"/>
      <c r="M171" s="343"/>
      <c r="N171" s="343"/>
      <c r="O171" s="343"/>
      <c r="P171" s="343"/>
      <c r="Q171" s="343"/>
      <c r="R171" s="343"/>
      <c r="S171" s="343"/>
      <c r="T171" s="343"/>
      <c r="U171" s="343"/>
      <c r="V171" s="344">
        <f>-V99</f>
        <v>148</v>
      </c>
      <c r="W171" s="345"/>
      <c r="X171" s="5"/>
    </row>
    <row r="172" spans="1:24" ht="16.2" thickBot="1" x14ac:dyDescent="0.35">
      <c r="A172" s="175"/>
      <c r="B172" s="321"/>
      <c r="C172" s="321"/>
      <c r="D172" s="321"/>
      <c r="E172" s="321"/>
      <c r="F172" s="321"/>
      <c r="G172" s="321"/>
      <c r="H172" s="321"/>
      <c r="I172" s="321"/>
      <c r="J172" s="321"/>
      <c r="K172" s="321"/>
      <c r="L172" s="321"/>
      <c r="M172" s="321"/>
      <c r="N172" s="321"/>
      <c r="O172" s="321"/>
      <c r="P172" s="321"/>
      <c r="Q172" s="321"/>
      <c r="R172" s="321"/>
      <c r="S172" s="321"/>
      <c r="T172" s="321"/>
      <c r="U172" s="321"/>
      <c r="V172" s="340"/>
      <c r="W172" s="321"/>
      <c r="X172" s="5"/>
    </row>
    <row r="173" spans="1:24"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74"/>
      <c r="U173" s="174"/>
      <c r="V173" s="195"/>
      <c r="W173" s="174"/>
      <c r="X173" s="5"/>
    </row>
    <row r="174" spans="1:24" ht="15.6" x14ac:dyDescent="0.3">
      <c r="A174" s="175"/>
      <c r="B174" s="203" t="s">
        <v>56</v>
      </c>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175"/>
      <c r="B175" s="186"/>
      <c r="C175" s="177"/>
      <c r="D175" s="177"/>
      <c r="E175" s="177"/>
      <c r="F175" s="177"/>
      <c r="G175" s="177"/>
      <c r="H175" s="177"/>
      <c r="I175" s="177"/>
      <c r="J175" s="177"/>
      <c r="K175" s="177"/>
      <c r="L175" s="177"/>
      <c r="M175" s="177"/>
      <c r="N175" s="177"/>
      <c r="O175" s="177"/>
      <c r="P175" s="177"/>
      <c r="Q175" s="177"/>
      <c r="R175" s="177"/>
      <c r="S175" s="177"/>
      <c r="T175" s="177"/>
      <c r="U175" s="177"/>
      <c r="V175" s="196"/>
      <c r="W175" s="177"/>
      <c r="X175" s="5"/>
    </row>
    <row r="176" spans="1:24" ht="15.6" x14ac:dyDescent="0.3">
      <c r="A176" s="271"/>
      <c r="B176" s="272" t="s">
        <v>57</v>
      </c>
      <c r="C176" s="272"/>
      <c r="D176" s="272"/>
      <c r="E176" s="272"/>
      <c r="F176" s="272"/>
      <c r="G176" s="272"/>
      <c r="H176" s="272"/>
      <c r="I176" s="272"/>
      <c r="J176" s="272"/>
      <c r="K176" s="272"/>
      <c r="L176" s="272"/>
      <c r="M176" s="272"/>
      <c r="N176" s="272"/>
      <c r="O176" s="272"/>
      <c r="P176" s="272"/>
      <c r="Q176" s="272"/>
      <c r="R176" s="272"/>
      <c r="S176" s="272"/>
      <c r="T176" s="272"/>
      <c r="U176" s="272"/>
      <c r="V176" s="325">
        <f>V71</f>
        <v>980140</v>
      </c>
      <c r="W176" s="275"/>
      <c r="X176" s="5"/>
    </row>
    <row r="177" spans="1:24" ht="15.6" x14ac:dyDescent="0.3">
      <c r="A177" s="271"/>
      <c r="B177" s="272" t="s">
        <v>58</v>
      </c>
      <c r="C177" s="272"/>
      <c r="D177" s="272"/>
      <c r="E177" s="272"/>
      <c r="F177" s="272"/>
      <c r="G177" s="272"/>
      <c r="H177" s="272"/>
      <c r="I177" s="272"/>
      <c r="J177" s="272"/>
      <c r="K177" s="272"/>
      <c r="L177" s="272"/>
      <c r="M177" s="272"/>
      <c r="N177" s="272"/>
      <c r="O177" s="272"/>
      <c r="P177" s="272"/>
      <c r="Q177" s="272"/>
      <c r="R177" s="272"/>
      <c r="S177" s="272"/>
      <c r="T177" s="272"/>
      <c r="U177" s="272"/>
      <c r="V177" s="325">
        <f>V84</f>
        <v>980140</v>
      </c>
      <c r="W177" s="275"/>
      <c r="X177" s="5"/>
    </row>
    <row r="178" spans="1:24" ht="16.2" thickBot="1" x14ac:dyDescent="0.35">
      <c r="A178" s="175"/>
      <c r="B178" s="321"/>
      <c r="C178" s="321"/>
      <c r="D178" s="321"/>
      <c r="E178" s="321"/>
      <c r="F178" s="321"/>
      <c r="G178" s="321"/>
      <c r="H178" s="321"/>
      <c r="I178" s="321"/>
      <c r="J178" s="321"/>
      <c r="K178" s="321"/>
      <c r="L178" s="321"/>
      <c r="M178" s="321"/>
      <c r="N178" s="321"/>
      <c r="O178" s="321"/>
      <c r="P178" s="321"/>
      <c r="Q178" s="321"/>
      <c r="R178" s="321"/>
      <c r="S178" s="321"/>
      <c r="T178" s="321"/>
      <c r="U178" s="321"/>
      <c r="V178" s="340"/>
      <c r="W178" s="321"/>
      <c r="X178" s="5"/>
    </row>
    <row r="179" spans="1:24" ht="15.6" x14ac:dyDescent="0.3">
      <c r="A179" s="173"/>
      <c r="B179" s="174"/>
      <c r="C179" s="174"/>
      <c r="D179" s="174"/>
      <c r="E179" s="174"/>
      <c r="F179" s="174"/>
      <c r="G179" s="174"/>
      <c r="H179" s="174"/>
      <c r="I179" s="174"/>
      <c r="J179" s="174"/>
      <c r="K179" s="174"/>
      <c r="L179" s="174"/>
      <c r="M179" s="174"/>
      <c r="N179" s="174"/>
      <c r="O179" s="174"/>
      <c r="P179" s="174"/>
      <c r="Q179" s="174"/>
      <c r="R179" s="174"/>
      <c r="S179" s="174"/>
      <c r="T179" s="174"/>
      <c r="U179" s="174"/>
      <c r="V179" s="195"/>
      <c r="W179" s="174"/>
      <c r="X179" s="5"/>
    </row>
    <row r="180" spans="1:24" ht="15.6" x14ac:dyDescent="0.3">
      <c r="A180" s="175"/>
      <c r="B180" s="203" t="s">
        <v>59</v>
      </c>
      <c r="C180" s="200"/>
      <c r="D180" s="200"/>
      <c r="E180" s="200"/>
      <c r="F180" s="200"/>
      <c r="G180" s="200"/>
      <c r="H180" s="205"/>
      <c r="I180" s="205"/>
      <c r="J180" s="205"/>
      <c r="K180" s="205"/>
      <c r="L180" s="205"/>
      <c r="M180" s="205"/>
      <c r="N180" s="205"/>
      <c r="O180" s="205"/>
      <c r="P180" s="205"/>
      <c r="Q180" s="205"/>
      <c r="R180" s="205"/>
      <c r="S180" s="205" t="s">
        <v>102</v>
      </c>
      <c r="T180" s="205" t="s">
        <v>179</v>
      </c>
      <c r="U180" s="179"/>
      <c r="V180" s="206" t="s">
        <v>117</v>
      </c>
      <c r="W180" s="207"/>
      <c r="X180" s="5"/>
    </row>
    <row r="181" spans="1:24" ht="15.6" x14ac:dyDescent="0.3">
      <c r="A181" s="271"/>
      <c r="B181" s="272" t="s">
        <v>60</v>
      </c>
      <c r="C181" s="272"/>
      <c r="D181" s="272"/>
      <c r="E181" s="272"/>
      <c r="F181" s="272"/>
      <c r="G181" s="272"/>
      <c r="H181" s="272"/>
      <c r="I181" s="272"/>
      <c r="J181" s="272"/>
      <c r="K181" s="272"/>
      <c r="L181" s="272"/>
      <c r="M181" s="272"/>
      <c r="N181" s="272"/>
      <c r="O181" s="272"/>
      <c r="P181" s="272"/>
      <c r="Q181" s="272"/>
      <c r="R181" s="272"/>
      <c r="S181" s="325">
        <f>+V34*0.16</f>
        <v>240030.4</v>
      </c>
      <c r="T181" s="311"/>
      <c r="U181" s="272"/>
      <c r="V181" s="325"/>
      <c r="W181" s="275"/>
      <c r="X181" s="5"/>
    </row>
    <row r="182" spans="1:24" ht="15.6" x14ac:dyDescent="0.3">
      <c r="A182" s="271"/>
      <c r="B182" s="272" t="s">
        <v>61</v>
      </c>
      <c r="C182" s="272"/>
      <c r="D182" s="272"/>
      <c r="E182" s="272"/>
      <c r="F182" s="272"/>
      <c r="G182" s="272"/>
      <c r="H182" s="272"/>
      <c r="I182" s="272"/>
      <c r="J182" s="272"/>
      <c r="K182" s="272"/>
      <c r="L182" s="272"/>
      <c r="M182" s="272"/>
      <c r="N182" s="272"/>
      <c r="O182" s="272"/>
      <c r="P182" s="272"/>
      <c r="Q182" s="272"/>
      <c r="R182" s="272"/>
      <c r="S182" s="325">
        <f>+'Dec 12'!S183</f>
        <v>47150</v>
      </c>
      <c r="T182" s="325">
        <f>+'Dec 12'!T183</f>
        <v>9723</v>
      </c>
      <c r="U182" s="272"/>
      <c r="V182" s="325">
        <f>S182+T182</f>
        <v>56873</v>
      </c>
      <c r="W182" s="275"/>
      <c r="X182" s="5"/>
    </row>
    <row r="183" spans="1:24" ht="15.6" x14ac:dyDescent="0.3">
      <c r="A183" s="271"/>
      <c r="B183" s="272" t="s">
        <v>62</v>
      </c>
      <c r="C183" s="272"/>
      <c r="D183" s="272"/>
      <c r="E183" s="272"/>
      <c r="F183" s="272"/>
      <c r="G183" s="272"/>
      <c r="H183" s="272"/>
      <c r="I183" s="272"/>
      <c r="J183" s="272"/>
      <c r="K183" s="272"/>
      <c r="L183" s="272"/>
      <c r="M183" s="272"/>
      <c r="N183" s="272"/>
      <c r="O183" s="272"/>
      <c r="P183" s="272"/>
      <c r="Q183" s="272"/>
      <c r="R183" s="272"/>
      <c r="S183" s="324">
        <f>238</f>
        <v>238</v>
      </c>
      <c r="T183" s="324">
        <v>0</v>
      </c>
      <c r="U183" s="272"/>
      <c r="V183" s="325">
        <f>S183+T183</f>
        <v>238</v>
      </c>
      <c r="W183" s="275"/>
      <c r="X183" s="5"/>
    </row>
    <row r="184" spans="1:24" ht="15.6" x14ac:dyDescent="0.3">
      <c r="A184" s="271"/>
      <c r="B184" s="272" t="s">
        <v>63</v>
      </c>
      <c r="C184" s="272"/>
      <c r="D184" s="272"/>
      <c r="E184" s="272"/>
      <c r="F184" s="272"/>
      <c r="G184" s="272"/>
      <c r="H184" s="272"/>
      <c r="I184" s="272"/>
      <c r="J184" s="272"/>
      <c r="K184" s="272"/>
      <c r="L184" s="272"/>
      <c r="M184" s="272"/>
      <c r="N184" s="272"/>
      <c r="O184" s="272"/>
      <c r="P184" s="272"/>
      <c r="Q184" s="272"/>
      <c r="R184" s="272"/>
      <c r="S184" s="325">
        <f>+S182+S183</f>
        <v>47388</v>
      </c>
      <c r="T184" s="325">
        <f>T183+T182</f>
        <v>9723</v>
      </c>
      <c r="U184" s="272"/>
      <c r="V184" s="325">
        <f>S184+T184</f>
        <v>57111</v>
      </c>
      <c r="W184" s="275"/>
      <c r="X184" s="5"/>
    </row>
    <row r="185" spans="1:24" ht="15.6" x14ac:dyDescent="0.3">
      <c r="A185" s="271"/>
      <c r="B185" s="272" t="s">
        <v>64</v>
      </c>
      <c r="C185" s="272"/>
      <c r="D185" s="272"/>
      <c r="E185" s="272"/>
      <c r="F185" s="272"/>
      <c r="G185" s="272"/>
      <c r="H185" s="272"/>
      <c r="I185" s="272"/>
      <c r="J185" s="272"/>
      <c r="K185" s="272"/>
      <c r="L185" s="272"/>
      <c r="M185" s="272"/>
      <c r="N185" s="272"/>
      <c r="O185" s="272"/>
      <c r="P185" s="272"/>
      <c r="Q185" s="272"/>
      <c r="R185" s="272"/>
      <c r="S185" s="325">
        <f>S181-S184-T184</f>
        <v>182919.4</v>
      </c>
      <c r="T185" s="311"/>
      <c r="U185" s="272"/>
      <c r="V185" s="325"/>
      <c r="W185" s="275"/>
      <c r="X185" s="5"/>
    </row>
    <row r="186" spans="1:24" ht="16.2" thickBot="1" x14ac:dyDescent="0.35">
      <c r="A186" s="175"/>
      <c r="B186" s="321"/>
      <c r="C186" s="321"/>
      <c r="D186" s="321"/>
      <c r="E186" s="321"/>
      <c r="F186" s="321"/>
      <c r="G186" s="321"/>
      <c r="H186" s="321"/>
      <c r="I186" s="321"/>
      <c r="J186" s="321"/>
      <c r="K186" s="321"/>
      <c r="L186" s="321"/>
      <c r="M186" s="321"/>
      <c r="N186" s="321"/>
      <c r="O186" s="321"/>
      <c r="P186" s="321"/>
      <c r="Q186" s="321"/>
      <c r="R186" s="321"/>
      <c r="S186" s="321"/>
      <c r="T186" s="321"/>
      <c r="U186" s="321"/>
      <c r="V186" s="340"/>
      <c r="W186" s="321"/>
      <c r="X186" s="5"/>
    </row>
    <row r="187" spans="1:24" ht="15.6" x14ac:dyDescent="0.3">
      <c r="A187" s="173"/>
      <c r="B187" s="174"/>
      <c r="C187" s="174"/>
      <c r="D187" s="174"/>
      <c r="E187" s="174"/>
      <c r="F187" s="174"/>
      <c r="G187" s="174"/>
      <c r="H187" s="174"/>
      <c r="I187" s="174"/>
      <c r="J187" s="174"/>
      <c r="K187" s="174"/>
      <c r="L187" s="174"/>
      <c r="M187" s="174"/>
      <c r="N187" s="174"/>
      <c r="O187" s="174"/>
      <c r="P187" s="174"/>
      <c r="Q187" s="174"/>
      <c r="R187" s="174"/>
      <c r="S187" s="174"/>
      <c r="T187" s="174"/>
      <c r="U187" s="174"/>
      <c r="V187" s="195"/>
      <c r="W187" s="174"/>
      <c r="X187" s="5"/>
    </row>
    <row r="188" spans="1:24" ht="15.6" x14ac:dyDescent="0.3">
      <c r="A188" s="175"/>
      <c r="B188" s="203" t="s">
        <v>65</v>
      </c>
      <c r="C188" s="177"/>
      <c r="D188" s="177"/>
      <c r="E188" s="177"/>
      <c r="F188" s="177"/>
      <c r="G188" s="177"/>
      <c r="H188" s="177"/>
      <c r="I188" s="177"/>
      <c r="J188" s="177"/>
      <c r="K188" s="177"/>
      <c r="L188" s="177"/>
      <c r="M188" s="177"/>
      <c r="N188" s="177"/>
      <c r="O188" s="177"/>
      <c r="P188" s="177"/>
      <c r="Q188" s="177"/>
      <c r="R188" s="177"/>
      <c r="S188" s="177"/>
      <c r="T188" s="177"/>
      <c r="U188" s="177"/>
      <c r="V188" s="208"/>
      <c r="W188" s="177"/>
      <c r="X188" s="5"/>
    </row>
    <row r="189" spans="1:24" ht="15.6" x14ac:dyDescent="0.3">
      <c r="A189" s="271"/>
      <c r="B189" s="272" t="s">
        <v>66</v>
      </c>
      <c r="C189" s="272"/>
      <c r="D189" s="272"/>
      <c r="E189" s="272"/>
      <c r="F189" s="272"/>
      <c r="G189" s="272"/>
      <c r="H189" s="272"/>
      <c r="I189" s="272"/>
      <c r="J189" s="272"/>
      <c r="K189" s="272"/>
      <c r="L189" s="272"/>
      <c r="M189" s="272"/>
      <c r="N189" s="272"/>
      <c r="O189" s="272"/>
      <c r="P189" s="272"/>
      <c r="Q189" s="272"/>
      <c r="R189" s="272"/>
      <c r="S189" s="272"/>
      <c r="T189" s="272"/>
      <c r="U189" s="272"/>
      <c r="V189" s="341">
        <f>(V100+V102+V103+V104+V105)/-(V106+V107)</f>
        <v>3.5721682847896439</v>
      </c>
      <c r="W189" s="275" t="s">
        <v>118</v>
      </c>
      <c r="X189" s="5"/>
    </row>
    <row r="190" spans="1:24" ht="15.6" x14ac:dyDescent="0.3">
      <c r="A190" s="271"/>
      <c r="B190" s="272" t="s">
        <v>67</v>
      </c>
      <c r="C190" s="272"/>
      <c r="D190" s="272"/>
      <c r="E190" s="272"/>
      <c r="F190" s="272"/>
      <c r="G190" s="272"/>
      <c r="H190" s="272"/>
      <c r="I190" s="272"/>
      <c r="J190" s="272"/>
      <c r="K190" s="272"/>
      <c r="L190" s="272"/>
      <c r="M190" s="272"/>
      <c r="N190" s="272"/>
      <c r="O190" s="272"/>
      <c r="P190" s="272"/>
      <c r="Q190" s="272"/>
      <c r="R190" s="272"/>
      <c r="S190" s="272"/>
      <c r="T190" s="272"/>
      <c r="U190" s="272"/>
      <c r="V190" s="346">
        <v>1.66</v>
      </c>
      <c r="W190" s="275" t="s">
        <v>118</v>
      </c>
      <c r="X190" s="5"/>
    </row>
    <row r="191" spans="1:24" ht="15.6" x14ac:dyDescent="0.3">
      <c r="A191" s="271"/>
      <c r="B191" s="272" t="s">
        <v>68</v>
      </c>
      <c r="C191" s="272"/>
      <c r="D191" s="272"/>
      <c r="E191" s="272"/>
      <c r="F191" s="272"/>
      <c r="G191" s="272"/>
      <c r="H191" s="272"/>
      <c r="I191" s="272"/>
      <c r="J191" s="272"/>
      <c r="K191" s="272"/>
      <c r="L191" s="272"/>
      <c r="M191" s="272"/>
      <c r="N191" s="272"/>
      <c r="O191" s="272"/>
      <c r="P191" s="272"/>
      <c r="Q191" s="272"/>
      <c r="R191" s="272"/>
      <c r="S191" s="272"/>
      <c r="T191" s="272"/>
      <c r="U191" s="272"/>
      <c r="V191" s="341">
        <f>(V100+V102+V103+V104+V105+V106+V107)/-(V109+V110)</f>
        <v>15.584313725490196</v>
      </c>
      <c r="W191" s="275" t="s">
        <v>118</v>
      </c>
      <c r="X191" s="5"/>
    </row>
    <row r="192" spans="1:24" ht="15.6" x14ac:dyDescent="0.3">
      <c r="A192" s="271"/>
      <c r="B192" s="272" t="s">
        <v>69</v>
      </c>
      <c r="C192" s="272"/>
      <c r="D192" s="272"/>
      <c r="E192" s="272"/>
      <c r="F192" s="272"/>
      <c r="G192" s="272"/>
      <c r="H192" s="272"/>
      <c r="I192" s="272"/>
      <c r="J192" s="272"/>
      <c r="K192" s="272"/>
      <c r="L192" s="272"/>
      <c r="M192" s="272"/>
      <c r="N192" s="272"/>
      <c r="O192" s="272"/>
      <c r="P192" s="272"/>
      <c r="Q192" s="272"/>
      <c r="R192" s="272"/>
      <c r="S192" s="272"/>
      <c r="T192" s="272"/>
      <c r="U192" s="272"/>
      <c r="V192" s="346">
        <v>6.21</v>
      </c>
      <c r="W192" s="275" t="s">
        <v>118</v>
      </c>
      <c r="X192" s="5"/>
    </row>
    <row r="193" spans="1:24" ht="15.6" x14ac:dyDescent="0.3">
      <c r="A193" s="271"/>
      <c r="B193" s="272" t="s">
        <v>201</v>
      </c>
      <c r="C193" s="272"/>
      <c r="D193" s="272"/>
      <c r="E193" s="272"/>
      <c r="F193" s="272"/>
      <c r="G193" s="272"/>
      <c r="H193" s="272"/>
      <c r="I193" s="272"/>
      <c r="J193" s="272"/>
      <c r="K193" s="272"/>
      <c r="L193" s="272"/>
      <c r="M193" s="272"/>
      <c r="N193" s="272"/>
      <c r="O193" s="272"/>
      <c r="P193" s="272"/>
      <c r="Q193" s="272"/>
      <c r="R193" s="272"/>
      <c r="S193" s="272"/>
      <c r="T193" s="272"/>
      <c r="U193" s="272"/>
      <c r="V193" s="341">
        <f>(V100+V102+V103+V104+V105+V106+V107+V109+V110)/-(V111+V112)</f>
        <v>16.67713004484305</v>
      </c>
      <c r="W193" s="275" t="s">
        <v>118</v>
      </c>
      <c r="X193" s="5"/>
    </row>
    <row r="194" spans="1:24" ht="15.6" x14ac:dyDescent="0.3">
      <c r="A194" s="271"/>
      <c r="B194" s="272" t="s">
        <v>202</v>
      </c>
      <c r="C194" s="272"/>
      <c r="D194" s="272"/>
      <c r="E194" s="272"/>
      <c r="F194" s="272"/>
      <c r="G194" s="272"/>
      <c r="H194" s="272"/>
      <c r="I194" s="272"/>
      <c r="J194" s="272"/>
      <c r="K194" s="272"/>
      <c r="L194" s="272"/>
      <c r="M194" s="272"/>
      <c r="N194" s="272"/>
      <c r="O194" s="272"/>
      <c r="P194" s="272"/>
      <c r="Q194" s="272"/>
      <c r="R194" s="272"/>
      <c r="S194" s="272"/>
      <c r="T194" s="272"/>
      <c r="U194" s="272"/>
      <c r="V194" s="346">
        <v>7.96</v>
      </c>
      <c r="W194" s="275" t="s">
        <v>118</v>
      </c>
      <c r="X194" s="5"/>
    </row>
    <row r="195" spans="1:24" ht="15.6" x14ac:dyDescent="0.3">
      <c r="A195" s="271"/>
      <c r="B195" s="298"/>
      <c r="C195" s="298"/>
      <c r="D195" s="298"/>
      <c r="E195" s="298"/>
      <c r="F195" s="298"/>
      <c r="G195" s="298"/>
      <c r="H195" s="298"/>
      <c r="I195" s="298"/>
      <c r="J195" s="298"/>
      <c r="K195" s="298"/>
      <c r="L195" s="298"/>
      <c r="M195" s="298"/>
      <c r="N195" s="298"/>
      <c r="O195" s="298"/>
      <c r="P195" s="298"/>
      <c r="Q195" s="298"/>
      <c r="R195" s="298"/>
      <c r="S195" s="298"/>
      <c r="T195" s="298"/>
      <c r="U195" s="298"/>
      <c r="V195" s="298"/>
      <c r="W195" s="304"/>
      <c r="X195" s="5"/>
    </row>
    <row r="196" spans="1:24" ht="15.6" x14ac:dyDescent="0.3">
      <c r="A196" s="175"/>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5"/>
    </row>
    <row r="197" spans="1:24" ht="15.6" x14ac:dyDescent="0.3">
      <c r="A197" s="175"/>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5"/>
    </row>
    <row r="198" spans="1:24" ht="18" thickBot="1" x14ac:dyDescent="0.35">
      <c r="A198" s="194"/>
      <c r="B198" s="234" t="str">
        <f>B138</f>
        <v>PM13 INVESTOR REPORT QUARTER ENDING MARCH 2013</v>
      </c>
      <c r="C198" s="209"/>
      <c r="D198" s="209"/>
      <c r="E198" s="209"/>
      <c r="F198" s="209"/>
      <c r="G198" s="209"/>
      <c r="H198" s="209"/>
      <c r="I198" s="209"/>
      <c r="J198" s="209"/>
      <c r="K198" s="209"/>
      <c r="L198" s="209"/>
      <c r="M198" s="209"/>
      <c r="N198" s="209"/>
      <c r="O198" s="209"/>
      <c r="P198" s="209"/>
      <c r="Q198" s="209"/>
      <c r="R198" s="209"/>
      <c r="S198" s="209"/>
      <c r="T198" s="209"/>
      <c r="U198" s="209"/>
      <c r="V198" s="209"/>
      <c r="W198" s="210"/>
      <c r="X198" s="5"/>
    </row>
    <row r="199" spans="1:24" ht="15.6" x14ac:dyDescent="0.3">
      <c r="A199" s="246"/>
      <c r="B199" s="388" t="s">
        <v>70</v>
      </c>
      <c r="C199" s="249"/>
      <c r="D199" s="249"/>
      <c r="E199" s="249"/>
      <c r="F199" s="249"/>
      <c r="G199" s="250"/>
      <c r="H199" s="250"/>
      <c r="I199" s="250"/>
      <c r="J199" s="250"/>
      <c r="K199" s="250"/>
      <c r="L199" s="250"/>
      <c r="M199" s="250"/>
      <c r="N199" s="250"/>
      <c r="O199" s="250"/>
      <c r="P199" s="250"/>
      <c r="Q199" s="250"/>
      <c r="R199" s="250"/>
      <c r="S199" s="250"/>
      <c r="T199" s="250">
        <v>41361</v>
      </c>
      <c r="U199" s="247"/>
      <c r="V199" s="247"/>
      <c r="W199" s="247"/>
      <c r="X199" s="5"/>
    </row>
    <row r="200" spans="1:24" ht="15.6" x14ac:dyDescent="0.3">
      <c r="A200" s="211"/>
      <c r="B200" s="212"/>
      <c r="C200" s="213"/>
      <c r="D200" s="213"/>
      <c r="E200" s="213"/>
      <c r="F200" s="213"/>
      <c r="G200" s="214"/>
      <c r="H200" s="214"/>
      <c r="I200" s="214"/>
      <c r="J200" s="214"/>
      <c r="K200" s="214"/>
      <c r="L200" s="214"/>
      <c r="M200" s="214"/>
      <c r="N200" s="214"/>
      <c r="O200" s="214"/>
      <c r="P200" s="214"/>
      <c r="Q200" s="214"/>
      <c r="R200" s="214"/>
      <c r="S200" s="214"/>
      <c r="T200" s="214"/>
      <c r="U200" s="177"/>
      <c r="V200" s="177"/>
      <c r="W200" s="177"/>
      <c r="X200" s="5"/>
    </row>
    <row r="201" spans="1:24" ht="15.6" x14ac:dyDescent="0.3">
      <c r="A201" s="349"/>
      <c r="B201" s="272" t="s">
        <v>71</v>
      </c>
      <c r="C201" s="350"/>
      <c r="D201" s="350"/>
      <c r="E201" s="350"/>
      <c r="F201" s="350"/>
      <c r="G201" s="316"/>
      <c r="H201" s="316"/>
      <c r="I201" s="316"/>
      <c r="J201" s="316"/>
      <c r="K201" s="316"/>
      <c r="L201" s="316"/>
      <c r="M201" s="316"/>
      <c r="N201" s="316"/>
      <c r="O201" s="316"/>
      <c r="P201" s="316"/>
      <c r="Q201" s="316"/>
      <c r="R201" s="316"/>
      <c r="S201" s="316"/>
      <c r="T201" s="307">
        <v>5.4539999999999998E-2</v>
      </c>
      <c r="U201" s="272"/>
      <c r="V201" s="272"/>
      <c r="W201" s="275"/>
      <c r="X201" s="5"/>
    </row>
    <row r="202" spans="1:24" ht="15.6" x14ac:dyDescent="0.3">
      <c r="A202" s="349"/>
      <c r="B202" s="272" t="s">
        <v>154</v>
      </c>
      <c r="C202" s="350"/>
      <c r="D202" s="350"/>
      <c r="E202" s="350"/>
      <c r="F202" s="350"/>
      <c r="G202" s="316"/>
      <c r="H202" s="316"/>
      <c r="I202" s="316"/>
      <c r="J202" s="316"/>
      <c r="K202" s="316"/>
      <c r="L202" s="316"/>
      <c r="M202" s="316"/>
      <c r="N202" s="316"/>
      <c r="O202" s="316"/>
      <c r="P202" s="316"/>
      <c r="Q202" s="316"/>
      <c r="R202" s="316"/>
      <c r="S202" s="316"/>
      <c r="T202" s="307">
        <f>'Dec 06'!T199</f>
        <v>5.238600504269459E-2</v>
      </c>
      <c r="U202" s="272"/>
      <c r="V202" s="272"/>
      <c r="W202" s="275"/>
      <c r="X202" s="5"/>
    </row>
    <row r="203" spans="1:24" ht="15.6" x14ac:dyDescent="0.3">
      <c r="A203" s="349"/>
      <c r="B203" s="272" t="s">
        <v>72</v>
      </c>
      <c r="C203" s="350"/>
      <c r="D203" s="350"/>
      <c r="E203" s="350"/>
      <c r="F203" s="350"/>
      <c r="G203" s="316"/>
      <c r="H203" s="316"/>
      <c r="I203" s="316"/>
      <c r="J203" s="316"/>
      <c r="K203" s="316"/>
      <c r="L203" s="316"/>
      <c r="M203" s="316"/>
      <c r="N203" s="316"/>
      <c r="O203" s="316"/>
      <c r="P203" s="316"/>
      <c r="Q203" s="316"/>
      <c r="R203" s="316"/>
      <c r="S203" s="316"/>
      <c r="T203" s="307">
        <f>+T201-T202</f>
        <v>2.1539949573054079E-3</v>
      </c>
      <c r="U203" s="272"/>
      <c r="V203" s="272"/>
      <c r="W203" s="275"/>
      <c r="X203" s="5"/>
    </row>
    <row r="204" spans="1:24" ht="15.6" x14ac:dyDescent="0.3">
      <c r="A204" s="349"/>
      <c r="B204" s="272" t="s">
        <v>73</v>
      </c>
      <c r="C204" s="350"/>
      <c r="D204" s="350"/>
      <c r="E204" s="350"/>
      <c r="F204" s="350"/>
      <c r="G204" s="316"/>
      <c r="H204" s="316"/>
      <c r="I204" s="316"/>
      <c r="J204" s="316"/>
      <c r="K204" s="316"/>
      <c r="L204" s="316"/>
      <c r="M204" s="316"/>
      <c r="N204" s="316"/>
      <c r="O204" s="316"/>
      <c r="P204" s="316"/>
      <c r="Q204" s="316"/>
      <c r="R204" s="316"/>
      <c r="S204" s="316"/>
      <c r="T204" s="307">
        <v>2.2800000000000001E-2</v>
      </c>
      <c r="U204" s="272"/>
      <c r="V204" s="272"/>
      <c r="W204" s="275"/>
      <c r="X204" s="5"/>
    </row>
    <row r="205" spans="1:24" ht="15.6" x14ac:dyDescent="0.3">
      <c r="A205" s="349"/>
      <c r="B205" s="272" t="s">
        <v>222</v>
      </c>
      <c r="C205" s="350"/>
      <c r="D205" s="350"/>
      <c r="E205" s="350"/>
      <c r="F205" s="350"/>
      <c r="G205" s="316"/>
      <c r="H205" s="316"/>
      <c r="I205" s="316"/>
      <c r="J205" s="316"/>
      <c r="K205" s="316"/>
      <c r="L205" s="316"/>
      <c r="M205" s="316"/>
      <c r="N205" s="316"/>
      <c r="O205" s="316"/>
      <c r="P205" s="316"/>
      <c r="Q205" s="316"/>
      <c r="R205" s="316"/>
      <c r="S205" s="316"/>
      <c r="T205" s="307">
        <f>V43</f>
        <v>8.3304899572355789E-3</v>
      </c>
      <c r="U205" s="272"/>
      <c r="V205" s="272"/>
      <c r="W205" s="275"/>
      <c r="X205" s="5"/>
    </row>
    <row r="206" spans="1:24" ht="15.6" x14ac:dyDescent="0.3">
      <c r="A206" s="349"/>
      <c r="B206" s="272" t="s">
        <v>74</v>
      </c>
      <c r="C206" s="350"/>
      <c r="D206" s="350"/>
      <c r="E206" s="350"/>
      <c r="F206" s="350"/>
      <c r="G206" s="316"/>
      <c r="H206" s="316"/>
      <c r="I206" s="316"/>
      <c r="J206" s="316"/>
      <c r="K206" s="316"/>
      <c r="L206" s="316"/>
      <c r="M206" s="316"/>
      <c r="N206" s="316"/>
      <c r="O206" s="316"/>
      <c r="P206" s="316"/>
      <c r="Q206" s="316"/>
      <c r="R206" s="316"/>
      <c r="S206" s="316"/>
      <c r="T206" s="307">
        <f>T204-T205</f>
        <v>1.4469510042764422E-2</v>
      </c>
      <c r="U206" s="272"/>
      <c r="V206" s="272"/>
      <c r="W206" s="275"/>
      <c r="X206" s="5"/>
    </row>
    <row r="207" spans="1:24" ht="15.6" x14ac:dyDescent="0.3">
      <c r="A207" s="349"/>
      <c r="B207" s="272" t="s">
        <v>274</v>
      </c>
      <c r="C207" s="350"/>
      <c r="D207" s="350"/>
      <c r="E207" s="350"/>
      <c r="F207" s="350"/>
      <c r="G207" s="316"/>
      <c r="H207" s="316"/>
      <c r="I207" s="316"/>
      <c r="J207" s="316"/>
      <c r="K207" s="316"/>
      <c r="L207" s="316"/>
      <c r="M207" s="316"/>
      <c r="N207" s="316"/>
      <c r="O207" s="316"/>
      <c r="P207" s="316"/>
      <c r="Q207" s="316"/>
      <c r="R207" s="316"/>
      <c r="S207" s="316"/>
      <c r="T207" s="307">
        <f>+V100/N71</f>
        <v>6.2967483554936358E-3</v>
      </c>
      <c r="U207" s="272"/>
      <c r="V207" s="272"/>
      <c r="W207" s="275"/>
      <c r="X207" s="5"/>
    </row>
    <row r="208" spans="1:24" ht="15.6" x14ac:dyDescent="0.3">
      <c r="A208" s="349"/>
      <c r="B208" s="272" t="s">
        <v>211</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212</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213</v>
      </c>
      <c r="C210" s="350"/>
      <c r="D210" s="350"/>
      <c r="E210" s="350"/>
      <c r="F210" s="350"/>
      <c r="G210" s="316"/>
      <c r="H210" s="316"/>
      <c r="I210" s="316"/>
      <c r="J210" s="316"/>
      <c r="K210" s="316"/>
      <c r="L210" s="316"/>
      <c r="M210" s="316"/>
      <c r="N210" s="316"/>
      <c r="O210" s="316"/>
      <c r="P210" s="316"/>
      <c r="Q210" s="316"/>
      <c r="R210" s="316"/>
      <c r="S210" s="316"/>
      <c r="T210" s="351">
        <v>50771</v>
      </c>
      <c r="U210" s="272"/>
      <c r="V210" s="272"/>
      <c r="W210" s="275"/>
      <c r="X210" s="5"/>
    </row>
    <row r="211" spans="1:24" ht="15.6" x14ac:dyDescent="0.3">
      <c r="A211" s="349"/>
      <c r="B211" s="272" t="s">
        <v>75</v>
      </c>
      <c r="C211" s="350"/>
      <c r="D211" s="350"/>
      <c r="E211" s="350"/>
      <c r="F211" s="350"/>
      <c r="G211" s="316"/>
      <c r="H211" s="316"/>
      <c r="I211" s="316"/>
      <c r="J211" s="316"/>
      <c r="K211" s="316"/>
      <c r="L211" s="316"/>
      <c r="M211" s="316"/>
      <c r="N211" s="316"/>
      <c r="O211" s="316"/>
      <c r="P211" s="316"/>
      <c r="Q211" s="316"/>
      <c r="R211" s="316"/>
      <c r="S211" s="316"/>
      <c r="T211" s="313">
        <v>20.66</v>
      </c>
      <c r="U211" s="272" t="s">
        <v>113</v>
      </c>
      <c r="V211" s="272"/>
      <c r="W211" s="275"/>
      <c r="X211" s="5"/>
    </row>
    <row r="212" spans="1:24" ht="15.6" x14ac:dyDescent="0.3">
      <c r="A212" s="349"/>
      <c r="B212" s="272" t="s">
        <v>76</v>
      </c>
      <c r="C212" s="350"/>
      <c r="D212" s="350"/>
      <c r="E212" s="350"/>
      <c r="F212" s="350"/>
      <c r="G212" s="316"/>
      <c r="H212" s="316"/>
      <c r="I212" s="316"/>
      <c r="J212" s="316"/>
      <c r="K212" s="316"/>
      <c r="L212" s="316"/>
      <c r="M212" s="316"/>
      <c r="N212" s="316"/>
      <c r="O212" s="316"/>
      <c r="P212" s="316"/>
      <c r="Q212" s="316"/>
      <c r="R212" s="316"/>
      <c r="S212" s="316"/>
      <c r="T212" s="313">
        <v>14.69</v>
      </c>
      <c r="U212" s="272" t="s">
        <v>113</v>
      </c>
      <c r="V212" s="272"/>
      <c r="W212" s="275"/>
      <c r="X212" s="5"/>
    </row>
    <row r="213" spans="1:24" ht="15.6" x14ac:dyDescent="0.3">
      <c r="A213" s="349"/>
      <c r="B213" s="272" t="s">
        <v>77</v>
      </c>
      <c r="C213" s="350"/>
      <c r="D213" s="350"/>
      <c r="E213" s="350"/>
      <c r="F213" s="350"/>
      <c r="G213" s="316"/>
      <c r="H213" s="316"/>
      <c r="I213" s="316"/>
      <c r="J213" s="316"/>
      <c r="K213" s="316"/>
      <c r="L213" s="316"/>
      <c r="M213" s="316"/>
      <c r="N213" s="316"/>
      <c r="O213" s="316"/>
      <c r="P213" s="316"/>
      <c r="Q213" s="316"/>
      <c r="R213" s="316"/>
      <c r="S213" s="316"/>
      <c r="T213" s="307">
        <f>P68/N68</f>
        <v>5.4102685434720358E-3</v>
      </c>
      <c r="U213" s="272"/>
      <c r="V213" s="272"/>
      <c r="W213" s="275"/>
      <c r="X213" s="5"/>
    </row>
    <row r="214" spans="1:24" ht="15.6" x14ac:dyDescent="0.3">
      <c r="A214" s="349"/>
      <c r="B214" s="272" t="s">
        <v>78</v>
      </c>
      <c r="C214" s="350"/>
      <c r="D214" s="350"/>
      <c r="E214" s="350"/>
      <c r="F214" s="350"/>
      <c r="G214" s="316"/>
      <c r="H214" s="316"/>
      <c r="I214" s="316"/>
      <c r="J214" s="316"/>
      <c r="K214" s="316"/>
      <c r="L214" s="316"/>
      <c r="M214" s="316"/>
      <c r="N214" s="316"/>
      <c r="O214" s="316"/>
      <c r="P214" s="316"/>
      <c r="Q214" s="316"/>
      <c r="R214" s="316"/>
      <c r="S214" s="316"/>
      <c r="T214" s="307">
        <v>7.3599999999999999E-2</v>
      </c>
      <c r="U214" s="272"/>
      <c r="V214" s="272"/>
      <c r="W214" s="275"/>
      <c r="X214" s="5"/>
    </row>
    <row r="215" spans="1:24" ht="15.6" x14ac:dyDescent="0.3">
      <c r="A215" s="211"/>
      <c r="B215" s="347"/>
      <c r="C215" s="347"/>
      <c r="D215" s="347"/>
      <c r="E215" s="347"/>
      <c r="F215" s="347"/>
      <c r="G215" s="321"/>
      <c r="H215" s="321"/>
      <c r="I215" s="321"/>
      <c r="J215" s="321"/>
      <c r="K215" s="321"/>
      <c r="L215" s="321"/>
      <c r="M215" s="321"/>
      <c r="N215" s="321"/>
      <c r="O215" s="321"/>
      <c r="P215" s="321"/>
      <c r="Q215" s="321"/>
      <c r="R215" s="321"/>
      <c r="S215" s="321"/>
      <c r="T215" s="340"/>
      <c r="U215" s="321"/>
      <c r="V215" s="348"/>
      <c r="W215" s="321"/>
      <c r="X215" s="5"/>
    </row>
    <row r="216" spans="1:24" ht="15.6" x14ac:dyDescent="0.3">
      <c r="A216" s="215"/>
      <c r="B216" s="219" t="s">
        <v>79</v>
      </c>
      <c r="C216" s="224"/>
      <c r="D216" s="224"/>
      <c r="E216" s="224"/>
      <c r="F216" s="251"/>
      <c r="G216" s="224"/>
      <c r="H216" s="224"/>
      <c r="I216" s="224"/>
      <c r="J216" s="224"/>
      <c r="K216" s="224"/>
      <c r="L216" s="224"/>
      <c r="M216" s="224"/>
      <c r="N216" s="224"/>
      <c r="O216" s="224"/>
      <c r="P216" s="224"/>
      <c r="Q216" s="224"/>
      <c r="R216" s="224"/>
      <c r="S216" s="224" t="s">
        <v>103</v>
      </c>
      <c r="T216" s="251" t="s">
        <v>110</v>
      </c>
      <c r="U216" s="220"/>
      <c r="V216" s="220"/>
      <c r="W216" s="220"/>
      <c r="X216" s="5"/>
    </row>
    <row r="217" spans="1:24" ht="15.6" x14ac:dyDescent="0.3">
      <c r="A217" s="356"/>
      <c r="B217" s="272" t="s">
        <v>80</v>
      </c>
      <c r="C217" s="324"/>
      <c r="D217" s="324"/>
      <c r="E217" s="324"/>
      <c r="F217" s="272"/>
      <c r="G217" s="272"/>
      <c r="H217" s="280"/>
      <c r="I217" s="280"/>
      <c r="J217" s="280"/>
      <c r="K217" s="280"/>
      <c r="L217" s="280"/>
      <c r="M217" s="280"/>
      <c r="N217" s="280"/>
      <c r="O217" s="280"/>
      <c r="P217" s="280"/>
      <c r="Q217" s="280"/>
      <c r="R217" s="280"/>
      <c r="S217" s="280">
        <v>2</v>
      </c>
      <c r="T217" s="357">
        <v>199</v>
      </c>
      <c r="U217" s="272"/>
      <c r="V217" s="358"/>
      <c r="W217" s="359"/>
      <c r="X217" s="5"/>
    </row>
    <row r="218" spans="1:24" ht="15.6" x14ac:dyDescent="0.3">
      <c r="A218" s="356"/>
      <c r="B218" s="272" t="s">
        <v>148</v>
      </c>
      <c r="C218" s="324"/>
      <c r="D218" s="324"/>
      <c r="E218" s="324"/>
      <c r="F218" s="272"/>
      <c r="G218" s="272"/>
      <c r="H218" s="280"/>
      <c r="I218" s="280"/>
      <c r="J218" s="280"/>
      <c r="K218" s="280"/>
      <c r="L218" s="280"/>
      <c r="M218" s="280"/>
      <c r="N218" s="280"/>
      <c r="O218" s="280"/>
      <c r="P218" s="280"/>
      <c r="Q218" s="280"/>
      <c r="R218" s="280"/>
      <c r="S218" s="360">
        <f>+R270</f>
        <v>171</v>
      </c>
      <c r="T218" s="357">
        <f>+T270</f>
        <v>27168</v>
      </c>
      <c r="U218" s="272"/>
      <c r="V218" s="358"/>
      <c r="W218" s="359"/>
      <c r="X218" s="5"/>
    </row>
    <row r="219" spans="1:24" ht="15.6" x14ac:dyDescent="0.3">
      <c r="A219" s="356"/>
      <c r="B219" s="272" t="s">
        <v>81</v>
      </c>
      <c r="C219" s="324"/>
      <c r="D219" s="324"/>
      <c r="E219" s="324"/>
      <c r="F219" s="272"/>
      <c r="G219" s="272"/>
      <c r="H219" s="280"/>
      <c r="I219" s="280"/>
      <c r="J219" s="280"/>
      <c r="K219" s="280"/>
      <c r="L219" s="280"/>
      <c r="M219" s="280"/>
      <c r="N219" s="280"/>
      <c r="O219" s="280"/>
      <c r="P219" s="280"/>
      <c r="Q219" s="280"/>
      <c r="R219" s="280"/>
      <c r="S219" s="360">
        <f>+R282</f>
        <v>1</v>
      </c>
      <c r="T219" s="357">
        <f>+T282</f>
        <v>263</v>
      </c>
      <c r="U219" s="272"/>
      <c r="V219" s="358"/>
      <c r="W219" s="359"/>
      <c r="X219" s="5"/>
    </row>
    <row r="220" spans="1:24" ht="15.6" x14ac:dyDescent="0.3">
      <c r="A220" s="356"/>
      <c r="B220" s="297" t="s">
        <v>82</v>
      </c>
      <c r="C220" s="361"/>
      <c r="D220" s="361"/>
      <c r="E220" s="361"/>
      <c r="F220" s="298"/>
      <c r="G220" s="298"/>
      <c r="H220" s="298"/>
      <c r="I220" s="298"/>
      <c r="J220" s="298"/>
      <c r="K220" s="298"/>
      <c r="L220" s="298"/>
      <c r="M220" s="298"/>
      <c r="N220" s="298"/>
      <c r="O220" s="298"/>
      <c r="P220" s="298"/>
      <c r="Q220" s="298"/>
      <c r="R220" s="298"/>
      <c r="S220" s="298"/>
      <c r="T220" s="357">
        <v>0</v>
      </c>
      <c r="U220" s="298"/>
      <c r="V220" s="362"/>
      <c r="W220" s="363"/>
      <c r="X220" s="5"/>
    </row>
    <row r="221" spans="1:24" ht="15.6" x14ac:dyDescent="0.3">
      <c r="A221" s="356"/>
      <c r="B221" s="297" t="s">
        <v>275</v>
      </c>
      <c r="C221" s="361"/>
      <c r="D221" s="361"/>
      <c r="E221" s="361"/>
      <c r="F221" s="298"/>
      <c r="G221" s="298"/>
      <c r="H221" s="298"/>
      <c r="I221" s="298"/>
      <c r="J221" s="298"/>
      <c r="K221" s="298"/>
      <c r="L221" s="298"/>
      <c r="M221" s="298"/>
      <c r="N221" s="298"/>
      <c r="O221" s="298"/>
      <c r="P221" s="298"/>
      <c r="Q221" s="298"/>
      <c r="R221" s="298"/>
      <c r="S221" s="298"/>
      <c r="T221" s="357">
        <f>+N81</f>
        <v>0</v>
      </c>
      <c r="U221" s="298"/>
      <c r="V221" s="362"/>
      <c r="W221" s="363"/>
      <c r="X221" s="5"/>
    </row>
    <row r="222" spans="1:24" ht="15.6" x14ac:dyDescent="0.3">
      <c r="A222" s="364"/>
      <c r="B222" s="297" t="s">
        <v>83</v>
      </c>
      <c r="C222" s="365"/>
      <c r="D222" s="365"/>
      <c r="E222" s="365"/>
      <c r="F222" s="365"/>
      <c r="G222" s="298"/>
      <c r="H222" s="298"/>
      <c r="I222" s="298"/>
      <c r="J222" s="298"/>
      <c r="K222" s="298"/>
      <c r="L222" s="298"/>
      <c r="M222" s="298"/>
      <c r="N222" s="298"/>
      <c r="O222" s="298"/>
      <c r="P222" s="298"/>
      <c r="Q222" s="298"/>
      <c r="R222" s="298"/>
      <c r="S222" s="298"/>
      <c r="T222" s="366"/>
      <c r="U222" s="298"/>
      <c r="V222" s="362"/>
      <c r="W222" s="367"/>
      <c r="X222" s="5"/>
    </row>
    <row r="223" spans="1:24" ht="15.6" x14ac:dyDescent="0.3">
      <c r="A223" s="364"/>
      <c r="B223" s="272" t="s">
        <v>84</v>
      </c>
      <c r="C223" s="272"/>
      <c r="D223" s="272"/>
      <c r="E223" s="272"/>
      <c r="F223" s="272"/>
      <c r="G223" s="272"/>
      <c r="H223" s="272"/>
      <c r="I223" s="272"/>
      <c r="J223" s="272"/>
      <c r="K223" s="272"/>
      <c r="L223" s="272"/>
      <c r="M223" s="272"/>
      <c r="N223" s="272"/>
      <c r="O223" s="272"/>
      <c r="P223" s="272"/>
      <c r="Q223" s="272"/>
      <c r="R223" s="272"/>
      <c r="S223" s="280"/>
      <c r="T223" s="357">
        <f>V167</f>
        <v>170</v>
      </c>
      <c r="U223" s="272"/>
      <c r="V223" s="362"/>
      <c r="W223" s="367"/>
      <c r="X223" s="5"/>
    </row>
    <row r="224" spans="1:24" ht="15.6" x14ac:dyDescent="0.3">
      <c r="A224" s="356"/>
      <c r="B224" s="272" t="s">
        <v>85</v>
      </c>
      <c r="C224" s="324"/>
      <c r="D224" s="324"/>
      <c r="E224" s="324"/>
      <c r="F224" s="324"/>
      <c r="G224" s="272"/>
      <c r="H224" s="272"/>
      <c r="I224" s="272"/>
      <c r="J224" s="272"/>
      <c r="K224" s="272"/>
      <c r="L224" s="272"/>
      <c r="M224" s="272"/>
      <c r="N224" s="272"/>
      <c r="O224" s="272"/>
      <c r="P224" s="272"/>
      <c r="Q224" s="272"/>
      <c r="R224" s="272"/>
      <c r="S224" s="280"/>
      <c r="T224" s="357">
        <f>'Dec 12'!T223+T223</f>
        <v>4266</v>
      </c>
      <c r="U224" s="272"/>
      <c r="V224" s="362"/>
      <c r="W224" s="367"/>
      <c r="X224" s="5"/>
    </row>
    <row r="225" spans="1:25" ht="15.6" x14ac:dyDescent="0.3">
      <c r="A225" s="364"/>
      <c r="B225" s="297" t="s">
        <v>297</v>
      </c>
      <c r="C225" s="365"/>
      <c r="D225" s="365"/>
      <c r="E225" s="365"/>
      <c r="F225" s="365"/>
      <c r="G225" s="298"/>
      <c r="H225" s="298"/>
      <c r="I225" s="298"/>
      <c r="J225" s="298"/>
      <c r="K225" s="298"/>
      <c r="L225" s="298"/>
      <c r="M225" s="298"/>
      <c r="N225" s="298"/>
      <c r="O225" s="298"/>
      <c r="P225" s="298"/>
      <c r="Q225" s="298"/>
      <c r="R225" s="298"/>
      <c r="S225" s="302"/>
      <c r="T225" s="366"/>
      <c r="U225" s="298"/>
      <c r="V225" s="362"/>
      <c r="W225" s="367"/>
      <c r="X225" s="5"/>
    </row>
    <row r="226" spans="1:25" ht="15.6" x14ac:dyDescent="0.3">
      <c r="A226" s="364"/>
      <c r="B226" s="272" t="s">
        <v>295</v>
      </c>
      <c r="C226" s="365"/>
      <c r="D226" s="365"/>
      <c r="E226" s="365"/>
      <c r="F226" s="365"/>
      <c r="G226" s="298"/>
      <c r="H226" s="298"/>
      <c r="I226" s="298"/>
      <c r="J226" s="298"/>
      <c r="K226" s="298"/>
      <c r="L226" s="298"/>
      <c r="M226" s="298"/>
      <c r="N226" s="298"/>
      <c r="O226" s="298"/>
      <c r="P226" s="298"/>
      <c r="Q226" s="298"/>
      <c r="R226" s="298"/>
      <c r="S226" s="280">
        <v>0</v>
      </c>
      <c r="T226" s="357">
        <v>0</v>
      </c>
      <c r="U226" s="298"/>
      <c r="V226" s="362"/>
      <c r="W226" s="367"/>
      <c r="X226" s="5"/>
    </row>
    <row r="227" spans="1:25" ht="15.6" x14ac:dyDescent="0.3">
      <c r="A227" s="356"/>
      <c r="B227" s="272" t="s">
        <v>87</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72" t="s">
        <v>88</v>
      </c>
      <c r="C228" s="370"/>
      <c r="D228" s="370"/>
      <c r="E228" s="370"/>
      <c r="F228" s="371"/>
      <c r="G228" s="298"/>
      <c r="H228" s="298"/>
      <c r="I228" s="298"/>
      <c r="J228" s="298"/>
      <c r="K228" s="298"/>
      <c r="L228" s="298"/>
      <c r="M228" s="298"/>
      <c r="N228" s="298"/>
      <c r="O228" s="298"/>
      <c r="P228" s="298"/>
      <c r="Q228" s="298"/>
      <c r="R228" s="298"/>
      <c r="S228" s="272"/>
      <c r="T228" s="372">
        <v>0</v>
      </c>
      <c r="U228" s="298"/>
      <c r="V228" s="362"/>
      <c r="W228" s="367"/>
      <c r="X228" s="5"/>
    </row>
    <row r="229" spans="1:25" ht="15.6" x14ac:dyDescent="0.3">
      <c r="A229" s="356"/>
      <c r="B229" s="297" t="s">
        <v>220</v>
      </c>
      <c r="C229" s="370"/>
      <c r="D229" s="370"/>
      <c r="E229" s="370"/>
      <c r="F229" s="371"/>
      <c r="G229" s="298"/>
      <c r="H229" s="298"/>
      <c r="I229" s="298"/>
      <c r="J229" s="298"/>
      <c r="K229" s="298"/>
      <c r="L229" s="298"/>
      <c r="M229" s="298"/>
      <c r="N229" s="298"/>
      <c r="O229" s="298"/>
      <c r="P229" s="298"/>
      <c r="Q229" s="298"/>
      <c r="R229" s="298"/>
      <c r="S229" s="272"/>
      <c r="T229" s="373"/>
      <c r="U229" s="298"/>
      <c r="V229" s="362"/>
      <c r="W229" s="367"/>
      <c r="X229" s="5"/>
    </row>
    <row r="230" spans="1:25" ht="15.6" x14ac:dyDescent="0.3">
      <c r="A230" s="356"/>
      <c r="B230" s="272" t="s">
        <v>295</v>
      </c>
      <c r="C230" s="370"/>
      <c r="D230" s="370"/>
      <c r="E230" s="370"/>
      <c r="F230" s="371"/>
      <c r="G230" s="298"/>
      <c r="H230" s="298"/>
      <c r="I230" s="298"/>
      <c r="J230" s="298"/>
      <c r="K230" s="298"/>
      <c r="L230" s="298"/>
      <c r="M230" s="298"/>
      <c r="N230" s="298"/>
      <c r="O230" s="298"/>
      <c r="P230" s="298"/>
      <c r="Q230" s="298"/>
      <c r="R230" s="298"/>
      <c r="S230" s="280">
        <v>5</v>
      </c>
      <c r="T230" s="357">
        <v>559</v>
      </c>
      <c r="U230" s="298"/>
      <c r="V230" s="362"/>
      <c r="W230" s="367"/>
      <c r="X230" s="5"/>
    </row>
    <row r="231" spans="1:25" ht="15.6" x14ac:dyDescent="0.3">
      <c r="A231" s="356"/>
      <c r="B231" s="272" t="s">
        <v>221</v>
      </c>
      <c r="C231" s="370"/>
      <c r="D231" s="370"/>
      <c r="E231" s="370"/>
      <c r="F231" s="371"/>
      <c r="G231" s="298"/>
      <c r="H231" s="298"/>
      <c r="I231" s="298"/>
      <c r="J231" s="298"/>
      <c r="K231" s="298"/>
      <c r="L231" s="298"/>
      <c r="M231" s="298"/>
      <c r="N231" s="298"/>
      <c r="O231" s="298"/>
      <c r="P231" s="298"/>
      <c r="Q231" s="298"/>
      <c r="R231" s="298"/>
      <c r="S231" s="272"/>
      <c r="T231" s="372">
        <v>0.83</v>
      </c>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5.6" x14ac:dyDescent="0.3">
      <c r="A233" s="356"/>
      <c r="B233" s="365"/>
      <c r="C233" s="370"/>
      <c r="D233" s="370"/>
      <c r="E233" s="370"/>
      <c r="F233" s="371"/>
      <c r="G233" s="298"/>
      <c r="H233" s="298"/>
      <c r="I233" s="298"/>
      <c r="J233" s="298"/>
      <c r="K233" s="298"/>
      <c r="L233" s="298"/>
      <c r="M233" s="298"/>
      <c r="N233" s="298"/>
      <c r="O233" s="298"/>
      <c r="P233" s="298"/>
      <c r="Q233" s="298"/>
      <c r="R233" s="298"/>
      <c r="S233" s="298"/>
      <c r="T233" s="374"/>
      <c r="U233" s="298"/>
      <c r="V233" s="362"/>
      <c r="W233" s="367"/>
      <c r="X233" s="5"/>
    </row>
    <row r="234" spans="1:25" ht="17.399999999999999" x14ac:dyDescent="0.3">
      <c r="A234" s="356"/>
      <c r="B234" s="375" t="s">
        <v>171</v>
      </c>
      <c r="C234" s="370"/>
      <c r="D234" s="370"/>
      <c r="E234" s="370"/>
      <c r="F234" s="371"/>
      <c r="G234" s="298"/>
      <c r="H234" s="298"/>
      <c r="I234" s="298"/>
      <c r="J234" s="298"/>
      <c r="K234" s="298"/>
      <c r="L234" s="298"/>
      <c r="M234" s="298"/>
      <c r="N234" s="298"/>
      <c r="O234" s="298"/>
      <c r="P234" s="376" t="s">
        <v>170</v>
      </c>
      <c r="Q234" s="298"/>
      <c r="R234" s="298"/>
      <c r="S234" s="298"/>
      <c r="T234" s="374"/>
      <c r="U234" s="298"/>
      <c r="V234" s="362"/>
      <c r="W234" s="367"/>
      <c r="X234" s="5"/>
    </row>
    <row r="235" spans="1:25" ht="15.6" x14ac:dyDescent="0.3">
      <c r="A235" s="215"/>
      <c r="B235" s="347"/>
      <c r="C235" s="352"/>
      <c r="D235" s="352"/>
      <c r="E235" s="352"/>
      <c r="F235" s="353"/>
      <c r="G235" s="321"/>
      <c r="H235" s="321"/>
      <c r="I235" s="321"/>
      <c r="J235" s="321"/>
      <c r="K235" s="321"/>
      <c r="L235" s="321"/>
      <c r="M235" s="321"/>
      <c r="N235" s="321"/>
      <c r="O235" s="321"/>
      <c r="P235" s="321"/>
      <c r="Q235" s="321"/>
      <c r="R235" s="321"/>
      <c r="S235" s="321"/>
      <c r="T235" s="354"/>
      <c r="U235" s="321"/>
      <c r="V235" s="348"/>
      <c r="W235" s="355"/>
      <c r="X235" s="5"/>
    </row>
    <row r="236" spans="1:25" ht="15.6" x14ac:dyDescent="0.3">
      <c r="A236" s="239"/>
      <c r="B236" s="253" t="s">
        <v>310</v>
      </c>
      <c r="C236" s="254"/>
      <c r="D236" s="254"/>
      <c r="E236" s="254"/>
      <c r="F236" s="255"/>
      <c r="G236" s="254"/>
      <c r="H236" s="254"/>
      <c r="I236" s="254"/>
      <c r="J236" s="254"/>
      <c r="K236" s="254"/>
      <c r="L236" s="254"/>
      <c r="M236" s="254"/>
      <c r="N236" s="254"/>
      <c r="O236" s="254"/>
      <c r="P236" s="254"/>
      <c r="Q236" s="254"/>
      <c r="R236" s="255" t="s">
        <v>103</v>
      </c>
      <c r="S236" s="254" t="s">
        <v>104</v>
      </c>
      <c r="T236" s="255" t="s">
        <v>111</v>
      </c>
      <c r="U236" s="254" t="s">
        <v>104</v>
      </c>
      <c r="V236" s="240"/>
      <c r="W236" s="253"/>
      <c r="X236" s="5"/>
    </row>
    <row r="237" spans="1:25" ht="15.6" x14ac:dyDescent="0.3">
      <c r="A237" s="192"/>
      <c r="B237" s="231" t="s">
        <v>89</v>
      </c>
      <c r="C237" s="260"/>
      <c r="D237" s="260"/>
      <c r="E237" s="260"/>
      <c r="F237" s="229"/>
      <c r="G237" s="260"/>
      <c r="H237" s="260"/>
      <c r="I237" s="260"/>
      <c r="J237" s="260"/>
      <c r="K237" s="260"/>
      <c r="L237" s="260"/>
      <c r="M237" s="260"/>
      <c r="N237" s="260"/>
      <c r="O237" s="260"/>
      <c r="P237" s="260"/>
      <c r="Q237" s="260"/>
      <c r="R237" s="324">
        <f t="shared" ref="R237:R244" si="1">+R249+R261+R273</f>
        <v>7614</v>
      </c>
      <c r="S237" s="381">
        <f t="shared" ref="S237:S244" si="2">R237/$R$246</f>
        <v>0.9915353561661675</v>
      </c>
      <c r="T237" s="325">
        <f t="shared" ref="T237:T244" si="3">+T249+T261+T273</f>
        <v>970037</v>
      </c>
      <c r="U237" s="381">
        <f t="shared" ref="U237:U244" si="4">T237/$T$246</f>
        <v>0.98969228885669391</v>
      </c>
      <c r="V237" s="252"/>
      <c r="W237" s="230"/>
      <c r="X237" s="5"/>
    </row>
    <row r="238" spans="1:25" ht="15.6" x14ac:dyDescent="0.3">
      <c r="A238" s="271"/>
      <c r="B238" s="324" t="s">
        <v>90</v>
      </c>
      <c r="C238" s="380"/>
      <c r="D238" s="380"/>
      <c r="E238" s="380"/>
      <c r="F238" s="272"/>
      <c r="G238" s="381"/>
      <c r="H238" s="380"/>
      <c r="I238" s="380"/>
      <c r="J238" s="380"/>
      <c r="K238" s="380"/>
      <c r="L238" s="380"/>
      <c r="M238" s="380"/>
      <c r="N238" s="380"/>
      <c r="O238" s="380"/>
      <c r="P238" s="380"/>
      <c r="Q238" s="380"/>
      <c r="R238" s="324">
        <f t="shared" si="1"/>
        <v>19</v>
      </c>
      <c r="S238" s="381">
        <f t="shared" si="2"/>
        <v>2.4742805052741243E-3</v>
      </c>
      <c r="T238" s="325">
        <f t="shared" si="3"/>
        <v>4091</v>
      </c>
      <c r="U238" s="381">
        <f t="shared" si="4"/>
        <v>4.1738935254147366E-3</v>
      </c>
      <c r="V238" s="358"/>
      <c r="W238" s="382"/>
      <c r="X238" s="5"/>
      <c r="Y238" s="109"/>
    </row>
    <row r="239" spans="1:25" ht="15.6" x14ac:dyDescent="0.3">
      <c r="A239" s="271"/>
      <c r="B239" s="324" t="s">
        <v>91</v>
      </c>
      <c r="C239" s="380"/>
      <c r="D239" s="380"/>
      <c r="E239" s="380"/>
      <c r="F239" s="272"/>
      <c r="G239" s="381"/>
      <c r="H239" s="380"/>
      <c r="I239" s="380"/>
      <c r="J239" s="380"/>
      <c r="K239" s="380"/>
      <c r="L239" s="380"/>
      <c r="M239" s="380"/>
      <c r="N239" s="380"/>
      <c r="O239" s="380"/>
      <c r="P239" s="380"/>
      <c r="Q239" s="380"/>
      <c r="R239" s="324">
        <f t="shared" si="1"/>
        <v>6</v>
      </c>
      <c r="S239" s="381">
        <f t="shared" si="2"/>
        <v>7.8135173850761813E-4</v>
      </c>
      <c r="T239" s="325">
        <f t="shared" si="3"/>
        <v>587</v>
      </c>
      <c r="U239" s="381">
        <f t="shared" si="4"/>
        <v>5.9889403554594237E-4</v>
      </c>
      <c r="V239" s="358"/>
      <c r="W239" s="382"/>
      <c r="X239" s="5"/>
    </row>
    <row r="240" spans="1:25" ht="15.6" x14ac:dyDescent="0.3">
      <c r="A240" s="271"/>
      <c r="B240" s="324" t="s">
        <v>159</v>
      </c>
      <c r="C240" s="380"/>
      <c r="D240" s="380"/>
      <c r="E240" s="380"/>
      <c r="F240" s="272"/>
      <c r="G240" s="381"/>
      <c r="H240" s="380"/>
      <c r="I240" s="380"/>
      <c r="J240" s="380"/>
      <c r="K240" s="380"/>
      <c r="L240" s="380"/>
      <c r="M240" s="380"/>
      <c r="N240" s="380"/>
      <c r="O240" s="380"/>
      <c r="P240" s="380"/>
      <c r="Q240" s="380"/>
      <c r="R240" s="324">
        <f t="shared" si="1"/>
        <v>1</v>
      </c>
      <c r="S240" s="381">
        <f t="shared" si="2"/>
        <v>1.302252897512697E-4</v>
      </c>
      <c r="T240" s="325">
        <f t="shared" si="3"/>
        <v>446</v>
      </c>
      <c r="U240" s="381">
        <f t="shared" si="4"/>
        <v>4.5503703552553714E-4</v>
      </c>
      <c r="V240" s="358"/>
      <c r="W240" s="382"/>
      <c r="X240" s="5"/>
      <c r="Y240" s="109"/>
    </row>
    <row r="241" spans="1:25" ht="15.6" x14ac:dyDescent="0.3">
      <c r="A241" s="271"/>
      <c r="B241" s="324" t="s">
        <v>160</v>
      </c>
      <c r="C241" s="380"/>
      <c r="D241" s="380"/>
      <c r="E241" s="380"/>
      <c r="F241" s="272"/>
      <c r="G241" s="381"/>
      <c r="H241" s="380"/>
      <c r="I241" s="380"/>
      <c r="J241" s="380"/>
      <c r="K241" s="380"/>
      <c r="L241" s="380"/>
      <c r="M241" s="380"/>
      <c r="N241" s="380"/>
      <c r="O241" s="380"/>
      <c r="P241" s="380"/>
      <c r="Q241" s="380"/>
      <c r="R241" s="324">
        <f t="shared" si="1"/>
        <v>0</v>
      </c>
      <c r="S241" s="381">
        <f t="shared" si="2"/>
        <v>0</v>
      </c>
      <c r="T241" s="325">
        <f t="shared" si="3"/>
        <v>0</v>
      </c>
      <c r="U241" s="381">
        <f t="shared" si="4"/>
        <v>0</v>
      </c>
      <c r="V241" s="358"/>
      <c r="W241" s="382"/>
      <c r="X241" s="5"/>
    </row>
    <row r="242" spans="1:25" ht="15.6" x14ac:dyDescent="0.3">
      <c r="A242" s="271"/>
      <c r="B242" s="324" t="s">
        <v>161</v>
      </c>
      <c r="C242" s="380"/>
      <c r="D242" s="380"/>
      <c r="E242" s="380"/>
      <c r="F242" s="272"/>
      <c r="G242" s="381"/>
      <c r="H242" s="380"/>
      <c r="I242" s="380"/>
      <c r="J242" s="380"/>
      <c r="K242" s="380"/>
      <c r="L242" s="380"/>
      <c r="M242" s="380"/>
      <c r="N242" s="380"/>
      <c r="O242" s="380"/>
      <c r="P242" s="380"/>
      <c r="Q242" s="380"/>
      <c r="R242" s="324">
        <f t="shared" si="1"/>
        <v>1</v>
      </c>
      <c r="S242" s="381">
        <f t="shared" si="2"/>
        <v>1.302252897512697E-4</v>
      </c>
      <c r="T242" s="325">
        <f t="shared" si="3"/>
        <v>121</v>
      </c>
      <c r="U242" s="381">
        <f t="shared" si="4"/>
        <v>1.2345175179056053E-4</v>
      </c>
      <c r="V242" s="358"/>
      <c r="W242" s="382"/>
      <c r="X242" s="5"/>
      <c r="Y242" s="109"/>
    </row>
    <row r="243" spans="1:25" ht="15.6" x14ac:dyDescent="0.3">
      <c r="A243" s="271"/>
      <c r="B243" s="324" t="s">
        <v>162</v>
      </c>
      <c r="C243" s="380"/>
      <c r="D243" s="380"/>
      <c r="E243" s="380"/>
      <c r="F243" s="272"/>
      <c r="G243" s="381"/>
      <c r="H243" s="380"/>
      <c r="I243" s="380"/>
      <c r="J243" s="380"/>
      <c r="K243" s="380"/>
      <c r="L243" s="380"/>
      <c r="M243" s="380"/>
      <c r="N243" s="380"/>
      <c r="O243" s="380"/>
      <c r="P243" s="380"/>
      <c r="Q243" s="380"/>
      <c r="R243" s="324">
        <f t="shared" si="1"/>
        <v>4</v>
      </c>
      <c r="S243" s="381">
        <f t="shared" si="2"/>
        <v>5.2090115900507879E-4</v>
      </c>
      <c r="T243" s="325">
        <f t="shared" si="3"/>
        <v>458</v>
      </c>
      <c r="U243" s="381">
        <f t="shared" si="4"/>
        <v>4.6728018446344402E-4</v>
      </c>
      <c r="V243" s="358"/>
      <c r="W243" s="382"/>
      <c r="X243" s="5"/>
    </row>
    <row r="244" spans="1:25" ht="15.6" x14ac:dyDescent="0.3">
      <c r="A244" s="271"/>
      <c r="B244" s="324" t="s">
        <v>163</v>
      </c>
      <c r="C244" s="380"/>
      <c r="D244" s="380"/>
      <c r="E244" s="380"/>
      <c r="F244" s="272"/>
      <c r="G244" s="381"/>
      <c r="H244" s="380"/>
      <c r="I244" s="380"/>
      <c r="J244" s="380"/>
      <c r="K244" s="380"/>
      <c r="L244" s="380"/>
      <c r="M244" s="380"/>
      <c r="N244" s="380"/>
      <c r="O244" s="380"/>
      <c r="P244" s="380"/>
      <c r="Q244" s="380"/>
      <c r="R244" s="324">
        <f t="shared" si="1"/>
        <v>34</v>
      </c>
      <c r="S244" s="381">
        <f t="shared" si="2"/>
        <v>4.4276598515431698E-3</v>
      </c>
      <c r="T244" s="325">
        <f t="shared" si="3"/>
        <v>4400</v>
      </c>
      <c r="U244" s="381">
        <f t="shared" si="4"/>
        <v>4.4891546105658379E-3</v>
      </c>
      <c r="V244" s="358"/>
      <c r="W244" s="382"/>
      <c r="X244" s="5"/>
      <c r="Y244" s="109"/>
    </row>
    <row r="245" spans="1:25" ht="15.6" x14ac:dyDescent="0.3">
      <c r="A245" s="271"/>
      <c r="B245" s="324"/>
      <c r="C245" s="380"/>
      <c r="D245" s="380"/>
      <c r="E245" s="380"/>
      <c r="F245" s="272"/>
      <c r="G245" s="381"/>
      <c r="H245" s="380"/>
      <c r="I245" s="380"/>
      <c r="J245" s="380"/>
      <c r="K245" s="380"/>
      <c r="L245" s="380"/>
      <c r="M245" s="380"/>
      <c r="N245" s="380"/>
      <c r="O245" s="380"/>
      <c r="P245" s="380"/>
      <c r="Q245" s="380"/>
      <c r="R245" s="324"/>
      <c r="S245" s="381"/>
      <c r="T245" s="325"/>
      <c r="U245" s="381"/>
      <c r="V245" s="358"/>
      <c r="W245" s="382"/>
      <c r="X245" s="5"/>
    </row>
    <row r="246" spans="1:25" ht="15.6" x14ac:dyDescent="0.3">
      <c r="A246" s="271"/>
      <c r="B246" s="272" t="s">
        <v>117</v>
      </c>
      <c r="C246" s="272"/>
      <c r="D246" s="272"/>
      <c r="E246" s="272"/>
      <c r="F246" s="272"/>
      <c r="G246" s="272"/>
      <c r="H246" s="383"/>
      <c r="I246" s="383"/>
      <c r="J246" s="383"/>
      <c r="K246" s="383"/>
      <c r="L246" s="383"/>
      <c r="M246" s="383"/>
      <c r="N246" s="383"/>
      <c r="O246" s="383"/>
      <c r="P246" s="383"/>
      <c r="Q246" s="383"/>
      <c r="R246" s="324">
        <f>SUM(R237:R245)</f>
        <v>7679</v>
      </c>
      <c r="S246" s="381">
        <f>SUM(S237:S245)</f>
        <v>0.99999999999999989</v>
      </c>
      <c r="T246" s="325">
        <f>SUM(T237:T245)</f>
        <v>980140</v>
      </c>
      <c r="U246" s="381">
        <f>SUM(U237:U245)</f>
        <v>0.99999999999999989</v>
      </c>
      <c r="V246" s="272"/>
      <c r="W246" s="275"/>
      <c r="X246" s="5"/>
    </row>
    <row r="247" spans="1:25" ht="15.6" x14ac:dyDescent="0.3">
      <c r="A247" s="215"/>
      <c r="B247" s="347"/>
      <c r="C247" s="352"/>
      <c r="D247" s="352"/>
      <c r="E247" s="352"/>
      <c r="F247" s="353"/>
      <c r="G247" s="321"/>
      <c r="H247" s="321"/>
      <c r="I247" s="321"/>
      <c r="J247" s="321"/>
      <c r="K247" s="321"/>
      <c r="L247" s="321"/>
      <c r="M247" s="321"/>
      <c r="N247" s="321"/>
      <c r="O247" s="321"/>
      <c r="P247" s="321"/>
      <c r="Q247" s="321"/>
      <c r="R247" s="321"/>
      <c r="S247" s="321"/>
      <c r="T247" s="354"/>
      <c r="U247" s="321"/>
      <c r="V247" s="348"/>
      <c r="W247" s="355"/>
      <c r="X247" s="5"/>
    </row>
    <row r="248" spans="1:25" ht="15.6" x14ac:dyDescent="0.3">
      <c r="A248" s="239"/>
      <c r="B248" s="253" t="s">
        <v>165</v>
      </c>
      <c r="C248" s="254"/>
      <c r="D248" s="254"/>
      <c r="E248" s="254"/>
      <c r="F248" s="255"/>
      <c r="G248" s="254"/>
      <c r="H248" s="254"/>
      <c r="I248" s="254"/>
      <c r="J248" s="254"/>
      <c r="K248" s="254"/>
      <c r="L248" s="254"/>
      <c r="M248" s="254"/>
      <c r="N248" s="254"/>
      <c r="O248" s="254"/>
      <c r="P248" s="254"/>
      <c r="Q248" s="254"/>
      <c r="R248" s="255" t="s">
        <v>103</v>
      </c>
      <c r="S248" s="254" t="s">
        <v>104</v>
      </c>
      <c r="T248" s="255" t="s">
        <v>111</v>
      </c>
      <c r="U248" s="254" t="s">
        <v>104</v>
      </c>
      <c r="V248" s="240"/>
      <c r="W248" s="253"/>
      <c r="X248" s="5"/>
    </row>
    <row r="249" spans="1:25" ht="15.6" x14ac:dyDescent="0.3">
      <c r="A249" s="192"/>
      <c r="B249" s="231" t="s">
        <v>89</v>
      </c>
      <c r="C249" s="260"/>
      <c r="D249" s="260"/>
      <c r="E249" s="260"/>
      <c r="F249" s="229"/>
      <c r="G249" s="260"/>
      <c r="H249" s="260"/>
      <c r="I249" s="260"/>
      <c r="J249" s="260"/>
      <c r="K249" s="260"/>
      <c r="L249" s="260"/>
      <c r="M249" s="260"/>
      <c r="N249" s="260"/>
      <c r="O249" s="260"/>
      <c r="P249" s="260"/>
      <c r="Q249" s="260"/>
      <c r="R249" s="231">
        <v>7487</v>
      </c>
      <c r="S249" s="261">
        <f t="shared" ref="S249:S256" si="5">R249/$R$258</f>
        <v>0.99733581990142539</v>
      </c>
      <c r="T249" s="238">
        <v>948261</v>
      </c>
      <c r="U249" s="261">
        <f t="shared" ref="U249:U256" si="6">T249/$T$258</f>
        <v>0.99533120816534748</v>
      </c>
      <c r="V249" s="252"/>
      <c r="W249" s="230"/>
      <c r="X249" s="5"/>
    </row>
    <row r="250" spans="1:25" ht="15.6" x14ac:dyDescent="0.3">
      <c r="A250" s="271"/>
      <c r="B250" s="324" t="s">
        <v>90</v>
      </c>
      <c r="C250" s="380"/>
      <c r="D250" s="380"/>
      <c r="E250" s="380"/>
      <c r="F250" s="272"/>
      <c r="G250" s="381"/>
      <c r="H250" s="380"/>
      <c r="I250" s="380"/>
      <c r="J250" s="380"/>
      <c r="K250" s="380"/>
      <c r="L250" s="380"/>
      <c r="M250" s="380"/>
      <c r="N250" s="380"/>
      <c r="O250" s="380"/>
      <c r="P250" s="380"/>
      <c r="Q250" s="380"/>
      <c r="R250" s="324">
        <v>14</v>
      </c>
      <c r="S250" s="381">
        <f t="shared" si="5"/>
        <v>1.8649260690022644E-3</v>
      </c>
      <c r="T250" s="325">
        <v>3567</v>
      </c>
      <c r="U250" s="381">
        <f t="shared" si="6"/>
        <v>3.744060358409546E-3</v>
      </c>
      <c r="V250" s="358"/>
      <c r="W250" s="382"/>
      <c r="X250" s="5"/>
      <c r="Y250" s="109"/>
    </row>
    <row r="251" spans="1:25" ht="15.6" x14ac:dyDescent="0.3">
      <c r="A251" s="271"/>
      <c r="B251" s="324" t="s">
        <v>91</v>
      </c>
      <c r="C251" s="380"/>
      <c r="D251" s="380"/>
      <c r="E251" s="380"/>
      <c r="F251" s="272"/>
      <c r="G251" s="381"/>
      <c r="H251" s="380"/>
      <c r="I251" s="380"/>
      <c r="J251" s="380"/>
      <c r="K251" s="380"/>
      <c r="L251" s="380"/>
      <c r="M251" s="380"/>
      <c r="N251" s="380"/>
      <c r="O251" s="380"/>
      <c r="P251" s="380"/>
      <c r="Q251" s="380"/>
      <c r="R251" s="324">
        <v>2</v>
      </c>
      <c r="S251" s="381">
        <f t="shared" si="5"/>
        <v>2.6641800985746639E-4</v>
      </c>
      <c r="T251" s="325">
        <v>118</v>
      </c>
      <c r="U251" s="381">
        <f t="shared" si="6"/>
        <v>1.2385733734015318E-4</v>
      </c>
      <c r="V251" s="358"/>
      <c r="W251" s="382"/>
      <c r="X251" s="5"/>
    </row>
    <row r="252" spans="1:25" ht="15.6" x14ac:dyDescent="0.3">
      <c r="A252" s="271"/>
      <c r="B252" s="324" t="s">
        <v>159</v>
      </c>
      <c r="C252" s="380"/>
      <c r="D252" s="380"/>
      <c r="E252" s="380"/>
      <c r="F252" s="272"/>
      <c r="G252" s="381"/>
      <c r="H252" s="380"/>
      <c r="I252" s="380"/>
      <c r="J252" s="380"/>
      <c r="K252" s="380"/>
      <c r="L252" s="380"/>
      <c r="M252" s="380"/>
      <c r="N252" s="380"/>
      <c r="O252" s="380"/>
      <c r="P252" s="380"/>
      <c r="Q252" s="380"/>
      <c r="R252" s="324">
        <v>1</v>
      </c>
      <c r="S252" s="381">
        <f t="shared" si="5"/>
        <v>1.3320900492873319E-4</v>
      </c>
      <c r="T252" s="325">
        <v>446</v>
      </c>
      <c r="U252" s="381">
        <f t="shared" si="6"/>
        <v>4.6813874960769763E-4</v>
      </c>
      <c r="V252" s="358"/>
      <c r="W252" s="382"/>
      <c r="X252" s="5"/>
      <c r="Y252" s="109"/>
    </row>
    <row r="253" spans="1:25" ht="15.6" x14ac:dyDescent="0.3">
      <c r="A253" s="271"/>
      <c r="B253" s="324" t="s">
        <v>160</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row>
    <row r="254" spans="1:25" ht="15.6" x14ac:dyDescent="0.3">
      <c r="A254" s="271"/>
      <c r="B254" s="324" t="s">
        <v>161</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c r="Y254" s="109"/>
    </row>
    <row r="255" spans="1:25" ht="15.6" x14ac:dyDescent="0.3">
      <c r="A255" s="271"/>
      <c r="B255" s="324" t="s">
        <v>162</v>
      </c>
      <c r="C255" s="380"/>
      <c r="D255" s="380"/>
      <c r="E255" s="380"/>
      <c r="F255" s="272"/>
      <c r="G255" s="381"/>
      <c r="H255" s="380"/>
      <c r="I255" s="380"/>
      <c r="J255" s="380"/>
      <c r="K255" s="380"/>
      <c r="L255" s="380"/>
      <c r="M255" s="380"/>
      <c r="N255" s="380"/>
      <c r="O255" s="380"/>
      <c r="P255" s="380"/>
      <c r="Q255" s="380"/>
      <c r="R255" s="324">
        <v>1</v>
      </c>
      <c r="S255" s="381">
        <f t="shared" si="5"/>
        <v>1.3320900492873319E-4</v>
      </c>
      <c r="T255" s="325">
        <v>72</v>
      </c>
      <c r="U255" s="381">
        <f t="shared" si="6"/>
        <v>7.5573968546534143E-5</v>
      </c>
      <c r="V255" s="358"/>
      <c r="W255" s="382"/>
      <c r="X255" s="5"/>
    </row>
    <row r="256" spans="1:25" ht="15.6" x14ac:dyDescent="0.3">
      <c r="A256" s="271"/>
      <c r="B256" s="324" t="s">
        <v>163</v>
      </c>
      <c r="C256" s="380"/>
      <c r="D256" s="380"/>
      <c r="E256" s="380"/>
      <c r="F256" s="272"/>
      <c r="G256" s="381"/>
      <c r="H256" s="380"/>
      <c r="I256" s="380"/>
      <c r="J256" s="380"/>
      <c r="K256" s="380"/>
      <c r="L256" s="380"/>
      <c r="M256" s="380"/>
      <c r="N256" s="380"/>
      <c r="O256" s="380"/>
      <c r="P256" s="380"/>
      <c r="Q256" s="380"/>
      <c r="R256" s="324">
        <v>2</v>
      </c>
      <c r="S256" s="381">
        <f t="shared" si="5"/>
        <v>2.6641800985746639E-4</v>
      </c>
      <c r="T256" s="325">
        <v>245</v>
      </c>
      <c r="U256" s="381">
        <f t="shared" si="6"/>
        <v>2.5716142074862312E-4</v>
      </c>
      <c r="V256" s="358"/>
      <c r="W256" s="382"/>
      <c r="X256" s="5"/>
      <c r="Y256" s="109"/>
    </row>
    <row r="257" spans="1:24" ht="15.6" x14ac:dyDescent="0.3">
      <c r="A257" s="271"/>
      <c r="B257" s="324"/>
      <c r="C257" s="380"/>
      <c r="D257" s="380"/>
      <c r="E257" s="380"/>
      <c r="F257" s="272"/>
      <c r="G257" s="381"/>
      <c r="H257" s="380"/>
      <c r="I257" s="380"/>
      <c r="J257" s="380"/>
      <c r="K257" s="380"/>
      <c r="L257" s="380"/>
      <c r="M257" s="380"/>
      <c r="N257" s="380"/>
      <c r="O257" s="380"/>
      <c r="P257" s="380"/>
      <c r="Q257" s="380"/>
      <c r="R257" s="324"/>
      <c r="S257" s="381"/>
      <c r="T257" s="325"/>
      <c r="U257" s="381"/>
      <c r="V257" s="358"/>
      <c r="W257" s="382"/>
      <c r="X257" s="5"/>
    </row>
    <row r="258" spans="1:24" ht="15.6" x14ac:dyDescent="0.3">
      <c r="A258" s="271"/>
      <c r="B258" s="272" t="s">
        <v>117</v>
      </c>
      <c r="C258" s="272"/>
      <c r="D258" s="272"/>
      <c r="E258" s="272"/>
      <c r="F258" s="272"/>
      <c r="G258" s="272"/>
      <c r="H258" s="383"/>
      <c r="I258" s="383"/>
      <c r="J258" s="383"/>
      <c r="K258" s="383"/>
      <c r="L258" s="383"/>
      <c r="M258" s="383"/>
      <c r="N258" s="383"/>
      <c r="O258" s="383"/>
      <c r="P258" s="383"/>
      <c r="Q258" s="383"/>
      <c r="R258" s="324">
        <f>SUM(R249:R257)</f>
        <v>7507</v>
      </c>
      <c r="S258" s="381">
        <f>SUM(S249:S257)</f>
        <v>1</v>
      </c>
      <c r="T258" s="325">
        <f>SUM(T249:T257)</f>
        <v>952709</v>
      </c>
      <c r="U258" s="381">
        <f>SUM(U249:U257)</f>
        <v>1</v>
      </c>
      <c r="V258" s="272"/>
      <c r="W258" s="275"/>
      <c r="X258" s="5"/>
    </row>
    <row r="259" spans="1:24" ht="15.6" x14ac:dyDescent="0.3">
      <c r="A259" s="175"/>
      <c r="B259" s="321"/>
      <c r="C259" s="321"/>
      <c r="D259" s="321"/>
      <c r="E259" s="321"/>
      <c r="F259" s="321"/>
      <c r="G259" s="321"/>
      <c r="H259" s="377"/>
      <c r="I259" s="377"/>
      <c r="J259" s="377"/>
      <c r="K259" s="377"/>
      <c r="L259" s="377"/>
      <c r="M259" s="377"/>
      <c r="N259" s="377"/>
      <c r="O259" s="377"/>
      <c r="P259" s="377"/>
      <c r="Q259" s="377"/>
      <c r="R259" s="322"/>
      <c r="S259" s="378"/>
      <c r="T259" s="379"/>
      <c r="U259" s="378"/>
      <c r="V259" s="321"/>
      <c r="W259" s="321"/>
      <c r="X259" s="5"/>
    </row>
    <row r="260" spans="1:24" ht="15.6" x14ac:dyDescent="0.3">
      <c r="A260" s="256"/>
      <c r="B260" s="253" t="s">
        <v>279</v>
      </c>
      <c r="C260" s="254"/>
      <c r="D260" s="254"/>
      <c r="E260" s="254"/>
      <c r="F260" s="255"/>
      <c r="G260" s="254"/>
      <c r="H260" s="254"/>
      <c r="I260" s="254"/>
      <c r="J260" s="254"/>
      <c r="K260" s="254"/>
      <c r="L260" s="254"/>
      <c r="M260" s="254"/>
      <c r="N260" s="254"/>
      <c r="O260" s="254"/>
      <c r="P260" s="254"/>
      <c r="Q260" s="254"/>
      <c r="R260" s="255" t="s">
        <v>103</v>
      </c>
      <c r="S260" s="254" t="s">
        <v>104</v>
      </c>
      <c r="T260" s="255" t="s">
        <v>111</v>
      </c>
      <c r="U260" s="254" t="s">
        <v>104</v>
      </c>
      <c r="V260" s="257"/>
      <c r="W260" s="258"/>
      <c r="X260" s="5"/>
    </row>
    <row r="261" spans="1:24" ht="15.6" x14ac:dyDescent="0.3">
      <c r="A261" s="192"/>
      <c r="B261" s="231" t="s">
        <v>89</v>
      </c>
      <c r="C261" s="260"/>
      <c r="D261" s="260"/>
      <c r="E261" s="260"/>
      <c r="F261" s="229"/>
      <c r="G261" s="260"/>
      <c r="H261" s="260"/>
      <c r="I261" s="260"/>
      <c r="J261" s="260"/>
      <c r="K261" s="260"/>
      <c r="L261" s="260"/>
      <c r="M261" s="260"/>
      <c r="N261" s="260"/>
      <c r="O261" s="260"/>
      <c r="P261" s="260"/>
      <c r="Q261" s="260"/>
      <c r="R261" s="231">
        <v>127</v>
      </c>
      <c r="S261" s="261">
        <f>R261/$R$270</f>
        <v>0.74269005847953218</v>
      </c>
      <c r="T261" s="238">
        <v>21776</v>
      </c>
      <c r="U261" s="261">
        <f t="shared" ref="U261:U268" si="7">T261/$T$270</f>
        <v>0.80153121319199061</v>
      </c>
      <c r="V261" s="229"/>
      <c r="W261" s="193"/>
      <c r="X261" s="5"/>
    </row>
    <row r="262" spans="1:24" ht="15.6" x14ac:dyDescent="0.3">
      <c r="A262" s="271"/>
      <c r="B262" s="324" t="s">
        <v>90</v>
      </c>
      <c r="C262" s="380"/>
      <c r="D262" s="380"/>
      <c r="E262" s="380"/>
      <c r="F262" s="272"/>
      <c r="G262" s="381"/>
      <c r="H262" s="380"/>
      <c r="I262" s="380"/>
      <c r="J262" s="380"/>
      <c r="K262" s="380"/>
      <c r="L262" s="380"/>
      <c r="M262" s="380"/>
      <c r="N262" s="380"/>
      <c r="O262" s="380"/>
      <c r="P262" s="380"/>
      <c r="Q262" s="380"/>
      <c r="R262" s="324">
        <v>5</v>
      </c>
      <c r="S262" s="381">
        <f t="shared" ref="S262:S268" si="8">R262/$R$270</f>
        <v>2.9239766081871343E-2</v>
      </c>
      <c r="T262" s="325">
        <v>524</v>
      </c>
      <c r="U262" s="381">
        <f t="shared" si="7"/>
        <v>1.9287396937573614E-2</v>
      </c>
      <c r="V262" s="272"/>
      <c r="W262" s="304"/>
      <c r="X262" s="5"/>
    </row>
    <row r="263" spans="1:24" ht="15.6" x14ac:dyDescent="0.3">
      <c r="A263" s="271"/>
      <c r="B263" s="324" t="s">
        <v>91</v>
      </c>
      <c r="C263" s="380"/>
      <c r="D263" s="380"/>
      <c r="E263" s="380"/>
      <c r="F263" s="272"/>
      <c r="G263" s="381"/>
      <c r="H263" s="380"/>
      <c r="I263" s="380"/>
      <c r="J263" s="380"/>
      <c r="K263" s="380"/>
      <c r="L263" s="380"/>
      <c r="M263" s="380"/>
      <c r="N263" s="380"/>
      <c r="O263" s="380"/>
      <c r="P263" s="380"/>
      <c r="Q263" s="380"/>
      <c r="R263" s="324">
        <v>4</v>
      </c>
      <c r="S263" s="381">
        <f t="shared" si="8"/>
        <v>2.3391812865497075E-2</v>
      </c>
      <c r="T263" s="325">
        <v>469</v>
      </c>
      <c r="U263" s="381">
        <f t="shared" si="7"/>
        <v>1.7262956419316845E-2</v>
      </c>
      <c r="V263" s="272"/>
      <c r="W263" s="304"/>
      <c r="X263" s="5"/>
    </row>
    <row r="264" spans="1:24" ht="15.6" x14ac:dyDescent="0.3">
      <c r="A264" s="271"/>
      <c r="B264" s="324" t="s">
        <v>159</v>
      </c>
      <c r="C264" s="380"/>
      <c r="D264" s="380"/>
      <c r="E264" s="380"/>
      <c r="F264" s="272"/>
      <c r="G264" s="381"/>
      <c r="H264" s="380"/>
      <c r="I264" s="380"/>
      <c r="J264" s="380"/>
      <c r="K264" s="380"/>
      <c r="L264" s="380"/>
      <c r="M264" s="380"/>
      <c r="N264" s="380"/>
      <c r="O264" s="380"/>
      <c r="P264" s="380"/>
      <c r="Q264" s="380"/>
      <c r="R264" s="324">
        <v>0</v>
      </c>
      <c r="S264" s="381">
        <f t="shared" si="8"/>
        <v>0</v>
      </c>
      <c r="T264" s="325">
        <v>0</v>
      </c>
      <c r="U264" s="381">
        <f t="shared" si="7"/>
        <v>0</v>
      </c>
      <c r="V264" s="272"/>
      <c r="W264" s="304"/>
      <c r="X264" s="5"/>
    </row>
    <row r="265" spans="1:24" ht="15.6" x14ac:dyDescent="0.3">
      <c r="A265" s="271"/>
      <c r="B265" s="324" t="s">
        <v>160</v>
      </c>
      <c r="C265" s="380"/>
      <c r="D265" s="380"/>
      <c r="E265" s="380"/>
      <c r="F265" s="272"/>
      <c r="G265" s="381"/>
      <c r="H265" s="380"/>
      <c r="I265" s="380"/>
      <c r="J265" s="380"/>
      <c r="K265" s="380"/>
      <c r="L265" s="380"/>
      <c r="M265" s="380"/>
      <c r="N265" s="380"/>
      <c r="O265" s="380"/>
      <c r="P265" s="380"/>
      <c r="Q265" s="380"/>
      <c r="R265" s="324">
        <v>0</v>
      </c>
      <c r="S265" s="381">
        <f t="shared" si="8"/>
        <v>0</v>
      </c>
      <c r="T265" s="325">
        <v>0</v>
      </c>
      <c r="U265" s="381">
        <f t="shared" si="7"/>
        <v>0</v>
      </c>
      <c r="V265" s="272"/>
      <c r="W265" s="304"/>
      <c r="X265" s="5"/>
    </row>
    <row r="266" spans="1:24" ht="15.6" x14ac:dyDescent="0.3">
      <c r="A266" s="271"/>
      <c r="B266" s="324" t="s">
        <v>161</v>
      </c>
      <c r="C266" s="380"/>
      <c r="D266" s="380"/>
      <c r="E266" s="380"/>
      <c r="F266" s="272"/>
      <c r="G266" s="381"/>
      <c r="H266" s="380"/>
      <c r="I266" s="380"/>
      <c r="J266" s="380"/>
      <c r="K266" s="380"/>
      <c r="L266" s="380"/>
      <c r="M266" s="380"/>
      <c r="N266" s="380"/>
      <c r="O266" s="380"/>
      <c r="P266" s="380"/>
      <c r="Q266" s="380"/>
      <c r="R266" s="324">
        <v>1</v>
      </c>
      <c r="S266" s="381">
        <f t="shared" si="8"/>
        <v>5.8479532163742687E-3</v>
      </c>
      <c r="T266" s="325">
        <v>121</v>
      </c>
      <c r="U266" s="381">
        <f t="shared" si="7"/>
        <v>4.4537691401649003E-3</v>
      </c>
      <c r="V266" s="272"/>
      <c r="W266" s="304"/>
      <c r="X266" s="5"/>
    </row>
    <row r="267" spans="1:24" ht="15.6" x14ac:dyDescent="0.3">
      <c r="A267" s="271"/>
      <c r="B267" s="324" t="s">
        <v>162</v>
      </c>
      <c r="C267" s="380"/>
      <c r="D267" s="380"/>
      <c r="E267" s="380"/>
      <c r="F267" s="272"/>
      <c r="G267" s="381"/>
      <c r="H267" s="380"/>
      <c r="I267" s="380"/>
      <c r="J267" s="380"/>
      <c r="K267" s="380"/>
      <c r="L267" s="380"/>
      <c r="M267" s="380"/>
      <c r="N267" s="380"/>
      <c r="O267" s="380"/>
      <c r="P267" s="380"/>
      <c r="Q267" s="380"/>
      <c r="R267" s="324">
        <v>3</v>
      </c>
      <c r="S267" s="381">
        <f t="shared" si="8"/>
        <v>1.7543859649122806E-2</v>
      </c>
      <c r="T267" s="325">
        <v>386</v>
      </c>
      <c r="U267" s="381">
        <f t="shared" si="7"/>
        <v>1.4207891637220259E-2</v>
      </c>
      <c r="V267" s="272"/>
      <c r="W267" s="304"/>
      <c r="X267" s="5"/>
    </row>
    <row r="268" spans="1:24" ht="15.6" x14ac:dyDescent="0.3">
      <c r="A268" s="271"/>
      <c r="B268" s="324" t="s">
        <v>163</v>
      </c>
      <c r="C268" s="380"/>
      <c r="D268" s="380"/>
      <c r="E268" s="380"/>
      <c r="F268" s="272"/>
      <c r="G268" s="381"/>
      <c r="H268" s="380"/>
      <c r="I268" s="380"/>
      <c r="J268" s="380"/>
      <c r="K268" s="380"/>
      <c r="L268" s="380"/>
      <c r="M268" s="380"/>
      <c r="N268" s="380"/>
      <c r="O268" s="380"/>
      <c r="P268" s="380"/>
      <c r="Q268" s="380"/>
      <c r="R268" s="324">
        <v>31</v>
      </c>
      <c r="S268" s="381">
        <f t="shared" si="8"/>
        <v>0.18128654970760233</v>
      </c>
      <c r="T268" s="325">
        <v>3892</v>
      </c>
      <c r="U268" s="381">
        <f t="shared" si="7"/>
        <v>0.1432567726737338</v>
      </c>
      <c r="V268" s="272"/>
      <c r="W268" s="304"/>
      <c r="X268" s="5"/>
    </row>
    <row r="269" spans="1:24" ht="15.6" x14ac:dyDescent="0.3">
      <c r="A269" s="271"/>
      <c r="B269" s="324"/>
      <c r="C269" s="380"/>
      <c r="D269" s="380"/>
      <c r="E269" s="380"/>
      <c r="F269" s="272"/>
      <c r="G269" s="381"/>
      <c r="H269" s="380"/>
      <c r="I269" s="380"/>
      <c r="J269" s="380"/>
      <c r="K269" s="380"/>
      <c r="L269" s="380"/>
      <c r="M269" s="380"/>
      <c r="N269" s="380"/>
      <c r="O269" s="380"/>
      <c r="P269" s="380"/>
      <c r="Q269" s="380"/>
      <c r="R269" s="324"/>
      <c r="S269" s="381"/>
      <c r="T269" s="325"/>
      <c r="U269" s="381"/>
      <c r="V269" s="272"/>
      <c r="W269" s="304"/>
      <c r="X269" s="5"/>
    </row>
    <row r="270" spans="1:24" ht="15.6" x14ac:dyDescent="0.3">
      <c r="A270" s="271"/>
      <c r="B270" s="272" t="s">
        <v>117</v>
      </c>
      <c r="C270" s="272"/>
      <c r="D270" s="272"/>
      <c r="E270" s="272"/>
      <c r="F270" s="272"/>
      <c r="G270" s="272"/>
      <c r="H270" s="383"/>
      <c r="I270" s="383"/>
      <c r="J270" s="383"/>
      <c r="K270" s="383"/>
      <c r="L270" s="383"/>
      <c r="M270" s="383"/>
      <c r="N270" s="383"/>
      <c r="O270" s="383"/>
      <c r="P270" s="383"/>
      <c r="Q270" s="383"/>
      <c r="R270" s="324">
        <f>SUM(R261:R269)</f>
        <v>171</v>
      </c>
      <c r="S270" s="381">
        <f>SUM(S261:S269)</f>
        <v>1</v>
      </c>
      <c r="T270" s="325">
        <f>SUM(T261:T269)</f>
        <v>27168</v>
      </c>
      <c r="U270" s="381">
        <f>SUM(U261:U269)</f>
        <v>1</v>
      </c>
      <c r="V270" s="272"/>
      <c r="W270" s="304"/>
      <c r="X270" s="5"/>
    </row>
    <row r="271" spans="1:24" ht="15.6" x14ac:dyDescent="0.3">
      <c r="A271" s="175"/>
      <c r="B271" s="321"/>
      <c r="C271" s="321"/>
      <c r="D271" s="321"/>
      <c r="E271" s="321"/>
      <c r="F271" s="321"/>
      <c r="G271" s="321"/>
      <c r="H271" s="377"/>
      <c r="I271" s="377"/>
      <c r="J271" s="377"/>
      <c r="K271" s="377"/>
      <c r="L271" s="377"/>
      <c r="M271" s="377"/>
      <c r="N271" s="377"/>
      <c r="O271" s="377"/>
      <c r="P271" s="377"/>
      <c r="Q271" s="377"/>
      <c r="R271" s="322"/>
      <c r="S271" s="378"/>
      <c r="T271" s="379"/>
      <c r="U271" s="378"/>
      <c r="V271" s="321"/>
      <c r="W271" s="321"/>
      <c r="X271" s="5"/>
    </row>
    <row r="272" spans="1:24" ht="15.6" x14ac:dyDescent="0.3">
      <c r="A272" s="256"/>
      <c r="B272" s="253" t="s">
        <v>166</v>
      </c>
      <c r="C272" s="257"/>
      <c r="D272" s="257"/>
      <c r="E272" s="257"/>
      <c r="F272" s="257"/>
      <c r="G272" s="257"/>
      <c r="H272" s="259"/>
      <c r="I272" s="259"/>
      <c r="J272" s="259"/>
      <c r="K272" s="259"/>
      <c r="L272" s="259"/>
      <c r="M272" s="259"/>
      <c r="N272" s="259"/>
      <c r="O272" s="259"/>
      <c r="P272" s="259"/>
      <c r="Q272" s="259"/>
      <c r="R272" s="255" t="s">
        <v>103</v>
      </c>
      <c r="S272" s="254" t="s">
        <v>104</v>
      </c>
      <c r="T272" s="255" t="s">
        <v>111</v>
      </c>
      <c r="U272" s="254" t="s">
        <v>104</v>
      </c>
      <c r="V272" s="257"/>
      <c r="W272" s="258"/>
      <c r="X272" s="5"/>
    </row>
    <row r="273" spans="1:24" ht="15.6" x14ac:dyDescent="0.3">
      <c r="A273" s="192"/>
      <c r="B273" s="231" t="s">
        <v>89</v>
      </c>
      <c r="C273" s="229"/>
      <c r="D273" s="229"/>
      <c r="E273" s="229"/>
      <c r="F273" s="229"/>
      <c r="G273" s="229"/>
      <c r="H273" s="262"/>
      <c r="I273" s="262"/>
      <c r="J273" s="262"/>
      <c r="K273" s="262"/>
      <c r="L273" s="262"/>
      <c r="M273" s="262"/>
      <c r="N273" s="262"/>
      <c r="O273" s="262"/>
      <c r="P273" s="262"/>
      <c r="Q273" s="262"/>
      <c r="R273" s="231">
        <v>0</v>
      </c>
      <c r="S273" s="261">
        <f>+R273*$R$282</f>
        <v>0</v>
      </c>
      <c r="T273" s="238">
        <v>0</v>
      </c>
      <c r="U273" s="261">
        <f>+T273/$T$282</f>
        <v>0</v>
      </c>
      <c r="V273" s="229"/>
      <c r="W273" s="229"/>
      <c r="X273" s="5"/>
    </row>
    <row r="274" spans="1:24" ht="15.6" x14ac:dyDescent="0.3">
      <c r="A274" s="271"/>
      <c r="B274" s="324" t="s">
        <v>90</v>
      </c>
      <c r="C274" s="272"/>
      <c r="D274" s="272"/>
      <c r="E274" s="272"/>
      <c r="F274" s="272"/>
      <c r="G274" s="272"/>
      <c r="H274" s="383"/>
      <c r="I274" s="383"/>
      <c r="J274" s="383"/>
      <c r="K274" s="383"/>
      <c r="L274" s="383"/>
      <c r="M274" s="383"/>
      <c r="N274" s="383"/>
      <c r="O274" s="383"/>
      <c r="P274" s="383"/>
      <c r="Q274" s="383"/>
      <c r="R274" s="324">
        <v>0</v>
      </c>
      <c r="S274" s="381">
        <f>+R274/$R$282</f>
        <v>0</v>
      </c>
      <c r="T274" s="325">
        <v>0</v>
      </c>
      <c r="U274" s="381">
        <f>+T274/$T$282</f>
        <v>0</v>
      </c>
      <c r="V274" s="272"/>
      <c r="W274" s="275"/>
      <c r="X274" s="5"/>
    </row>
    <row r="275" spans="1:24" ht="15.6" x14ac:dyDescent="0.3">
      <c r="A275" s="271"/>
      <c r="B275" s="324" t="s">
        <v>91</v>
      </c>
      <c r="C275" s="272"/>
      <c r="D275" s="272"/>
      <c r="E275" s="272"/>
      <c r="F275" s="272"/>
      <c r="G275" s="272"/>
      <c r="H275" s="383"/>
      <c r="I275" s="383"/>
      <c r="J275" s="383"/>
      <c r="K275" s="383"/>
      <c r="L275" s="383"/>
      <c r="M275" s="383"/>
      <c r="N275" s="383"/>
      <c r="O275" s="383"/>
      <c r="P275" s="383"/>
      <c r="Q275" s="383"/>
      <c r="R275" s="324">
        <v>0</v>
      </c>
      <c r="S275" s="381">
        <f t="shared" ref="S275:S280" si="9">+R275/$R$282</f>
        <v>0</v>
      </c>
      <c r="T275" s="325">
        <v>0</v>
      </c>
      <c r="U275" s="381">
        <f t="shared" ref="U275:U280" si="10">+T275/$T$282</f>
        <v>0</v>
      </c>
      <c r="V275" s="272"/>
      <c r="W275" s="275"/>
      <c r="X275" s="5"/>
    </row>
    <row r="276" spans="1:24" ht="15.6" x14ac:dyDescent="0.3">
      <c r="A276" s="271"/>
      <c r="B276" s="324" t="s">
        <v>159</v>
      </c>
      <c r="C276" s="272"/>
      <c r="D276" s="272"/>
      <c r="E276" s="272"/>
      <c r="F276" s="272"/>
      <c r="G276" s="272"/>
      <c r="H276" s="383"/>
      <c r="I276" s="383"/>
      <c r="J276" s="383"/>
      <c r="K276" s="383"/>
      <c r="L276" s="383"/>
      <c r="M276" s="383"/>
      <c r="N276" s="383"/>
      <c r="O276" s="383"/>
      <c r="P276" s="383"/>
      <c r="Q276" s="383"/>
      <c r="R276" s="324">
        <v>0</v>
      </c>
      <c r="S276" s="381">
        <f t="shared" si="9"/>
        <v>0</v>
      </c>
      <c r="T276" s="325">
        <v>0</v>
      </c>
      <c r="U276" s="381">
        <f t="shared" si="10"/>
        <v>0</v>
      </c>
      <c r="V276" s="272"/>
      <c r="W276" s="275"/>
      <c r="X276" s="5"/>
    </row>
    <row r="277" spans="1:24" ht="15.6" x14ac:dyDescent="0.3">
      <c r="A277" s="271"/>
      <c r="B277" s="324" t="s">
        <v>160</v>
      </c>
      <c r="C277" s="272"/>
      <c r="D277" s="272"/>
      <c r="E277" s="272"/>
      <c r="F277" s="272"/>
      <c r="G277" s="272"/>
      <c r="H277" s="383"/>
      <c r="I277" s="383"/>
      <c r="J277" s="383"/>
      <c r="K277" s="383"/>
      <c r="L277" s="383"/>
      <c r="M277" s="383"/>
      <c r="N277" s="383"/>
      <c r="O277" s="383"/>
      <c r="P277" s="383"/>
      <c r="Q277" s="383"/>
      <c r="R277" s="324">
        <v>0</v>
      </c>
      <c r="S277" s="381">
        <f t="shared" si="9"/>
        <v>0</v>
      </c>
      <c r="T277" s="325">
        <v>0</v>
      </c>
      <c r="U277" s="381">
        <f t="shared" si="10"/>
        <v>0</v>
      </c>
      <c r="V277" s="272"/>
      <c r="W277" s="275"/>
      <c r="X277" s="5"/>
    </row>
    <row r="278" spans="1:24" ht="15.6" x14ac:dyDescent="0.3">
      <c r="A278" s="271"/>
      <c r="B278" s="324" t="s">
        <v>161</v>
      </c>
      <c r="C278" s="272"/>
      <c r="D278" s="272"/>
      <c r="E278" s="272"/>
      <c r="F278" s="272"/>
      <c r="G278" s="272"/>
      <c r="H278" s="383"/>
      <c r="I278" s="383"/>
      <c r="J278" s="383"/>
      <c r="K278" s="383"/>
      <c r="L278" s="383"/>
      <c r="M278" s="383"/>
      <c r="N278" s="383"/>
      <c r="O278" s="383"/>
      <c r="P278" s="383"/>
      <c r="Q278" s="383"/>
      <c r="R278" s="324">
        <v>0</v>
      </c>
      <c r="S278" s="381">
        <f t="shared" si="9"/>
        <v>0</v>
      </c>
      <c r="T278" s="325">
        <v>0</v>
      </c>
      <c r="U278" s="381">
        <f t="shared" si="10"/>
        <v>0</v>
      </c>
      <c r="V278" s="272"/>
      <c r="W278" s="275"/>
      <c r="X278" s="5"/>
    </row>
    <row r="279" spans="1:24" ht="15.6" x14ac:dyDescent="0.3">
      <c r="A279" s="271"/>
      <c r="B279" s="324" t="s">
        <v>162</v>
      </c>
      <c r="C279" s="272"/>
      <c r="D279" s="272"/>
      <c r="E279" s="272"/>
      <c r="F279" s="272"/>
      <c r="G279" s="272"/>
      <c r="H279" s="383"/>
      <c r="I279" s="383"/>
      <c r="J279" s="383"/>
      <c r="K279" s="383"/>
      <c r="L279" s="383"/>
      <c r="M279" s="383"/>
      <c r="N279" s="383"/>
      <c r="O279" s="383"/>
      <c r="P279" s="383"/>
      <c r="Q279" s="383"/>
      <c r="R279" s="324">
        <v>0</v>
      </c>
      <c r="S279" s="381">
        <f t="shared" si="9"/>
        <v>0</v>
      </c>
      <c r="T279" s="325">
        <v>0</v>
      </c>
      <c r="U279" s="381">
        <f t="shared" si="10"/>
        <v>0</v>
      </c>
      <c r="V279" s="272"/>
      <c r="W279" s="275"/>
      <c r="X279" s="5"/>
    </row>
    <row r="280" spans="1:24" ht="15.6" x14ac:dyDescent="0.3">
      <c r="A280" s="271"/>
      <c r="B280" s="324" t="s">
        <v>163</v>
      </c>
      <c r="C280" s="272"/>
      <c r="D280" s="272"/>
      <c r="E280" s="272"/>
      <c r="F280" s="272"/>
      <c r="G280" s="272"/>
      <c r="H280" s="383"/>
      <c r="I280" s="383"/>
      <c r="J280" s="383"/>
      <c r="K280" s="383"/>
      <c r="L280" s="383"/>
      <c r="M280" s="383"/>
      <c r="N280" s="383"/>
      <c r="O280" s="383"/>
      <c r="P280" s="383"/>
      <c r="Q280" s="383"/>
      <c r="R280" s="324">
        <v>1</v>
      </c>
      <c r="S280" s="381">
        <f t="shared" si="9"/>
        <v>1</v>
      </c>
      <c r="T280" s="325">
        <v>263</v>
      </c>
      <c r="U280" s="381">
        <f t="shared" si="10"/>
        <v>1</v>
      </c>
      <c r="V280" s="272"/>
      <c r="W280" s="275"/>
      <c r="X280" s="5"/>
    </row>
    <row r="281" spans="1:24" ht="15.6" x14ac:dyDescent="0.3">
      <c r="A281" s="271"/>
      <c r="B281" s="324"/>
      <c r="C281" s="272"/>
      <c r="D281" s="272"/>
      <c r="E281" s="272"/>
      <c r="F281" s="272"/>
      <c r="G281" s="272"/>
      <c r="H281" s="383"/>
      <c r="I281" s="383"/>
      <c r="J281" s="383"/>
      <c r="K281" s="383"/>
      <c r="L281" s="383"/>
      <c r="M281" s="383"/>
      <c r="N281" s="383"/>
      <c r="O281" s="383"/>
      <c r="P281" s="383"/>
      <c r="Q281" s="383"/>
      <c r="R281" s="324"/>
      <c r="S281" s="381"/>
      <c r="T281" s="325"/>
      <c r="U281" s="381"/>
      <c r="V281" s="272"/>
      <c r="W281" s="275"/>
      <c r="X281" s="5"/>
    </row>
    <row r="282" spans="1:24" ht="15.6" x14ac:dyDescent="0.3">
      <c r="A282" s="271"/>
      <c r="B282" s="272" t="s">
        <v>117</v>
      </c>
      <c r="C282" s="272"/>
      <c r="D282" s="272"/>
      <c r="E282" s="272"/>
      <c r="F282" s="272"/>
      <c r="G282" s="272"/>
      <c r="H282" s="383"/>
      <c r="I282" s="383"/>
      <c r="J282" s="383"/>
      <c r="K282" s="383"/>
      <c r="L282" s="383"/>
      <c r="M282" s="383"/>
      <c r="N282" s="383"/>
      <c r="O282" s="383"/>
      <c r="P282" s="383"/>
      <c r="Q282" s="383"/>
      <c r="R282" s="324">
        <f>SUM(R273:R280)</f>
        <v>1</v>
      </c>
      <c r="S282" s="381">
        <f>SUM(S273:S280)</f>
        <v>1</v>
      </c>
      <c r="T282" s="325">
        <f>SUM(T273:T280)</f>
        <v>263</v>
      </c>
      <c r="U282" s="381">
        <f>SUM(U273:U280)</f>
        <v>1</v>
      </c>
      <c r="V282" s="272"/>
      <c r="W282" s="275"/>
      <c r="X282" s="5"/>
    </row>
    <row r="283" spans="1:24" ht="15.6" x14ac:dyDescent="0.3">
      <c r="A283" s="271"/>
      <c r="B283" s="272"/>
      <c r="C283" s="272"/>
      <c r="D283" s="272"/>
      <c r="E283" s="272"/>
      <c r="F283" s="272"/>
      <c r="G283" s="272"/>
      <c r="H283" s="383"/>
      <c r="I283" s="383"/>
      <c r="J283" s="383"/>
      <c r="K283" s="383"/>
      <c r="L283" s="383"/>
      <c r="M283" s="383"/>
      <c r="N283" s="383"/>
      <c r="O283" s="383"/>
      <c r="P283" s="383"/>
      <c r="Q283" s="383"/>
      <c r="R283" s="324"/>
      <c r="S283" s="381"/>
      <c r="T283" s="325"/>
      <c r="U283" s="381"/>
      <c r="V283" s="272"/>
      <c r="W283" s="275"/>
      <c r="X283" s="5"/>
    </row>
    <row r="284" spans="1:24" ht="15.6" x14ac:dyDescent="0.3">
      <c r="A284" s="271"/>
      <c r="B284" s="279" t="s">
        <v>167</v>
      </c>
      <c r="C284" s="272"/>
      <c r="D284" s="272"/>
      <c r="E284" s="272"/>
      <c r="F284" s="272"/>
      <c r="G284" s="272"/>
      <c r="H284" s="383"/>
      <c r="I284" s="383"/>
      <c r="J284" s="383"/>
      <c r="K284" s="383"/>
      <c r="L284" s="383"/>
      <c r="M284" s="383"/>
      <c r="N284" s="383"/>
      <c r="O284" s="383"/>
      <c r="P284" s="383"/>
      <c r="Q284" s="383"/>
      <c r="R284" s="390">
        <f>R282+R270+R258</f>
        <v>7679</v>
      </c>
      <c r="S284" s="381"/>
      <c r="T284" s="387">
        <f>+T282+T270+T258</f>
        <v>980140</v>
      </c>
      <c r="U284" s="381"/>
      <c r="V284" s="272"/>
      <c r="W284" s="275"/>
      <c r="X284" s="5"/>
    </row>
    <row r="285" spans="1:24" ht="15.6" x14ac:dyDescent="0.3">
      <c r="A285" s="175"/>
      <c r="B285" s="268"/>
      <c r="C285" s="268"/>
      <c r="D285" s="268"/>
      <c r="E285" s="268"/>
      <c r="F285" s="268"/>
      <c r="G285" s="268"/>
      <c r="H285" s="384"/>
      <c r="I285" s="384"/>
      <c r="J285" s="384"/>
      <c r="K285" s="384"/>
      <c r="L285" s="384"/>
      <c r="M285" s="384"/>
      <c r="N285" s="384"/>
      <c r="O285" s="384"/>
      <c r="P285" s="384"/>
      <c r="Q285" s="384"/>
      <c r="R285" s="384"/>
      <c r="S285" s="384"/>
      <c r="T285" s="385"/>
      <c r="U285" s="384"/>
      <c r="V285" s="268"/>
      <c r="W285" s="268"/>
      <c r="X285" s="5"/>
    </row>
    <row r="286" spans="1:24" ht="15.6" x14ac:dyDescent="0.3">
      <c r="A286" s="175"/>
      <c r="B286" s="220"/>
      <c r="C286" s="220"/>
      <c r="D286" s="220"/>
      <c r="E286" s="220"/>
      <c r="F286" s="220"/>
      <c r="G286" s="220"/>
      <c r="H286" s="263"/>
      <c r="I286" s="263"/>
      <c r="J286" s="263"/>
      <c r="K286" s="263"/>
      <c r="L286" s="263"/>
      <c r="M286" s="263"/>
      <c r="N286" s="263"/>
      <c r="O286" s="263"/>
      <c r="P286" s="263"/>
      <c r="Q286" s="263"/>
      <c r="R286" s="263"/>
      <c r="S286" s="263"/>
      <c r="T286" s="264"/>
      <c r="U286" s="263"/>
      <c r="V286" s="220"/>
      <c r="W286" s="220"/>
      <c r="X286" s="5"/>
    </row>
    <row r="287" spans="1:24" ht="15.6" x14ac:dyDescent="0.3">
      <c r="A287" s="216"/>
      <c r="B287" s="219" t="s">
        <v>92</v>
      </c>
      <c r="C287" s="220"/>
      <c r="D287" s="220"/>
      <c r="E287" s="220"/>
      <c r="F287" s="224" t="s">
        <v>98</v>
      </c>
      <c r="G287" s="220"/>
      <c r="H287" s="219" t="s">
        <v>100</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93</v>
      </c>
      <c r="C288" s="220"/>
      <c r="D288" s="220"/>
      <c r="E288" s="220"/>
      <c r="F288" s="265" t="s">
        <v>151</v>
      </c>
      <c r="G288" s="220"/>
      <c r="H288" s="219" t="s">
        <v>155</v>
      </c>
      <c r="I288" s="219"/>
      <c r="J288" s="219"/>
      <c r="K288" s="227"/>
      <c r="L288" s="227"/>
      <c r="M288" s="227"/>
      <c r="N288" s="227"/>
      <c r="O288" s="227"/>
      <c r="P288" s="227"/>
      <c r="Q288" s="227"/>
      <c r="R288" s="227"/>
      <c r="S288" s="227"/>
      <c r="T288" s="227"/>
      <c r="U288" s="227"/>
      <c r="V288" s="227"/>
      <c r="W288" s="227"/>
      <c r="X288" s="5"/>
    </row>
    <row r="289" spans="1:24" ht="15.6" x14ac:dyDescent="0.3">
      <c r="A289" s="216"/>
      <c r="B289" s="219" t="s">
        <v>281</v>
      </c>
      <c r="C289" s="219"/>
      <c r="D289" s="219"/>
      <c r="E289" s="219"/>
      <c r="F289" s="265" t="s">
        <v>282</v>
      </c>
      <c r="G289" s="219"/>
      <c r="H289" s="219" t="s">
        <v>283</v>
      </c>
      <c r="I289" s="227"/>
      <c r="J289" s="219"/>
      <c r="K289" s="227"/>
      <c r="L289" s="227"/>
      <c r="M289" s="227"/>
      <c r="N289" s="227"/>
      <c r="O289" s="227"/>
      <c r="P289" s="227"/>
      <c r="Q289" s="227"/>
      <c r="R289" s="227"/>
      <c r="S289" s="227"/>
      <c r="T289" s="227"/>
      <c r="U289" s="227"/>
      <c r="V289" s="227"/>
      <c r="W289" s="227"/>
      <c r="X289" s="5"/>
    </row>
    <row r="290" spans="1:24" ht="15.6" x14ac:dyDescent="0.3">
      <c r="A290" s="216"/>
      <c r="B290" s="219" t="s">
        <v>94</v>
      </c>
      <c r="C290" s="219"/>
      <c r="D290" s="219"/>
      <c r="E290" s="219"/>
      <c r="F290" s="265" t="s">
        <v>150</v>
      </c>
      <c r="G290" s="219"/>
      <c r="H290" s="219" t="s">
        <v>156</v>
      </c>
      <c r="I290" s="219"/>
      <c r="J290" s="219"/>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5.6" x14ac:dyDescent="0.3">
      <c r="A292" s="216"/>
      <c r="B292" s="219"/>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ht="18" thickBot="1" x14ac:dyDescent="0.35">
      <c r="A293" s="216"/>
      <c r="B293" s="267" t="str">
        <f>B198</f>
        <v>PM13 INVESTOR REPORT QUARTER ENDING MARCH 2013</v>
      </c>
      <c r="C293" s="219"/>
      <c r="D293" s="219"/>
      <c r="E293" s="219"/>
      <c r="F293" s="219"/>
      <c r="G293" s="266"/>
      <c r="H293" s="227"/>
      <c r="I293" s="227"/>
      <c r="J293" s="227"/>
      <c r="K293" s="227"/>
      <c r="L293" s="227"/>
      <c r="M293" s="227"/>
      <c r="N293" s="227"/>
      <c r="O293" s="227"/>
      <c r="P293" s="227"/>
      <c r="Q293" s="227"/>
      <c r="R293" s="227"/>
      <c r="S293" s="227"/>
      <c r="T293" s="227"/>
      <c r="U293" s="227"/>
      <c r="V293" s="227"/>
      <c r="W293" s="227"/>
      <c r="X293" s="5"/>
    </row>
    <row r="294" spans="1:24" x14ac:dyDescent="0.25">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row>
  </sheetData>
  <hyperlinks>
    <hyperlink ref="P234" r:id="rId1" xr:uid="{00000000-0004-0000-1900-000000000000}"/>
    <hyperlink ref="I9" r:id="rId2" xr:uid="{00000000-0004-0000-19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2" man="1"/>
    <brk id="138" max="22" man="1"/>
    <brk id="198" max="22" man="1"/>
  </rowBreak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89CB31"/>
  </sheetPr>
  <dimension ref="A1:Z294"/>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0.64100000000000001</v>
      </c>
      <c r="T16" s="224" t="s">
        <v>143</v>
      </c>
      <c r="U16" s="223">
        <v>0.35899999999999999</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41474</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175"/>
      <c r="B22" s="177"/>
      <c r="C22" s="189"/>
      <c r="D22" s="189" t="s">
        <v>180</v>
      </c>
      <c r="E22" s="189"/>
      <c r="F22" s="189" t="s">
        <v>181</v>
      </c>
      <c r="G22" s="189"/>
      <c r="H22" s="189" t="s">
        <v>182</v>
      </c>
      <c r="I22" s="189"/>
      <c r="J22" s="189" t="s">
        <v>223</v>
      </c>
      <c r="K22" s="189"/>
      <c r="L22" s="189" t="s">
        <v>183</v>
      </c>
      <c r="M22" s="189"/>
      <c r="N22" s="189" t="s">
        <v>184</v>
      </c>
      <c r="O22" s="189"/>
      <c r="P22" s="189" t="s">
        <v>224</v>
      </c>
      <c r="Q22" s="189"/>
      <c r="R22" s="189" t="s">
        <v>185</v>
      </c>
      <c r="S22" s="190"/>
      <c r="T22" s="191"/>
      <c r="U22" s="187"/>
      <c r="V22" s="187"/>
      <c r="W22" s="177"/>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323</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321</v>
      </c>
      <c r="E27" s="389"/>
      <c r="F27" s="389" t="s">
        <v>168</v>
      </c>
      <c r="G27" s="389"/>
      <c r="H27" s="389" t="s">
        <v>168</v>
      </c>
      <c r="I27" s="389"/>
      <c r="J27" s="389" t="s">
        <v>168</v>
      </c>
      <c r="K27" s="389"/>
      <c r="L27" s="389" t="s">
        <v>324</v>
      </c>
      <c r="M27" s="389"/>
      <c r="N27" s="389" t="s">
        <v>324</v>
      </c>
      <c r="O27" s="389"/>
      <c r="P27" s="389" t="s">
        <v>325</v>
      </c>
      <c r="Q27" s="389"/>
      <c r="R27" s="389" t="s">
        <v>325</v>
      </c>
      <c r="S27" s="273"/>
      <c r="T27" s="280"/>
      <c r="U27" s="274"/>
      <c r="V27" s="274"/>
      <c r="W27" s="275"/>
      <c r="X27" s="5"/>
    </row>
    <row r="28" spans="1:24" ht="15.6" x14ac:dyDescent="0.3">
      <c r="A28" s="271"/>
      <c r="B28" s="279" t="s">
        <v>195</v>
      </c>
      <c r="C28" s="273"/>
      <c r="D28" s="389" t="s">
        <v>319</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909235.49999999988</v>
      </c>
      <c r="E32" s="282"/>
      <c r="F32" s="283">
        <f>F31*F38</f>
        <v>75769.824999999997</v>
      </c>
      <c r="G32" s="283"/>
      <c r="H32" s="288">
        <f>H31*H38</f>
        <v>190939.959</v>
      </c>
      <c r="I32" s="288"/>
      <c r="J32" s="287">
        <f>J31*J38</f>
        <v>212154.94999999998</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902984.4</v>
      </c>
      <c r="E33" s="286"/>
      <c r="F33" s="289">
        <f>F37*F31</f>
        <v>75248.899999999994</v>
      </c>
      <c r="G33" s="289"/>
      <c r="H33" s="292">
        <f>H31*H37</f>
        <v>189627.22799999997</v>
      </c>
      <c r="I33" s="292"/>
      <c r="J33" s="291">
        <f>J37*J31</f>
        <v>210696.36000000002</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483635.69790399994</v>
      </c>
      <c r="E35" s="282"/>
      <c r="F35" s="283">
        <f>F34*F38</f>
        <v>75769.824999999997</v>
      </c>
      <c r="G35" s="283"/>
      <c r="H35" s="283">
        <f>H34*H38</f>
        <v>128147.3834674</v>
      </c>
      <c r="I35" s="283"/>
      <c r="J35" s="283">
        <f>J34*J38</f>
        <v>112848.24868999999</v>
      </c>
      <c r="K35" s="283"/>
      <c r="L35" s="283">
        <f>L34*L38</f>
        <v>56000</v>
      </c>
      <c r="M35" s="283"/>
      <c r="N35" s="283">
        <f>N34*N38</f>
        <v>56376</v>
      </c>
      <c r="O35" s="283"/>
      <c r="P35" s="283">
        <f>P34*P38</f>
        <v>13000</v>
      </c>
      <c r="Q35" s="283"/>
      <c r="R35" s="283">
        <f>R34*R38</f>
        <v>54363</v>
      </c>
      <c r="S35" s="283"/>
      <c r="T35" s="283"/>
      <c r="U35" s="284"/>
      <c r="V35" s="283">
        <f>SUM(C35:R35)</f>
        <v>980140.15506139991</v>
      </c>
      <c r="W35" s="285"/>
      <c r="X35" s="5"/>
    </row>
    <row r="36" spans="1:24" ht="15.6" x14ac:dyDescent="0.3">
      <c r="A36" s="276"/>
      <c r="B36" s="279" t="s">
        <v>304</v>
      </c>
      <c r="C36" s="286"/>
      <c r="D36" s="289">
        <f>D34*D37</f>
        <v>480310.64613120002</v>
      </c>
      <c r="E36" s="286"/>
      <c r="F36" s="289">
        <f>F34*F37</f>
        <v>75248.899999999994</v>
      </c>
      <c r="G36" s="289"/>
      <c r="H36" s="289">
        <f>H34*H37</f>
        <v>127266.35760079999</v>
      </c>
      <c r="I36" s="289"/>
      <c r="J36" s="289">
        <f>J34*J37</f>
        <v>112072.403832</v>
      </c>
      <c r="K36" s="289"/>
      <c r="L36" s="289">
        <v>56000</v>
      </c>
      <c r="M36" s="289"/>
      <c r="N36" s="289">
        <v>56376</v>
      </c>
      <c r="O36" s="289"/>
      <c r="P36" s="289">
        <v>13000</v>
      </c>
      <c r="Q36" s="289"/>
      <c r="R36" s="289">
        <v>54363</v>
      </c>
      <c r="S36" s="314"/>
      <c r="T36" s="314"/>
      <c r="U36" s="284"/>
      <c r="V36" s="289">
        <f>SUM(C36:R36)</f>
        <v>974637.30756400002</v>
      </c>
      <c r="W36" s="285"/>
      <c r="X36" s="5"/>
    </row>
    <row r="37" spans="1:24" ht="15.6" x14ac:dyDescent="0.3">
      <c r="A37" s="271"/>
      <c r="B37" s="297" t="s">
        <v>133</v>
      </c>
      <c r="C37" s="298"/>
      <c r="D37" s="299">
        <v>0.60198960000000001</v>
      </c>
      <c r="E37" s="300"/>
      <c r="F37" s="299">
        <v>0.60199119999999995</v>
      </c>
      <c r="G37" s="301"/>
      <c r="H37" s="299">
        <v>0.60199119999999995</v>
      </c>
      <c r="I37" s="301"/>
      <c r="J37" s="299">
        <v>0.60198960000000001</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0.60615699999999995</v>
      </c>
      <c r="E38" s="300"/>
      <c r="F38" s="299">
        <v>0.60615859999999999</v>
      </c>
      <c r="G38" s="301"/>
      <c r="H38" s="299">
        <v>0.60615859999999999</v>
      </c>
      <c r="I38" s="301"/>
      <c r="J38" s="299">
        <v>0.60615699999999995</v>
      </c>
      <c r="K38" s="301"/>
      <c r="L38" s="299">
        <v>1</v>
      </c>
      <c r="M38" s="299"/>
      <c r="N38" s="299">
        <v>1</v>
      </c>
      <c r="O38" s="299"/>
      <c r="P38" s="299">
        <v>1</v>
      </c>
      <c r="Q38" s="299"/>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4.3249999999999999E-3</v>
      </c>
      <c r="E40" s="272"/>
      <c r="F40" s="308">
        <v>7.4562999999999999E-3</v>
      </c>
      <c r="G40" s="307"/>
      <c r="H40" s="308">
        <v>4.5100000000000001E-3</v>
      </c>
      <c r="I40" s="308"/>
      <c r="J40" s="308">
        <v>4.5710000000000004E-3</v>
      </c>
      <c r="K40" s="307"/>
      <c r="L40" s="308">
        <v>9.0562999999999998E-3</v>
      </c>
      <c r="M40" s="307"/>
      <c r="N40" s="308">
        <v>5.9100000000000003E-3</v>
      </c>
      <c r="O40" s="307"/>
      <c r="P40" s="308">
        <v>1.30563E-2</v>
      </c>
      <c r="Q40" s="307"/>
      <c r="R40" s="308">
        <v>9.9100000000000004E-3</v>
      </c>
      <c r="S40" s="307"/>
      <c r="T40" s="308"/>
      <c r="U40" s="274"/>
      <c r="V40" s="280"/>
      <c r="W40" s="275"/>
      <c r="X40" s="5"/>
    </row>
    <row r="41" spans="1:24" ht="15.6" x14ac:dyDescent="0.3">
      <c r="A41" s="271"/>
      <c r="B41" s="272" t="s">
        <v>13</v>
      </c>
      <c r="C41" s="272"/>
      <c r="D41" s="308">
        <v>4.4320000000000002E-3</v>
      </c>
      <c r="E41" s="272"/>
      <c r="F41" s="308">
        <v>7.5125000000000001E-3</v>
      </c>
      <c r="G41" s="307"/>
      <c r="H41" s="308">
        <v>4.3499999999999997E-3</v>
      </c>
      <c r="I41" s="308"/>
      <c r="J41" s="308">
        <v>4.8399999999999997E-3</v>
      </c>
      <c r="K41" s="307"/>
      <c r="L41" s="308">
        <v>9.1125000000000008E-3</v>
      </c>
      <c r="M41" s="307"/>
      <c r="N41" s="308">
        <v>5.7499999999999999E-3</v>
      </c>
      <c r="O41" s="307"/>
      <c r="P41" s="308">
        <v>1.3112499999999999E-2</v>
      </c>
      <c r="Q41" s="307"/>
      <c r="R41" s="308">
        <v>9.75E-3</v>
      </c>
      <c r="S41" s="307"/>
      <c r="T41" s="308"/>
      <c r="U41" s="274"/>
      <c r="V41" s="307" t="s">
        <v>196</v>
      </c>
      <c r="W41" s="275"/>
      <c r="X41" s="5"/>
    </row>
    <row r="42" spans="1:24" ht="15.6" x14ac:dyDescent="0.3">
      <c r="A42" s="271"/>
      <c r="B42" s="272" t="s">
        <v>300</v>
      </c>
      <c r="C42" s="272"/>
      <c r="D42" s="280" t="s">
        <v>327</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v>7.8183000000000002E-3</v>
      </c>
      <c r="E43" s="308"/>
      <c r="F43" s="308">
        <f>+F40</f>
        <v>7.4562999999999999E-3</v>
      </c>
      <c r="G43" s="308"/>
      <c r="H43" s="308">
        <v>7.7003000000000002E-3</v>
      </c>
      <c r="I43" s="308"/>
      <c r="J43" s="308">
        <v>7.5363000000000001E-3</v>
      </c>
      <c r="K43" s="308"/>
      <c r="L43" s="308">
        <f>+L40</f>
        <v>9.0562999999999998E-3</v>
      </c>
      <c r="M43" s="308"/>
      <c r="N43" s="308">
        <v>9.2362999999999994E-3</v>
      </c>
      <c r="O43" s="308"/>
      <c r="P43" s="308">
        <f>+P40</f>
        <v>1.30563E-2</v>
      </c>
      <c r="Q43" s="307"/>
      <c r="R43" s="308">
        <v>1.3456299999999999E-2</v>
      </c>
      <c r="S43" s="280"/>
      <c r="T43" s="280"/>
      <c r="U43" s="274"/>
      <c r="V43" s="307">
        <f>SUMPRODUCT(D43:R43,D35:R35)/V35</f>
        <v>8.2768961361231134E-3</v>
      </c>
      <c r="W43" s="275"/>
      <c r="X43" s="5"/>
    </row>
    <row r="44" spans="1:24" ht="15.6" x14ac:dyDescent="0.3">
      <c r="A44" s="271"/>
      <c r="B44" s="272" t="s">
        <v>302</v>
      </c>
      <c r="C44" s="309"/>
      <c r="D44" s="308">
        <v>7.8744999999999996E-3</v>
      </c>
      <c r="E44" s="308"/>
      <c r="F44" s="308">
        <f>+F41</f>
        <v>7.5125000000000001E-3</v>
      </c>
      <c r="G44" s="308"/>
      <c r="H44" s="308">
        <v>7.7565000000000004E-3</v>
      </c>
      <c r="I44" s="308"/>
      <c r="J44" s="308">
        <v>7.5925000000000003E-3</v>
      </c>
      <c r="K44" s="308"/>
      <c r="L44" s="308">
        <f>+L41</f>
        <v>9.1125000000000008E-3</v>
      </c>
      <c r="M44" s="308"/>
      <c r="N44" s="308">
        <v>9.2925000000000004E-3</v>
      </c>
      <c r="O44" s="308"/>
      <c r="P44" s="308">
        <f>+P41</f>
        <v>1.3112499999999999E-2</v>
      </c>
      <c r="Q44" s="307"/>
      <c r="R44" s="308">
        <v>1.35125E-2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328</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0.22611571604777708</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41470</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90</v>
      </c>
      <c r="S57" s="318"/>
      <c r="T57" s="319">
        <v>41289</v>
      </c>
      <c r="U57" s="320"/>
      <c r="V57" s="319">
        <v>41378</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91</v>
      </c>
      <c r="S58" s="272"/>
      <c r="T58" s="319">
        <v>41379</v>
      </c>
      <c r="U58" s="320"/>
      <c r="V58" s="319">
        <v>41469</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41456</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334</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980140</v>
      </c>
      <c r="O68" s="324"/>
      <c r="P68" s="324">
        <f>5503+93+678</f>
        <v>6274</v>
      </c>
      <c r="Q68" s="324"/>
      <c r="R68" s="324">
        <f>93+678</f>
        <v>771</v>
      </c>
      <c r="S68" s="324"/>
      <c r="T68" s="324">
        <v>0</v>
      </c>
      <c r="U68" s="324"/>
      <c r="V68" s="325">
        <f>+N68-P68+R68-T68</f>
        <v>974637</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980140</v>
      </c>
      <c r="O71" s="324"/>
      <c r="P71" s="324">
        <f>SUM(P68:P70)</f>
        <v>6274</v>
      </c>
      <c r="Q71" s="324"/>
      <c r="R71" s="324">
        <f>SUM(R68:R70)</f>
        <v>771</v>
      </c>
      <c r="S71" s="324"/>
      <c r="T71" s="324">
        <f>SUM(T68:T70)</f>
        <v>0</v>
      </c>
      <c r="U71" s="324"/>
      <c r="V71" s="324">
        <f>SUM(V68:V70)</f>
        <v>974637</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980140</v>
      </c>
      <c r="O84" s="328"/>
      <c r="P84" s="328"/>
      <c r="Q84" s="328"/>
      <c r="R84" s="328"/>
      <c r="S84" s="328"/>
      <c r="T84" s="328"/>
      <c r="U84" s="328"/>
      <c r="V84" s="328">
        <f>SUM(V71:V83)</f>
        <v>974637</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+T199</f>
        <v>41453</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6274-365</f>
        <v>5909</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4251+3020-606-1262</f>
        <v>5403</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71+7</f>
        <v>78</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36</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484</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5909</v>
      </c>
      <c r="U96" s="272"/>
      <c r="V96" s="324">
        <f>SUM(V88:V95)</f>
        <v>6001</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-281</v>
      </c>
      <c r="U97" s="272"/>
      <c r="V97" s="324">
        <v>281</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219</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5628</v>
      </c>
      <c r="U100" s="272"/>
      <c r="V100" s="324">
        <f>V96+V98+V97+V99</f>
        <v>6501</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331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343" t="s">
        <v>332</v>
      </c>
      <c r="C104" s="272"/>
      <c r="D104" s="272"/>
      <c r="E104" s="272"/>
      <c r="F104" s="272"/>
      <c r="G104" s="272"/>
      <c r="H104" s="272"/>
      <c r="I104" s="272"/>
      <c r="J104" s="272"/>
      <c r="K104" s="272"/>
      <c r="L104" s="272"/>
      <c r="M104" s="272"/>
      <c r="N104" s="272"/>
      <c r="O104" s="272"/>
      <c r="P104" s="272"/>
      <c r="Q104" s="272"/>
      <c r="R104" s="272"/>
      <c r="S104" s="272"/>
      <c r="T104" s="272"/>
      <c r="U104" s="272"/>
      <c r="V104" s="325">
        <f>-370-274-12</f>
        <v>-656</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-27</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-1542+141</f>
        <v>-1401</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-141</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-2</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-130</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-126</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-182</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-42</v>
      </c>
      <c r="W112" s="275"/>
      <c r="X112" s="5"/>
      <c r="Y112" s="109"/>
    </row>
    <row r="113" spans="1:25" ht="15.6" x14ac:dyDescent="0.3">
      <c r="A113" s="392">
        <v>7</v>
      </c>
      <c r="B113" s="343" t="s">
        <v>333</v>
      </c>
      <c r="C113" s="343"/>
      <c r="D113" s="343"/>
      <c r="E113" s="343"/>
      <c r="F113" s="343"/>
      <c r="G113" s="272"/>
      <c r="H113" s="272"/>
      <c r="I113" s="272"/>
      <c r="J113" s="272"/>
      <c r="K113" s="272"/>
      <c r="L113" s="272"/>
      <c r="M113" s="272"/>
      <c r="N113" s="272"/>
      <c r="O113" s="272"/>
      <c r="P113" s="272"/>
      <c r="Q113" s="272"/>
      <c r="R113" s="272"/>
      <c r="S113" s="272"/>
      <c r="T113" s="272"/>
      <c r="U113" s="272"/>
      <c r="V113" s="325">
        <v>0</v>
      </c>
      <c r="W113" s="275"/>
      <c r="X113" s="5"/>
      <c r="Y113" s="109"/>
    </row>
    <row r="114" spans="1:25" ht="15.6" x14ac:dyDescent="0.3">
      <c r="A114" s="338">
        <f t="shared" ref="A114:A121" si="0">+A113+1</f>
        <v>8</v>
      </c>
      <c r="B114" s="272" t="s">
        <v>35</v>
      </c>
      <c r="C114" s="272"/>
      <c r="D114" s="272"/>
      <c r="E114" s="272"/>
      <c r="F114" s="272"/>
      <c r="G114" s="272"/>
      <c r="H114" s="272"/>
      <c r="I114" s="272"/>
      <c r="J114" s="272"/>
      <c r="K114" s="272"/>
      <c r="L114" s="272"/>
      <c r="M114" s="272"/>
      <c r="N114" s="272"/>
      <c r="O114" s="272"/>
      <c r="P114" s="272"/>
      <c r="Q114" s="272"/>
      <c r="R114" s="272"/>
      <c r="S114" s="272"/>
      <c r="T114" s="272"/>
      <c r="U114" s="272"/>
      <c r="V114" s="325">
        <v>-10</v>
      </c>
      <c r="W114" s="275"/>
      <c r="X114" s="5"/>
    </row>
    <row r="115" spans="1:25" ht="15.6" x14ac:dyDescent="0.3">
      <c r="A115" s="338">
        <f t="shared" si="0"/>
        <v>9</v>
      </c>
      <c r="B115" s="272" t="s">
        <v>45</v>
      </c>
      <c r="C115" s="272"/>
      <c r="D115" s="272"/>
      <c r="E115" s="272"/>
      <c r="F115" s="272"/>
      <c r="G115" s="272"/>
      <c r="H115" s="272"/>
      <c r="I115" s="272"/>
      <c r="J115" s="272"/>
      <c r="K115" s="272"/>
      <c r="L115" s="272"/>
      <c r="M115" s="272"/>
      <c r="N115" s="272"/>
      <c r="O115" s="272"/>
      <c r="P115" s="272"/>
      <c r="Q115" s="272"/>
      <c r="R115" s="272"/>
      <c r="S115" s="272"/>
      <c r="T115" s="324">
        <f>-V115</f>
        <v>365</v>
      </c>
      <c r="U115" s="272"/>
      <c r="V115" s="325">
        <v>-365</v>
      </c>
      <c r="W115" s="275"/>
      <c r="X115" s="5"/>
    </row>
    <row r="116" spans="1:25" ht="15.6" x14ac:dyDescent="0.3">
      <c r="A116" s="338">
        <f t="shared" si="0"/>
        <v>10</v>
      </c>
      <c r="B116" s="272" t="s">
        <v>128</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5" ht="15.6" x14ac:dyDescent="0.3">
      <c r="A117" s="338">
        <f t="shared" si="0"/>
        <v>11</v>
      </c>
      <c r="B117" s="272" t="s">
        <v>271</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5" ht="15.6" x14ac:dyDescent="0.3">
      <c r="A118" s="338">
        <f t="shared" si="0"/>
        <v>12</v>
      </c>
      <c r="B118" s="272" t="s">
        <v>36</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5" ht="15.6" x14ac:dyDescent="0.3">
      <c r="A119" s="338">
        <f t="shared" si="0"/>
        <v>13</v>
      </c>
      <c r="B119" s="272" t="s">
        <v>270</v>
      </c>
      <c r="C119" s="272"/>
      <c r="D119" s="272"/>
      <c r="E119" s="272"/>
      <c r="F119" s="272"/>
      <c r="G119" s="272"/>
      <c r="H119" s="272"/>
      <c r="I119" s="272"/>
      <c r="J119" s="272"/>
      <c r="K119" s="272"/>
      <c r="L119" s="272"/>
      <c r="M119" s="272"/>
      <c r="N119" s="272"/>
      <c r="O119" s="272"/>
      <c r="P119" s="272"/>
      <c r="Q119" s="272"/>
      <c r="R119" s="272"/>
      <c r="S119" s="272"/>
      <c r="T119" s="272"/>
      <c r="U119" s="272"/>
      <c r="V119" s="325">
        <v>0</v>
      </c>
      <c r="W119" s="275"/>
      <c r="X119" s="5"/>
    </row>
    <row r="120" spans="1:25" ht="15.6" x14ac:dyDescent="0.3">
      <c r="A120" s="338">
        <f t="shared" si="0"/>
        <v>14</v>
      </c>
      <c r="B120" s="272" t="s">
        <v>152</v>
      </c>
      <c r="C120" s="272"/>
      <c r="D120" s="272"/>
      <c r="E120" s="272"/>
      <c r="F120" s="272"/>
      <c r="G120" s="272"/>
      <c r="H120" s="272"/>
      <c r="I120" s="272"/>
      <c r="J120" s="272"/>
      <c r="K120" s="272"/>
      <c r="L120" s="272"/>
      <c r="M120" s="272"/>
      <c r="N120" s="272"/>
      <c r="O120" s="272"/>
      <c r="P120" s="272"/>
      <c r="Q120" s="272"/>
      <c r="R120" s="272"/>
      <c r="S120" s="272"/>
      <c r="T120" s="272"/>
      <c r="U120" s="272"/>
      <c r="V120" s="325">
        <v>-370</v>
      </c>
      <c r="W120" s="275"/>
      <c r="X120" s="5"/>
    </row>
    <row r="121" spans="1:25" ht="15.6" x14ac:dyDescent="0.3">
      <c r="A121" s="338">
        <f t="shared" si="0"/>
        <v>15</v>
      </c>
      <c r="B121" s="272" t="s">
        <v>129</v>
      </c>
      <c r="C121" s="272"/>
      <c r="D121" s="272"/>
      <c r="E121" s="272"/>
      <c r="F121" s="272"/>
      <c r="G121" s="272"/>
      <c r="H121" s="272"/>
      <c r="I121" s="272"/>
      <c r="J121" s="272"/>
      <c r="K121" s="272"/>
      <c r="L121" s="272"/>
      <c r="M121" s="272"/>
      <c r="N121" s="272"/>
      <c r="O121" s="272"/>
      <c r="P121" s="272"/>
      <c r="Q121" s="272"/>
      <c r="R121" s="272"/>
      <c r="S121" s="272"/>
      <c r="T121" s="272"/>
      <c r="U121" s="272"/>
      <c r="V121" s="325">
        <f>-V100-SUM(V102:V120)</f>
        <v>-3047</v>
      </c>
      <c r="W121" s="275"/>
      <c r="X121" s="5"/>
    </row>
    <row r="122" spans="1:25" ht="15.6" x14ac:dyDescent="0.3">
      <c r="A122" s="271"/>
      <c r="B122" s="335" t="s">
        <v>37</v>
      </c>
      <c r="C122" s="298"/>
      <c r="D122" s="298"/>
      <c r="E122" s="298"/>
      <c r="F122" s="298"/>
      <c r="G122" s="298"/>
      <c r="H122" s="298"/>
      <c r="I122" s="298"/>
      <c r="J122" s="298"/>
      <c r="K122" s="298"/>
      <c r="L122" s="298"/>
      <c r="M122" s="298"/>
      <c r="N122" s="298"/>
      <c r="O122" s="298"/>
      <c r="P122" s="298"/>
      <c r="Q122" s="298"/>
      <c r="R122" s="298"/>
      <c r="S122" s="298"/>
      <c r="T122" s="298"/>
      <c r="U122" s="298"/>
      <c r="V122" s="339"/>
      <c r="W122" s="304"/>
      <c r="X122" s="5"/>
    </row>
    <row r="123" spans="1:25" ht="15.6" x14ac:dyDescent="0.3">
      <c r="A123" s="338"/>
      <c r="B123" s="272" t="s">
        <v>176</v>
      </c>
      <c r="C123" s="272"/>
      <c r="D123" s="272"/>
      <c r="E123" s="272"/>
      <c r="F123" s="272"/>
      <c r="G123" s="272"/>
      <c r="H123" s="272"/>
      <c r="I123" s="272"/>
      <c r="J123" s="272"/>
      <c r="K123" s="272"/>
      <c r="L123" s="272"/>
      <c r="M123" s="272"/>
      <c r="N123" s="272"/>
      <c r="O123" s="272"/>
      <c r="P123" s="272"/>
      <c r="Q123" s="272"/>
      <c r="R123" s="272"/>
      <c r="S123" s="272"/>
      <c r="T123" s="324">
        <f>-T183</f>
        <v>0</v>
      </c>
      <c r="U123" s="324"/>
      <c r="V123" s="325"/>
      <c r="W123" s="275"/>
      <c r="X123" s="5"/>
    </row>
    <row r="124" spans="1:25" ht="15.6" x14ac:dyDescent="0.3">
      <c r="A124" s="338"/>
      <c r="B124" s="272" t="s">
        <v>177</v>
      </c>
      <c r="C124" s="272"/>
      <c r="D124" s="272"/>
      <c r="E124" s="272"/>
      <c r="F124" s="272"/>
      <c r="G124" s="272"/>
      <c r="H124" s="272"/>
      <c r="I124" s="272"/>
      <c r="J124" s="272"/>
      <c r="K124" s="272"/>
      <c r="L124" s="272"/>
      <c r="M124" s="272"/>
      <c r="N124" s="272"/>
      <c r="O124" s="272"/>
      <c r="P124" s="272"/>
      <c r="Q124" s="272"/>
      <c r="R124" s="272"/>
      <c r="S124" s="272"/>
      <c r="T124" s="324">
        <v>-192</v>
      </c>
      <c r="U124" s="324"/>
      <c r="V124" s="325"/>
      <c r="W124" s="275"/>
      <c r="X124" s="5"/>
    </row>
    <row r="125" spans="1:25" ht="15.6" x14ac:dyDescent="0.3">
      <c r="A125" s="338"/>
      <c r="B125" s="272" t="s">
        <v>38</v>
      </c>
      <c r="C125" s="272"/>
      <c r="D125" s="272"/>
      <c r="E125" s="272"/>
      <c r="F125" s="272"/>
      <c r="G125" s="272"/>
      <c r="H125" s="272"/>
      <c r="I125" s="272"/>
      <c r="J125" s="272"/>
      <c r="K125" s="272"/>
      <c r="L125" s="272"/>
      <c r="M125" s="272"/>
      <c r="N125" s="272"/>
      <c r="O125" s="272"/>
      <c r="P125" s="272"/>
      <c r="Q125" s="272"/>
      <c r="R125" s="272"/>
      <c r="S125" s="272"/>
      <c r="T125" s="324">
        <f>-S183</f>
        <v>-298</v>
      </c>
      <c r="U125" s="324"/>
      <c r="V125" s="325"/>
      <c r="W125" s="275"/>
      <c r="X125" s="5"/>
    </row>
    <row r="126" spans="1:25" ht="15.6" x14ac:dyDescent="0.3">
      <c r="A126" s="338"/>
      <c r="B126" s="272" t="s">
        <v>200</v>
      </c>
      <c r="C126" s="272"/>
      <c r="D126" s="272"/>
      <c r="E126" s="272"/>
      <c r="F126" s="272"/>
      <c r="G126" s="272"/>
      <c r="H126" s="272"/>
      <c r="I126" s="272"/>
      <c r="J126" s="272"/>
      <c r="K126" s="272"/>
      <c r="L126" s="272"/>
      <c r="M126" s="272"/>
      <c r="N126" s="272"/>
      <c r="O126" s="272"/>
      <c r="P126" s="272"/>
      <c r="Q126" s="272"/>
      <c r="R126" s="272"/>
      <c r="S126" s="272"/>
      <c r="T126" s="324">
        <v>-3325</v>
      </c>
      <c r="U126" s="324"/>
      <c r="V126" s="325"/>
      <c r="W126" s="275"/>
      <c r="X126" s="5"/>
    </row>
    <row r="127" spans="1:25" ht="15.6" x14ac:dyDescent="0.3">
      <c r="A127" s="338"/>
      <c r="B127" s="272" t="s">
        <v>198</v>
      </c>
      <c r="C127" s="272"/>
      <c r="D127" s="272"/>
      <c r="E127" s="272"/>
      <c r="F127" s="272"/>
      <c r="G127" s="272"/>
      <c r="H127" s="272"/>
      <c r="I127" s="272"/>
      <c r="J127" s="272"/>
      <c r="K127" s="272"/>
      <c r="L127" s="272"/>
      <c r="M127" s="272"/>
      <c r="N127" s="272"/>
      <c r="O127" s="272"/>
      <c r="P127" s="272"/>
      <c r="Q127" s="272"/>
      <c r="R127" s="272"/>
      <c r="S127" s="272"/>
      <c r="T127" s="324">
        <v>-521</v>
      </c>
      <c r="U127" s="324"/>
      <c r="V127" s="325"/>
      <c r="W127" s="275"/>
      <c r="X127" s="5"/>
    </row>
    <row r="128" spans="1:25" ht="15.6" x14ac:dyDescent="0.3">
      <c r="A128" s="338"/>
      <c r="B128" s="272" t="s">
        <v>197</v>
      </c>
      <c r="C128" s="272"/>
      <c r="D128" s="272"/>
      <c r="E128" s="272"/>
      <c r="F128" s="272"/>
      <c r="G128" s="272"/>
      <c r="H128" s="272"/>
      <c r="I128" s="272"/>
      <c r="J128" s="272"/>
      <c r="K128" s="272"/>
      <c r="L128" s="272"/>
      <c r="M128" s="272"/>
      <c r="N128" s="272"/>
      <c r="O128" s="272"/>
      <c r="P128" s="272"/>
      <c r="Q128" s="272"/>
      <c r="R128" s="272"/>
      <c r="S128" s="272"/>
      <c r="T128" s="324">
        <v>-881</v>
      </c>
      <c r="U128" s="324"/>
      <c r="V128" s="325"/>
      <c r="W128" s="275"/>
      <c r="X128" s="5"/>
    </row>
    <row r="129" spans="1:24" ht="15.6" x14ac:dyDescent="0.3">
      <c r="A129" s="338"/>
      <c r="B129" s="272" t="s">
        <v>232</v>
      </c>
      <c r="C129" s="272"/>
      <c r="D129" s="272"/>
      <c r="E129" s="272"/>
      <c r="F129" s="272"/>
      <c r="G129" s="272"/>
      <c r="H129" s="272"/>
      <c r="I129" s="272"/>
      <c r="J129" s="272"/>
      <c r="K129" s="272"/>
      <c r="L129" s="272"/>
      <c r="M129" s="272"/>
      <c r="N129" s="272"/>
      <c r="O129" s="272"/>
      <c r="P129" s="272"/>
      <c r="Q129" s="272"/>
      <c r="R129" s="272"/>
      <c r="S129" s="272"/>
      <c r="T129" s="324">
        <v>-776</v>
      </c>
      <c r="U129" s="324"/>
      <c r="V129" s="325"/>
      <c r="W129" s="275"/>
      <c r="X129" s="5"/>
    </row>
    <row r="130" spans="1:24" ht="15.6" x14ac:dyDescent="0.3">
      <c r="A130" s="338"/>
      <c r="B130" s="272" t="s">
        <v>192</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191</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233</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190</v>
      </c>
      <c r="C133" s="272"/>
      <c r="D133" s="272"/>
      <c r="E133" s="272"/>
      <c r="F133" s="272"/>
      <c r="G133" s="272"/>
      <c r="H133" s="272"/>
      <c r="I133" s="272"/>
      <c r="J133" s="272"/>
      <c r="K133" s="272"/>
      <c r="L133" s="272"/>
      <c r="M133" s="272"/>
      <c r="N133" s="272"/>
      <c r="O133" s="272"/>
      <c r="P133" s="272"/>
      <c r="Q133" s="272"/>
      <c r="R133" s="272"/>
      <c r="S133" s="272"/>
      <c r="T133" s="324">
        <v>0</v>
      </c>
      <c r="U133" s="324"/>
      <c r="V133" s="325"/>
      <c r="W133" s="275"/>
      <c r="X133" s="5"/>
    </row>
    <row r="134" spans="1:24" ht="15.6" x14ac:dyDescent="0.3">
      <c r="A134" s="338"/>
      <c r="B134" s="272" t="s">
        <v>39</v>
      </c>
      <c r="C134" s="272"/>
      <c r="D134" s="272"/>
      <c r="E134" s="272"/>
      <c r="F134" s="272"/>
      <c r="G134" s="272"/>
      <c r="H134" s="272"/>
      <c r="I134" s="272"/>
      <c r="J134" s="272"/>
      <c r="K134" s="272"/>
      <c r="L134" s="272"/>
      <c r="M134" s="272"/>
      <c r="N134" s="272"/>
      <c r="O134" s="272"/>
      <c r="P134" s="272"/>
      <c r="Q134" s="272"/>
      <c r="R134" s="272"/>
      <c r="S134" s="272"/>
      <c r="T134" s="324">
        <f>SUM(T123:T133)</f>
        <v>-5993</v>
      </c>
      <c r="U134" s="324"/>
      <c r="V134" s="324">
        <f>SUM(V101:V131)</f>
        <v>-6501</v>
      </c>
      <c r="W134" s="275"/>
      <c r="X134" s="5"/>
    </row>
    <row r="135" spans="1:24" ht="15.6" x14ac:dyDescent="0.3">
      <c r="A135" s="338"/>
      <c r="B135" s="272" t="s">
        <v>40</v>
      </c>
      <c r="C135" s="272"/>
      <c r="D135" s="272"/>
      <c r="E135" s="272"/>
      <c r="F135" s="272"/>
      <c r="G135" s="272"/>
      <c r="H135" s="272"/>
      <c r="I135" s="272"/>
      <c r="J135" s="272"/>
      <c r="K135" s="272"/>
      <c r="L135" s="272"/>
      <c r="M135" s="272"/>
      <c r="N135" s="272"/>
      <c r="O135" s="272"/>
      <c r="P135" s="272"/>
      <c r="Q135" s="272"/>
      <c r="R135" s="272"/>
      <c r="S135" s="272"/>
      <c r="T135" s="324">
        <f>T100+T134+T115</f>
        <v>0</v>
      </c>
      <c r="U135" s="324"/>
      <c r="V135" s="324">
        <f>V100+V134</f>
        <v>0</v>
      </c>
      <c r="W135" s="275"/>
      <c r="X135" s="5"/>
    </row>
    <row r="136" spans="1:24" ht="15.6" x14ac:dyDescent="0.3">
      <c r="A136" s="242"/>
      <c r="B136" s="268"/>
      <c r="C136" s="268"/>
      <c r="D136" s="268"/>
      <c r="E136" s="268"/>
      <c r="F136" s="268"/>
      <c r="G136" s="268"/>
      <c r="H136" s="268"/>
      <c r="I136" s="268"/>
      <c r="J136" s="268"/>
      <c r="K136" s="268"/>
      <c r="L136" s="268"/>
      <c r="M136" s="268"/>
      <c r="N136" s="268"/>
      <c r="O136" s="268"/>
      <c r="P136" s="268"/>
      <c r="Q136" s="268"/>
      <c r="R136" s="268"/>
      <c r="S136" s="268"/>
      <c r="T136" s="332"/>
      <c r="U136" s="332"/>
      <c r="V136" s="332"/>
      <c r="W136" s="268"/>
      <c r="X136" s="5"/>
    </row>
    <row r="137" spans="1:24" ht="15.6" x14ac:dyDescent="0.3">
      <c r="A137" s="242"/>
      <c r="B137" s="220"/>
      <c r="C137" s="220"/>
      <c r="D137" s="220"/>
      <c r="E137" s="220"/>
      <c r="F137" s="220"/>
      <c r="G137" s="220"/>
      <c r="H137" s="220"/>
      <c r="I137" s="220"/>
      <c r="J137" s="220"/>
      <c r="K137" s="220"/>
      <c r="L137" s="220"/>
      <c r="M137" s="220"/>
      <c r="N137" s="220"/>
      <c r="O137" s="220"/>
      <c r="P137" s="220"/>
      <c r="Q137" s="220"/>
      <c r="R137" s="220"/>
      <c r="S137" s="220"/>
      <c r="T137" s="220"/>
      <c r="U137" s="220"/>
      <c r="V137" s="243"/>
      <c r="W137" s="220"/>
      <c r="X137" s="5"/>
    </row>
    <row r="138" spans="1:24" ht="18" thickBot="1" x14ac:dyDescent="0.35">
      <c r="A138" s="244"/>
      <c r="B138" s="234" t="str">
        <f>B64</f>
        <v>PM13 INVESTOR REPORT QUARTER ENDING JUNE 2013</v>
      </c>
      <c r="C138" s="235"/>
      <c r="D138" s="235"/>
      <c r="E138" s="235"/>
      <c r="F138" s="235"/>
      <c r="G138" s="235"/>
      <c r="H138" s="235"/>
      <c r="I138" s="235"/>
      <c r="J138" s="235"/>
      <c r="K138" s="235"/>
      <c r="L138" s="235"/>
      <c r="M138" s="235"/>
      <c r="N138" s="235"/>
      <c r="O138" s="235"/>
      <c r="P138" s="235"/>
      <c r="Q138" s="235"/>
      <c r="R138" s="235"/>
      <c r="S138" s="235"/>
      <c r="T138" s="235"/>
      <c r="U138" s="235"/>
      <c r="V138" s="245"/>
      <c r="W138" s="237"/>
      <c r="X138" s="5"/>
    </row>
    <row r="139" spans="1:24" ht="15.6" x14ac:dyDescent="0.3">
      <c r="A139" s="246"/>
      <c r="B139" s="388" t="s">
        <v>41</v>
      </c>
      <c r="C139" s="247"/>
      <c r="D139" s="247"/>
      <c r="E139" s="247"/>
      <c r="F139" s="247"/>
      <c r="G139" s="247"/>
      <c r="H139" s="247"/>
      <c r="I139" s="247"/>
      <c r="J139" s="247"/>
      <c r="K139" s="247"/>
      <c r="L139" s="247"/>
      <c r="M139" s="247"/>
      <c r="N139" s="247"/>
      <c r="O139" s="247"/>
      <c r="P139" s="247"/>
      <c r="Q139" s="247"/>
      <c r="R139" s="247"/>
      <c r="S139" s="247"/>
      <c r="T139" s="247"/>
      <c r="U139" s="247"/>
      <c r="V139" s="248"/>
      <c r="W139" s="247"/>
      <c r="X139" s="5"/>
    </row>
    <row r="140" spans="1:24" ht="15.6" x14ac:dyDescent="0.3">
      <c r="A140" s="175"/>
      <c r="B140" s="186"/>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175"/>
      <c r="B141" s="203" t="s">
        <v>42</v>
      </c>
      <c r="C141" s="177"/>
      <c r="D141" s="177"/>
      <c r="E141" s="177"/>
      <c r="F141" s="177"/>
      <c r="G141" s="177"/>
      <c r="H141" s="177"/>
      <c r="I141" s="177"/>
      <c r="J141" s="177"/>
      <c r="K141" s="177"/>
      <c r="L141" s="177"/>
      <c r="M141" s="177"/>
      <c r="N141" s="177"/>
      <c r="O141" s="177"/>
      <c r="P141" s="177"/>
      <c r="Q141" s="177"/>
      <c r="R141" s="177"/>
      <c r="S141" s="177"/>
      <c r="T141" s="177"/>
      <c r="U141" s="177"/>
      <c r="V141" s="196"/>
      <c r="W141" s="177"/>
      <c r="X141" s="5"/>
    </row>
    <row r="142" spans="1:24" ht="15.6" x14ac:dyDescent="0.3">
      <c r="A142" s="271"/>
      <c r="B142" s="272" t="s">
        <v>43</v>
      </c>
      <c r="C142" s="272"/>
      <c r="D142" s="272"/>
      <c r="E142" s="272"/>
      <c r="F142" s="272"/>
      <c r="G142" s="272"/>
      <c r="H142" s="272"/>
      <c r="I142" s="272"/>
      <c r="J142" s="272"/>
      <c r="K142" s="272"/>
      <c r="L142" s="272"/>
      <c r="M142" s="272"/>
      <c r="N142" s="272"/>
      <c r="O142" s="272"/>
      <c r="P142" s="272"/>
      <c r="Q142" s="272"/>
      <c r="R142" s="272"/>
      <c r="S142" s="272"/>
      <c r="T142" s="272"/>
      <c r="U142" s="272"/>
      <c r="V142" s="325">
        <f>+V34*0.019</f>
        <v>28503.61</v>
      </c>
      <c r="W142" s="275"/>
      <c r="X142" s="5"/>
    </row>
    <row r="143" spans="1:24" ht="15.6" x14ac:dyDescent="0.3">
      <c r="A143" s="271"/>
      <c r="B143" s="272" t="s">
        <v>44</v>
      </c>
      <c r="C143" s="272"/>
      <c r="D143" s="272"/>
      <c r="E143" s="272"/>
      <c r="F143" s="272"/>
      <c r="G143" s="272"/>
      <c r="H143" s="272"/>
      <c r="I143" s="272"/>
      <c r="J143" s="272"/>
      <c r="K143" s="272"/>
      <c r="L143" s="272"/>
      <c r="M143" s="272"/>
      <c r="N143" s="272"/>
      <c r="O143" s="272"/>
      <c r="P143" s="272"/>
      <c r="Q143" s="272"/>
      <c r="R143" s="272"/>
      <c r="S143" s="272"/>
      <c r="T143" s="272"/>
      <c r="U143" s="272"/>
      <c r="V143" s="325">
        <v>28504</v>
      </c>
      <c r="W143" s="275"/>
      <c r="X143" s="5"/>
    </row>
    <row r="144" spans="1:24" ht="15.6" x14ac:dyDescent="0.3">
      <c r="A144" s="271"/>
      <c r="B144" s="272" t="s">
        <v>139</v>
      </c>
      <c r="C144" s="272"/>
      <c r="D144" s="272"/>
      <c r="E144" s="272"/>
      <c r="F144" s="272"/>
      <c r="G144" s="272"/>
      <c r="H144" s="272"/>
      <c r="I144" s="272"/>
      <c r="J144" s="272"/>
      <c r="K144" s="272"/>
      <c r="L144" s="272"/>
      <c r="M144" s="272"/>
      <c r="N144" s="272"/>
      <c r="O144" s="272"/>
      <c r="P144" s="272"/>
      <c r="Q144" s="272"/>
      <c r="R144" s="272"/>
      <c r="S144" s="272"/>
      <c r="T144" s="272"/>
      <c r="U144" s="272"/>
      <c r="V144" s="325"/>
      <c r="W144" s="275"/>
      <c r="X144" s="5"/>
    </row>
    <row r="145" spans="1:25" ht="15.6" x14ac:dyDescent="0.3">
      <c r="A145" s="271"/>
      <c r="B145" s="272" t="s">
        <v>126</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127</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178</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45</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132</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row>
    <row r="150" spans="1:25" ht="15.6" x14ac:dyDescent="0.3">
      <c r="A150" s="271"/>
      <c r="B150" s="272" t="s">
        <v>267</v>
      </c>
      <c r="C150" s="272"/>
      <c r="D150" s="272"/>
      <c r="E150" s="272"/>
      <c r="F150" s="272"/>
      <c r="G150" s="272"/>
      <c r="H150" s="272"/>
      <c r="I150" s="272"/>
      <c r="J150" s="272"/>
      <c r="K150" s="272"/>
      <c r="L150" s="272"/>
      <c r="M150" s="272"/>
      <c r="N150" s="272"/>
      <c r="O150" s="272"/>
      <c r="P150" s="272"/>
      <c r="Q150" s="272"/>
      <c r="R150" s="272"/>
      <c r="S150" s="272"/>
      <c r="T150" s="272"/>
      <c r="U150" s="272"/>
      <c r="V150" s="325">
        <v>0</v>
      </c>
      <c r="W150" s="275"/>
      <c r="X150" s="5"/>
      <c r="Y150" s="109"/>
    </row>
    <row r="151" spans="1:25" ht="15.6" x14ac:dyDescent="0.3">
      <c r="A151" s="271"/>
      <c r="B151" s="272" t="s">
        <v>46</v>
      </c>
      <c r="C151" s="272"/>
      <c r="D151" s="272"/>
      <c r="E151" s="272"/>
      <c r="F151" s="272"/>
      <c r="G151" s="272"/>
      <c r="H151" s="272"/>
      <c r="I151" s="272"/>
      <c r="J151" s="272"/>
      <c r="K151" s="272"/>
      <c r="L151" s="272"/>
      <c r="M151" s="272"/>
      <c r="N151" s="272"/>
      <c r="O151" s="272"/>
      <c r="P151" s="272"/>
      <c r="Q151" s="272"/>
      <c r="R151" s="272"/>
      <c r="S151" s="272"/>
      <c r="T151" s="272"/>
      <c r="U151" s="272"/>
      <c r="V151" s="325">
        <f>SUM(V143:V150)</f>
        <v>28504</v>
      </c>
      <c r="W151" s="275"/>
      <c r="X151" s="5"/>
    </row>
    <row r="152" spans="1:25" ht="15.6" x14ac:dyDescent="0.3">
      <c r="A152" s="271"/>
      <c r="B152" s="298"/>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335" t="s">
        <v>268</v>
      </c>
      <c r="C153" s="298"/>
      <c r="D153" s="298"/>
      <c r="E153" s="298"/>
      <c r="F153" s="298"/>
      <c r="G153" s="298"/>
      <c r="H153" s="298"/>
      <c r="I153" s="298"/>
      <c r="J153" s="298"/>
      <c r="K153" s="298"/>
      <c r="L153" s="298"/>
      <c r="M153" s="298"/>
      <c r="N153" s="298"/>
      <c r="O153" s="298"/>
      <c r="P153" s="298"/>
      <c r="Q153" s="298"/>
      <c r="R153" s="298"/>
      <c r="S153" s="298"/>
      <c r="T153" s="298"/>
      <c r="U153" s="298"/>
      <c r="V153" s="337"/>
      <c r="W153" s="304"/>
      <c r="X153" s="5"/>
    </row>
    <row r="154" spans="1:25" ht="15.6" x14ac:dyDescent="0.3">
      <c r="A154" s="271"/>
      <c r="B154" s="272" t="s">
        <v>158</v>
      </c>
      <c r="C154" s="272"/>
      <c r="D154" s="272"/>
      <c r="E154" s="272"/>
      <c r="F154" s="272"/>
      <c r="G154" s="272"/>
      <c r="H154" s="272"/>
      <c r="I154" s="272"/>
      <c r="J154" s="272"/>
      <c r="K154" s="272"/>
      <c r="L154" s="272"/>
      <c r="M154" s="272"/>
      <c r="N154" s="272"/>
      <c r="O154" s="272"/>
      <c r="P154" s="272"/>
      <c r="Q154" s="272"/>
      <c r="R154" s="272"/>
      <c r="S154" s="272"/>
      <c r="T154" s="272"/>
      <c r="U154" s="272"/>
      <c r="V154" s="325">
        <v>15000</v>
      </c>
      <c r="W154" s="275"/>
      <c r="X154" s="5"/>
    </row>
    <row r="155" spans="1:25" ht="15.6" x14ac:dyDescent="0.3">
      <c r="A155" s="271"/>
      <c r="B155" s="272" t="s">
        <v>175</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72" t="s">
        <v>272</v>
      </c>
      <c r="C156" s="272"/>
      <c r="D156" s="272"/>
      <c r="E156" s="272"/>
      <c r="F156" s="272"/>
      <c r="G156" s="272"/>
      <c r="H156" s="272"/>
      <c r="I156" s="272"/>
      <c r="J156" s="272"/>
      <c r="K156" s="272"/>
      <c r="L156" s="272"/>
      <c r="M156" s="272"/>
      <c r="N156" s="272"/>
      <c r="O156" s="272"/>
      <c r="P156" s="272"/>
      <c r="Q156" s="272"/>
      <c r="R156" s="272"/>
      <c r="S156" s="272"/>
      <c r="T156" s="272"/>
      <c r="U156" s="272"/>
      <c r="V156" s="325">
        <v>6000</v>
      </c>
      <c r="W156" s="275"/>
      <c r="X156" s="5"/>
    </row>
    <row r="157" spans="1:25" ht="15.6" x14ac:dyDescent="0.3">
      <c r="A157" s="271"/>
      <c r="B157" s="298"/>
      <c r="C157" s="298"/>
      <c r="D157" s="298"/>
      <c r="E157" s="298"/>
      <c r="F157" s="298"/>
      <c r="G157" s="298"/>
      <c r="H157" s="298"/>
      <c r="I157" s="298"/>
      <c r="J157" s="298"/>
      <c r="K157" s="298"/>
      <c r="L157" s="298"/>
      <c r="M157" s="298"/>
      <c r="N157" s="298"/>
      <c r="O157" s="298"/>
      <c r="P157" s="298"/>
      <c r="Q157" s="298"/>
      <c r="R157" s="298"/>
      <c r="S157" s="298"/>
      <c r="T157" s="298"/>
      <c r="U157" s="298"/>
      <c r="V157" s="337"/>
      <c r="W157" s="304"/>
      <c r="X157" s="5"/>
    </row>
    <row r="158" spans="1:25" ht="15.6" x14ac:dyDescent="0.3">
      <c r="A158" s="175"/>
      <c r="B158" s="321"/>
      <c r="C158" s="321"/>
      <c r="D158" s="321"/>
      <c r="E158" s="321"/>
      <c r="F158" s="321"/>
      <c r="G158" s="321"/>
      <c r="H158" s="321"/>
      <c r="I158" s="321"/>
      <c r="J158" s="321"/>
      <c r="K158" s="321"/>
      <c r="L158" s="321"/>
      <c r="M158" s="321"/>
      <c r="N158" s="321"/>
      <c r="O158" s="321"/>
      <c r="P158" s="321"/>
      <c r="Q158" s="321"/>
      <c r="R158" s="321"/>
      <c r="S158" s="321"/>
      <c r="T158" s="321"/>
      <c r="U158" s="321"/>
      <c r="V158" s="340"/>
      <c r="W158" s="321"/>
      <c r="X158" s="5"/>
    </row>
    <row r="159" spans="1:25" ht="15.6" x14ac:dyDescent="0.3">
      <c r="A159" s="175"/>
      <c r="B159" s="203" t="s">
        <v>24</v>
      </c>
      <c r="C159" s="177"/>
      <c r="D159" s="177"/>
      <c r="E159" s="177"/>
      <c r="F159" s="177"/>
      <c r="G159" s="177"/>
      <c r="H159" s="177"/>
      <c r="I159" s="177"/>
      <c r="J159" s="177"/>
      <c r="K159" s="177"/>
      <c r="L159" s="177"/>
      <c r="M159" s="177"/>
      <c r="N159" s="177"/>
      <c r="O159" s="177"/>
      <c r="P159" s="177"/>
      <c r="Q159" s="177"/>
      <c r="R159" s="177"/>
      <c r="S159" s="177"/>
      <c r="T159" s="177"/>
      <c r="U159" s="177"/>
      <c r="V159" s="196"/>
      <c r="W159" s="177"/>
      <c r="X159" s="5"/>
    </row>
    <row r="160" spans="1:25" ht="15.6" x14ac:dyDescent="0.3">
      <c r="A160" s="271"/>
      <c r="B160" s="272" t="s">
        <v>47</v>
      </c>
      <c r="C160" s="272"/>
      <c r="D160" s="272"/>
      <c r="E160" s="272"/>
      <c r="F160" s="272"/>
      <c r="G160" s="272"/>
      <c r="H160" s="272"/>
      <c r="I160" s="272"/>
      <c r="J160" s="272"/>
      <c r="K160" s="272"/>
      <c r="L160" s="272"/>
      <c r="M160" s="272"/>
      <c r="N160" s="272"/>
      <c r="O160" s="272"/>
      <c r="P160" s="272"/>
      <c r="Q160" s="272"/>
      <c r="R160" s="272"/>
      <c r="S160" s="272"/>
      <c r="T160" s="272"/>
      <c r="U160" s="272"/>
      <c r="V160" s="341" t="s">
        <v>121</v>
      </c>
      <c r="W160" s="275"/>
      <c r="X160" s="5"/>
    </row>
    <row r="161" spans="1:24" ht="15.6" x14ac:dyDescent="0.3">
      <c r="A161" s="271"/>
      <c r="B161" s="272" t="s">
        <v>48</v>
      </c>
      <c r="C161" s="274"/>
      <c r="D161" s="274"/>
      <c r="E161" s="274"/>
      <c r="F161" s="274"/>
      <c r="G161" s="274"/>
      <c r="H161" s="274"/>
      <c r="I161" s="274"/>
      <c r="J161" s="274"/>
      <c r="K161" s="274"/>
      <c r="L161" s="274"/>
      <c r="M161" s="274"/>
      <c r="N161" s="274"/>
      <c r="O161" s="274"/>
      <c r="P161" s="274"/>
      <c r="Q161" s="274"/>
      <c r="R161" s="274"/>
      <c r="S161" s="274"/>
      <c r="T161" s="274"/>
      <c r="U161" s="274"/>
      <c r="V161" s="341" t="s">
        <v>121</v>
      </c>
      <c r="W161" s="275"/>
      <c r="X161" s="5"/>
    </row>
    <row r="162" spans="1:24" ht="15.6" x14ac:dyDescent="0.3">
      <c r="A162" s="271"/>
      <c r="B162" s="272" t="s">
        <v>49</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271"/>
      <c r="B163" s="272" t="s">
        <v>50</v>
      </c>
      <c r="C163" s="272"/>
      <c r="D163" s="272"/>
      <c r="E163" s="272"/>
      <c r="F163" s="272"/>
      <c r="G163" s="272"/>
      <c r="H163" s="272"/>
      <c r="I163" s="272"/>
      <c r="J163" s="272"/>
      <c r="K163" s="272"/>
      <c r="L163" s="272"/>
      <c r="M163" s="272"/>
      <c r="N163" s="272"/>
      <c r="O163" s="272"/>
      <c r="P163" s="272"/>
      <c r="Q163" s="272"/>
      <c r="R163" s="272"/>
      <c r="S163" s="272"/>
      <c r="T163" s="272"/>
      <c r="U163" s="272"/>
      <c r="V163" s="341" t="s">
        <v>121</v>
      </c>
      <c r="W163" s="275"/>
      <c r="X163" s="5"/>
    </row>
    <row r="164" spans="1:24" ht="15.6" x14ac:dyDescent="0.3">
      <c r="A164" s="175"/>
      <c r="B164" s="321"/>
      <c r="C164" s="321"/>
      <c r="D164" s="321"/>
      <c r="E164" s="321"/>
      <c r="F164" s="321"/>
      <c r="G164" s="321"/>
      <c r="H164" s="321"/>
      <c r="I164" s="321"/>
      <c r="J164" s="321"/>
      <c r="K164" s="321"/>
      <c r="L164" s="321"/>
      <c r="M164" s="321"/>
      <c r="N164" s="321"/>
      <c r="O164" s="321"/>
      <c r="P164" s="321"/>
      <c r="Q164" s="321"/>
      <c r="R164" s="321"/>
      <c r="S164" s="321"/>
      <c r="T164" s="321"/>
      <c r="U164" s="321"/>
      <c r="V164" s="340"/>
      <c r="W164" s="321"/>
      <c r="X164" s="5"/>
    </row>
    <row r="165" spans="1:24" ht="15.6" x14ac:dyDescent="0.3">
      <c r="A165" s="175"/>
      <c r="B165" s="203" t="s">
        <v>51</v>
      </c>
      <c r="C165" s="177"/>
      <c r="D165" s="177"/>
      <c r="E165" s="177"/>
      <c r="F165" s="177"/>
      <c r="G165" s="177"/>
      <c r="H165" s="177"/>
      <c r="I165" s="177"/>
      <c r="J165" s="177"/>
      <c r="K165" s="177"/>
      <c r="L165" s="177"/>
      <c r="M165" s="177"/>
      <c r="N165" s="177"/>
      <c r="O165" s="177"/>
      <c r="P165" s="177"/>
      <c r="Q165" s="177"/>
      <c r="R165" s="177"/>
      <c r="S165" s="177"/>
      <c r="T165" s="177"/>
      <c r="U165" s="177"/>
      <c r="V165" s="204"/>
      <c r="W165" s="177"/>
      <c r="X165" s="5"/>
    </row>
    <row r="166" spans="1:24" ht="15.6" x14ac:dyDescent="0.3">
      <c r="A166" s="342"/>
      <c r="B166" s="343" t="s">
        <v>52</v>
      </c>
      <c r="C166" s="343"/>
      <c r="D166" s="343"/>
      <c r="E166" s="343"/>
      <c r="F166" s="343"/>
      <c r="G166" s="343"/>
      <c r="H166" s="343"/>
      <c r="I166" s="343"/>
      <c r="J166" s="343"/>
      <c r="K166" s="343"/>
      <c r="L166" s="343"/>
      <c r="M166" s="343"/>
      <c r="N166" s="343"/>
      <c r="O166" s="343"/>
      <c r="P166" s="343"/>
      <c r="Q166" s="343"/>
      <c r="R166" s="343"/>
      <c r="S166" s="343"/>
      <c r="T166" s="343"/>
      <c r="U166" s="343"/>
      <c r="V166" s="344">
        <v>0</v>
      </c>
      <c r="W166" s="345"/>
      <c r="X166" s="5"/>
    </row>
    <row r="167" spans="1:24" ht="15.6" x14ac:dyDescent="0.3">
      <c r="A167" s="342"/>
      <c r="B167" s="343" t="s">
        <v>53</v>
      </c>
      <c r="C167" s="343"/>
      <c r="D167" s="343"/>
      <c r="E167" s="343"/>
      <c r="F167" s="343"/>
      <c r="G167" s="343"/>
      <c r="H167" s="343"/>
      <c r="I167" s="343"/>
      <c r="J167" s="343"/>
      <c r="K167" s="343"/>
      <c r="L167" s="343"/>
      <c r="M167" s="343"/>
      <c r="N167" s="343"/>
      <c r="O167" s="343"/>
      <c r="P167" s="343"/>
      <c r="Q167" s="343"/>
      <c r="R167" s="343"/>
      <c r="S167" s="343"/>
      <c r="T167" s="343"/>
      <c r="U167" s="343"/>
      <c r="V167" s="344">
        <v>365</v>
      </c>
      <c r="W167" s="345"/>
      <c r="X167" s="5"/>
    </row>
    <row r="168" spans="1:24" ht="15.6" x14ac:dyDescent="0.3">
      <c r="A168" s="342"/>
      <c r="B168" s="343" t="s">
        <v>54</v>
      </c>
      <c r="C168" s="343"/>
      <c r="D168" s="343"/>
      <c r="E168" s="343"/>
      <c r="F168" s="343"/>
      <c r="G168" s="343"/>
      <c r="H168" s="343"/>
      <c r="I168" s="343"/>
      <c r="J168" s="343"/>
      <c r="K168" s="343"/>
      <c r="L168" s="343"/>
      <c r="M168" s="343"/>
      <c r="N168" s="343"/>
      <c r="O168" s="343"/>
      <c r="P168" s="343"/>
      <c r="Q168" s="343"/>
      <c r="R168" s="343"/>
      <c r="S168" s="343"/>
      <c r="T168" s="343"/>
      <c r="U168" s="343"/>
      <c r="V168" s="344">
        <f>V167+V166</f>
        <v>365</v>
      </c>
      <c r="W168" s="345"/>
      <c r="X168" s="5"/>
    </row>
    <row r="169" spans="1:24" ht="15.6" x14ac:dyDescent="0.3">
      <c r="A169" s="342"/>
      <c r="B169" s="272" t="s">
        <v>318</v>
      </c>
      <c r="C169" s="343"/>
      <c r="D169" s="343"/>
      <c r="E169" s="343"/>
      <c r="F169" s="343"/>
      <c r="G169" s="343"/>
      <c r="H169" s="343"/>
      <c r="I169" s="343"/>
      <c r="J169" s="343"/>
      <c r="K169" s="343"/>
      <c r="L169" s="343"/>
      <c r="M169" s="343"/>
      <c r="N169" s="343"/>
      <c r="O169" s="343"/>
      <c r="P169" s="343"/>
      <c r="Q169" s="343"/>
      <c r="R169" s="343"/>
      <c r="S169" s="343"/>
      <c r="T169" s="343"/>
      <c r="U169" s="343"/>
      <c r="V169" s="344">
        <f>V115</f>
        <v>-365</v>
      </c>
      <c r="W169" s="345"/>
      <c r="X169" s="5"/>
    </row>
    <row r="170" spans="1:24" ht="15.6" x14ac:dyDescent="0.3">
      <c r="A170" s="342"/>
      <c r="B170" s="343" t="s">
        <v>55</v>
      </c>
      <c r="C170" s="343"/>
      <c r="D170" s="343"/>
      <c r="E170" s="343"/>
      <c r="F170" s="343"/>
      <c r="G170" s="343"/>
      <c r="H170" s="343"/>
      <c r="I170" s="343"/>
      <c r="J170" s="343"/>
      <c r="K170" s="343"/>
      <c r="L170" s="343"/>
      <c r="M170" s="343"/>
      <c r="N170" s="343"/>
      <c r="O170" s="343"/>
      <c r="P170" s="343"/>
      <c r="Q170" s="343"/>
      <c r="R170" s="343"/>
      <c r="S170" s="343"/>
      <c r="T170" s="343"/>
      <c r="U170" s="343"/>
      <c r="V170" s="344">
        <f>V168+V169</f>
        <v>0</v>
      </c>
      <c r="W170" s="345"/>
      <c r="X170" s="5"/>
    </row>
    <row r="171" spans="1:24" ht="15.6" x14ac:dyDescent="0.3">
      <c r="A171" s="342"/>
      <c r="B171" s="343" t="s">
        <v>288</v>
      </c>
      <c r="C171" s="343"/>
      <c r="D171" s="343"/>
      <c r="E171" s="343"/>
      <c r="F171" s="343"/>
      <c r="G171" s="343"/>
      <c r="H171" s="343"/>
      <c r="I171" s="343"/>
      <c r="J171" s="343"/>
      <c r="K171" s="343"/>
      <c r="L171" s="343"/>
      <c r="M171" s="343"/>
      <c r="N171" s="343"/>
      <c r="O171" s="343"/>
      <c r="P171" s="343"/>
      <c r="Q171" s="343"/>
      <c r="R171" s="343"/>
      <c r="S171" s="343"/>
      <c r="T171" s="343"/>
      <c r="U171" s="343"/>
      <c r="V171" s="344">
        <v>0</v>
      </c>
      <c r="W171" s="345"/>
      <c r="X171" s="5"/>
    </row>
    <row r="172" spans="1:24" ht="16.2" thickBot="1" x14ac:dyDescent="0.35">
      <c r="A172" s="175"/>
      <c r="B172" s="321"/>
      <c r="C172" s="321"/>
      <c r="D172" s="321"/>
      <c r="E172" s="321"/>
      <c r="F172" s="321"/>
      <c r="G172" s="321"/>
      <c r="H172" s="321"/>
      <c r="I172" s="321"/>
      <c r="J172" s="321"/>
      <c r="K172" s="321"/>
      <c r="L172" s="321"/>
      <c r="M172" s="321"/>
      <c r="N172" s="321"/>
      <c r="O172" s="321"/>
      <c r="P172" s="321"/>
      <c r="Q172" s="321"/>
      <c r="R172" s="321"/>
      <c r="S172" s="321"/>
      <c r="T172" s="321"/>
      <c r="U172" s="321"/>
      <c r="V172" s="340"/>
      <c r="W172" s="321"/>
      <c r="X172" s="5"/>
    </row>
    <row r="173" spans="1:24"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74"/>
      <c r="U173" s="174"/>
      <c r="V173" s="195"/>
      <c r="W173" s="174"/>
      <c r="X173" s="5"/>
    </row>
    <row r="174" spans="1:24" ht="15.6" x14ac:dyDescent="0.3">
      <c r="A174" s="175"/>
      <c r="B174" s="203" t="s">
        <v>56</v>
      </c>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175"/>
      <c r="B175" s="186"/>
      <c r="C175" s="177"/>
      <c r="D175" s="177"/>
      <c r="E175" s="177"/>
      <c r="F175" s="177"/>
      <c r="G175" s="177"/>
      <c r="H175" s="177"/>
      <c r="I175" s="177"/>
      <c r="J175" s="177"/>
      <c r="K175" s="177"/>
      <c r="L175" s="177"/>
      <c r="M175" s="177"/>
      <c r="N175" s="177"/>
      <c r="O175" s="177"/>
      <c r="P175" s="177"/>
      <c r="Q175" s="177"/>
      <c r="R175" s="177"/>
      <c r="S175" s="177"/>
      <c r="T175" s="177"/>
      <c r="U175" s="177"/>
      <c r="V175" s="196"/>
      <c r="W175" s="177"/>
      <c r="X175" s="5"/>
    </row>
    <row r="176" spans="1:24" ht="15.6" x14ac:dyDescent="0.3">
      <c r="A176" s="271"/>
      <c r="B176" s="272" t="s">
        <v>57</v>
      </c>
      <c r="C176" s="272"/>
      <c r="D176" s="272"/>
      <c r="E176" s="272"/>
      <c r="F176" s="272"/>
      <c r="G176" s="272"/>
      <c r="H176" s="272"/>
      <c r="I176" s="272"/>
      <c r="J176" s="272"/>
      <c r="K176" s="272"/>
      <c r="L176" s="272"/>
      <c r="M176" s="272"/>
      <c r="N176" s="272"/>
      <c r="O176" s="272"/>
      <c r="P176" s="272"/>
      <c r="Q176" s="272"/>
      <c r="R176" s="272"/>
      <c r="S176" s="272"/>
      <c r="T176" s="272"/>
      <c r="U176" s="272"/>
      <c r="V176" s="325">
        <f>V71</f>
        <v>974637</v>
      </c>
      <c r="W176" s="275"/>
      <c r="X176" s="5"/>
    </row>
    <row r="177" spans="1:24" ht="15.6" x14ac:dyDescent="0.3">
      <c r="A177" s="271"/>
      <c r="B177" s="272" t="s">
        <v>58</v>
      </c>
      <c r="C177" s="272"/>
      <c r="D177" s="272"/>
      <c r="E177" s="272"/>
      <c r="F177" s="272"/>
      <c r="G177" s="272"/>
      <c r="H177" s="272"/>
      <c r="I177" s="272"/>
      <c r="J177" s="272"/>
      <c r="K177" s="272"/>
      <c r="L177" s="272"/>
      <c r="M177" s="272"/>
      <c r="N177" s="272"/>
      <c r="O177" s="272"/>
      <c r="P177" s="272"/>
      <c r="Q177" s="272"/>
      <c r="R177" s="272"/>
      <c r="S177" s="272"/>
      <c r="T177" s="272"/>
      <c r="U177" s="272"/>
      <c r="V177" s="325">
        <f>V84</f>
        <v>974637</v>
      </c>
      <c r="W177" s="275"/>
      <c r="X177" s="5"/>
    </row>
    <row r="178" spans="1:24" ht="16.2" thickBot="1" x14ac:dyDescent="0.35">
      <c r="A178" s="175"/>
      <c r="B178" s="321"/>
      <c r="C178" s="321"/>
      <c r="D178" s="321"/>
      <c r="E178" s="321"/>
      <c r="F178" s="321"/>
      <c r="G178" s="321"/>
      <c r="H178" s="321"/>
      <c r="I178" s="321"/>
      <c r="J178" s="321"/>
      <c r="K178" s="321"/>
      <c r="L178" s="321"/>
      <c r="M178" s="321"/>
      <c r="N178" s="321"/>
      <c r="O178" s="321"/>
      <c r="P178" s="321"/>
      <c r="Q178" s="321"/>
      <c r="R178" s="321"/>
      <c r="S178" s="321"/>
      <c r="T178" s="321"/>
      <c r="U178" s="321"/>
      <c r="V178" s="340"/>
      <c r="W178" s="321"/>
      <c r="X178" s="5"/>
    </row>
    <row r="179" spans="1:24" ht="15.6" x14ac:dyDescent="0.3">
      <c r="A179" s="173"/>
      <c r="B179" s="174"/>
      <c r="C179" s="174"/>
      <c r="D179" s="174"/>
      <c r="E179" s="174"/>
      <c r="F179" s="174"/>
      <c r="G179" s="174"/>
      <c r="H179" s="174"/>
      <c r="I179" s="174"/>
      <c r="J179" s="174"/>
      <c r="K179" s="174"/>
      <c r="L179" s="174"/>
      <c r="M179" s="174"/>
      <c r="N179" s="174"/>
      <c r="O179" s="174"/>
      <c r="P179" s="174"/>
      <c r="Q179" s="174"/>
      <c r="R179" s="174"/>
      <c r="S179" s="174"/>
      <c r="T179" s="174"/>
      <c r="U179" s="174"/>
      <c r="V179" s="195"/>
      <c r="W179" s="174"/>
      <c r="X179" s="5"/>
    </row>
    <row r="180" spans="1:24" ht="15.6" x14ac:dyDescent="0.3">
      <c r="A180" s="175"/>
      <c r="B180" s="203" t="s">
        <v>59</v>
      </c>
      <c r="C180" s="200"/>
      <c r="D180" s="200"/>
      <c r="E180" s="200"/>
      <c r="F180" s="200"/>
      <c r="G180" s="200"/>
      <c r="H180" s="205"/>
      <c r="I180" s="205"/>
      <c r="J180" s="205"/>
      <c r="K180" s="205"/>
      <c r="L180" s="205"/>
      <c r="M180" s="205"/>
      <c r="N180" s="205"/>
      <c r="O180" s="205"/>
      <c r="P180" s="205"/>
      <c r="Q180" s="205"/>
      <c r="R180" s="205"/>
      <c r="S180" s="205" t="s">
        <v>102</v>
      </c>
      <c r="T180" s="205" t="s">
        <v>179</v>
      </c>
      <c r="U180" s="179"/>
      <c r="V180" s="206" t="s">
        <v>117</v>
      </c>
      <c r="W180" s="207"/>
      <c r="X180" s="5"/>
    </row>
    <row r="181" spans="1:24" ht="15.6" x14ac:dyDescent="0.3">
      <c r="A181" s="271"/>
      <c r="B181" s="272" t="s">
        <v>60</v>
      </c>
      <c r="C181" s="272"/>
      <c r="D181" s="272"/>
      <c r="E181" s="272"/>
      <c r="F181" s="272"/>
      <c r="G181" s="272"/>
      <c r="H181" s="272"/>
      <c r="I181" s="272"/>
      <c r="J181" s="272"/>
      <c r="K181" s="272"/>
      <c r="L181" s="272"/>
      <c r="M181" s="272"/>
      <c r="N181" s="272"/>
      <c r="O181" s="272"/>
      <c r="P181" s="272"/>
      <c r="Q181" s="272"/>
      <c r="R181" s="272"/>
      <c r="S181" s="325">
        <f>+V34*0.16</f>
        <v>240030.4</v>
      </c>
      <c r="T181" s="311"/>
      <c r="U181" s="272"/>
      <c r="V181" s="325"/>
      <c r="W181" s="275"/>
      <c r="X181" s="5"/>
    </row>
    <row r="182" spans="1:24" ht="15.6" x14ac:dyDescent="0.3">
      <c r="A182" s="271"/>
      <c r="B182" s="272" t="s">
        <v>61</v>
      </c>
      <c r="C182" s="272"/>
      <c r="D182" s="272"/>
      <c r="E182" s="272"/>
      <c r="F182" s="272"/>
      <c r="G182" s="272"/>
      <c r="H182" s="272"/>
      <c r="I182" s="272"/>
      <c r="J182" s="272"/>
      <c r="K182" s="272"/>
      <c r="L182" s="272"/>
      <c r="M182" s="272"/>
      <c r="N182" s="272"/>
      <c r="O182" s="272"/>
      <c r="P182" s="272"/>
      <c r="Q182" s="272"/>
      <c r="R182" s="272"/>
      <c r="S182" s="325">
        <f>+'March 13'!S184</f>
        <v>47388</v>
      </c>
      <c r="T182" s="325">
        <f>+'March 13'!T184</f>
        <v>9723</v>
      </c>
      <c r="U182" s="272"/>
      <c r="V182" s="325">
        <f>S182+T182</f>
        <v>57111</v>
      </c>
      <c r="W182" s="275"/>
      <c r="X182" s="5"/>
    </row>
    <row r="183" spans="1:24" ht="15.6" x14ac:dyDescent="0.3">
      <c r="A183" s="271"/>
      <c r="B183" s="272" t="s">
        <v>62</v>
      </c>
      <c r="C183" s="272"/>
      <c r="D183" s="272"/>
      <c r="E183" s="272"/>
      <c r="F183" s="272"/>
      <c r="G183" s="272"/>
      <c r="H183" s="272"/>
      <c r="I183" s="272"/>
      <c r="J183" s="272"/>
      <c r="K183" s="272"/>
      <c r="L183" s="272"/>
      <c r="M183" s="272"/>
      <c r="N183" s="272"/>
      <c r="O183" s="272"/>
      <c r="P183" s="272"/>
      <c r="Q183" s="272"/>
      <c r="R183" s="272"/>
      <c r="S183" s="324">
        <v>298</v>
      </c>
      <c r="T183" s="324">
        <v>0</v>
      </c>
      <c r="U183" s="272"/>
      <c r="V183" s="325">
        <f>S183+T183</f>
        <v>298</v>
      </c>
      <c r="W183" s="275"/>
      <c r="X183" s="5"/>
    </row>
    <row r="184" spans="1:24" ht="15.6" x14ac:dyDescent="0.3">
      <c r="A184" s="271"/>
      <c r="B184" s="272" t="s">
        <v>63</v>
      </c>
      <c r="C184" s="272"/>
      <c r="D184" s="272"/>
      <c r="E184" s="272"/>
      <c r="F184" s="272"/>
      <c r="G184" s="272"/>
      <c r="H184" s="272"/>
      <c r="I184" s="272"/>
      <c r="J184" s="272"/>
      <c r="K184" s="272"/>
      <c r="L184" s="272"/>
      <c r="M184" s="272"/>
      <c r="N184" s="272"/>
      <c r="O184" s="272"/>
      <c r="P184" s="272"/>
      <c r="Q184" s="272"/>
      <c r="R184" s="272"/>
      <c r="S184" s="325">
        <f>+S182+S183</f>
        <v>47686</v>
      </c>
      <c r="T184" s="325">
        <f>T183+T182</f>
        <v>9723</v>
      </c>
      <c r="U184" s="272"/>
      <c r="V184" s="325">
        <f>S184+T184</f>
        <v>57409</v>
      </c>
      <c r="W184" s="275"/>
      <c r="X184" s="5"/>
    </row>
    <row r="185" spans="1:24" ht="15.6" x14ac:dyDescent="0.3">
      <c r="A185" s="271"/>
      <c r="B185" s="272" t="s">
        <v>64</v>
      </c>
      <c r="C185" s="272"/>
      <c r="D185" s="272"/>
      <c r="E185" s="272"/>
      <c r="F185" s="272"/>
      <c r="G185" s="272"/>
      <c r="H185" s="272"/>
      <c r="I185" s="272"/>
      <c r="J185" s="272"/>
      <c r="K185" s="272"/>
      <c r="L185" s="272"/>
      <c r="M185" s="272"/>
      <c r="N185" s="272"/>
      <c r="O185" s="272"/>
      <c r="P185" s="272"/>
      <c r="Q185" s="272"/>
      <c r="R185" s="272"/>
      <c r="S185" s="325">
        <f>S181-S184-T184</f>
        <v>182621.4</v>
      </c>
      <c r="T185" s="311"/>
      <c r="U185" s="272"/>
      <c r="V185" s="325"/>
      <c r="W185" s="275"/>
      <c r="X185" s="5"/>
    </row>
    <row r="186" spans="1:24" ht="16.2" thickBot="1" x14ac:dyDescent="0.35">
      <c r="A186" s="175"/>
      <c r="B186" s="321"/>
      <c r="C186" s="321"/>
      <c r="D186" s="321"/>
      <c r="E186" s="321"/>
      <c r="F186" s="321"/>
      <c r="G186" s="321"/>
      <c r="H186" s="321"/>
      <c r="I186" s="321"/>
      <c r="J186" s="321"/>
      <c r="K186" s="321"/>
      <c r="L186" s="321"/>
      <c r="M186" s="321"/>
      <c r="N186" s="321"/>
      <c r="O186" s="321"/>
      <c r="P186" s="321"/>
      <c r="Q186" s="321"/>
      <c r="R186" s="321"/>
      <c r="S186" s="321"/>
      <c r="T186" s="321"/>
      <c r="U186" s="321"/>
      <c r="V186" s="340"/>
      <c r="W186" s="321"/>
      <c r="X186" s="5"/>
    </row>
    <row r="187" spans="1:24" ht="15.6" x14ac:dyDescent="0.3">
      <c r="A187" s="173"/>
      <c r="B187" s="174"/>
      <c r="C187" s="174"/>
      <c r="D187" s="174"/>
      <c r="E187" s="174"/>
      <c r="F187" s="174"/>
      <c r="G187" s="174"/>
      <c r="H187" s="174"/>
      <c r="I187" s="174"/>
      <c r="J187" s="174"/>
      <c r="K187" s="174"/>
      <c r="L187" s="174"/>
      <c r="M187" s="174"/>
      <c r="N187" s="174"/>
      <c r="O187" s="174"/>
      <c r="P187" s="174"/>
      <c r="Q187" s="174"/>
      <c r="R187" s="174"/>
      <c r="S187" s="174"/>
      <c r="T187" s="174"/>
      <c r="U187" s="174"/>
      <c r="V187" s="195"/>
      <c r="W187" s="174"/>
      <c r="X187" s="5"/>
    </row>
    <row r="188" spans="1:24" ht="15.6" x14ac:dyDescent="0.3">
      <c r="A188" s="175"/>
      <c r="B188" s="203" t="s">
        <v>65</v>
      </c>
      <c r="C188" s="177"/>
      <c r="D188" s="177"/>
      <c r="E188" s="177"/>
      <c r="F188" s="177"/>
      <c r="G188" s="177"/>
      <c r="H188" s="177"/>
      <c r="I188" s="177"/>
      <c r="J188" s="177"/>
      <c r="K188" s="177"/>
      <c r="L188" s="177"/>
      <c r="M188" s="177"/>
      <c r="N188" s="177"/>
      <c r="O188" s="177"/>
      <c r="P188" s="177"/>
      <c r="Q188" s="177"/>
      <c r="R188" s="177"/>
      <c r="S188" s="177"/>
      <c r="T188" s="177"/>
      <c r="U188" s="177"/>
      <c r="V188" s="208"/>
      <c r="W188" s="177"/>
      <c r="X188" s="5"/>
    </row>
    <row r="189" spans="1:24" ht="15.6" x14ac:dyDescent="0.3">
      <c r="A189" s="271"/>
      <c r="B189" s="272" t="s">
        <v>66</v>
      </c>
      <c r="C189" s="272"/>
      <c r="D189" s="272"/>
      <c r="E189" s="272"/>
      <c r="F189" s="272"/>
      <c r="G189" s="272"/>
      <c r="H189" s="272"/>
      <c r="I189" s="272"/>
      <c r="J189" s="272"/>
      <c r="K189" s="272"/>
      <c r="L189" s="272"/>
      <c r="M189" s="272"/>
      <c r="N189" s="272"/>
      <c r="O189" s="272"/>
      <c r="P189" s="272"/>
      <c r="Q189" s="272"/>
      <c r="R189" s="272"/>
      <c r="S189" s="272"/>
      <c r="T189" s="272"/>
      <c r="U189" s="272"/>
      <c r="V189" s="341">
        <f>(V100+V102+V103+V104+V105)/-(V106+V107)</f>
        <v>3.7717250324254215</v>
      </c>
      <c r="W189" s="275" t="s">
        <v>118</v>
      </c>
      <c r="X189" s="5"/>
    </row>
    <row r="190" spans="1:24" ht="15.6" x14ac:dyDescent="0.3">
      <c r="A190" s="271"/>
      <c r="B190" s="272" t="s">
        <v>67</v>
      </c>
      <c r="C190" s="272"/>
      <c r="D190" s="272"/>
      <c r="E190" s="272"/>
      <c r="F190" s="272"/>
      <c r="G190" s="272"/>
      <c r="H190" s="272"/>
      <c r="I190" s="272"/>
      <c r="J190" s="272"/>
      <c r="K190" s="272"/>
      <c r="L190" s="272"/>
      <c r="M190" s="272"/>
      <c r="N190" s="272"/>
      <c r="O190" s="272"/>
      <c r="P190" s="272"/>
      <c r="Q190" s="272"/>
      <c r="R190" s="272"/>
      <c r="S190" s="272"/>
      <c r="T190" s="272"/>
      <c r="U190" s="272"/>
      <c r="V190" s="346">
        <v>1.68</v>
      </c>
      <c r="W190" s="275" t="s">
        <v>118</v>
      </c>
      <c r="X190" s="5"/>
    </row>
    <row r="191" spans="1:24" ht="15.6" x14ac:dyDescent="0.3">
      <c r="A191" s="271"/>
      <c r="B191" s="272" t="s">
        <v>68</v>
      </c>
      <c r="C191" s="272"/>
      <c r="D191" s="272"/>
      <c r="E191" s="272"/>
      <c r="F191" s="272"/>
      <c r="G191" s="272"/>
      <c r="H191" s="272"/>
      <c r="I191" s="272"/>
      <c r="J191" s="272"/>
      <c r="K191" s="272"/>
      <c r="L191" s="272"/>
      <c r="M191" s="272"/>
      <c r="N191" s="272"/>
      <c r="O191" s="272"/>
      <c r="P191" s="272"/>
      <c r="Q191" s="272"/>
      <c r="R191" s="272"/>
      <c r="S191" s="272"/>
      <c r="T191" s="272"/>
      <c r="U191" s="272"/>
      <c r="V191" s="341">
        <f>(V100+V102+V103+V104+V105+V106+V107)/-(V109+V110)</f>
        <v>16.6953125</v>
      </c>
      <c r="W191" s="275" t="s">
        <v>118</v>
      </c>
      <c r="X191" s="5"/>
    </row>
    <row r="192" spans="1:24" ht="15.6" x14ac:dyDescent="0.3">
      <c r="A192" s="271"/>
      <c r="B192" s="272" t="s">
        <v>69</v>
      </c>
      <c r="C192" s="272"/>
      <c r="D192" s="272"/>
      <c r="E192" s="272"/>
      <c r="F192" s="272"/>
      <c r="G192" s="272"/>
      <c r="H192" s="272"/>
      <c r="I192" s="272"/>
      <c r="J192" s="272"/>
      <c r="K192" s="272"/>
      <c r="L192" s="272"/>
      <c r="M192" s="272"/>
      <c r="N192" s="272"/>
      <c r="O192" s="272"/>
      <c r="P192" s="272"/>
      <c r="Q192" s="272"/>
      <c r="R192" s="272"/>
      <c r="S192" s="272"/>
      <c r="T192" s="272"/>
      <c r="U192" s="272"/>
      <c r="V192" s="346">
        <v>6.34</v>
      </c>
      <c r="W192" s="275" t="s">
        <v>118</v>
      </c>
      <c r="X192" s="5"/>
    </row>
    <row r="193" spans="1:24" ht="15.6" x14ac:dyDescent="0.3">
      <c r="A193" s="271"/>
      <c r="B193" s="272" t="s">
        <v>201</v>
      </c>
      <c r="C193" s="272"/>
      <c r="D193" s="272"/>
      <c r="E193" s="272"/>
      <c r="F193" s="272"/>
      <c r="G193" s="272"/>
      <c r="H193" s="272"/>
      <c r="I193" s="272"/>
      <c r="J193" s="272"/>
      <c r="K193" s="272"/>
      <c r="L193" s="272"/>
      <c r="M193" s="272"/>
      <c r="N193" s="272"/>
      <c r="O193" s="272"/>
      <c r="P193" s="272"/>
      <c r="Q193" s="272"/>
      <c r="R193" s="272"/>
      <c r="S193" s="272"/>
      <c r="T193" s="272"/>
      <c r="U193" s="272"/>
      <c r="V193" s="341">
        <f>(V100+V102+V103+V104+V105+V106+V107+V109+V110)/-(V111+V112)</f>
        <v>17.9375</v>
      </c>
      <c r="W193" s="275" t="s">
        <v>118</v>
      </c>
      <c r="X193" s="5"/>
    </row>
    <row r="194" spans="1:24" ht="15.6" x14ac:dyDescent="0.3">
      <c r="A194" s="271"/>
      <c r="B194" s="272" t="s">
        <v>202</v>
      </c>
      <c r="C194" s="272"/>
      <c r="D194" s="272"/>
      <c r="E194" s="272"/>
      <c r="F194" s="272"/>
      <c r="G194" s="272"/>
      <c r="H194" s="272"/>
      <c r="I194" s="272"/>
      <c r="J194" s="272"/>
      <c r="K194" s="272"/>
      <c r="L194" s="272"/>
      <c r="M194" s="272"/>
      <c r="N194" s="272"/>
      <c r="O194" s="272"/>
      <c r="P194" s="272"/>
      <c r="Q194" s="272"/>
      <c r="R194" s="272"/>
      <c r="S194" s="272"/>
      <c r="T194" s="272"/>
      <c r="U194" s="272"/>
      <c r="V194" s="346">
        <v>8.1199999999999992</v>
      </c>
      <c r="W194" s="275" t="s">
        <v>118</v>
      </c>
      <c r="X194" s="5"/>
    </row>
    <row r="195" spans="1:24" ht="15.6" x14ac:dyDescent="0.3">
      <c r="A195" s="271"/>
      <c r="B195" s="298"/>
      <c r="C195" s="298"/>
      <c r="D195" s="298"/>
      <c r="E195" s="298"/>
      <c r="F195" s="298"/>
      <c r="G195" s="298"/>
      <c r="H195" s="298"/>
      <c r="I195" s="298"/>
      <c r="J195" s="298"/>
      <c r="K195" s="298"/>
      <c r="L195" s="298"/>
      <c r="M195" s="298"/>
      <c r="N195" s="298"/>
      <c r="O195" s="298"/>
      <c r="P195" s="298"/>
      <c r="Q195" s="298"/>
      <c r="R195" s="298"/>
      <c r="S195" s="298"/>
      <c r="T195" s="298"/>
      <c r="U195" s="298"/>
      <c r="V195" s="298"/>
      <c r="W195" s="304"/>
      <c r="X195" s="5"/>
    </row>
    <row r="196" spans="1:24" ht="15.6" x14ac:dyDescent="0.3">
      <c r="A196" s="175"/>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5"/>
    </row>
    <row r="197" spans="1:24" ht="15.6" x14ac:dyDescent="0.3">
      <c r="A197" s="175"/>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5"/>
    </row>
    <row r="198" spans="1:24" ht="18" thickBot="1" x14ac:dyDescent="0.35">
      <c r="A198" s="194"/>
      <c r="B198" s="234" t="str">
        <f>B138</f>
        <v>PM13 INVESTOR REPORT QUARTER ENDING JUNE 2013</v>
      </c>
      <c r="C198" s="209"/>
      <c r="D198" s="209"/>
      <c r="E198" s="209"/>
      <c r="F198" s="209"/>
      <c r="G198" s="209"/>
      <c r="H198" s="209"/>
      <c r="I198" s="209"/>
      <c r="J198" s="209"/>
      <c r="K198" s="209"/>
      <c r="L198" s="209"/>
      <c r="M198" s="209"/>
      <c r="N198" s="209"/>
      <c r="O198" s="209"/>
      <c r="P198" s="209"/>
      <c r="Q198" s="209"/>
      <c r="R198" s="209"/>
      <c r="S198" s="209"/>
      <c r="T198" s="209"/>
      <c r="U198" s="209"/>
      <c r="V198" s="209"/>
      <c r="W198" s="210"/>
      <c r="X198" s="5"/>
    </row>
    <row r="199" spans="1:24" ht="15.6" x14ac:dyDescent="0.3">
      <c r="A199" s="246"/>
      <c r="B199" s="388" t="s">
        <v>70</v>
      </c>
      <c r="C199" s="249"/>
      <c r="D199" s="249"/>
      <c r="E199" s="249"/>
      <c r="F199" s="249"/>
      <c r="G199" s="250"/>
      <c r="H199" s="250"/>
      <c r="I199" s="250"/>
      <c r="J199" s="250"/>
      <c r="K199" s="250"/>
      <c r="L199" s="250"/>
      <c r="M199" s="250"/>
      <c r="N199" s="250"/>
      <c r="O199" s="250"/>
      <c r="P199" s="250"/>
      <c r="Q199" s="250"/>
      <c r="R199" s="250"/>
      <c r="S199" s="250"/>
      <c r="T199" s="250">
        <v>41453</v>
      </c>
      <c r="U199" s="247"/>
      <c r="V199" s="247"/>
      <c r="W199" s="247"/>
      <c r="X199" s="5"/>
    </row>
    <row r="200" spans="1:24" ht="15.6" x14ac:dyDescent="0.3">
      <c r="A200" s="211"/>
      <c r="B200" s="212"/>
      <c r="C200" s="213"/>
      <c r="D200" s="213"/>
      <c r="E200" s="213"/>
      <c r="F200" s="213"/>
      <c r="G200" s="214"/>
      <c r="H200" s="214"/>
      <c r="I200" s="214"/>
      <c r="J200" s="214"/>
      <c r="K200" s="214"/>
      <c r="L200" s="214"/>
      <c r="M200" s="214"/>
      <c r="N200" s="214"/>
      <c r="O200" s="214"/>
      <c r="P200" s="214"/>
      <c r="Q200" s="214"/>
      <c r="R200" s="214"/>
      <c r="S200" s="214"/>
      <c r="T200" s="214"/>
      <c r="U200" s="177"/>
      <c r="V200" s="177"/>
      <c r="W200" s="177"/>
      <c r="X200" s="5"/>
    </row>
    <row r="201" spans="1:24" ht="15.6" x14ac:dyDescent="0.3">
      <c r="A201" s="349"/>
      <c r="B201" s="272" t="s">
        <v>71</v>
      </c>
      <c r="C201" s="350"/>
      <c r="D201" s="350"/>
      <c r="E201" s="350"/>
      <c r="F201" s="350"/>
      <c r="G201" s="316"/>
      <c r="H201" s="316"/>
      <c r="I201" s="316"/>
      <c r="J201" s="316"/>
      <c r="K201" s="316"/>
      <c r="L201" s="316"/>
      <c r="M201" s="316"/>
      <c r="N201" s="316"/>
      <c r="O201" s="316"/>
      <c r="P201" s="316"/>
      <c r="Q201" s="316"/>
      <c r="R201" s="316"/>
      <c r="S201" s="316"/>
      <c r="T201" s="307">
        <v>5.4539999999999998E-2</v>
      </c>
      <c r="U201" s="272"/>
      <c r="V201" s="272"/>
      <c r="W201" s="275"/>
      <c r="X201" s="5"/>
    </row>
    <row r="202" spans="1:24" ht="15.6" x14ac:dyDescent="0.3">
      <c r="A202" s="349"/>
      <c r="B202" s="272" t="s">
        <v>154</v>
      </c>
      <c r="C202" s="350"/>
      <c r="D202" s="350"/>
      <c r="E202" s="350"/>
      <c r="F202" s="350"/>
      <c r="G202" s="316"/>
      <c r="H202" s="316"/>
      <c r="I202" s="316"/>
      <c r="J202" s="316"/>
      <c r="K202" s="316"/>
      <c r="L202" s="316"/>
      <c r="M202" s="316"/>
      <c r="N202" s="316"/>
      <c r="O202" s="316"/>
      <c r="P202" s="316"/>
      <c r="Q202" s="316"/>
      <c r="R202" s="316"/>
      <c r="S202" s="316"/>
      <c r="T202" s="307">
        <f>'Dec 06'!T199</f>
        <v>5.238600504269459E-2</v>
      </c>
      <c r="U202" s="272"/>
      <c r="V202" s="272"/>
      <c r="W202" s="275"/>
      <c r="X202" s="5"/>
    </row>
    <row r="203" spans="1:24" ht="15.6" x14ac:dyDescent="0.3">
      <c r="A203" s="349"/>
      <c r="B203" s="272" t="s">
        <v>72</v>
      </c>
      <c r="C203" s="350"/>
      <c r="D203" s="350"/>
      <c r="E203" s="350"/>
      <c r="F203" s="350"/>
      <c r="G203" s="316"/>
      <c r="H203" s="316"/>
      <c r="I203" s="316"/>
      <c r="J203" s="316"/>
      <c r="K203" s="316"/>
      <c r="L203" s="316"/>
      <c r="M203" s="316"/>
      <c r="N203" s="316"/>
      <c r="O203" s="316"/>
      <c r="P203" s="316"/>
      <c r="Q203" s="316"/>
      <c r="R203" s="316"/>
      <c r="S203" s="316"/>
      <c r="T203" s="307">
        <f>+T201-T202</f>
        <v>2.1539949573054079E-3</v>
      </c>
      <c r="U203" s="272"/>
      <c r="V203" s="272"/>
      <c r="W203" s="275"/>
      <c r="X203" s="5"/>
    </row>
    <row r="204" spans="1:24" ht="15.6" x14ac:dyDescent="0.3">
      <c r="A204" s="349"/>
      <c r="B204" s="272" t="s">
        <v>73</v>
      </c>
      <c r="C204" s="350"/>
      <c r="D204" s="350"/>
      <c r="E204" s="350"/>
      <c r="F204" s="350"/>
      <c r="G204" s="316"/>
      <c r="H204" s="316"/>
      <c r="I204" s="316"/>
      <c r="J204" s="316"/>
      <c r="K204" s="316"/>
      <c r="L204" s="316"/>
      <c r="M204" s="316"/>
      <c r="N204" s="316"/>
      <c r="O204" s="316"/>
      <c r="P204" s="316"/>
      <c r="Q204" s="316"/>
      <c r="R204" s="316"/>
      <c r="S204" s="316"/>
      <c r="T204" s="307">
        <v>2.2689999999999998E-2</v>
      </c>
      <c r="U204" s="272"/>
      <c r="V204" s="272"/>
      <c r="W204" s="275"/>
      <c r="X204" s="5"/>
    </row>
    <row r="205" spans="1:24" ht="15.6" x14ac:dyDescent="0.3">
      <c r="A205" s="349"/>
      <c r="B205" s="272" t="s">
        <v>222</v>
      </c>
      <c r="C205" s="350"/>
      <c r="D205" s="350"/>
      <c r="E205" s="350"/>
      <c r="F205" s="350"/>
      <c r="G205" s="316"/>
      <c r="H205" s="316"/>
      <c r="I205" s="316"/>
      <c r="J205" s="316"/>
      <c r="K205" s="316"/>
      <c r="L205" s="316"/>
      <c r="M205" s="316"/>
      <c r="N205" s="316"/>
      <c r="O205" s="316"/>
      <c r="P205" s="316"/>
      <c r="Q205" s="316"/>
      <c r="R205" s="316"/>
      <c r="S205" s="316"/>
      <c r="T205" s="307">
        <f>V43</f>
        <v>8.2768961361231134E-3</v>
      </c>
      <c r="U205" s="272"/>
      <c r="V205" s="272"/>
      <c r="W205" s="275"/>
      <c r="X205" s="5"/>
    </row>
    <row r="206" spans="1:24" ht="15.6" x14ac:dyDescent="0.3">
      <c r="A206" s="349"/>
      <c r="B206" s="272" t="s">
        <v>74</v>
      </c>
      <c r="C206" s="350"/>
      <c r="D206" s="350"/>
      <c r="E206" s="350"/>
      <c r="F206" s="350"/>
      <c r="G206" s="316"/>
      <c r="H206" s="316"/>
      <c r="I206" s="316"/>
      <c r="J206" s="316"/>
      <c r="K206" s="316"/>
      <c r="L206" s="316"/>
      <c r="M206" s="316"/>
      <c r="N206" s="316"/>
      <c r="O206" s="316"/>
      <c r="P206" s="316"/>
      <c r="Q206" s="316"/>
      <c r="R206" s="316"/>
      <c r="S206" s="316"/>
      <c r="T206" s="307">
        <f>T204-T205</f>
        <v>1.4413103863876885E-2</v>
      </c>
      <c r="U206" s="272"/>
      <c r="V206" s="272"/>
      <c r="W206" s="275"/>
      <c r="X206" s="5"/>
    </row>
    <row r="207" spans="1:24" ht="15.6" x14ac:dyDescent="0.3">
      <c r="A207" s="349"/>
      <c r="B207" s="272" t="s">
        <v>274</v>
      </c>
      <c r="C207" s="350"/>
      <c r="D207" s="350"/>
      <c r="E207" s="350"/>
      <c r="F207" s="350"/>
      <c r="G207" s="316"/>
      <c r="H207" s="316"/>
      <c r="I207" s="316"/>
      <c r="J207" s="316"/>
      <c r="K207" s="316"/>
      <c r="L207" s="316"/>
      <c r="M207" s="316"/>
      <c r="N207" s="316"/>
      <c r="O207" s="316"/>
      <c r="P207" s="316"/>
      <c r="Q207" s="316"/>
      <c r="R207" s="316"/>
      <c r="S207" s="316"/>
      <c r="T207" s="307">
        <f>+V100/N71</f>
        <v>6.632725937111025E-3</v>
      </c>
      <c r="U207" s="272"/>
      <c r="V207" s="272"/>
      <c r="W207" s="275"/>
      <c r="X207" s="5"/>
    </row>
    <row r="208" spans="1:24" ht="15.6" x14ac:dyDescent="0.3">
      <c r="A208" s="349"/>
      <c r="B208" s="272" t="s">
        <v>211</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212</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213</v>
      </c>
      <c r="C210" s="350"/>
      <c r="D210" s="350"/>
      <c r="E210" s="350"/>
      <c r="F210" s="350"/>
      <c r="G210" s="316"/>
      <c r="H210" s="316"/>
      <c r="I210" s="316"/>
      <c r="J210" s="316"/>
      <c r="K210" s="316"/>
      <c r="L210" s="316"/>
      <c r="M210" s="316"/>
      <c r="N210" s="316"/>
      <c r="O210" s="316"/>
      <c r="P210" s="316"/>
      <c r="Q210" s="316"/>
      <c r="R210" s="316"/>
      <c r="S210" s="316"/>
      <c r="T210" s="351">
        <v>50771</v>
      </c>
      <c r="U210" s="272"/>
      <c r="V210" s="272"/>
      <c r="W210" s="275"/>
      <c r="X210" s="5"/>
    </row>
    <row r="211" spans="1:24" ht="15.6" x14ac:dyDescent="0.3">
      <c r="A211" s="349"/>
      <c r="B211" s="272" t="s">
        <v>75</v>
      </c>
      <c r="C211" s="350"/>
      <c r="D211" s="350"/>
      <c r="E211" s="350"/>
      <c r="F211" s="350"/>
      <c r="G211" s="316"/>
      <c r="H211" s="316"/>
      <c r="I211" s="316"/>
      <c r="J211" s="316"/>
      <c r="K211" s="316"/>
      <c r="L211" s="316"/>
      <c r="M211" s="316"/>
      <c r="N211" s="316"/>
      <c r="O211" s="316"/>
      <c r="P211" s="316"/>
      <c r="Q211" s="316"/>
      <c r="R211" s="316"/>
      <c r="S211" s="316"/>
      <c r="T211" s="313">
        <v>20.66</v>
      </c>
      <c r="U211" s="272" t="s">
        <v>113</v>
      </c>
      <c r="V211" s="272"/>
      <c r="W211" s="275"/>
      <c r="X211" s="5"/>
    </row>
    <row r="212" spans="1:24" ht="15.6" x14ac:dyDescent="0.3">
      <c r="A212" s="349"/>
      <c r="B212" s="272" t="s">
        <v>76</v>
      </c>
      <c r="C212" s="350"/>
      <c r="D212" s="350"/>
      <c r="E212" s="350"/>
      <c r="F212" s="350"/>
      <c r="G212" s="316"/>
      <c r="H212" s="316"/>
      <c r="I212" s="316"/>
      <c r="J212" s="316"/>
      <c r="K212" s="316"/>
      <c r="L212" s="316"/>
      <c r="M212" s="316"/>
      <c r="N212" s="316"/>
      <c r="O212" s="316"/>
      <c r="P212" s="316"/>
      <c r="Q212" s="316"/>
      <c r="R212" s="316"/>
      <c r="S212" s="316"/>
      <c r="T212" s="313">
        <v>14.46</v>
      </c>
      <c r="U212" s="272" t="s">
        <v>113</v>
      </c>
      <c r="V212" s="272"/>
      <c r="W212" s="275"/>
      <c r="X212" s="5"/>
    </row>
    <row r="213" spans="1:24" ht="15.6" x14ac:dyDescent="0.3">
      <c r="A213" s="349"/>
      <c r="B213" s="272" t="s">
        <v>77</v>
      </c>
      <c r="C213" s="350"/>
      <c r="D213" s="350"/>
      <c r="E213" s="350"/>
      <c r="F213" s="350"/>
      <c r="G213" s="316"/>
      <c r="H213" s="316"/>
      <c r="I213" s="316"/>
      <c r="J213" s="316"/>
      <c r="K213" s="316"/>
      <c r="L213" s="316"/>
      <c r="M213" s="316"/>
      <c r="N213" s="316"/>
      <c r="O213" s="316"/>
      <c r="P213" s="316"/>
      <c r="Q213" s="316"/>
      <c r="R213" s="316"/>
      <c r="S213" s="316"/>
      <c r="T213" s="307">
        <f>P68/N68</f>
        <v>6.4011263697022871E-3</v>
      </c>
      <c r="U213" s="272"/>
      <c r="V213" s="272"/>
      <c r="W213" s="275"/>
      <c r="X213" s="5"/>
    </row>
    <row r="214" spans="1:24" ht="15.6" x14ac:dyDescent="0.3">
      <c r="A214" s="349"/>
      <c r="B214" s="272" t="s">
        <v>78</v>
      </c>
      <c r="C214" s="350"/>
      <c r="D214" s="350"/>
      <c r="E214" s="350"/>
      <c r="F214" s="350"/>
      <c r="G214" s="316"/>
      <c r="H214" s="316"/>
      <c r="I214" s="316"/>
      <c r="J214" s="316"/>
      <c r="K214" s="316"/>
      <c r="L214" s="316"/>
      <c r="M214" s="316"/>
      <c r="N214" s="316"/>
      <c r="O214" s="316"/>
      <c r="P214" s="316"/>
      <c r="Q214" s="316"/>
      <c r="R214" s="316"/>
      <c r="S214" s="316"/>
      <c r="T214" s="307">
        <v>7.1900000000000006E-2</v>
      </c>
      <c r="U214" s="272"/>
      <c r="V214" s="272"/>
      <c r="W214" s="275"/>
      <c r="X214" s="5"/>
    </row>
    <row r="215" spans="1:24" ht="15.6" x14ac:dyDescent="0.3">
      <c r="A215" s="211"/>
      <c r="B215" s="347"/>
      <c r="C215" s="347"/>
      <c r="D215" s="347"/>
      <c r="E215" s="347"/>
      <c r="F215" s="347"/>
      <c r="G215" s="321"/>
      <c r="H215" s="321"/>
      <c r="I215" s="321"/>
      <c r="J215" s="321"/>
      <c r="K215" s="321"/>
      <c r="L215" s="321"/>
      <c r="M215" s="321"/>
      <c r="N215" s="321"/>
      <c r="O215" s="321"/>
      <c r="P215" s="321"/>
      <c r="Q215" s="321"/>
      <c r="R215" s="321"/>
      <c r="S215" s="321"/>
      <c r="T215" s="340"/>
      <c r="U215" s="321"/>
      <c r="V215" s="348"/>
      <c r="W215" s="321"/>
      <c r="X215" s="5"/>
    </row>
    <row r="216" spans="1:24" ht="15.6" x14ac:dyDescent="0.3">
      <c r="A216" s="215"/>
      <c r="B216" s="219" t="s">
        <v>79</v>
      </c>
      <c r="C216" s="224"/>
      <c r="D216" s="224"/>
      <c r="E216" s="224"/>
      <c r="F216" s="251"/>
      <c r="G216" s="224"/>
      <c r="H216" s="224"/>
      <c r="I216" s="224"/>
      <c r="J216" s="224"/>
      <c r="K216" s="224"/>
      <c r="L216" s="224"/>
      <c r="M216" s="224"/>
      <c r="N216" s="224"/>
      <c r="O216" s="224"/>
      <c r="P216" s="224"/>
      <c r="Q216" s="224"/>
      <c r="R216" s="224"/>
      <c r="S216" s="224" t="s">
        <v>103</v>
      </c>
      <c r="T216" s="251" t="s">
        <v>110</v>
      </c>
      <c r="U216" s="220"/>
      <c r="V216" s="220"/>
      <c r="W216" s="220"/>
      <c r="X216" s="5"/>
    </row>
    <row r="217" spans="1:24" ht="15.6" x14ac:dyDescent="0.3">
      <c r="A217" s="356"/>
      <c r="B217" s="272" t="s">
        <v>80</v>
      </c>
      <c r="C217" s="324"/>
      <c r="D217" s="324"/>
      <c r="E217" s="324"/>
      <c r="F217" s="272"/>
      <c r="G217" s="272"/>
      <c r="H217" s="280"/>
      <c r="I217" s="280"/>
      <c r="J217" s="280"/>
      <c r="K217" s="280"/>
      <c r="L217" s="280"/>
      <c r="M217" s="280"/>
      <c r="N217" s="280"/>
      <c r="O217" s="280"/>
      <c r="P217" s="280"/>
      <c r="Q217" s="280"/>
      <c r="R217" s="280"/>
      <c r="S217" s="280">
        <v>3</v>
      </c>
      <c r="T217" s="357">
        <v>645</v>
      </c>
      <c r="U217" s="272"/>
      <c r="V217" s="358"/>
      <c r="W217" s="359"/>
      <c r="X217" s="5"/>
    </row>
    <row r="218" spans="1:24" ht="15.6" x14ac:dyDescent="0.3">
      <c r="A218" s="356"/>
      <c r="B218" s="272" t="s">
        <v>148</v>
      </c>
      <c r="C218" s="324"/>
      <c r="D218" s="324"/>
      <c r="E218" s="324"/>
      <c r="F218" s="272"/>
      <c r="G218" s="272"/>
      <c r="H218" s="280"/>
      <c r="I218" s="280"/>
      <c r="J218" s="280"/>
      <c r="K218" s="280"/>
      <c r="L218" s="280"/>
      <c r="M218" s="280"/>
      <c r="N218" s="280"/>
      <c r="O218" s="280"/>
      <c r="P218" s="280"/>
      <c r="Q218" s="280"/>
      <c r="R218" s="280"/>
      <c r="S218" s="360">
        <f>+R270</f>
        <v>172</v>
      </c>
      <c r="T218" s="357">
        <f>+T270</f>
        <v>26696</v>
      </c>
      <c r="U218" s="272"/>
      <c r="V218" s="358"/>
      <c r="W218" s="359"/>
      <c r="X218" s="5"/>
    </row>
    <row r="219" spans="1:24" ht="15.6" x14ac:dyDescent="0.3">
      <c r="A219" s="356"/>
      <c r="B219" s="272" t="s">
        <v>81</v>
      </c>
      <c r="C219" s="324"/>
      <c r="D219" s="324"/>
      <c r="E219" s="324"/>
      <c r="F219" s="272"/>
      <c r="G219" s="272"/>
      <c r="H219" s="280"/>
      <c r="I219" s="280"/>
      <c r="J219" s="280"/>
      <c r="K219" s="280"/>
      <c r="L219" s="280"/>
      <c r="M219" s="280"/>
      <c r="N219" s="280"/>
      <c r="O219" s="280"/>
      <c r="P219" s="280"/>
      <c r="Q219" s="280"/>
      <c r="R219" s="280"/>
      <c r="S219" s="360">
        <f>+R282</f>
        <v>1</v>
      </c>
      <c r="T219" s="357">
        <f>+T282</f>
        <v>263</v>
      </c>
      <c r="U219" s="272"/>
      <c r="V219" s="358"/>
      <c r="W219" s="359"/>
      <c r="X219" s="5"/>
    </row>
    <row r="220" spans="1:24" ht="15.6" x14ac:dyDescent="0.3">
      <c r="A220" s="356"/>
      <c r="B220" s="297" t="s">
        <v>82</v>
      </c>
      <c r="C220" s="361"/>
      <c r="D220" s="361"/>
      <c r="E220" s="361"/>
      <c r="F220" s="298"/>
      <c r="G220" s="298"/>
      <c r="H220" s="298"/>
      <c r="I220" s="298"/>
      <c r="J220" s="298"/>
      <c r="K220" s="298"/>
      <c r="L220" s="298"/>
      <c r="M220" s="298"/>
      <c r="N220" s="298"/>
      <c r="O220" s="298"/>
      <c r="P220" s="298"/>
      <c r="Q220" s="298"/>
      <c r="R220" s="298"/>
      <c r="S220" s="298"/>
      <c r="T220" s="357">
        <v>0</v>
      </c>
      <c r="U220" s="298"/>
      <c r="V220" s="362"/>
      <c r="W220" s="363"/>
      <c r="X220" s="5"/>
    </row>
    <row r="221" spans="1:24" ht="15.6" x14ac:dyDescent="0.3">
      <c r="A221" s="356"/>
      <c r="B221" s="297" t="s">
        <v>275</v>
      </c>
      <c r="C221" s="361"/>
      <c r="D221" s="361"/>
      <c r="E221" s="361"/>
      <c r="F221" s="298"/>
      <c r="G221" s="298"/>
      <c r="H221" s="298"/>
      <c r="I221" s="298"/>
      <c r="J221" s="298"/>
      <c r="K221" s="298"/>
      <c r="L221" s="298"/>
      <c r="M221" s="298"/>
      <c r="N221" s="298"/>
      <c r="O221" s="298"/>
      <c r="P221" s="298"/>
      <c r="Q221" s="298"/>
      <c r="R221" s="298"/>
      <c r="S221" s="298"/>
      <c r="T221" s="357">
        <f>+N81</f>
        <v>0</v>
      </c>
      <c r="U221" s="298"/>
      <c r="V221" s="362"/>
      <c r="W221" s="363"/>
      <c r="X221" s="5"/>
    </row>
    <row r="222" spans="1:24" ht="15.6" x14ac:dyDescent="0.3">
      <c r="A222" s="364"/>
      <c r="B222" s="297" t="s">
        <v>83</v>
      </c>
      <c r="C222" s="365"/>
      <c r="D222" s="365"/>
      <c r="E222" s="365"/>
      <c r="F222" s="365"/>
      <c r="G222" s="298"/>
      <c r="H222" s="298"/>
      <c r="I222" s="298"/>
      <c r="J222" s="298"/>
      <c r="K222" s="298"/>
      <c r="L222" s="298"/>
      <c r="M222" s="298"/>
      <c r="N222" s="298"/>
      <c r="O222" s="298"/>
      <c r="P222" s="298"/>
      <c r="Q222" s="298"/>
      <c r="R222" s="298"/>
      <c r="S222" s="298"/>
      <c r="T222" s="366"/>
      <c r="U222" s="298"/>
      <c r="V222" s="362"/>
      <c r="W222" s="367"/>
      <c r="X222" s="5"/>
    </row>
    <row r="223" spans="1:24" ht="15.6" x14ac:dyDescent="0.3">
      <c r="A223" s="364"/>
      <c r="B223" s="272" t="s">
        <v>84</v>
      </c>
      <c r="C223" s="272"/>
      <c r="D223" s="272"/>
      <c r="E223" s="272"/>
      <c r="F223" s="272"/>
      <c r="G223" s="272"/>
      <c r="H223" s="272"/>
      <c r="I223" s="272"/>
      <c r="J223" s="272"/>
      <c r="K223" s="272"/>
      <c r="L223" s="272"/>
      <c r="M223" s="272"/>
      <c r="N223" s="272"/>
      <c r="O223" s="272"/>
      <c r="P223" s="272"/>
      <c r="Q223" s="272"/>
      <c r="R223" s="272"/>
      <c r="S223" s="280"/>
      <c r="T223" s="357">
        <f>V167</f>
        <v>365</v>
      </c>
      <c r="U223" s="272"/>
      <c r="V223" s="362"/>
      <c r="W223" s="367"/>
      <c r="X223" s="5"/>
    </row>
    <row r="224" spans="1:24" ht="15.6" x14ac:dyDescent="0.3">
      <c r="A224" s="356"/>
      <c r="B224" s="272" t="s">
        <v>85</v>
      </c>
      <c r="C224" s="324"/>
      <c r="D224" s="324"/>
      <c r="E224" s="324"/>
      <c r="F224" s="324"/>
      <c r="G224" s="272"/>
      <c r="H224" s="272"/>
      <c r="I224" s="272"/>
      <c r="J224" s="272"/>
      <c r="K224" s="272"/>
      <c r="L224" s="272"/>
      <c r="M224" s="272"/>
      <c r="N224" s="272"/>
      <c r="O224" s="272"/>
      <c r="P224" s="272"/>
      <c r="Q224" s="272"/>
      <c r="R224" s="272"/>
      <c r="S224" s="280"/>
      <c r="T224" s="357">
        <f>'March 13'!T224+T223</f>
        <v>4631</v>
      </c>
      <c r="U224" s="272"/>
      <c r="V224" s="362"/>
      <c r="W224" s="367"/>
      <c r="X224" s="5"/>
    </row>
    <row r="225" spans="1:25" ht="15.6" x14ac:dyDescent="0.3">
      <c r="A225" s="364"/>
      <c r="B225" s="297" t="s">
        <v>297</v>
      </c>
      <c r="C225" s="365"/>
      <c r="D225" s="365"/>
      <c r="E225" s="365"/>
      <c r="F225" s="365"/>
      <c r="G225" s="298"/>
      <c r="H225" s="298"/>
      <c r="I225" s="298"/>
      <c r="J225" s="298"/>
      <c r="K225" s="298"/>
      <c r="L225" s="298"/>
      <c r="M225" s="298"/>
      <c r="N225" s="298"/>
      <c r="O225" s="298"/>
      <c r="P225" s="298"/>
      <c r="Q225" s="298"/>
      <c r="R225" s="298"/>
      <c r="S225" s="302"/>
      <c r="T225" s="366"/>
      <c r="U225" s="298"/>
      <c r="V225" s="362"/>
      <c r="W225" s="367"/>
      <c r="X225" s="5"/>
    </row>
    <row r="226" spans="1:25" ht="15.6" x14ac:dyDescent="0.3">
      <c r="A226" s="364"/>
      <c r="B226" s="272" t="s">
        <v>295</v>
      </c>
      <c r="C226" s="365"/>
      <c r="D226" s="365"/>
      <c r="E226" s="365"/>
      <c r="F226" s="365"/>
      <c r="G226" s="298"/>
      <c r="H226" s="298"/>
      <c r="I226" s="298"/>
      <c r="J226" s="298"/>
      <c r="K226" s="298"/>
      <c r="L226" s="298"/>
      <c r="M226" s="298"/>
      <c r="N226" s="298"/>
      <c r="O226" s="298"/>
      <c r="P226" s="298"/>
      <c r="Q226" s="298"/>
      <c r="R226" s="298"/>
      <c r="S226" s="280">
        <v>0</v>
      </c>
      <c r="T226" s="357">
        <v>0</v>
      </c>
      <c r="U226" s="298"/>
      <c r="V226" s="362"/>
      <c r="W226" s="367"/>
      <c r="X226" s="5"/>
    </row>
    <row r="227" spans="1:25" ht="15.6" x14ac:dyDescent="0.3">
      <c r="A227" s="356"/>
      <c r="B227" s="272" t="s">
        <v>87</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72" t="s">
        <v>88</v>
      </c>
      <c r="C228" s="370"/>
      <c r="D228" s="370"/>
      <c r="E228" s="370"/>
      <c r="F228" s="371"/>
      <c r="G228" s="298"/>
      <c r="H228" s="298"/>
      <c r="I228" s="298"/>
      <c r="J228" s="298"/>
      <c r="K228" s="298"/>
      <c r="L228" s="298"/>
      <c r="M228" s="298"/>
      <c r="N228" s="298"/>
      <c r="O228" s="298"/>
      <c r="P228" s="298"/>
      <c r="Q228" s="298"/>
      <c r="R228" s="298"/>
      <c r="S228" s="272"/>
      <c r="T228" s="372">
        <v>0</v>
      </c>
      <c r="U228" s="298"/>
      <c r="V228" s="362"/>
      <c r="W228" s="367"/>
      <c r="X228" s="5"/>
    </row>
    <row r="229" spans="1:25" ht="15.6" x14ac:dyDescent="0.3">
      <c r="A229" s="356"/>
      <c r="B229" s="297" t="s">
        <v>220</v>
      </c>
      <c r="C229" s="370"/>
      <c r="D229" s="370"/>
      <c r="E229" s="370"/>
      <c r="F229" s="371"/>
      <c r="G229" s="298"/>
      <c r="H229" s="298"/>
      <c r="I229" s="298"/>
      <c r="J229" s="298"/>
      <c r="K229" s="298"/>
      <c r="L229" s="298"/>
      <c r="M229" s="298"/>
      <c r="N229" s="298"/>
      <c r="O229" s="298"/>
      <c r="P229" s="298"/>
      <c r="Q229" s="298"/>
      <c r="R229" s="298"/>
      <c r="S229" s="272"/>
      <c r="T229" s="373"/>
      <c r="U229" s="298"/>
      <c r="V229" s="362"/>
      <c r="W229" s="367"/>
      <c r="X229" s="5"/>
    </row>
    <row r="230" spans="1:25" ht="15.6" x14ac:dyDescent="0.3">
      <c r="A230" s="356"/>
      <c r="B230" s="272" t="s">
        <v>295</v>
      </c>
      <c r="C230" s="370"/>
      <c r="D230" s="370"/>
      <c r="E230" s="370"/>
      <c r="F230" s="371"/>
      <c r="G230" s="298"/>
      <c r="H230" s="298"/>
      <c r="I230" s="298"/>
      <c r="J230" s="298"/>
      <c r="K230" s="298"/>
      <c r="L230" s="298"/>
      <c r="M230" s="298"/>
      <c r="N230" s="298"/>
      <c r="O230" s="298"/>
      <c r="P230" s="298"/>
      <c r="Q230" s="298"/>
      <c r="R230" s="298"/>
      <c r="S230" s="280">
        <v>2</v>
      </c>
      <c r="T230" s="357">
        <v>490</v>
      </c>
      <c r="U230" s="298"/>
      <c r="V230" s="362"/>
      <c r="W230" s="367"/>
      <c r="X230" s="5"/>
    </row>
    <row r="231" spans="1:25" ht="15.6" x14ac:dyDescent="0.3">
      <c r="A231" s="356"/>
      <c r="B231" s="272" t="s">
        <v>221</v>
      </c>
      <c r="C231" s="370"/>
      <c r="D231" s="370"/>
      <c r="E231" s="370"/>
      <c r="F231" s="371"/>
      <c r="G231" s="298"/>
      <c r="H231" s="298"/>
      <c r="I231" s="298"/>
      <c r="J231" s="298"/>
      <c r="K231" s="298"/>
      <c r="L231" s="298"/>
      <c r="M231" s="298"/>
      <c r="N231" s="298"/>
      <c r="O231" s="298"/>
      <c r="P231" s="298"/>
      <c r="Q231" s="298"/>
      <c r="R231" s="298"/>
      <c r="S231" s="272"/>
      <c r="T231" s="372">
        <v>0</v>
      </c>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5.6" x14ac:dyDescent="0.3">
      <c r="A233" s="356"/>
      <c r="B233" s="365"/>
      <c r="C233" s="370"/>
      <c r="D233" s="370"/>
      <c r="E233" s="370"/>
      <c r="F233" s="371"/>
      <c r="G233" s="298"/>
      <c r="H233" s="298"/>
      <c r="I233" s="298"/>
      <c r="J233" s="298"/>
      <c r="K233" s="298"/>
      <c r="L233" s="298"/>
      <c r="M233" s="298"/>
      <c r="N233" s="298"/>
      <c r="O233" s="298"/>
      <c r="P233" s="298"/>
      <c r="Q233" s="298"/>
      <c r="R233" s="298"/>
      <c r="S233" s="298"/>
      <c r="T233" s="374"/>
      <c r="U233" s="298"/>
      <c r="V233" s="362"/>
      <c r="W233" s="367"/>
      <c r="X233" s="5"/>
    </row>
    <row r="234" spans="1:25" ht="17.399999999999999" x14ac:dyDescent="0.3">
      <c r="A234" s="356"/>
      <c r="B234" s="375" t="s">
        <v>171</v>
      </c>
      <c r="C234" s="370"/>
      <c r="D234" s="370"/>
      <c r="E234" s="370"/>
      <c r="F234" s="371"/>
      <c r="G234" s="298"/>
      <c r="H234" s="298"/>
      <c r="I234" s="298"/>
      <c r="J234" s="298"/>
      <c r="K234" s="298"/>
      <c r="L234" s="298"/>
      <c r="M234" s="298"/>
      <c r="N234" s="298"/>
      <c r="O234" s="298"/>
      <c r="P234" s="376" t="s">
        <v>170</v>
      </c>
      <c r="Q234" s="298"/>
      <c r="R234" s="298"/>
      <c r="S234" s="298"/>
      <c r="T234" s="374"/>
      <c r="U234" s="298"/>
      <c r="V234" s="362"/>
      <c r="W234" s="367"/>
      <c r="X234" s="5"/>
    </row>
    <row r="235" spans="1:25" ht="15.6" x14ac:dyDescent="0.3">
      <c r="A235" s="215"/>
      <c r="B235" s="347"/>
      <c r="C235" s="352"/>
      <c r="D235" s="352"/>
      <c r="E235" s="352"/>
      <c r="F235" s="353"/>
      <c r="G235" s="321"/>
      <c r="H235" s="321"/>
      <c r="I235" s="321"/>
      <c r="J235" s="321"/>
      <c r="K235" s="321"/>
      <c r="L235" s="321"/>
      <c r="M235" s="321"/>
      <c r="N235" s="321"/>
      <c r="O235" s="321"/>
      <c r="P235" s="321"/>
      <c r="Q235" s="321"/>
      <c r="R235" s="321"/>
      <c r="S235" s="321"/>
      <c r="T235" s="354"/>
      <c r="U235" s="321"/>
      <c r="V235" s="348"/>
      <c r="W235" s="355"/>
      <c r="X235" s="5"/>
    </row>
    <row r="236" spans="1:25" ht="15.6" x14ac:dyDescent="0.3">
      <c r="A236" s="239"/>
      <c r="B236" s="253" t="s">
        <v>310</v>
      </c>
      <c r="C236" s="254"/>
      <c r="D236" s="254"/>
      <c r="E236" s="254"/>
      <c r="F236" s="255"/>
      <c r="G236" s="254"/>
      <c r="H236" s="254"/>
      <c r="I236" s="254"/>
      <c r="J236" s="254"/>
      <c r="K236" s="254"/>
      <c r="L236" s="254"/>
      <c r="M236" s="254"/>
      <c r="N236" s="254"/>
      <c r="O236" s="254"/>
      <c r="P236" s="254"/>
      <c r="Q236" s="254"/>
      <c r="R236" s="255" t="s">
        <v>103</v>
      </c>
      <c r="S236" s="254" t="s">
        <v>104</v>
      </c>
      <c r="T236" s="255" t="s">
        <v>111</v>
      </c>
      <c r="U236" s="254" t="s">
        <v>104</v>
      </c>
      <c r="V236" s="240"/>
      <c r="W236" s="253"/>
      <c r="X236" s="5"/>
    </row>
    <row r="237" spans="1:25" ht="15.6" x14ac:dyDescent="0.3">
      <c r="A237" s="192"/>
      <c r="B237" s="231" t="s">
        <v>89</v>
      </c>
      <c r="C237" s="260"/>
      <c r="D237" s="260"/>
      <c r="E237" s="260"/>
      <c r="F237" s="229"/>
      <c r="G237" s="260"/>
      <c r="H237" s="260"/>
      <c r="I237" s="260"/>
      <c r="J237" s="260"/>
      <c r="K237" s="260"/>
      <c r="L237" s="260"/>
      <c r="M237" s="260"/>
      <c r="N237" s="260"/>
      <c r="O237" s="260"/>
      <c r="P237" s="260"/>
      <c r="Q237" s="260"/>
      <c r="R237" s="324">
        <f t="shared" ref="R237:R244" si="1">+R249+R261+R273</f>
        <v>7562</v>
      </c>
      <c r="S237" s="381">
        <f t="shared" ref="S237:S244" si="2">R237/$R$246</f>
        <v>0.99004975124378114</v>
      </c>
      <c r="T237" s="325">
        <f t="shared" ref="T237:T244" si="3">+T249+T261+T273</f>
        <v>963906</v>
      </c>
      <c r="U237" s="381">
        <f t="shared" ref="U237:U244" si="4">T237/$T$246</f>
        <v>0.98898974695194208</v>
      </c>
      <c r="V237" s="252"/>
      <c r="W237" s="230"/>
      <c r="X237" s="5"/>
    </row>
    <row r="238" spans="1:25" ht="15.6" x14ac:dyDescent="0.3">
      <c r="A238" s="271"/>
      <c r="B238" s="324" t="s">
        <v>90</v>
      </c>
      <c r="C238" s="380"/>
      <c r="D238" s="380"/>
      <c r="E238" s="380"/>
      <c r="F238" s="272"/>
      <c r="G238" s="381"/>
      <c r="H238" s="380"/>
      <c r="I238" s="380"/>
      <c r="J238" s="380"/>
      <c r="K238" s="380"/>
      <c r="L238" s="380"/>
      <c r="M238" s="380"/>
      <c r="N238" s="380"/>
      <c r="O238" s="380"/>
      <c r="P238" s="380"/>
      <c r="Q238" s="380"/>
      <c r="R238" s="324">
        <f t="shared" si="1"/>
        <v>19</v>
      </c>
      <c r="S238" s="381">
        <f t="shared" si="2"/>
        <v>2.4875621890547263E-3</v>
      </c>
      <c r="T238" s="325">
        <f t="shared" si="3"/>
        <v>4276</v>
      </c>
      <c r="U238" s="381">
        <f t="shared" si="4"/>
        <v>4.3872744416639225E-3</v>
      </c>
      <c r="V238" s="358"/>
      <c r="W238" s="382"/>
      <c r="X238" s="5"/>
      <c r="Y238" s="109"/>
    </row>
    <row r="239" spans="1:25" ht="15.6" x14ac:dyDescent="0.3">
      <c r="A239" s="271"/>
      <c r="B239" s="324" t="s">
        <v>91</v>
      </c>
      <c r="C239" s="380"/>
      <c r="D239" s="380"/>
      <c r="E239" s="380"/>
      <c r="F239" s="272"/>
      <c r="G239" s="381"/>
      <c r="H239" s="380"/>
      <c r="I239" s="380"/>
      <c r="J239" s="380"/>
      <c r="K239" s="380"/>
      <c r="L239" s="380"/>
      <c r="M239" s="380"/>
      <c r="N239" s="380"/>
      <c r="O239" s="380"/>
      <c r="P239" s="380"/>
      <c r="Q239" s="380"/>
      <c r="R239" s="324">
        <f t="shared" si="1"/>
        <v>19</v>
      </c>
      <c r="S239" s="381">
        <f t="shared" si="2"/>
        <v>2.4875621890547263E-3</v>
      </c>
      <c r="T239" s="325">
        <f t="shared" si="3"/>
        <v>1266</v>
      </c>
      <c r="U239" s="381">
        <f t="shared" si="4"/>
        <v>1.2989451457311799E-3</v>
      </c>
      <c r="V239" s="358"/>
      <c r="W239" s="382"/>
      <c r="X239" s="5"/>
    </row>
    <row r="240" spans="1:25" ht="15.6" x14ac:dyDescent="0.3">
      <c r="A240" s="271"/>
      <c r="B240" s="324" t="s">
        <v>159</v>
      </c>
      <c r="C240" s="380"/>
      <c r="D240" s="380"/>
      <c r="E240" s="380"/>
      <c r="F240" s="272"/>
      <c r="G240" s="381"/>
      <c r="H240" s="380"/>
      <c r="I240" s="380"/>
      <c r="J240" s="380"/>
      <c r="K240" s="380"/>
      <c r="L240" s="380"/>
      <c r="M240" s="380"/>
      <c r="N240" s="380"/>
      <c r="O240" s="380"/>
      <c r="P240" s="380"/>
      <c r="Q240" s="380"/>
      <c r="R240" s="324">
        <f t="shared" si="1"/>
        <v>0</v>
      </c>
      <c r="S240" s="381">
        <f t="shared" si="2"/>
        <v>0</v>
      </c>
      <c r="T240" s="325">
        <f t="shared" si="3"/>
        <v>0</v>
      </c>
      <c r="U240" s="381">
        <f t="shared" si="4"/>
        <v>0</v>
      </c>
      <c r="V240" s="358"/>
      <c r="W240" s="382"/>
      <c r="X240" s="5"/>
      <c r="Y240" s="109"/>
    </row>
    <row r="241" spans="1:25" ht="15.6" x14ac:dyDescent="0.3">
      <c r="A241" s="271"/>
      <c r="B241" s="324" t="s">
        <v>160</v>
      </c>
      <c r="C241" s="380"/>
      <c r="D241" s="380"/>
      <c r="E241" s="380"/>
      <c r="F241" s="272"/>
      <c r="G241" s="381"/>
      <c r="H241" s="380"/>
      <c r="I241" s="380"/>
      <c r="J241" s="380"/>
      <c r="K241" s="380"/>
      <c r="L241" s="380"/>
      <c r="M241" s="380"/>
      <c r="N241" s="380"/>
      <c r="O241" s="380"/>
      <c r="P241" s="380"/>
      <c r="Q241" s="380"/>
      <c r="R241" s="324">
        <f t="shared" si="1"/>
        <v>0</v>
      </c>
      <c r="S241" s="381">
        <f t="shared" si="2"/>
        <v>0</v>
      </c>
      <c r="T241" s="325">
        <f t="shared" si="3"/>
        <v>0</v>
      </c>
      <c r="U241" s="381">
        <f t="shared" si="4"/>
        <v>0</v>
      </c>
      <c r="V241" s="358"/>
      <c r="W241" s="382"/>
      <c r="X241" s="5"/>
    </row>
    <row r="242" spans="1:25" ht="15.6" x14ac:dyDescent="0.3">
      <c r="A242" s="271"/>
      <c r="B242" s="324" t="s">
        <v>161</v>
      </c>
      <c r="C242" s="380"/>
      <c r="D242" s="380"/>
      <c r="E242" s="380"/>
      <c r="F242" s="272"/>
      <c r="G242" s="381"/>
      <c r="H242" s="380"/>
      <c r="I242" s="380"/>
      <c r="J242" s="380"/>
      <c r="K242" s="380"/>
      <c r="L242" s="380"/>
      <c r="M242" s="380"/>
      <c r="N242" s="380"/>
      <c r="O242" s="380"/>
      <c r="P242" s="380"/>
      <c r="Q242" s="380"/>
      <c r="R242" s="324">
        <f t="shared" si="1"/>
        <v>2</v>
      </c>
      <c r="S242" s="381">
        <f t="shared" si="2"/>
        <v>2.618486514794449E-4</v>
      </c>
      <c r="T242" s="325">
        <f t="shared" si="3"/>
        <v>271</v>
      </c>
      <c r="U242" s="381">
        <f t="shared" si="4"/>
        <v>2.7805223893613725E-4</v>
      </c>
      <c r="V242" s="358"/>
      <c r="W242" s="382"/>
      <c r="X242" s="5"/>
      <c r="Y242" s="109"/>
    </row>
    <row r="243" spans="1:25" ht="15.6" x14ac:dyDescent="0.3">
      <c r="A243" s="271"/>
      <c r="B243" s="324" t="s">
        <v>162</v>
      </c>
      <c r="C243" s="380"/>
      <c r="D243" s="380"/>
      <c r="E243" s="380"/>
      <c r="F243" s="272"/>
      <c r="G243" s="381"/>
      <c r="H243" s="380"/>
      <c r="I243" s="380"/>
      <c r="J243" s="380"/>
      <c r="K243" s="380"/>
      <c r="L243" s="380"/>
      <c r="M243" s="380"/>
      <c r="N243" s="380"/>
      <c r="O243" s="380"/>
      <c r="P243" s="380"/>
      <c r="Q243" s="380"/>
      <c r="R243" s="324">
        <f t="shared" si="1"/>
        <v>2</v>
      </c>
      <c r="S243" s="381">
        <f t="shared" si="2"/>
        <v>2.618486514794449E-4</v>
      </c>
      <c r="T243" s="325">
        <f t="shared" si="3"/>
        <v>551</v>
      </c>
      <c r="U243" s="381">
        <f t="shared" si="4"/>
        <v>5.6533868506941556E-4</v>
      </c>
      <c r="V243" s="358"/>
      <c r="W243" s="382"/>
      <c r="X243" s="5"/>
    </row>
    <row r="244" spans="1:25" ht="15.6" x14ac:dyDescent="0.3">
      <c r="A244" s="271"/>
      <c r="B244" s="324" t="s">
        <v>163</v>
      </c>
      <c r="C244" s="380"/>
      <c r="D244" s="380"/>
      <c r="E244" s="380"/>
      <c r="F244" s="272"/>
      <c r="G244" s="381"/>
      <c r="H244" s="380"/>
      <c r="I244" s="380"/>
      <c r="J244" s="380"/>
      <c r="K244" s="380"/>
      <c r="L244" s="380"/>
      <c r="M244" s="380"/>
      <c r="N244" s="380"/>
      <c r="O244" s="380"/>
      <c r="P244" s="380"/>
      <c r="Q244" s="380"/>
      <c r="R244" s="324">
        <f t="shared" si="1"/>
        <v>34</v>
      </c>
      <c r="S244" s="381">
        <f t="shared" si="2"/>
        <v>4.4514270751505628E-3</v>
      </c>
      <c r="T244" s="325">
        <f t="shared" si="3"/>
        <v>4367</v>
      </c>
      <c r="U244" s="381">
        <f t="shared" si="4"/>
        <v>4.4806425366572377E-3</v>
      </c>
      <c r="V244" s="358"/>
      <c r="W244" s="382"/>
      <c r="X244" s="5"/>
      <c r="Y244" s="109"/>
    </row>
    <row r="245" spans="1:25" ht="15.6" x14ac:dyDescent="0.3">
      <c r="A245" s="271"/>
      <c r="B245" s="324"/>
      <c r="C245" s="380"/>
      <c r="D245" s="380"/>
      <c r="E245" s="380"/>
      <c r="F245" s="272"/>
      <c r="G245" s="381"/>
      <c r="H245" s="380"/>
      <c r="I245" s="380"/>
      <c r="J245" s="380"/>
      <c r="K245" s="380"/>
      <c r="L245" s="380"/>
      <c r="M245" s="380"/>
      <c r="N245" s="380"/>
      <c r="O245" s="380"/>
      <c r="P245" s="380"/>
      <c r="Q245" s="380"/>
      <c r="R245" s="324"/>
      <c r="S245" s="381"/>
      <c r="T245" s="325"/>
      <c r="U245" s="381"/>
      <c r="V245" s="358"/>
      <c r="W245" s="382"/>
      <c r="X245" s="5"/>
    </row>
    <row r="246" spans="1:25" ht="15.6" x14ac:dyDescent="0.3">
      <c r="A246" s="271"/>
      <c r="B246" s="272" t="s">
        <v>117</v>
      </c>
      <c r="C246" s="272"/>
      <c r="D246" s="272"/>
      <c r="E246" s="272"/>
      <c r="F246" s="272"/>
      <c r="G246" s="272"/>
      <c r="H246" s="383"/>
      <c r="I246" s="383"/>
      <c r="J246" s="383"/>
      <c r="K246" s="383"/>
      <c r="L246" s="383"/>
      <c r="M246" s="383"/>
      <c r="N246" s="383"/>
      <c r="O246" s="383"/>
      <c r="P246" s="383"/>
      <c r="Q246" s="383"/>
      <c r="R246" s="324">
        <f>SUM(R237:R245)</f>
        <v>7638</v>
      </c>
      <c r="S246" s="381">
        <f>SUM(S237:S245)</f>
        <v>1.0000000000000002</v>
      </c>
      <c r="T246" s="325">
        <f>SUM(T237:T245)</f>
        <v>974637</v>
      </c>
      <c r="U246" s="381">
        <f>SUM(U237:U245)</f>
        <v>0.99999999999999989</v>
      </c>
      <c r="V246" s="272"/>
      <c r="W246" s="275"/>
      <c r="X246" s="5"/>
    </row>
    <row r="247" spans="1:25" ht="15.6" x14ac:dyDescent="0.3">
      <c r="A247" s="215"/>
      <c r="B247" s="347"/>
      <c r="C247" s="352"/>
      <c r="D247" s="352"/>
      <c r="E247" s="352"/>
      <c r="F247" s="353"/>
      <c r="G247" s="321"/>
      <c r="H247" s="321"/>
      <c r="I247" s="321"/>
      <c r="J247" s="321"/>
      <c r="K247" s="321"/>
      <c r="L247" s="321"/>
      <c r="M247" s="321"/>
      <c r="N247" s="321"/>
      <c r="O247" s="321"/>
      <c r="P247" s="321"/>
      <c r="Q247" s="321"/>
      <c r="R247" s="321"/>
      <c r="S247" s="321"/>
      <c r="T247" s="354"/>
      <c r="U247" s="321"/>
      <c r="V247" s="348"/>
      <c r="W247" s="355"/>
      <c r="X247" s="5"/>
    </row>
    <row r="248" spans="1:25" ht="15.6" x14ac:dyDescent="0.3">
      <c r="A248" s="239"/>
      <c r="B248" s="253" t="s">
        <v>165</v>
      </c>
      <c r="C248" s="254"/>
      <c r="D248" s="254"/>
      <c r="E248" s="254"/>
      <c r="F248" s="255"/>
      <c r="G248" s="254"/>
      <c r="H248" s="254"/>
      <c r="I248" s="254"/>
      <c r="J248" s="254"/>
      <c r="K248" s="254"/>
      <c r="L248" s="254"/>
      <c r="M248" s="254"/>
      <c r="N248" s="254"/>
      <c r="O248" s="254"/>
      <c r="P248" s="254"/>
      <c r="Q248" s="254"/>
      <c r="R248" s="255" t="s">
        <v>103</v>
      </c>
      <c r="S248" s="254" t="s">
        <v>104</v>
      </c>
      <c r="T248" s="255" t="s">
        <v>111</v>
      </c>
      <c r="U248" s="254" t="s">
        <v>104</v>
      </c>
      <c r="V248" s="240"/>
      <c r="W248" s="253"/>
      <c r="X248" s="5"/>
    </row>
    <row r="249" spans="1:25" ht="15.6" x14ac:dyDescent="0.3">
      <c r="A249" s="192"/>
      <c r="B249" s="231" t="s">
        <v>89</v>
      </c>
      <c r="C249" s="260"/>
      <c r="D249" s="260"/>
      <c r="E249" s="260"/>
      <c r="F249" s="229"/>
      <c r="G249" s="260"/>
      <c r="H249" s="260"/>
      <c r="I249" s="260"/>
      <c r="J249" s="260"/>
      <c r="K249" s="260"/>
      <c r="L249" s="260"/>
      <c r="M249" s="260"/>
      <c r="N249" s="260"/>
      <c r="O249" s="260"/>
      <c r="P249" s="260"/>
      <c r="Q249" s="260"/>
      <c r="R249" s="231">
        <v>7426</v>
      </c>
      <c r="S249" s="261">
        <f t="shared" ref="S249:S256" si="5">R249/$R$258</f>
        <v>0.99477561955793703</v>
      </c>
      <c r="T249" s="238">
        <v>941776</v>
      </c>
      <c r="U249" s="261">
        <f t="shared" ref="U249:U256" si="6">T249/$T$258</f>
        <v>0.99377214623532462</v>
      </c>
      <c r="V249" s="252"/>
      <c r="W249" s="230"/>
      <c r="X249" s="5"/>
    </row>
    <row r="250" spans="1:25" ht="15.6" x14ac:dyDescent="0.3">
      <c r="A250" s="271"/>
      <c r="B250" s="324" t="s">
        <v>90</v>
      </c>
      <c r="C250" s="380"/>
      <c r="D250" s="380"/>
      <c r="E250" s="380"/>
      <c r="F250" s="272"/>
      <c r="G250" s="381"/>
      <c r="H250" s="380"/>
      <c r="I250" s="380"/>
      <c r="J250" s="380"/>
      <c r="K250" s="380"/>
      <c r="L250" s="380"/>
      <c r="M250" s="380"/>
      <c r="N250" s="380"/>
      <c r="O250" s="380"/>
      <c r="P250" s="380"/>
      <c r="Q250" s="380"/>
      <c r="R250" s="324">
        <v>16</v>
      </c>
      <c r="S250" s="381">
        <f t="shared" si="5"/>
        <v>2.1433355659745477E-3</v>
      </c>
      <c r="T250" s="325">
        <v>3873</v>
      </c>
      <c r="U250" s="381">
        <f t="shared" si="6"/>
        <v>4.0868311810551682E-3</v>
      </c>
      <c r="V250" s="358"/>
      <c r="W250" s="382"/>
      <c r="X250" s="5"/>
      <c r="Y250" s="109"/>
    </row>
    <row r="251" spans="1:25" ht="15.6" x14ac:dyDescent="0.3">
      <c r="A251" s="271"/>
      <c r="B251" s="324" t="s">
        <v>91</v>
      </c>
      <c r="C251" s="380"/>
      <c r="D251" s="380"/>
      <c r="E251" s="380"/>
      <c r="F251" s="272"/>
      <c r="G251" s="381"/>
      <c r="H251" s="380"/>
      <c r="I251" s="380"/>
      <c r="J251" s="380"/>
      <c r="K251" s="380"/>
      <c r="L251" s="380"/>
      <c r="M251" s="380"/>
      <c r="N251" s="380"/>
      <c r="O251" s="380"/>
      <c r="P251" s="380"/>
      <c r="Q251" s="380"/>
      <c r="R251" s="324">
        <v>19</v>
      </c>
      <c r="S251" s="381">
        <f t="shared" si="5"/>
        <v>2.5452109845947755E-3</v>
      </c>
      <c r="T251" s="325">
        <v>1266</v>
      </c>
      <c r="U251" s="381">
        <f t="shared" si="6"/>
        <v>1.3358967919483199E-3</v>
      </c>
      <c r="V251" s="358"/>
      <c r="W251" s="382"/>
      <c r="X251" s="5"/>
    </row>
    <row r="252" spans="1:25" ht="15.6" x14ac:dyDescent="0.3">
      <c r="A252" s="271"/>
      <c r="B252" s="324" t="s">
        <v>159</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c r="Y252" s="109"/>
    </row>
    <row r="253" spans="1:25" ht="15.6" x14ac:dyDescent="0.3">
      <c r="A253" s="271"/>
      <c r="B253" s="324" t="s">
        <v>160</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row>
    <row r="254" spans="1:25" ht="15.6" x14ac:dyDescent="0.3">
      <c r="A254" s="271"/>
      <c r="B254" s="324" t="s">
        <v>161</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c r="Y254" s="109"/>
    </row>
    <row r="255" spans="1:25" ht="15.6" x14ac:dyDescent="0.3">
      <c r="A255" s="271"/>
      <c r="B255" s="324" t="s">
        <v>162</v>
      </c>
      <c r="C255" s="380"/>
      <c r="D255" s="380"/>
      <c r="E255" s="380"/>
      <c r="F255" s="272"/>
      <c r="G255" s="381"/>
      <c r="H255" s="380"/>
      <c r="I255" s="380"/>
      <c r="J255" s="380"/>
      <c r="K255" s="380"/>
      <c r="L255" s="380"/>
      <c r="M255" s="380"/>
      <c r="N255" s="380"/>
      <c r="O255" s="380"/>
      <c r="P255" s="380"/>
      <c r="Q255" s="380"/>
      <c r="R255" s="324">
        <v>1</v>
      </c>
      <c r="S255" s="381">
        <f t="shared" si="5"/>
        <v>1.3395847287340923E-4</v>
      </c>
      <c r="T255" s="325">
        <v>446</v>
      </c>
      <c r="U255" s="381">
        <f t="shared" si="6"/>
        <v>4.7062398831670672E-4</v>
      </c>
      <c r="V255" s="358"/>
      <c r="W255" s="382"/>
      <c r="X255" s="5"/>
    </row>
    <row r="256" spans="1:25" ht="15.6" x14ac:dyDescent="0.3">
      <c r="A256" s="271"/>
      <c r="B256" s="324" t="s">
        <v>163</v>
      </c>
      <c r="C256" s="380"/>
      <c r="D256" s="380"/>
      <c r="E256" s="380"/>
      <c r="F256" s="272"/>
      <c r="G256" s="381"/>
      <c r="H256" s="380"/>
      <c r="I256" s="380"/>
      <c r="J256" s="380"/>
      <c r="K256" s="380"/>
      <c r="L256" s="380"/>
      <c r="M256" s="380"/>
      <c r="N256" s="380"/>
      <c r="O256" s="380"/>
      <c r="P256" s="380"/>
      <c r="Q256" s="380"/>
      <c r="R256" s="324">
        <v>3</v>
      </c>
      <c r="S256" s="381">
        <f t="shared" si="5"/>
        <v>4.0187541862022773E-4</v>
      </c>
      <c r="T256" s="325">
        <v>317</v>
      </c>
      <c r="U256" s="381">
        <f t="shared" si="6"/>
        <v>3.3450180335514804E-4</v>
      </c>
      <c r="V256" s="358"/>
      <c r="W256" s="382"/>
      <c r="X256" s="5"/>
      <c r="Y256" s="109"/>
    </row>
    <row r="257" spans="1:24" ht="15.6" x14ac:dyDescent="0.3">
      <c r="A257" s="271"/>
      <c r="B257" s="324"/>
      <c r="C257" s="380"/>
      <c r="D257" s="380"/>
      <c r="E257" s="380"/>
      <c r="F257" s="272"/>
      <c r="G257" s="381"/>
      <c r="H257" s="380"/>
      <c r="I257" s="380"/>
      <c r="J257" s="380"/>
      <c r="K257" s="380"/>
      <c r="L257" s="380"/>
      <c r="M257" s="380"/>
      <c r="N257" s="380"/>
      <c r="O257" s="380"/>
      <c r="P257" s="380"/>
      <c r="Q257" s="380"/>
      <c r="R257" s="324"/>
      <c r="S257" s="381"/>
      <c r="T257" s="325"/>
      <c r="U257" s="381"/>
      <c r="V257" s="358"/>
      <c r="W257" s="382"/>
      <c r="X257" s="5"/>
    </row>
    <row r="258" spans="1:24" ht="15.6" x14ac:dyDescent="0.3">
      <c r="A258" s="271"/>
      <c r="B258" s="272" t="s">
        <v>117</v>
      </c>
      <c r="C258" s="272"/>
      <c r="D258" s="272"/>
      <c r="E258" s="272"/>
      <c r="F258" s="272"/>
      <c r="G258" s="272"/>
      <c r="H258" s="383"/>
      <c r="I258" s="383"/>
      <c r="J258" s="383"/>
      <c r="K258" s="383"/>
      <c r="L258" s="383"/>
      <c r="M258" s="383"/>
      <c r="N258" s="383"/>
      <c r="O258" s="383"/>
      <c r="P258" s="383"/>
      <c r="Q258" s="383"/>
      <c r="R258" s="324">
        <f>SUM(R249:R257)</f>
        <v>7465</v>
      </c>
      <c r="S258" s="381">
        <f>SUM(S249:S257)</f>
        <v>1</v>
      </c>
      <c r="T258" s="325">
        <f>SUM(T249:T257)</f>
        <v>947678</v>
      </c>
      <c r="U258" s="381">
        <f>SUM(U249:U257)</f>
        <v>0.99999999999999989</v>
      </c>
      <c r="V258" s="272"/>
      <c r="W258" s="275"/>
      <c r="X258" s="5"/>
    </row>
    <row r="259" spans="1:24" ht="15.6" x14ac:dyDescent="0.3">
      <c r="A259" s="175"/>
      <c r="B259" s="321"/>
      <c r="C259" s="321"/>
      <c r="D259" s="321"/>
      <c r="E259" s="321"/>
      <c r="F259" s="321"/>
      <c r="G259" s="321"/>
      <c r="H259" s="377"/>
      <c r="I259" s="377"/>
      <c r="J259" s="377"/>
      <c r="K259" s="377"/>
      <c r="L259" s="377"/>
      <c r="M259" s="377"/>
      <c r="N259" s="377"/>
      <c r="O259" s="377"/>
      <c r="P259" s="377"/>
      <c r="Q259" s="377"/>
      <c r="R259" s="322"/>
      <c r="S259" s="378"/>
      <c r="T259" s="379"/>
      <c r="U259" s="378"/>
      <c r="V259" s="321"/>
      <c r="W259" s="321"/>
      <c r="X259" s="5"/>
    </row>
    <row r="260" spans="1:24" ht="15.6" x14ac:dyDescent="0.3">
      <c r="A260" s="256"/>
      <c r="B260" s="253" t="s">
        <v>279</v>
      </c>
      <c r="C260" s="254"/>
      <c r="D260" s="254"/>
      <c r="E260" s="254"/>
      <c r="F260" s="255"/>
      <c r="G260" s="254"/>
      <c r="H260" s="254"/>
      <c r="I260" s="254"/>
      <c r="J260" s="254"/>
      <c r="K260" s="254"/>
      <c r="L260" s="254"/>
      <c r="M260" s="254"/>
      <c r="N260" s="254"/>
      <c r="O260" s="254"/>
      <c r="P260" s="254"/>
      <c r="Q260" s="254"/>
      <c r="R260" s="255" t="s">
        <v>103</v>
      </c>
      <c r="S260" s="254" t="s">
        <v>104</v>
      </c>
      <c r="T260" s="255" t="s">
        <v>111</v>
      </c>
      <c r="U260" s="254" t="s">
        <v>104</v>
      </c>
      <c r="V260" s="257"/>
      <c r="W260" s="258"/>
      <c r="X260" s="5"/>
    </row>
    <row r="261" spans="1:24" ht="15.6" x14ac:dyDescent="0.3">
      <c r="A261" s="192"/>
      <c r="B261" s="231" t="s">
        <v>89</v>
      </c>
      <c r="C261" s="260"/>
      <c r="D261" s="260"/>
      <c r="E261" s="260"/>
      <c r="F261" s="229"/>
      <c r="G261" s="260"/>
      <c r="H261" s="260"/>
      <c r="I261" s="260"/>
      <c r="J261" s="260"/>
      <c r="K261" s="260"/>
      <c r="L261" s="260"/>
      <c r="M261" s="260"/>
      <c r="N261" s="260"/>
      <c r="O261" s="260"/>
      <c r="P261" s="260"/>
      <c r="Q261" s="260"/>
      <c r="R261" s="231">
        <v>136</v>
      </c>
      <c r="S261" s="261">
        <f>R261/$R$270</f>
        <v>0.79069767441860461</v>
      </c>
      <c r="T261" s="238">
        <v>22130</v>
      </c>
      <c r="U261" s="261">
        <f t="shared" ref="U261:U268" si="7">T261/$T$270</f>
        <v>0.8289631405454001</v>
      </c>
      <c r="V261" s="229"/>
      <c r="W261" s="193"/>
      <c r="X261" s="5"/>
    </row>
    <row r="262" spans="1:24" ht="15.6" x14ac:dyDescent="0.3">
      <c r="A262" s="271"/>
      <c r="B262" s="324" t="s">
        <v>90</v>
      </c>
      <c r="C262" s="380"/>
      <c r="D262" s="380"/>
      <c r="E262" s="380"/>
      <c r="F262" s="272"/>
      <c r="G262" s="381"/>
      <c r="H262" s="380"/>
      <c r="I262" s="380"/>
      <c r="J262" s="380"/>
      <c r="K262" s="380"/>
      <c r="L262" s="380"/>
      <c r="M262" s="380"/>
      <c r="N262" s="380"/>
      <c r="O262" s="380"/>
      <c r="P262" s="380"/>
      <c r="Q262" s="380"/>
      <c r="R262" s="324">
        <v>3</v>
      </c>
      <c r="S262" s="381">
        <f t="shared" ref="S262:S268" si="8">R262/$R$270</f>
        <v>1.7441860465116279E-2</v>
      </c>
      <c r="T262" s="325">
        <v>403</v>
      </c>
      <c r="U262" s="381">
        <f t="shared" si="7"/>
        <v>1.5095894516032365E-2</v>
      </c>
      <c r="V262" s="272"/>
      <c r="W262" s="304"/>
      <c r="X262" s="5"/>
    </row>
    <row r="263" spans="1:24" ht="15.6" x14ac:dyDescent="0.3">
      <c r="A263" s="271"/>
      <c r="B263" s="324" t="s">
        <v>91</v>
      </c>
      <c r="C263" s="380"/>
      <c r="D263" s="380"/>
      <c r="E263" s="380"/>
      <c r="F263" s="272"/>
      <c r="G263" s="381"/>
      <c r="H263" s="380"/>
      <c r="I263" s="380"/>
      <c r="J263" s="380"/>
      <c r="K263" s="380"/>
      <c r="L263" s="380"/>
      <c r="M263" s="380"/>
      <c r="N263" s="380"/>
      <c r="O263" s="380"/>
      <c r="P263" s="380"/>
      <c r="Q263" s="380"/>
      <c r="R263" s="324">
        <v>0</v>
      </c>
      <c r="S263" s="381">
        <f t="shared" si="8"/>
        <v>0</v>
      </c>
      <c r="T263" s="325">
        <v>0</v>
      </c>
      <c r="U263" s="381">
        <f t="shared" si="7"/>
        <v>0</v>
      </c>
      <c r="V263" s="272"/>
      <c r="W263" s="304"/>
      <c r="X263" s="5"/>
    </row>
    <row r="264" spans="1:24" ht="15.6" x14ac:dyDescent="0.3">
      <c r="A264" s="271"/>
      <c r="B264" s="324" t="s">
        <v>159</v>
      </c>
      <c r="C264" s="380"/>
      <c r="D264" s="380"/>
      <c r="E264" s="380"/>
      <c r="F264" s="272"/>
      <c r="G264" s="381"/>
      <c r="H264" s="380"/>
      <c r="I264" s="380"/>
      <c r="J264" s="380"/>
      <c r="K264" s="380"/>
      <c r="L264" s="380"/>
      <c r="M264" s="380"/>
      <c r="N264" s="380"/>
      <c r="O264" s="380"/>
      <c r="P264" s="380"/>
      <c r="Q264" s="380"/>
      <c r="R264" s="324">
        <v>0</v>
      </c>
      <c r="S264" s="381">
        <f t="shared" si="8"/>
        <v>0</v>
      </c>
      <c r="T264" s="325">
        <v>0</v>
      </c>
      <c r="U264" s="381">
        <f t="shared" si="7"/>
        <v>0</v>
      </c>
      <c r="V264" s="272"/>
      <c r="W264" s="304"/>
      <c r="X264" s="5"/>
    </row>
    <row r="265" spans="1:24" ht="15.6" x14ac:dyDescent="0.3">
      <c r="A265" s="271"/>
      <c r="B265" s="324" t="s">
        <v>160</v>
      </c>
      <c r="C265" s="380"/>
      <c r="D265" s="380"/>
      <c r="E265" s="380"/>
      <c r="F265" s="272"/>
      <c r="G265" s="381"/>
      <c r="H265" s="380"/>
      <c r="I265" s="380"/>
      <c r="J265" s="380"/>
      <c r="K265" s="380"/>
      <c r="L265" s="380"/>
      <c r="M265" s="380"/>
      <c r="N265" s="380"/>
      <c r="O265" s="380"/>
      <c r="P265" s="380"/>
      <c r="Q265" s="380"/>
      <c r="R265" s="324">
        <v>0</v>
      </c>
      <c r="S265" s="381">
        <f t="shared" si="8"/>
        <v>0</v>
      </c>
      <c r="T265" s="325">
        <v>0</v>
      </c>
      <c r="U265" s="381">
        <f t="shared" si="7"/>
        <v>0</v>
      </c>
      <c r="V265" s="272"/>
      <c r="W265" s="304"/>
      <c r="X265" s="5"/>
    </row>
    <row r="266" spans="1:24" ht="15.6" x14ac:dyDescent="0.3">
      <c r="A266" s="271"/>
      <c r="B266" s="324" t="s">
        <v>161</v>
      </c>
      <c r="C266" s="380"/>
      <c r="D266" s="380"/>
      <c r="E266" s="380"/>
      <c r="F266" s="272"/>
      <c r="G266" s="381"/>
      <c r="H266" s="380"/>
      <c r="I266" s="380"/>
      <c r="J266" s="380"/>
      <c r="K266" s="380"/>
      <c r="L266" s="380"/>
      <c r="M266" s="380"/>
      <c r="N266" s="380"/>
      <c r="O266" s="380"/>
      <c r="P266" s="380"/>
      <c r="Q266" s="380"/>
      <c r="R266" s="324">
        <v>2</v>
      </c>
      <c r="S266" s="381">
        <f t="shared" si="8"/>
        <v>1.1627906976744186E-2</v>
      </c>
      <c r="T266" s="325">
        <v>271</v>
      </c>
      <c r="U266" s="381">
        <f t="shared" si="7"/>
        <v>1.0151333533113574E-2</v>
      </c>
      <c r="V266" s="272"/>
      <c r="W266" s="304"/>
      <c r="X266" s="5"/>
    </row>
    <row r="267" spans="1:24" ht="15.6" x14ac:dyDescent="0.3">
      <c r="A267" s="271"/>
      <c r="B267" s="324" t="s">
        <v>162</v>
      </c>
      <c r="C267" s="380"/>
      <c r="D267" s="380"/>
      <c r="E267" s="380"/>
      <c r="F267" s="272"/>
      <c r="G267" s="381"/>
      <c r="H267" s="380"/>
      <c r="I267" s="380"/>
      <c r="J267" s="380"/>
      <c r="K267" s="380"/>
      <c r="L267" s="380"/>
      <c r="M267" s="380"/>
      <c r="N267" s="380"/>
      <c r="O267" s="380"/>
      <c r="P267" s="380"/>
      <c r="Q267" s="380"/>
      <c r="R267" s="324">
        <v>1</v>
      </c>
      <c r="S267" s="381">
        <f t="shared" si="8"/>
        <v>5.8139534883720929E-3</v>
      </c>
      <c r="T267" s="325">
        <v>105</v>
      </c>
      <c r="U267" s="381">
        <f t="shared" si="7"/>
        <v>3.9331735091399462E-3</v>
      </c>
      <c r="V267" s="272"/>
      <c r="W267" s="304"/>
      <c r="X267" s="5"/>
    </row>
    <row r="268" spans="1:24" ht="15.6" x14ac:dyDescent="0.3">
      <c r="A268" s="271"/>
      <c r="B268" s="324" t="s">
        <v>163</v>
      </c>
      <c r="C268" s="380"/>
      <c r="D268" s="380"/>
      <c r="E268" s="380"/>
      <c r="F268" s="272"/>
      <c r="G268" s="381"/>
      <c r="H268" s="380"/>
      <c r="I268" s="380"/>
      <c r="J268" s="380"/>
      <c r="K268" s="380"/>
      <c r="L268" s="380"/>
      <c r="M268" s="380"/>
      <c r="N268" s="380"/>
      <c r="O268" s="380"/>
      <c r="P268" s="380"/>
      <c r="Q268" s="380"/>
      <c r="R268" s="324">
        <v>30</v>
      </c>
      <c r="S268" s="381">
        <f t="shared" si="8"/>
        <v>0.1744186046511628</v>
      </c>
      <c r="T268" s="325">
        <v>3787</v>
      </c>
      <c r="U268" s="381">
        <f t="shared" si="7"/>
        <v>0.14185645789631404</v>
      </c>
      <c r="V268" s="272"/>
      <c r="W268" s="304"/>
      <c r="X268" s="5"/>
    </row>
    <row r="269" spans="1:24" ht="15.6" x14ac:dyDescent="0.3">
      <c r="A269" s="271"/>
      <c r="B269" s="324"/>
      <c r="C269" s="380"/>
      <c r="D269" s="380"/>
      <c r="E269" s="380"/>
      <c r="F269" s="272"/>
      <c r="G269" s="381"/>
      <c r="H269" s="380"/>
      <c r="I269" s="380"/>
      <c r="J269" s="380"/>
      <c r="K269" s="380"/>
      <c r="L269" s="380"/>
      <c r="M269" s="380"/>
      <c r="N269" s="380"/>
      <c r="O269" s="380"/>
      <c r="P269" s="380"/>
      <c r="Q269" s="380"/>
      <c r="R269" s="324"/>
      <c r="S269" s="381"/>
      <c r="T269" s="325"/>
      <c r="U269" s="381"/>
      <c r="V269" s="272"/>
      <c r="W269" s="304"/>
      <c r="X269" s="5"/>
    </row>
    <row r="270" spans="1:24" ht="15.6" x14ac:dyDescent="0.3">
      <c r="A270" s="271"/>
      <c r="B270" s="272" t="s">
        <v>117</v>
      </c>
      <c r="C270" s="272"/>
      <c r="D270" s="272"/>
      <c r="E270" s="272"/>
      <c r="F270" s="272"/>
      <c r="G270" s="272"/>
      <c r="H270" s="383"/>
      <c r="I270" s="383"/>
      <c r="J270" s="383"/>
      <c r="K270" s="383"/>
      <c r="L270" s="383"/>
      <c r="M270" s="383"/>
      <c r="N270" s="383"/>
      <c r="O270" s="383"/>
      <c r="P270" s="383"/>
      <c r="Q270" s="383"/>
      <c r="R270" s="324">
        <f>SUM(R261:R269)</f>
        <v>172</v>
      </c>
      <c r="S270" s="381">
        <f>SUM(S261:S269)</f>
        <v>1</v>
      </c>
      <c r="T270" s="325">
        <f>SUM(T261:T269)</f>
        <v>26696</v>
      </c>
      <c r="U270" s="381">
        <f>SUM(U261:U269)</f>
        <v>1</v>
      </c>
      <c r="V270" s="272"/>
      <c r="W270" s="304"/>
      <c r="X270" s="5"/>
    </row>
    <row r="271" spans="1:24" ht="15.6" x14ac:dyDescent="0.3">
      <c r="A271" s="175"/>
      <c r="B271" s="321"/>
      <c r="C271" s="321"/>
      <c r="D271" s="321"/>
      <c r="E271" s="321"/>
      <c r="F271" s="321"/>
      <c r="G271" s="321"/>
      <c r="H271" s="377"/>
      <c r="I271" s="377"/>
      <c r="J271" s="377"/>
      <c r="K271" s="377"/>
      <c r="L271" s="377"/>
      <c r="M271" s="377"/>
      <c r="N271" s="377"/>
      <c r="O271" s="377"/>
      <c r="P271" s="377"/>
      <c r="Q271" s="377"/>
      <c r="R271" s="322"/>
      <c r="S271" s="378"/>
      <c r="T271" s="379"/>
      <c r="U271" s="378"/>
      <c r="V271" s="321"/>
      <c r="W271" s="321"/>
      <c r="X271" s="5"/>
    </row>
    <row r="272" spans="1:24" ht="15.6" x14ac:dyDescent="0.3">
      <c r="A272" s="256"/>
      <c r="B272" s="253" t="s">
        <v>166</v>
      </c>
      <c r="C272" s="257"/>
      <c r="D272" s="257"/>
      <c r="E272" s="257"/>
      <c r="F272" s="257"/>
      <c r="G272" s="257"/>
      <c r="H272" s="259"/>
      <c r="I272" s="259"/>
      <c r="J272" s="259"/>
      <c r="K272" s="259"/>
      <c r="L272" s="259"/>
      <c r="M272" s="259"/>
      <c r="N272" s="259"/>
      <c r="O272" s="259"/>
      <c r="P272" s="259"/>
      <c r="Q272" s="259"/>
      <c r="R272" s="255" t="s">
        <v>103</v>
      </c>
      <c r="S272" s="254" t="s">
        <v>104</v>
      </c>
      <c r="T272" s="255" t="s">
        <v>111</v>
      </c>
      <c r="U272" s="254" t="s">
        <v>104</v>
      </c>
      <c r="V272" s="257"/>
      <c r="W272" s="258"/>
      <c r="X272" s="5"/>
    </row>
    <row r="273" spans="1:24" ht="15.6" x14ac:dyDescent="0.3">
      <c r="A273" s="192"/>
      <c r="B273" s="231" t="s">
        <v>89</v>
      </c>
      <c r="C273" s="229"/>
      <c r="D273" s="229"/>
      <c r="E273" s="229"/>
      <c r="F273" s="229"/>
      <c r="G273" s="229"/>
      <c r="H273" s="262"/>
      <c r="I273" s="262"/>
      <c r="J273" s="262"/>
      <c r="K273" s="262"/>
      <c r="L273" s="262"/>
      <c r="M273" s="262"/>
      <c r="N273" s="262"/>
      <c r="O273" s="262"/>
      <c r="P273" s="262"/>
      <c r="Q273" s="262"/>
      <c r="R273" s="231">
        <v>0</v>
      </c>
      <c r="S273" s="261">
        <f>+R273*$R$282</f>
        <v>0</v>
      </c>
      <c r="T273" s="238">
        <v>0</v>
      </c>
      <c r="U273" s="261">
        <f>+T273/$T$282</f>
        <v>0</v>
      </c>
      <c r="V273" s="229"/>
      <c r="W273" s="229"/>
      <c r="X273" s="5"/>
    </row>
    <row r="274" spans="1:24" ht="15.6" x14ac:dyDescent="0.3">
      <c r="A274" s="271"/>
      <c r="B274" s="324" t="s">
        <v>90</v>
      </c>
      <c r="C274" s="272"/>
      <c r="D274" s="272"/>
      <c r="E274" s="272"/>
      <c r="F274" s="272"/>
      <c r="G274" s="272"/>
      <c r="H274" s="383"/>
      <c r="I274" s="383"/>
      <c r="J274" s="383"/>
      <c r="K274" s="383"/>
      <c r="L274" s="383"/>
      <c r="M274" s="383"/>
      <c r="N274" s="383"/>
      <c r="O274" s="383"/>
      <c r="P274" s="383"/>
      <c r="Q274" s="383"/>
      <c r="R274" s="324">
        <v>0</v>
      </c>
      <c r="S274" s="381">
        <f>+R274/$R$282</f>
        <v>0</v>
      </c>
      <c r="T274" s="325">
        <v>0</v>
      </c>
      <c r="U274" s="381">
        <f>+T274/$T$282</f>
        <v>0</v>
      </c>
      <c r="V274" s="272"/>
      <c r="W274" s="275"/>
      <c r="X274" s="5"/>
    </row>
    <row r="275" spans="1:24" ht="15.6" x14ac:dyDescent="0.3">
      <c r="A275" s="271"/>
      <c r="B275" s="324" t="s">
        <v>91</v>
      </c>
      <c r="C275" s="272"/>
      <c r="D275" s="272"/>
      <c r="E275" s="272"/>
      <c r="F275" s="272"/>
      <c r="G275" s="272"/>
      <c r="H275" s="383"/>
      <c r="I275" s="383"/>
      <c r="J275" s="383"/>
      <c r="K275" s="383"/>
      <c r="L275" s="383"/>
      <c r="M275" s="383"/>
      <c r="N275" s="383"/>
      <c r="O275" s="383"/>
      <c r="P275" s="383"/>
      <c r="Q275" s="383"/>
      <c r="R275" s="324">
        <v>0</v>
      </c>
      <c r="S275" s="381">
        <f t="shared" ref="S275:S280" si="9">+R275/$R$282</f>
        <v>0</v>
      </c>
      <c r="T275" s="325">
        <v>0</v>
      </c>
      <c r="U275" s="381">
        <f t="shared" ref="U275:U280" si="10">+T275/$T$282</f>
        <v>0</v>
      </c>
      <c r="V275" s="272"/>
      <c r="W275" s="275"/>
      <c r="X275" s="5"/>
    </row>
    <row r="276" spans="1:24" ht="15.6" x14ac:dyDescent="0.3">
      <c r="A276" s="271"/>
      <c r="B276" s="324" t="s">
        <v>159</v>
      </c>
      <c r="C276" s="272"/>
      <c r="D276" s="272"/>
      <c r="E276" s="272"/>
      <c r="F276" s="272"/>
      <c r="G276" s="272"/>
      <c r="H276" s="383"/>
      <c r="I276" s="383"/>
      <c r="J276" s="383"/>
      <c r="K276" s="383"/>
      <c r="L276" s="383"/>
      <c r="M276" s="383"/>
      <c r="N276" s="383"/>
      <c r="O276" s="383"/>
      <c r="P276" s="383"/>
      <c r="Q276" s="383"/>
      <c r="R276" s="324">
        <v>0</v>
      </c>
      <c r="S276" s="381">
        <f t="shared" si="9"/>
        <v>0</v>
      </c>
      <c r="T276" s="325">
        <v>0</v>
      </c>
      <c r="U276" s="381">
        <f t="shared" si="10"/>
        <v>0</v>
      </c>
      <c r="V276" s="272"/>
      <c r="W276" s="275"/>
      <c r="X276" s="5"/>
    </row>
    <row r="277" spans="1:24" ht="15.6" x14ac:dyDescent="0.3">
      <c r="A277" s="271"/>
      <c r="B277" s="324" t="s">
        <v>160</v>
      </c>
      <c r="C277" s="272"/>
      <c r="D277" s="272"/>
      <c r="E277" s="272"/>
      <c r="F277" s="272"/>
      <c r="G277" s="272"/>
      <c r="H277" s="383"/>
      <c r="I277" s="383"/>
      <c r="J277" s="383"/>
      <c r="K277" s="383"/>
      <c r="L277" s="383"/>
      <c r="M277" s="383"/>
      <c r="N277" s="383"/>
      <c r="O277" s="383"/>
      <c r="P277" s="383"/>
      <c r="Q277" s="383"/>
      <c r="R277" s="324">
        <v>0</v>
      </c>
      <c r="S277" s="381">
        <f t="shared" si="9"/>
        <v>0</v>
      </c>
      <c r="T277" s="325">
        <v>0</v>
      </c>
      <c r="U277" s="381">
        <f t="shared" si="10"/>
        <v>0</v>
      </c>
      <c r="V277" s="272"/>
      <c r="W277" s="275"/>
      <c r="X277" s="5"/>
    </row>
    <row r="278" spans="1:24" ht="15.6" x14ac:dyDescent="0.3">
      <c r="A278" s="271"/>
      <c r="B278" s="324" t="s">
        <v>161</v>
      </c>
      <c r="C278" s="272"/>
      <c r="D278" s="272"/>
      <c r="E278" s="272"/>
      <c r="F278" s="272"/>
      <c r="G278" s="272"/>
      <c r="H278" s="383"/>
      <c r="I278" s="383"/>
      <c r="J278" s="383"/>
      <c r="K278" s="383"/>
      <c r="L278" s="383"/>
      <c r="M278" s="383"/>
      <c r="N278" s="383"/>
      <c r="O278" s="383"/>
      <c r="P278" s="383"/>
      <c r="Q278" s="383"/>
      <c r="R278" s="324">
        <v>0</v>
      </c>
      <c r="S278" s="381">
        <f t="shared" si="9"/>
        <v>0</v>
      </c>
      <c r="T278" s="325">
        <v>0</v>
      </c>
      <c r="U278" s="381">
        <f t="shared" si="10"/>
        <v>0</v>
      </c>
      <c r="V278" s="272"/>
      <c r="W278" s="275"/>
      <c r="X278" s="5"/>
    </row>
    <row r="279" spans="1:24" ht="15.6" x14ac:dyDescent="0.3">
      <c r="A279" s="271"/>
      <c r="B279" s="324" t="s">
        <v>162</v>
      </c>
      <c r="C279" s="272"/>
      <c r="D279" s="272"/>
      <c r="E279" s="272"/>
      <c r="F279" s="272"/>
      <c r="G279" s="272"/>
      <c r="H279" s="383"/>
      <c r="I279" s="383"/>
      <c r="J279" s="383"/>
      <c r="K279" s="383"/>
      <c r="L279" s="383"/>
      <c r="M279" s="383"/>
      <c r="N279" s="383"/>
      <c r="O279" s="383"/>
      <c r="P279" s="383"/>
      <c r="Q279" s="383"/>
      <c r="R279" s="324">
        <v>0</v>
      </c>
      <c r="S279" s="381">
        <f t="shared" si="9"/>
        <v>0</v>
      </c>
      <c r="T279" s="325">
        <v>0</v>
      </c>
      <c r="U279" s="381">
        <f t="shared" si="10"/>
        <v>0</v>
      </c>
      <c r="V279" s="272"/>
      <c r="W279" s="275"/>
      <c r="X279" s="5"/>
    </row>
    <row r="280" spans="1:24" ht="15.6" x14ac:dyDescent="0.3">
      <c r="A280" s="271"/>
      <c r="B280" s="324" t="s">
        <v>163</v>
      </c>
      <c r="C280" s="272"/>
      <c r="D280" s="272"/>
      <c r="E280" s="272"/>
      <c r="F280" s="272"/>
      <c r="G280" s="272"/>
      <c r="H280" s="383"/>
      <c r="I280" s="383"/>
      <c r="J280" s="383"/>
      <c r="K280" s="383"/>
      <c r="L280" s="383"/>
      <c r="M280" s="383"/>
      <c r="N280" s="383"/>
      <c r="O280" s="383"/>
      <c r="P280" s="383"/>
      <c r="Q280" s="383"/>
      <c r="R280" s="324">
        <v>1</v>
      </c>
      <c r="S280" s="381">
        <f t="shared" si="9"/>
        <v>1</v>
      </c>
      <c r="T280" s="325">
        <v>263</v>
      </c>
      <c r="U280" s="381">
        <f t="shared" si="10"/>
        <v>1</v>
      </c>
      <c r="V280" s="272"/>
      <c r="W280" s="275"/>
      <c r="X280" s="5"/>
    </row>
    <row r="281" spans="1:24" ht="15.6" x14ac:dyDescent="0.3">
      <c r="A281" s="271"/>
      <c r="B281" s="324"/>
      <c r="C281" s="272"/>
      <c r="D281" s="272"/>
      <c r="E281" s="272"/>
      <c r="F281" s="272"/>
      <c r="G281" s="272"/>
      <c r="H281" s="383"/>
      <c r="I281" s="383"/>
      <c r="J281" s="383"/>
      <c r="K281" s="383"/>
      <c r="L281" s="383"/>
      <c r="M281" s="383"/>
      <c r="N281" s="383"/>
      <c r="O281" s="383"/>
      <c r="P281" s="383"/>
      <c r="Q281" s="383"/>
      <c r="R281" s="324"/>
      <c r="S281" s="381"/>
      <c r="T281" s="325"/>
      <c r="U281" s="381"/>
      <c r="V281" s="272"/>
      <c r="W281" s="275"/>
      <c r="X281" s="5"/>
    </row>
    <row r="282" spans="1:24" ht="15.6" x14ac:dyDescent="0.3">
      <c r="A282" s="271"/>
      <c r="B282" s="272" t="s">
        <v>117</v>
      </c>
      <c r="C282" s="272"/>
      <c r="D282" s="272"/>
      <c r="E282" s="272"/>
      <c r="F282" s="272"/>
      <c r="G282" s="272"/>
      <c r="H282" s="383"/>
      <c r="I282" s="383"/>
      <c r="J282" s="383"/>
      <c r="K282" s="383"/>
      <c r="L282" s="383"/>
      <c r="M282" s="383"/>
      <c r="N282" s="383"/>
      <c r="O282" s="383"/>
      <c r="P282" s="383"/>
      <c r="Q282" s="383"/>
      <c r="R282" s="324">
        <f>SUM(R273:R280)</f>
        <v>1</v>
      </c>
      <c r="S282" s="381">
        <f>SUM(S273:S280)</f>
        <v>1</v>
      </c>
      <c r="T282" s="325">
        <f>SUM(T273:T280)</f>
        <v>263</v>
      </c>
      <c r="U282" s="381">
        <f>SUM(U273:U280)</f>
        <v>1</v>
      </c>
      <c r="V282" s="272"/>
      <c r="W282" s="275"/>
      <c r="X282" s="5"/>
    </row>
    <row r="283" spans="1:24" ht="15.6" x14ac:dyDescent="0.3">
      <c r="A283" s="271"/>
      <c r="B283" s="272"/>
      <c r="C283" s="272"/>
      <c r="D283" s="272"/>
      <c r="E283" s="272"/>
      <c r="F283" s="272"/>
      <c r="G283" s="272"/>
      <c r="H283" s="383"/>
      <c r="I283" s="383"/>
      <c r="J283" s="383"/>
      <c r="K283" s="383"/>
      <c r="L283" s="383"/>
      <c r="M283" s="383"/>
      <c r="N283" s="383"/>
      <c r="O283" s="383"/>
      <c r="P283" s="383"/>
      <c r="Q283" s="383"/>
      <c r="R283" s="324"/>
      <c r="S283" s="381"/>
      <c r="T283" s="325"/>
      <c r="U283" s="381"/>
      <c r="V283" s="272"/>
      <c r="W283" s="275"/>
      <c r="X283" s="5"/>
    </row>
    <row r="284" spans="1:24" ht="15.6" x14ac:dyDescent="0.3">
      <c r="A284" s="271"/>
      <c r="B284" s="279" t="s">
        <v>167</v>
      </c>
      <c r="C284" s="272"/>
      <c r="D284" s="272"/>
      <c r="E284" s="272"/>
      <c r="F284" s="272"/>
      <c r="G284" s="272"/>
      <c r="H284" s="383"/>
      <c r="I284" s="383"/>
      <c r="J284" s="383"/>
      <c r="K284" s="383"/>
      <c r="L284" s="383"/>
      <c r="M284" s="383"/>
      <c r="N284" s="383"/>
      <c r="O284" s="383"/>
      <c r="P284" s="383"/>
      <c r="Q284" s="383"/>
      <c r="R284" s="390">
        <f>R282+R270+R258</f>
        <v>7638</v>
      </c>
      <c r="S284" s="381"/>
      <c r="T284" s="387">
        <f>+T282+T270+T258</f>
        <v>974637</v>
      </c>
      <c r="U284" s="381"/>
      <c r="V284" s="272"/>
      <c r="W284" s="275"/>
      <c r="X284" s="5"/>
    </row>
    <row r="285" spans="1:24" ht="15.6" x14ac:dyDescent="0.3">
      <c r="A285" s="175"/>
      <c r="B285" s="268"/>
      <c r="C285" s="268"/>
      <c r="D285" s="268"/>
      <c r="E285" s="268"/>
      <c r="F285" s="268"/>
      <c r="G285" s="268"/>
      <c r="H285" s="384"/>
      <c r="I285" s="384"/>
      <c r="J285" s="384"/>
      <c r="K285" s="384"/>
      <c r="L285" s="384"/>
      <c r="M285" s="384"/>
      <c r="N285" s="384"/>
      <c r="O285" s="384"/>
      <c r="P285" s="384"/>
      <c r="Q285" s="384"/>
      <c r="R285" s="384"/>
      <c r="S285" s="384"/>
      <c r="T285" s="385"/>
      <c r="U285" s="384"/>
      <c r="V285" s="268"/>
      <c r="W285" s="268"/>
      <c r="X285" s="5"/>
    </row>
    <row r="286" spans="1:24" ht="15.6" x14ac:dyDescent="0.3">
      <c r="A286" s="175"/>
      <c r="B286" s="220"/>
      <c r="C286" s="220"/>
      <c r="D286" s="220"/>
      <c r="E286" s="220"/>
      <c r="F286" s="220"/>
      <c r="G286" s="220"/>
      <c r="H286" s="263"/>
      <c r="I286" s="263"/>
      <c r="J286" s="263"/>
      <c r="K286" s="263"/>
      <c r="L286" s="263"/>
      <c r="M286" s="263"/>
      <c r="N286" s="263"/>
      <c r="O286" s="263"/>
      <c r="P286" s="263"/>
      <c r="Q286" s="263"/>
      <c r="R286" s="263"/>
      <c r="S286" s="263"/>
      <c r="T286" s="264"/>
      <c r="U286" s="263"/>
      <c r="V286" s="220"/>
      <c r="W286" s="220"/>
      <c r="X286" s="5"/>
    </row>
    <row r="287" spans="1:24" ht="15.6" x14ac:dyDescent="0.3">
      <c r="A287" s="216"/>
      <c r="B287" s="219" t="s">
        <v>92</v>
      </c>
      <c r="C287" s="220"/>
      <c r="D287" s="220"/>
      <c r="E287" s="220"/>
      <c r="F287" s="224" t="s">
        <v>98</v>
      </c>
      <c r="G287" s="220"/>
      <c r="H287" s="219" t="s">
        <v>100</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335</v>
      </c>
      <c r="C288" s="220"/>
      <c r="D288" s="220"/>
      <c r="E288" s="220"/>
      <c r="F288" s="265" t="s">
        <v>151</v>
      </c>
      <c r="G288" s="220"/>
      <c r="H288" s="219" t="s">
        <v>155</v>
      </c>
      <c r="I288" s="219"/>
      <c r="J288" s="219"/>
      <c r="K288" s="227"/>
      <c r="L288" s="227"/>
      <c r="M288" s="227"/>
      <c r="N288" s="227"/>
      <c r="O288" s="227"/>
      <c r="P288" s="227"/>
      <c r="Q288" s="227"/>
      <c r="R288" s="227"/>
      <c r="S288" s="227"/>
      <c r="T288" s="227"/>
      <c r="U288" s="227"/>
      <c r="V288" s="227"/>
      <c r="W288" s="227"/>
      <c r="X288" s="5"/>
    </row>
    <row r="289" spans="1:24" ht="15.6" x14ac:dyDescent="0.3">
      <c r="A289" s="216"/>
      <c r="B289" s="219" t="s">
        <v>336</v>
      </c>
      <c r="C289" s="219"/>
      <c r="D289" s="219"/>
      <c r="E289" s="219"/>
      <c r="F289" s="265" t="s">
        <v>282</v>
      </c>
      <c r="G289" s="219"/>
      <c r="H289" s="219" t="s">
        <v>283</v>
      </c>
      <c r="I289" s="227"/>
      <c r="J289" s="219"/>
      <c r="K289" s="227"/>
      <c r="L289" s="227"/>
      <c r="M289" s="227"/>
      <c r="N289" s="227"/>
      <c r="O289" s="227"/>
      <c r="P289" s="227"/>
      <c r="Q289" s="227"/>
      <c r="R289" s="227"/>
      <c r="S289" s="227"/>
      <c r="T289" s="227"/>
      <c r="U289" s="227"/>
      <c r="V289" s="227"/>
      <c r="W289" s="227"/>
      <c r="X289" s="5"/>
    </row>
    <row r="290" spans="1:24" ht="15.6" x14ac:dyDescent="0.3">
      <c r="A290" s="216"/>
      <c r="B290" s="219" t="s">
        <v>337</v>
      </c>
      <c r="C290" s="219"/>
      <c r="D290" s="219"/>
      <c r="E290" s="219"/>
      <c r="F290" s="265" t="s">
        <v>150</v>
      </c>
      <c r="G290" s="219"/>
      <c r="H290" s="219" t="s">
        <v>156</v>
      </c>
      <c r="I290" s="219"/>
      <c r="J290" s="219"/>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5.6" x14ac:dyDescent="0.3">
      <c r="A292" s="216"/>
      <c r="B292" s="219"/>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ht="18" thickBot="1" x14ac:dyDescent="0.35">
      <c r="A293" s="216"/>
      <c r="B293" s="267" t="str">
        <f>B198</f>
        <v>PM13 INVESTOR REPORT QUARTER ENDING JUNE 2013</v>
      </c>
      <c r="C293" s="219"/>
      <c r="D293" s="219"/>
      <c r="E293" s="219"/>
      <c r="F293" s="219"/>
      <c r="G293" s="266"/>
      <c r="H293" s="227"/>
      <c r="I293" s="227"/>
      <c r="J293" s="227"/>
      <c r="K293" s="227"/>
      <c r="L293" s="227"/>
      <c r="M293" s="227"/>
      <c r="N293" s="227"/>
      <c r="O293" s="227"/>
      <c r="P293" s="227"/>
      <c r="Q293" s="227"/>
      <c r="R293" s="227"/>
      <c r="S293" s="227"/>
      <c r="T293" s="227"/>
      <c r="U293" s="227"/>
      <c r="V293" s="227"/>
      <c r="W293" s="227"/>
      <c r="X293" s="5"/>
    </row>
    <row r="294" spans="1:24" x14ac:dyDescent="0.25">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row>
  </sheetData>
  <hyperlinks>
    <hyperlink ref="P234" r:id="rId1" xr:uid="{00000000-0004-0000-1A00-000000000000}"/>
    <hyperlink ref="I9" r:id="rId2" xr:uid="{00000000-0004-0000-1A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2" man="1"/>
    <brk id="138" max="22" man="1"/>
    <brk id="198" max="22"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2D2926"/>
  </sheetPr>
  <dimension ref="A1:Z294"/>
  <sheetViews>
    <sheetView showGridLines="0" showOutlineSymbols="0" topLeftCell="A7"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0.64019999999999999</v>
      </c>
      <c r="T16" s="224" t="s">
        <v>143</v>
      </c>
      <c r="U16" s="223">
        <v>0.35980000000000001</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41565</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395"/>
      <c r="B22" s="396"/>
      <c r="C22" s="397"/>
      <c r="D22" s="397" t="s">
        <v>180</v>
      </c>
      <c r="E22" s="397"/>
      <c r="F22" s="397" t="s">
        <v>181</v>
      </c>
      <c r="G22" s="397"/>
      <c r="H22" s="397" t="s">
        <v>182</v>
      </c>
      <c r="I22" s="397"/>
      <c r="J22" s="397" t="s">
        <v>223</v>
      </c>
      <c r="K22" s="397"/>
      <c r="L22" s="397" t="s">
        <v>183</v>
      </c>
      <c r="M22" s="397"/>
      <c r="N22" s="397" t="s">
        <v>184</v>
      </c>
      <c r="O22" s="397"/>
      <c r="P22" s="397" t="s">
        <v>224</v>
      </c>
      <c r="Q22" s="397"/>
      <c r="R22" s="397" t="s">
        <v>185</v>
      </c>
      <c r="S22" s="398"/>
      <c r="T22" s="398"/>
      <c r="U22" s="399"/>
      <c r="V22" s="399"/>
      <c r="W22" s="396"/>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323</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321</v>
      </c>
      <c r="E27" s="389"/>
      <c r="F27" s="389" t="s">
        <v>168</v>
      </c>
      <c r="G27" s="389"/>
      <c r="H27" s="389" t="s">
        <v>168</v>
      </c>
      <c r="I27" s="389"/>
      <c r="J27" s="389" t="s">
        <v>168</v>
      </c>
      <c r="K27" s="389"/>
      <c r="L27" s="389" t="s">
        <v>324</v>
      </c>
      <c r="M27" s="389"/>
      <c r="N27" s="389" t="s">
        <v>324</v>
      </c>
      <c r="O27" s="389"/>
      <c r="P27" s="389" t="s">
        <v>325</v>
      </c>
      <c r="Q27" s="389"/>
      <c r="R27" s="389" t="s">
        <v>325</v>
      </c>
      <c r="S27" s="273"/>
      <c r="T27" s="280"/>
      <c r="U27" s="274"/>
      <c r="V27" s="274"/>
      <c r="W27" s="275"/>
      <c r="X27" s="5"/>
    </row>
    <row r="28" spans="1:24" ht="15.6" x14ac:dyDescent="0.3">
      <c r="A28" s="271"/>
      <c r="B28" s="279" t="s">
        <v>195</v>
      </c>
      <c r="C28" s="273"/>
      <c r="D28" s="389" t="s">
        <v>319</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902984.4</v>
      </c>
      <c r="E32" s="282"/>
      <c r="F32" s="283">
        <f>F31*F38</f>
        <v>75248.899999999994</v>
      </c>
      <c r="G32" s="283"/>
      <c r="H32" s="288">
        <f>H31*H38</f>
        <v>189627.22799999997</v>
      </c>
      <c r="I32" s="288"/>
      <c r="J32" s="287">
        <f>J31*J38</f>
        <v>210696.36000000002</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898388.39999999991</v>
      </c>
      <c r="E33" s="286"/>
      <c r="F33" s="289">
        <f>F37*F31</f>
        <v>74865.899999999994</v>
      </c>
      <c r="G33" s="289"/>
      <c r="H33" s="292">
        <f>H31*H37</f>
        <v>188662.068</v>
      </c>
      <c r="I33" s="292"/>
      <c r="J33" s="291">
        <f>J37*J31</f>
        <v>209623.96</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480310.64613120002</v>
      </c>
      <c r="E35" s="282"/>
      <c r="F35" s="283">
        <f>F34*F38</f>
        <v>75248.899999999994</v>
      </c>
      <c r="G35" s="283"/>
      <c r="H35" s="283">
        <f>H34*H38</f>
        <v>127266.35760079999</v>
      </c>
      <c r="I35" s="283"/>
      <c r="J35" s="283">
        <f>J34*J38</f>
        <v>112072.403832</v>
      </c>
      <c r="K35" s="283"/>
      <c r="L35" s="283">
        <f>L34*L38</f>
        <v>56000</v>
      </c>
      <c r="M35" s="283"/>
      <c r="N35" s="283">
        <f>N34*N38</f>
        <v>56376</v>
      </c>
      <c r="O35" s="283"/>
      <c r="P35" s="283">
        <f>P34*P38</f>
        <v>13000</v>
      </c>
      <c r="Q35" s="283"/>
      <c r="R35" s="283">
        <f>R34*R38</f>
        <v>54363</v>
      </c>
      <c r="S35" s="283"/>
      <c r="T35" s="283"/>
      <c r="U35" s="284"/>
      <c r="V35" s="283">
        <f>SUM(C35:R35)</f>
        <v>974637.30756400002</v>
      </c>
      <c r="W35" s="285"/>
      <c r="X35" s="5"/>
    </row>
    <row r="36" spans="1:24" ht="15.6" x14ac:dyDescent="0.3">
      <c r="A36" s="276"/>
      <c r="B36" s="279" t="s">
        <v>304</v>
      </c>
      <c r="C36" s="286"/>
      <c r="D36" s="289">
        <f>D34*D37</f>
        <v>477865.96632319997</v>
      </c>
      <c r="E36" s="286"/>
      <c r="F36" s="289">
        <f>F34*F37</f>
        <v>74865.899999999994</v>
      </c>
      <c r="G36" s="289"/>
      <c r="H36" s="289">
        <f>H34*H37</f>
        <v>126618.6004248</v>
      </c>
      <c r="I36" s="289"/>
      <c r="J36" s="289">
        <f>J34*J37</f>
        <v>111501.97895199999</v>
      </c>
      <c r="K36" s="289"/>
      <c r="L36" s="289">
        <v>56000</v>
      </c>
      <c r="M36" s="289"/>
      <c r="N36" s="289">
        <v>56376</v>
      </c>
      <c r="O36" s="289"/>
      <c r="P36" s="289">
        <v>13000</v>
      </c>
      <c r="Q36" s="289"/>
      <c r="R36" s="289">
        <v>54363</v>
      </c>
      <c r="S36" s="314"/>
      <c r="T36" s="314"/>
      <c r="U36" s="284"/>
      <c r="V36" s="289">
        <f>SUM(C36:R36)+1</f>
        <v>970592.44569999992</v>
      </c>
      <c r="W36" s="285"/>
      <c r="X36" s="5"/>
    </row>
    <row r="37" spans="1:24" ht="15.6" x14ac:dyDescent="0.3">
      <c r="A37" s="271"/>
      <c r="B37" s="297" t="s">
        <v>133</v>
      </c>
      <c r="C37" s="298"/>
      <c r="D37" s="299">
        <v>0.59892559999999995</v>
      </c>
      <c r="E37" s="300"/>
      <c r="F37" s="299">
        <v>0.59892719999999999</v>
      </c>
      <c r="G37" s="301"/>
      <c r="H37" s="299">
        <v>0.59892719999999999</v>
      </c>
      <c r="I37" s="301"/>
      <c r="J37" s="299">
        <v>0.59892559999999995</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0.60198960000000001</v>
      </c>
      <c r="E38" s="300"/>
      <c r="F38" s="299">
        <v>0.60199119999999995</v>
      </c>
      <c r="G38" s="301"/>
      <c r="H38" s="299">
        <v>0.60199119999999995</v>
      </c>
      <c r="I38" s="301"/>
      <c r="J38" s="299">
        <v>0.60198960000000001</v>
      </c>
      <c r="K38" s="301"/>
      <c r="L38" s="299">
        <v>1</v>
      </c>
      <c r="M38" s="299"/>
      <c r="N38" s="299">
        <v>1</v>
      </c>
      <c r="O38" s="299"/>
      <c r="P38" s="299">
        <v>1</v>
      </c>
      <c r="Q38" s="299"/>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4.2230000000000002E-3</v>
      </c>
      <c r="E40" s="272"/>
      <c r="F40" s="308">
        <v>7.4938000000000001E-3</v>
      </c>
      <c r="G40" s="307"/>
      <c r="H40" s="308">
        <v>4.5799999999999999E-3</v>
      </c>
      <c r="I40" s="308"/>
      <c r="J40" s="308">
        <v>4.4809999999999997E-3</v>
      </c>
      <c r="K40" s="307"/>
      <c r="L40" s="308">
        <v>9.0938000000000008E-3</v>
      </c>
      <c r="M40" s="307"/>
      <c r="N40" s="308">
        <v>5.9800000000000001E-3</v>
      </c>
      <c r="O40" s="307"/>
      <c r="P40" s="308">
        <v>1.3093799999999999E-2</v>
      </c>
      <c r="Q40" s="307"/>
      <c r="R40" s="308">
        <v>9.9799999999999993E-3</v>
      </c>
      <c r="S40" s="307"/>
      <c r="T40" s="308"/>
      <c r="U40" s="274"/>
      <c r="V40" s="280"/>
      <c r="W40" s="275"/>
      <c r="X40" s="5"/>
    </row>
    <row r="41" spans="1:24" ht="15.6" x14ac:dyDescent="0.3">
      <c r="A41" s="271"/>
      <c r="B41" s="272" t="s">
        <v>13</v>
      </c>
      <c r="C41" s="272"/>
      <c r="D41" s="308">
        <v>4.3249999999999999E-3</v>
      </c>
      <c r="E41" s="272"/>
      <c r="F41" s="308">
        <v>7.4562999999999999E-3</v>
      </c>
      <c r="G41" s="307"/>
      <c r="H41" s="308">
        <v>4.5100000000000001E-3</v>
      </c>
      <c r="I41" s="308"/>
      <c r="J41" s="308">
        <v>4.5710000000000004E-3</v>
      </c>
      <c r="K41" s="307"/>
      <c r="L41" s="308">
        <v>9.0562999999999998E-3</v>
      </c>
      <c r="M41" s="307"/>
      <c r="N41" s="308">
        <v>5.9100000000000003E-3</v>
      </c>
      <c r="O41" s="307"/>
      <c r="P41" s="308">
        <v>1.30563E-2</v>
      </c>
      <c r="Q41" s="307"/>
      <c r="R41" s="308">
        <v>9.9100000000000004E-3</v>
      </c>
      <c r="S41" s="307"/>
      <c r="T41" s="308"/>
      <c r="U41" s="274"/>
      <c r="V41" s="307" t="s">
        <v>196</v>
      </c>
      <c r="W41" s="275"/>
      <c r="X41" s="5"/>
    </row>
    <row r="42" spans="1:24" ht="15.6" x14ac:dyDescent="0.3">
      <c r="A42" s="271"/>
      <c r="B42" s="272" t="s">
        <v>300</v>
      </c>
      <c r="C42" s="272"/>
      <c r="D42" s="280" t="s">
        <v>327</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v>7.8557999999999996E-3</v>
      </c>
      <c r="E43" s="308"/>
      <c r="F43" s="308">
        <f>+F40</f>
        <v>7.4938000000000001E-3</v>
      </c>
      <c r="G43" s="308"/>
      <c r="H43" s="308">
        <v>7.7378000000000004E-3</v>
      </c>
      <c r="I43" s="308"/>
      <c r="J43" s="308">
        <v>7.5738000000000003E-3</v>
      </c>
      <c r="K43" s="308"/>
      <c r="L43" s="308">
        <f>+L40</f>
        <v>9.0938000000000008E-3</v>
      </c>
      <c r="M43" s="308"/>
      <c r="N43" s="308">
        <v>9.2738000000000004E-3</v>
      </c>
      <c r="O43" s="308"/>
      <c r="P43" s="308">
        <f>+P40</f>
        <v>1.3093799999999999E-2</v>
      </c>
      <c r="Q43" s="307"/>
      <c r="R43" s="308">
        <v>1.34938E-2</v>
      </c>
      <c r="S43" s="280"/>
      <c r="T43" s="280"/>
      <c r="U43" s="274"/>
      <c r="V43" s="307">
        <f>SUMPRODUCT(D43:R43,D35:R35)/V35</f>
        <v>8.3175100213896055E-3</v>
      </c>
      <c r="W43" s="275"/>
      <c r="X43" s="5"/>
    </row>
    <row r="44" spans="1:24" ht="15.6" x14ac:dyDescent="0.3">
      <c r="A44" s="271"/>
      <c r="B44" s="272" t="s">
        <v>302</v>
      </c>
      <c r="C44" s="309"/>
      <c r="D44" s="308">
        <v>7.8183000000000002E-3</v>
      </c>
      <c r="E44" s="308"/>
      <c r="F44" s="308">
        <f>+F41</f>
        <v>7.4562999999999999E-3</v>
      </c>
      <c r="G44" s="308"/>
      <c r="H44" s="308">
        <v>7.7003000000000002E-3</v>
      </c>
      <c r="I44" s="308"/>
      <c r="J44" s="308">
        <v>7.5363000000000001E-3</v>
      </c>
      <c r="K44" s="308"/>
      <c r="L44" s="308">
        <f>+L41</f>
        <v>9.0562999999999998E-3</v>
      </c>
      <c r="M44" s="308"/>
      <c r="N44" s="308">
        <v>9.2362999999999994E-3</v>
      </c>
      <c r="O44" s="308"/>
      <c r="P44" s="308">
        <f>+P41</f>
        <v>1.30563E-2</v>
      </c>
      <c r="Q44" s="307"/>
      <c r="R44" s="308">
        <v>1.3456299999999999E-2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328</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0.22727248423807969</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41562</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91</v>
      </c>
      <c r="S57" s="318"/>
      <c r="T57" s="319">
        <v>41379</v>
      </c>
      <c r="U57" s="320"/>
      <c r="V57" s="319">
        <v>41469</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92</v>
      </c>
      <c r="S58" s="272"/>
      <c r="T58" s="319">
        <v>41470</v>
      </c>
      <c r="U58" s="320"/>
      <c r="V58" s="319">
        <v>41561</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41548</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338</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974637</v>
      </c>
      <c r="O68" s="324"/>
      <c r="P68" s="324">
        <f>4046+107+2392-1</f>
        <v>6544</v>
      </c>
      <c r="Q68" s="324"/>
      <c r="R68" s="324">
        <f>107+2392</f>
        <v>2499</v>
      </c>
      <c r="S68" s="324"/>
      <c r="T68" s="324">
        <v>0</v>
      </c>
      <c r="U68" s="324"/>
      <c r="V68" s="325">
        <f>+N68-P68+R68-T68</f>
        <v>970592</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974637</v>
      </c>
      <c r="O71" s="324"/>
      <c r="P71" s="324">
        <f>SUM(P68:P70)</f>
        <v>6544</v>
      </c>
      <c r="Q71" s="324"/>
      <c r="R71" s="324">
        <f>SUM(R68:R70)</f>
        <v>2499</v>
      </c>
      <c r="S71" s="324"/>
      <c r="T71" s="324">
        <f>SUM(T68:T70)</f>
        <v>0</v>
      </c>
      <c r="U71" s="324"/>
      <c r="V71" s="324">
        <f>SUM(V68:V70)</f>
        <v>970592</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974637</v>
      </c>
      <c r="O84" s="328"/>
      <c r="P84" s="328"/>
      <c r="Q84" s="328"/>
      <c r="R84" s="328"/>
      <c r="S84" s="328"/>
      <c r="T84" s="328"/>
      <c r="U84" s="328"/>
      <c r="V84" s="328">
        <f>SUM(V71:V83)</f>
        <v>970592</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+T199</f>
        <v>41547</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6544-253</f>
        <v>6291</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4171+2090-577-919-12</f>
        <v>4753</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84+19</f>
        <v>103</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33</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448</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6291</v>
      </c>
      <c r="U96" s="272"/>
      <c r="V96" s="324">
        <f>SUM(V88:V95)</f>
        <v>5337</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-971</v>
      </c>
      <c r="U97" s="272"/>
      <c r="V97" s="324">
        <v>971</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-229</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5320</v>
      </c>
      <c r="U100" s="272"/>
      <c r="V100" s="324">
        <f>V96+V98+V97+V99</f>
        <v>6079</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331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343" t="s">
        <v>332</v>
      </c>
      <c r="C104" s="272"/>
      <c r="D104" s="272"/>
      <c r="E104" s="272"/>
      <c r="F104" s="272"/>
      <c r="G104" s="272"/>
      <c r="H104" s="272"/>
      <c r="I104" s="272"/>
      <c r="J104" s="272"/>
      <c r="K104" s="272"/>
      <c r="L104" s="272"/>
      <c r="M104" s="272"/>
      <c r="N104" s="272"/>
      <c r="O104" s="272"/>
      <c r="P104" s="272"/>
      <c r="Q104" s="272"/>
      <c r="R104" s="272"/>
      <c r="S104" s="272"/>
      <c r="T104" s="272"/>
      <c r="U104" s="272"/>
      <c r="V104" s="325">
        <f>-372-288-12</f>
        <v>-672</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0</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-1555+142</f>
        <v>-1413</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-142</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-2</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-132</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-128</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-185</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-43</v>
      </c>
      <c r="W112" s="275"/>
      <c r="X112" s="5"/>
      <c r="Y112" s="109"/>
    </row>
    <row r="113" spans="1:25" ht="15.6" x14ac:dyDescent="0.3">
      <c r="A113" s="392">
        <v>7</v>
      </c>
      <c r="B113" s="343" t="s">
        <v>333</v>
      </c>
      <c r="C113" s="343"/>
      <c r="D113" s="343"/>
      <c r="E113" s="343"/>
      <c r="F113" s="343"/>
      <c r="G113" s="272"/>
      <c r="H113" s="272"/>
      <c r="I113" s="272"/>
      <c r="J113" s="272"/>
      <c r="K113" s="272"/>
      <c r="L113" s="272"/>
      <c r="M113" s="272"/>
      <c r="N113" s="272"/>
      <c r="O113" s="272"/>
      <c r="P113" s="272"/>
      <c r="Q113" s="272"/>
      <c r="R113" s="272"/>
      <c r="S113" s="272"/>
      <c r="T113" s="272"/>
      <c r="U113" s="272"/>
      <c r="V113" s="325">
        <v>0</v>
      </c>
      <c r="W113" s="275"/>
      <c r="X113" s="5"/>
      <c r="Y113" s="109"/>
    </row>
    <row r="114" spans="1:25" ht="15.6" x14ac:dyDescent="0.3">
      <c r="A114" s="338">
        <f t="shared" ref="A114:A121" si="0">+A113+1</f>
        <v>8</v>
      </c>
      <c r="B114" s="272" t="s">
        <v>35</v>
      </c>
      <c r="C114" s="272"/>
      <c r="D114" s="272"/>
      <c r="E114" s="272"/>
      <c r="F114" s="272"/>
      <c r="G114" s="272"/>
      <c r="H114" s="272"/>
      <c r="I114" s="272"/>
      <c r="J114" s="272"/>
      <c r="K114" s="272"/>
      <c r="L114" s="272"/>
      <c r="M114" s="272"/>
      <c r="N114" s="272"/>
      <c r="O114" s="272"/>
      <c r="P114" s="272"/>
      <c r="Q114" s="272"/>
      <c r="R114" s="272"/>
      <c r="S114" s="272"/>
      <c r="T114" s="272"/>
      <c r="U114" s="272"/>
      <c r="V114" s="325">
        <v>-10</v>
      </c>
      <c r="W114" s="275"/>
      <c r="X114" s="5"/>
    </row>
    <row r="115" spans="1:25" ht="15.6" x14ac:dyDescent="0.3">
      <c r="A115" s="338">
        <f t="shared" si="0"/>
        <v>9</v>
      </c>
      <c r="B115" s="272" t="s">
        <v>45</v>
      </c>
      <c r="C115" s="272"/>
      <c r="D115" s="272"/>
      <c r="E115" s="272"/>
      <c r="F115" s="272"/>
      <c r="G115" s="272"/>
      <c r="H115" s="272"/>
      <c r="I115" s="272"/>
      <c r="J115" s="272"/>
      <c r="K115" s="272"/>
      <c r="L115" s="272"/>
      <c r="M115" s="272"/>
      <c r="N115" s="272"/>
      <c r="O115" s="272"/>
      <c r="P115" s="272"/>
      <c r="Q115" s="272"/>
      <c r="R115" s="272"/>
      <c r="S115" s="272"/>
      <c r="T115" s="324">
        <f>-V115</f>
        <v>253</v>
      </c>
      <c r="U115" s="272"/>
      <c r="V115" s="325">
        <v>-253</v>
      </c>
      <c r="W115" s="275"/>
      <c r="X115" s="5"/>
    </row>
    <row r="116" spans="1:25" ht="15.6" x14ac:dyDescent="0.3">
      <c r="A116" s="338">
        <f t="shared" si="0"/>
        <v>10</v>
      </c>
      <c r="B116" s="272" t="s">
        <v>128</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5" ht="15.6" x14ac:dyDescent="0.3">
      <c r="A117" s="338">
        <f t="shared" si="0"/>
        <v>11</v>
      </c>
      <c r="B117" s="272" t="s">
        <v>271</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5" ht="15.6" x14ac:dyDescent="0.3">
      <c r="A118" s="338">
        <f t="shared" si="0"/>
        <v>12</v>
      </c>
      <c r="B118" s="272" t="s">
        <v>36</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5" ht="15.6" x14ac:dyDescent="0.3">
      <c r="A119" s="338">
        <f t="shared" si="0"/>
        <v>13</v>
      </c>
      <c r="B119" s="272" t="s">
        <v>270</v>
      </c>
      <c r="C119" s="272"/>
      <c r="D119" s="272"/>
      <c r="E119" s="272"/>
      <c r="F119" s="272"/>
      <c r="G119" s="272"/>
      <c r="H119" s="272"/>
      <c r="I119" s="272"/>
      <c r="J119" s="272"/>
      <c r="K119" s="272"/>
      <c r="L119" s="272"/>
      <c r="M119" s="272"/>
      <c r="N119" s="272"/>
      <c r="O119" s="272"/>
      <c r="P119" s="272"/>
      <c r="Q119" s="272"/>
      <c r="R119" s="272"/>
      <c r="S119" s="272"/>
      <c r="T119" s="272"/>
      <c r="U119" s="272"/>
      <c r="V119" s="325">
        <v>0</v>
      </c>
      <c r="W119" s="275"/>
      <c r="X119" s="5"/>
    </row>
    <row r="120" spans="1:25" ht="15.6" x14ac:dyDescent="0.3">
      <c r="A120" s="338">
        <f t="shared" si="0"/>
        <v>14</v>
      </c>
      <c r="B120" s="272" t="s">
        <v>152</v>
      </c>
      <c r="C120" s="272"/>
      <c r="D120" s="272"/>
      <c r="E120" s="272"/>
      <c r="F120" s="272"/>
      <c r="G120" s="272"/>
      <c r="H120" s="272"/>
      <c r="I120" s="272"/>
      <c r="J120" s="272"/>
      <c r="K120" s="272"/>
      <c r="L120" s="272"/>
      <c r="M120" s="272"/>
      <c r="N120" s="272"/>
      <c r="O120" s="272"/>
      <c r="P120" s="272"/>
      <c r="Q120" s="272"/>
      <c r="R120" s="272"/>
      <c r="S120" s="272"/>
      <c r="T120" s="272"/>
      <c r="U120" s="272"/>
      <c r="V120" s="325">
        <v>-372</v>
      </c>
      <c r="W120" s="275"/>
      <c r="X120" s="5"/>
    </row>
    <row r="121" spans="1:25" ht="15.6" x14ac:dyDescent="0.3">
      <c r="A121" s="338">
        <f t="shared" si="0"/>
        <v>15</v>
      </c>
      <c r="B121" s="272" t="s">
        <v>129</v>
      </c>
      <c r="C121" s="272"/>
      <c r="D121" s="272"/>
      <c r="E121" s="272"/>
      <c r="F121" s="272"/>
      <c r="G121" s="272"/>
      <c r="H121" s="272"/>
      <c r="I121" s="272"/>
      <c r="J121" s="272"/>
      <c r="K121" s="272"/>
      <c r="L121" s="272"/>
      <c r="M121" s="272"/>
      <c r="N121" s="272"/>
      <c r="O121" s="272"/>
      <c r="P121" s="272"/>
      <c r="Q121" s="272"/>
      <c r="R121" s="272"/>
      <c r="S121" s="272"/>
      <c r="T121" s="272"/>
      <c r="U121" s="272"/>
      <c r="V121" s="325">
        <f>-V100-SUM(V102:V120)</f>
        <v>-2725</v>
      </c>
      <c r="W121" s="275"/>
      <c r="X121" s="5"/>
    </row>
    <row r="122" spans="1:25" ht="15.6" x14ac:dyDescent="0.3">
      <c r="A122" s="271"/>
      <c r="B122" s="335" t="s">
        <v>37</v>
      </c>
      <c r="C122" s="298"/>
      <c r="D122" s="298"/>
      <c r="E122" s="298"/>
      <c r="F122" s="298"/>
      <c r="G122" s="298"/>
      <c r="H122" s="298"/>
      <c r="I122" s="298"/>
      <c r="J122" s="298"/>
      <c r="K122" s="298"/>
      <c r="L122" s="298"/>
      <c r="M122" s="298"/>
      <c r="N122" s="298"/>
      <c r="O122" s="298"/>
      <c r="P122" s="298"/>
      <c r="Q122" s="298"/>
      <c r="R122" s="298"/>
      <c r="S122" s="298"/>
      <c r="T122" s="298"/>
      <c r="U122" s="298"/>
      <c r="V122" s="339"/>
      <c r="W122" s="304"/>
      <c r="X122" s="5"/>
    </row>
    <row r="123" spans="1:25" ht="15.6" x14ac:dyDescent="0.3">
      <c r="A123" s="338"/>
      <c r="B123" s="272" t="s">
        <v>176</v>
      </c>
      <c r="C123" s="272"/>
      <c r="D123" s="272"/>
      <c r="E123" s="272"/>
      <c r="F123" s="272"/>
      <c r="G123" s="272"/>
      <c r="H123" s="272"/>
      <c r="I123" s="272"/>
      <c r="J123" s="272"/>
      <c r="K123" s="272"/>
      <c r="L123" s="272"/>
      <c r="M123" s="272"/>
      <c r="N123" s="272"/>
      <c r="O123" s="272"/>
      <c r="P123" s="272"/>
      <c r="Q123" s="272"/>
      <c r="R123" s="272"/>
      <c r="S123" s="272"/>
      <c r="T123" s="324">
        <f>-T183</f>
        <v>-10</v>
      </c>
      <c r="U123" s="324"/>
      <c r="V123" s="325"/>
      <c r="W123" s="275"/>
      <c r="X123" s="5"/>
    </row>
    <row r="124" spans="1:25" ht="15.6" x14ac:dyDescent="0.3">
      <c r="A124" s="338"/>
      <c r="B124" s="272" t="s">
        <v>177</v>
      </c>
      <c r="C124" s="272"/>
      <c r="D124" s="272"/>
      <c r="E124" s="272"/>
      <c r="F124" s="272"/>
      <c r="G124" s="272"/>
      <c r="H124" s="272"/>
      <c r="I124" s="272"/>
      <c r="J124" s="272"/>
      <c r="K124" s="272"/>
      <c r="L124" s="272"/>
      <c r="M124" s="272"/>
      <c r="N124" s="272"/>
      <c r="O124" s="272"/>
      <c r="P124" s="272"/>
      <c r="Q124" s="272"/>
      <c r="R124" s="272"/>
      <c r="S124" s="272"/>
      <c r="T124" s="324">
        <v>-1191</v>
      </c>
      <c r="U124" s="324"/>
      <c r="V124" s="325"/>
      <c r="W124" s="275"/>
      <c r="X124" s="5"/>
    </row>
    <row r="125" spans="1:25" ht="15.6" x14ac:dyDescent="0.3">
      <c r="A125" s="338"/>
      <c r="B125" s="272" t="s">
        <v>38</v>
      </c>
      <c r="C125" s="272"/>
      <c r="D125" s="272"/>
      <c r="E125" s="272"/>
      <c r="F125" s="272"/>
      <c r="G125" s="272"/>
      <c r="H125" s="272"/>
      <c r="I125" s="272"/>
      <c r="J125" s="272"/>
      <c r="K125" s="272"/>
      <c r="L125" s="272"/>
      <c r="M125" s="272"/>
      <c r="N125" s="272"/>
      <c r="O125" s="272"/>
      <c r="P125" s="272"/>
      <c r="Q125" s="272"/>
      <c r="R125" s="272"/>
      <c r="S125" s="272"/>
      <c r="T125" s="324">
        <f>-S183</f>
        <v>-327</v>
      </c>
      <c r="U125" s="324"/>
      <c r="V125" s="325"/>
      <c r="W125" s="275"/>
      <c r="X125" s="5"/>
    </row>
    <row r="126" spans="1:25" ht="15.6" x14ac:dyDescent="0.3">
      <c r="A126" s="338"/>
      <c r="B126" s="272" t="s">
        <v>200</v>
      </c>
      <c r="C126" s="272"/>
      <c r="D126" s="272"/>
      <c r="E126" s="272"/>
      <c r="F126" s="272"/>
      <c r="G126" s="272"/>
      <c r="H126" s="272"/>
      <c r="I126" s="272"/>
      <c r="J126" s="272"/>
      <c r="K126" s="272"/>
      <c r="L126" s="272"/>
      <c r="M126" s="272"/>
      <c r="N126" s="272"/>
      <c r="O126" s="272"/>
      <c r="P126" s="272"/>
      <c r="Q126" s="272"/>
      <c r="R126" s="272"/>
      <c r="S126" s="272"/>
      <c r="T126" s="324">
        <v>-2445</v>
      </c>
      <c r="U126" s="324"/>
      <c r="V126" s="325"/>
      <c r="W126" s="275"/>
      <c r="X126" s="5"/>
    </row>
    <row r="127" spans="1:25" ht="15.6" x14ac:dyDescent="0.3">
      <c r="A127" s="338"/>
      <c r="B127" s="272" t="s">
        <v>198</v>
      </c>
      <c r="C127" s="272"/>
      <c r="D127" s="272"/>
      <c r="E127" s="272"/>
      <c r="F127" s="272"/>
      <c r="G127" s="272"/>
      <c r="H127" s="272"/>
      <c r="I127" s="272"/>
      <c r="J127" s="272"/>
      <c r="K127" s="272"/>
      <c r="L127" s="272"/>
      <c r="M127" s="272"/>
      <c r="N127" s="272"/>
      <c r="O127" s="272"/>
      <c r="P127" s="272"/>
      <c r="Q127" s="272"/>
      <c r="R127" s="272"/>
      <c r="S127" s="272"/>
      <c r="T127" s="324">
        <v>-383</v>
      </c>
      <c r="U127" s="324"/>
      <c r="V127" s="325"/>
      <c r="W127" s="275"/>
      <c r="X127" s="5"/>
    </row>
    <row r="128" spans="1:25" ht="15.6" x14ac:dyDescent="0.3">
      <c r="A128" s="338"/>
      <c r="B128" s="272" t="s">
        <v>197</v>
      </c>
      <c r="C128" s="272"/>
      <c r="D128" s="272"/>
      <c r="E128" s="272"/>
      <c r="F128" s="272"/>
      <c r="G128" s="272"/>
      <c r="H128" s="272"/>
      <c r="I128" s="272"/>
      <c r="J128" s="272"/>
      <c r="K128" s="272"/>
      <c r="L128" s="272"/>
      <c r="M128" s="272"/>
      <c r="N128" s="272"/>
      <c r="O128" s="272"/>
      <c r="P128" s="272"/>
      <c r="Q128" s="272"/>
      <c r="R128" s="272"/>
      <c r="S128" s="272"/>
      <c r="T128" s="324">
        <v>-647</v>
      </c>
      <c r="U128" s="324"/>
      <c r="V128" s="325"/>
      <c r="W128" s="275"/>
      <c r="X128" s="5"/>
    </row>
    <row r="129" spans="1:24" ht="15.6" x14ac:dyDescent="0.3">
      <c r="A129" s="338"/>
      <c r="B129" s="272" t="s">
        <v>232</v>
      </c>
      <c r="C129" s="272"/>
      <c r="D129" s="272"/>
      <c r="E129" s="272"/>
      <c r="F129" s="272"/>
      <c r="G129" s="272"/>
      <c r="H129" s="272"/>
      <c r="I129" s="272"/>
      <c r="J129" s="272"/>
      <c r="K129" s="272"/>
      <c r="L129" s="272"/>
      <c r="M129" s="272"/>
      <c r="N129" s="272"/>
      <c r="O129" s="272"/>
      <c r="P129" s="272"/>
      <c r="Q129" s="272"/>
      <c r="R129" s="272"/>
      <c r="S129" s="272"/>
      <c r="T129" s="324">
        <v>-570</v>
      </c>
      <c r="U129" s="324"/>
      <c r="V129" s="325"/>
      <c r="W129" s="275"/>
      <c r="X129" s="5"/>
    </row>
    <row r="130" spans="1:24" ht="15.6" x14ac:dyDescent="0.3">
      <c r="A130" s="338"/>
      <c r="B130" s="272" t="s">
        <v>192</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191</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233</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190</v>
      </c>
      <c r="C133" s="272"/>
      <c r="D133" s="272"/>
      <c r="E133" s="272"/>
      <c r="F133" s="272"/>
      <c r="G133" s="272"/>
      <c r="H133" s="272"/>
      <c r="I133" s="272"/>
      <c r="J133" s="272"/>
      <c r="K133" s="272"/>
      <c r="L133" s="272"/>
      <c r="M133" s="272"/>
      <c r="N133" s="272"/>
      <c r="O133" s="272"/>
      <c r="P133" s="272"/>
      <c r="Q133" s="272"/>
      <c r="R133" s="272"/>
      <c r="S133" s="272"/>
      <c r="T133" s="324">
        <v>0</v>
      </c>
      <c r="U133" s="324"/>
      <c r="V133" s="325"/>
      <c r="W133" s="275"/>
      <c r="X133" s="5"/>
    </row>
    <row r="134" spans="1:24" ht="15.6" x14ac:dyDescent="0.3">
      <c r="A134" s="338"/>
      <c r="B134" s="272" t="s">
        <v>39</v>
      </c>
      <c r="C134" s="272"/>
      <c r="D134" s="272"/>
      <c r="E134" s="272"/>
      <c r="F134" s="272"/>
      <c r="G134" s="272"/>
      <c r="H134" s="272"/>
      <c r="I134" s="272"/>
      <c r="J134" s="272"/>
      <c r="K134" s="272"/>
      <c r="L134" s="272"/>
      <c r="M134" s="272"/>
      <c r="N134" s="272"/>
      <c r="O134" s="272"/>
      <c r="P134" s="272"/>
      <c r="Q134" s="272"/>
      <c r="R134" s="272"/>
      <c r="S134" s="272"/>
      <c r="T134" s="324">
        <f>SUM(T123:T133)</f>
        <v>-5573</v>
      </c>
      <c r="U134" s="324"/>
      <c r="V134" s="324">
        <f>SUM(V101:V131)</f>
        <v>-6079</v>
      </c>
      <c r="W134" s="275"/>
      <c r="X134" s="5"/>
    </row>
    <row r="135" spans="1:24" ht="15.6" x14ac:dyDescent="0.3">
      <c r="A135" s="338"/>
      <c r="B135" s="272" t="s">
        <v>40</v>
      </c>
      <c r="C135" s="272"/>
      <c r="D135" s="272"/>
      <c r="E135" s="272"/>
      <c r="F135" s="272"/>
      <c r="G135" s="272"/>
      <c r="H135" s="272"/>
      <c r="I135" s="272"/>
      <c r="J135" s="272"/>
      <c r="K135" s="272"/>
      <c r="L135" s="272"/>
      <c r="M135" s="272"/>
      <c r="N135" s="272"/>
      <c r="O135" s="272"/>
      <c r="P135" s="272"/>
      <c r="Q135" s="272"/>
      <c r="R135" s="272"/>
      <c r="S135" s="272"/>
      <c r="T135" s="324">
        <f>T100+T134+T115</f>
        <v>0</v>
      </c>
      <c r="U135" s="324"/>
      <c r="V135" s="324">
        <f>V100+V134</f>
        <v>0</v>
      </c>
      <c r="W135" s="275"/>
      <c r="X135" s="5"/>
    </row>
    <row r="136" spans="1:24" ht="15.6" x14ac:dyDescent="0.3">
      <c r="A136" s="242"/>
      <c r="B136" s="268"/>
      <c r="C136" s="268"/>
      <c r="D136" s="268"/>
      <c r="E136" s="268"/>
      <c r="F136" s="268"/>
      <c r="G136" s="268"/>
      <c r="H136" s="268"/>
      <c r="I136" s="268"/>
      <c r="J136" s="268"/>
      <c r="K136" s="268"/>
      <c r="L136" s="268"/>
      <c r="M136" s="268"/>
      <c r="N136" s="268"/>
      <c r="O136" s="268"/>
      <c r="P136" s="268"/>
      <c r="Q136" s="268"/>
      <c r="R136" s="268"/>
      <c r="S136" s="268"/>
      <c r="T136" s="332"/>
      <c r="U136" s="332"/>
      <c r="V136" s="332"/>
      <c r="W136" s="268"/>
      <c r="X136" s="5"/>
    </row>
    <row r="137" spans="1:24" ht="15.6" x14ac:dyDescent="0.3">
      <c r="A137" s="242"/>
      <c r="B137" s="220"/>
      <c r="C137" s="220"/>
      <c r="D137" s="220"/>
      <c r="E137" s="220"/>
      <c r="F137" s="220"/>
      <c r="G137" s="220"/>
      <c r="H137" s="220"/>
      <c r="I137" s="220"/>
      <c r="J137" s="220"/>
      <c r="K137" s="220"/>
      <c r="L137" s="220"/>
      <c r="M137" s="220"/>
      <c r="N137" s="220"/>
      <c r="O137" s="220"/>
      <c r="P137" s="220"/>
      <c r="Q137" s="220"/>
      <c r="R137" s="220"/>
      <c r="S137" s="220"/>
      <c r="T137" s="220"/>
      <c r="U137" s="220"/>
      <c r="V137" s="243"/>
      <c r="W137" s="220"/>
      <c r="X137" s="5"/>
    </row>
    <row r="138" spans="1:24" ht="18" thickBot="1" x14ac:dyDescent="0.35">
      <c r="A138" s="244"/>
      <c r="B138" s="234" t="str">
        <f>B64</f>
        <v>PM13 INVESTOR REPORT QUARTER ENDING SEPTEMBER 2013</v>
      </c>
      <c r="C138" s="235"/>
      <c r="D138" s="235"/>
      <c r="E138" s="235"/>
      <c r="F138" s="235"/>
      <c r="G138" s="235"/>
      <c r="H138" s="235"/>
      <c r="I138" s="235"/>
      <c r="J138" s="235"/>
      <c r="K138" s="235"/>
      <c r="L138" s="235"/>
      <c r="M138" s="235"/>
      <c r="N138" s="235"/>
      <c r="O138" s="235"/>
      <c r="P138" s="235"/>
      <c r="Q138" s="235"/>
      <c r="R138" s="235"/>
      <c r="S138" s="235"/>
      <c r="T138" s="235"/>
      <c r="U138" s="235"/>
      <c r="V138" s="245"/>
      <c r="W138" s="237"/>
      <c r="X138" s="5"/>
    </row>
    <row r="139" spans="1:24" ht="15.6" x14ac:dyDescent="0.3">
      <c r="A139" s="246"/>
      <c r="B139" s="388" t="s">
        <v>41</v>
      </c>
      <c r="C139" s="247"/>
      <c r="D139" s="247"/>
      <c r="E139" s="247"/>
      <c r="F139" s="247"/>
      <c r="G139" s="247"/>
      <c r="H139" s="247"/>
      <c r="I139" s="247"/>
      <c r="J139" s="247"/>
      <c r="K139" s="247"/>
      <c r="L139" s="247"/>
      <c r="M139" s="247"/>
      <c r="N139" s="247"/>
      <c r="O139" s="247"/>
      <c r="P139" s="247"/>
      <c r="Q139" s="247"/>
      <c r="R139" s="247"/>
      <c r="S139" s="247"/>
      <c r="T139" s="247"/>
      <c r="U139" s="247"/>
      <c r="V139" s="248"/>
      <c r="W139" s="247"/>
      <c r="X139" s="5"/>
    </row>
    <row r="140" spans="1:24" ht="15.6" x14ac:dyDescent="0.3">
      <c r="A140" s="175"/>
      <c r="B140" s="186"/>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175"/>
      <c r="B141" s="203" t="s">
        <v>42</v>
      </c>
      <c r="C141" s="177"/>
      <c r="D141" s="177"/>
      <c r="E141" s="177"/>
      <c r="F141" s="177"/>
      <c r="G141" s="177"/>
      <c r="H141" s="177"/>
      <c r="I141" s="177"/>
      <c r="J141" s="177"/>
      <c r="K141" s="177"/>
      <c r="L141" s="177"/>
      <c r="M141" s="177"/>
      <c r="N141" s="177"/>
      <c r="O141" s="177"/>
      <c r="P141" s="177"/>
      <c r="Q141" s="177"/>
      <c r="R141" s="177"/>
      <c r="S141" s="177"/>
      <c r="T141" s="177"/>
      <c r="U141" s="177"/>
      <c r="V141" s="196"/>
      <c r="W141" s="177"/>
      <c r="X141" s="5"/>
    </row>
    <row r="142" spans="1:24" ht="15.6" x14ac:dyDescent="0.3">
      <c r="A142" s="271"/>
      <c r="B142" s="272" t="s">
        <v>43</v>
      </c>
      <c r="C142" s="272"/>
      <c r="D142" s="272"/>
      <c r="E142" s="272"/>
      <c r="F142" s="272"/>
      <c r="G142" s="272"/>
      <c r="H142" s="272"/>
      <c r="I142" s="272"/>
      <c r="J142" s="272"/>
      <c r="K142" s="272"/>
      <c r="L142" s="272"/>
      <c r="M142" s="272"/>
      <c r="N142" s="272"/>
      <c r="O142" s="272"/>
      <c r="P142" s="272"/>
      <c r="Q142" s="272"/>
      <c r="R142" s="272"/>
      <c r="S142" s="272"/>
      <c r="T142" s="272"/>
      <c r="U142" s="272"/>
      <c r="V142" s="325">
        <f>+V34*0.019</f>
        <v>28503.61</v>
      </c>
      <c r="W142" s="275"/>
      <c r="X142" s="5"/>
    </row>
    <row r="143" spans="1:24" ht="15.6" x14ac:dyDescent="0.3">
      <c r="A143" s="271"/>
      <c r="B143" s="272" t="s">
        <v>44</v>
      </c>
      <c r="C143" s="272"/>
      <c r="D143" s="272"/>
      <c r="E143" s="272"/>
      <c r="F143" s="272"/>
      <c r="G143" s="272"/>
      <c r="H143" s="272"/>
      <c r="I143" s="272"/>
      <c r="J143" s="272"/>
      <c r="K143" s="272"/>
      <c r="L143" s="272"/>
      <c r="M143" s="272"/>
      <c r="N143" s="272"/>
      <c r="O143" s="272"/>
      <c r="P143" s="272"/>
      <c r="Q143" s="272"/>
      <c r="R143" s="272"/>
      <c r="S143" s="272"/>
      <c r="T143" s="272"/>
      <c r="U143" s="272"/>
      <c r="V143" s="325">
        <v>28504</v>
      </c>
      <c r="W143" s="275"/>
      <c r="X143" s="5"/>
    </row>
    <row r="144" spans="1:24" ht="15.6" x14ac:dyDescent="0.3">
      <c r="A144" s="271"/>
      <c r="B144" s="272" t="s">
        <v>139</v>
      </c>
      <c r="C144" s="272"/>
      <c r="D144" s="272"/>
      <c r="E144" s="272"/>
      <c r="F144" s="272"/>
      <c r="G144" s="272"/>
      <c r="H144" s="272"/>
      <c r="I144" s="272"/>
      <c r="J144" s="272"/>
      <c r="K144" s="272"/>
      <c r="L144" s="272"/>
      <c r="M144" s="272"/>
      <c r="N144" s="272"/>
      <c r="O144" s="272"/>
      <c r="P144" s="272"/>
      <c r="Q144" s="272"/>
      <c r="R144" s="272"/>
      <c r="S144" s="272"/>
      <c r="T144" s="272"/>
      <c r="U144" s="272"/>
      <c r="V144" s="325"/>
      <c r="W144" s="275"/>
      <c r="X144" s="5"/>
    </row>
    <row r="145" spans="1:25" ht="15.6" x14ac:dyDescent="0.3">
      <c r="A145" s="271"/>
      <c r="B145" s="272" t="s">
        <v>126</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127</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178</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45</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132</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row>
    <row r="150" spans="1:25" ht="15.6" x14ac:dyDescent="0.3">
      <c r="A150" s="271"/>
      <c r="B150" s="272" t="s">
        <v>267</v>
      </c>
      <c r="C150" s="272"/>
      <c r="D150" s="272"/>
      <c r="E150" s="272"/>
      <c r="F150" s="272"/>
      <c r="G150" s="272"/>
      <c r="H150" s="272"/>
      <c r="I150" s="272"/>
      <c r="J150" s="272"/>
      <c r="K150" s="272"/>
      <c r="L150" s="272"/>
      <c r="M150" s="272"/>
      <c r="N150" s="272"/>
      <c r="O150" s="272"/>
      <c r="P150" s="272"/>
      <c r="Q150" s="272"/>
      <c r="R150" s="272"/>
      <c r="S150" s="272"/>
      <c r="T150" s="272"/>
      <c r="U150" s="272"/>
      <c r="V150" s="325">
        <v>0</v>
      </c>
      <c r="W150" s="275"/>
      <c r="X150" s="5"/>
      <c r="Y150" s="109"/>
    </row>
    <row r="151" spans="1:25" ht="15.6" x14ac:dyDescent="0.3">
      <c r="A151" s="271"/>
      <c r="B151" s="272" t="s">
        <v>46</v>
      </c>
      <c r="C151" s="272"/>
      <c r="D151" s="272"/>
      <c r="E151" s="272"/>
      <c r="F151" s="272"/>
      <c r="G151" s="272"/>
      <c r="H151" s="272"/>
      <c r="I151" s="272"/>
      <c r="J151" s="272"/>
      <c r="K151" s="272"/>
      <c r="L151" s="272"/>
      <c r="M151" s="272"/>
      <c r="N151" s="272"/>
      <c r="O151" s="272"/>
      <c r="P151" s="272"/>
      <c r="Q151" s="272"/>
      <c r="R151" s="272"/>
      <c r="S151" s="272"/>
      <c r="T151" s="272"/>
      <c r="U151" s="272"/>
      <c r="V151" s="325">
        <f>SUM(V143:V150)</f>
        <v>28504</v>
      </c>
      <c r="W151" s="275"/>
      <c r="X151" s="5"/>
    </row>
    <row r="152" spans="1:25" ht="15.6" x14ac:dyDescent="0.3">
      <c r="A152" s="271"/>
      <c r="B152" s="298"/>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335" t="s">
        <v>268</v>
      </c>
      <c r="C153" s="298"/>
      <c r="D153" s="298"/>
      <c r="E153" s="298"/>
      <c r="F153" s="298"/>
      <c r="G153" s="298"/>
      <c r="H153" s="298"/>
      <c r="I153" s="298"/>
      <c r="J153" s="298"/>
      <c r="K153" s="298"/>
      <c r="L153" s="298"/>
      <c r="M153" s="298"/>
      <c r="N153" s="298"/>
      <c r="O153" s="298"/>
      <c r="P153" s="298"/>
      <c r="Q153" s="298"/>
      <c r="R153" s="298"/>
      <c r="S153" s="298"/>
      <c r="T153" s="298"/>
      <c r="U153" s="298"/>
      <c r="V153" s="337"/>
      <c r="W153" s="304"/>
      <c r="X153" s="5"/>
    </row>
    <row r="154" spans="1:25" ht="15.6" x14ac:dyDescent="0.3">
      <c r="A154" s="271"/>
      <c r="B154" s="272" t="s">
        <v>158</v>
      </c>
      <c r="C154" s="272"/>
      <c r="D154" s="272"/>
      <c r="E154" s="272"/>
      <c r="F154" s="272"/>
      <c r="G154" s="272"/>
      <c r="H154" s="272"/>
      <c r="I154" s="272"/>
      <c r="J154" s="272"/>
      <c r="K154" s="272"/>
      <c r="L154" s="272"/>
      <c r="M154" s="272"/>
      <c r="N154" s="272"/>
      <c r="O154" s="272"/>
      <c r="P154" s="272"/>
      <c r="Q154" s="272"/>
      <c r="R154" s="272"/>
      <c r="S154" s="272"/>
      <c r="T154" s="272"/>
      <c r="U154" s="272"/>
      <c r="V154" s="325">
        <v>15000</v>
      </c>
      <c r="W154" s="275"/>
      <c r="X154" s="5"/>
    </row>
    <row r="155" spans="1:25" ht="15.6" x14ac:dyDescent="0.3">
      <c r="A155" s="271"/>
      <c r="B155" s="272" t="s">
        <v>175</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72" t="s">
        <v>272</v>
      </c>
      <c r="C156" s="272"/>
      <c r="D156" s="272"/>
      <c r="E156" s="272"/>
      <c r="F156" s="272"/>
      <c r="G156" s="272"/>
      <c r="H156" s="272"/>
      <c r="I156" s="272"/>
      <c r="J156" s="272"/>
      <c r="K156" s="272"/>
      <c r="L156" s="272"/>
      <c r="M156" s="272"/>
      <c r="N156" s="272"/>
      <c r="O156" s="272"/>
      <c r="P156" s="272"/>
      <c r="Q156" s="272"/>
      <c r="R156" s="272"/>
      <c r="S156" s="272"/>
      <c r="T156" s="272"/>
      <c r="U156" s="272"/>
      <c r="V156" s="325">
        <v>6000</v>
      </c>
      <c r="W156" s="275"/>
      <c r="X156" s="5"/>
    </row>
    <row r="157" spans="1:25" ht="15.6" x14ac:dyDescent="0.3">
      <c r="A157" s="271"/>
      <c r="B157" s="298"/>
      <c r="C157" s="298"/>
      <c r="D157" s="298"/>
      <c r="E157" s="298"/>
      <c r="F157" s="298"/>
      <c r="G157" s="298"/>
      <c r="H157" s="298"/>
      <c r="I157" s="298"/>
      <c r="J157" s="298"/>
      <c r="K157" s="298"/>
      <c r="L157" s="298"/>
      <c r="M157" s="298"/>
      <c r="N157" s="298"/>
      <c r="O157" s="298"/>
      <c r="P157" s="298"/>
      <c r="Q157" s="298"/>
      <c r="R157" s="298"/>
      <c r="S157" s="298"/>
      <c r="T157" s="298"/>
      <c r="U157" s="298"/>
      <c r="V157" s="337"/>
      <c r="W157" s="304"/>
      <c r="X157" s="5"/>
    </row>
    <row r="158" spans="1:25" ht="15.6" x14ac:dyDescent="0.3">
      <c r="A158" s="175"/>
      <c r="B158" s="321"/>
      <c r="C158" s="321"/>
      <c r="D158" s="321"/>
      <c r="E158" s="321"/>
      <c r="F158" s="321"/>
      <c r="G158" s="321"/>
      <c r="H158" s="321"/>
      <c r="I158" s="321"/>
      <c r="J158" s="321"/>
      <c r="K158" s="321"/>
      <c r="L158" s="321"/>
      <c r="M158" s="321"/>
      <c r="N158" s="321"/>
      <c r="O158" s="321"/>
      <c r="P158" s="321"/>
      <c r="Q158" s="321"/>
      <c r="R158" s="321"/>
      <c r="S158" s="321"/>
      <c r="T158" s="321"/>
      <c r="U158" s="321"/>
      <c r="V158" s="340"/>
      <c r="W158" s="321"/>
      <c r="X158" s="5"/>
    </row>
    <row r="159" spans="1:25" ht="15.6" x14ac:dyDescent="0.3">
      <c r="A159" s="175"/>
      <c r="B159" s="203" t="s">
        <v>24</v>
      </c>
      <c r="C159" s="177"/>
      <c r="D159" s="177"/>
      <c r="E159" s="177"/>
      <c r="F159" s="177"/>
      <c r="G159" s="177"/>
      <c r="H159" s="177"/>
      <c r="I159" s="177"/>
      <c r="J159" s="177"/>
      <c r="K159" s="177"/>
      <c r="L159" s="177"/>
      <c r="M159" s="177"/>
      <c r="N159" s="177"/>
      <c r="O159" s="177"/>
      <c r="P159" s="177"/>
      <c r="Q159" s="177"/>
      <c r="R159" s="177"/>
      <c r="S159" s="177"/>
      <c r="T159" s="177"/>
      <c r="U159" s="177"/>
      <c r="V159" s="196"/>
      <c r="W159" s="177"/>
      <c r="X159" s="5"/>
    </row>
    <row r="160" spans="1:25" ht="15.6" x14ac:dyDescent="0.3">
      <c r="A160" s="271"/>
      <c r="B160" s="272" t="s">
        <v>47</v>
      </c>
      <c r="C160" s="272"/>
      <c r="D160" s="272"/>
      <c r="E160" s="272"/>
      <c r="F160" s="272"/>
      <c r="G160" s="272"/>
      <c r="H160" s="272"/>
      <c r="I160" s="272"/>
      <c r="J160" s="272"/>
      <c r="K160" s="272"/>
      <c r="L160" s="272"/>
      <c r="M160" s="272"/>
      <c r="N160" s="272"/>
      <c r="O160" s="272"/>
      <c r="P160" s="272"/>
      <c r="Q160" s="272"/>
      <c r="R160" s="272"/>
      <c r="S160" s="272"/>
      <c r="T160" s="272"/>
      <c r="U160" s="272"/>
      <c r="V160" s="341" t="s">
        <v>121</v>
      </c>
      <c r="W160" s="275"/>
      <c r="X160" s="5"/>
    </row>
    <row r="161" spans="1:24" ht="15.6" x14ac:dyDescent="0.3">
      <c r="A161" s="271"/>
      <c r="B161" s="272" t="s">
        <v>48</v>
      </c>
      <c r="C161" s="274"/>
      <c r="D161" s="274"/>
      <c r="E161" s="274"/>
      <c r="F161" s="274"/>
      <c r="G161" s="274"/>
      <c r="H161" s="274"/>
      <c r="I161" s="274"/>
      <c r="J161" s="274"/>
      <c r="K161" s="274"/>
      <c r="L161" s="274"/>
      <c r="M161" s="274"/>
      <c r="N161" s="274"/>
      <c r="O161" s="274"/>
      <c r="P161" s="274"/>
      <c r="Q161" s="274"/>
      <c r="R161" s="274"/>
      <c r="S161" s="274"/>
      <c r="T161" s="274"/>
      <c r="U161" s="274"/>
      <c r="V161" s="341" t="s">
        <v>121</v>
      </c>
      <c r="W161" s="275"/>
      <c r="X161" s="5"/>
    </row>
    <row r="162" spans="1:24" ht="15.6" x14ac:dyDescent="0.3">
      <c r="A162" s="271"/>
      <c r="B162" s="272" t="s">
        <v>49</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271"/>
      <c r="B163" s="272" t="s">
        <v>50</v>
      </c>
      <c r="C163" s="272"/>
      <c r="D163" s="272"/>
      <c r="E163" s="272"/>
      <c r="F163" s="272"/>
      <c r="G163" s="272"/>
      <c r="H163" s="272"/>
      <c r="I163" s="272"/>
      <c r="J163" s="272"/>
      <c r="K163" s="272"/>
      <c r="L163" s="272"/>
      <c r="M163" s="272"/>
      <c r="N163" s="272"/>
      <c r="O163" s="272"/>
      <c r="P163" s="272"/>
      <c r="Q163" s="272"/>
      <c r="R163" s="272"/>
      <c r="S163" s="272"/>
      <c r="T163" s="272"/>
      <c r="U163" s="272"/>
      <c r="V163" s="341" t="s">
        <v>121</v>
      </c>
      <c r="W163" s="275"/>
      <c r="X163" s="5"/>
    </row>
    <row r="164" spans="1:24" ht="15.6" x14ac:dyDescent="0.3">
      <c r="A164" s="175"/>
      <c r="B164" s="321"/>
      <c r="C164" s="321"/>
      <c r="D164" s="321"/>
      <c r="E164" s="321"/>
      <c r="F164" s="321"/>
      <c r="G164" s="321"/>
      <c r="H164" s="321"/>
      <c r="I164" s="321"/>
      <c r="J164" s="321"/>
      <c r="K164" s="321"/>
      <c r="L164" s="321"/>
      <c r="M164" s="321"/>
      <c r="N164" s="321"/>
      <c r="O164" s="321"/>
      <c r="P164" s="321"/>
      <c r="Q164" s="321"/>
      <c r="R164" s="321"/>
      <c r="S164" s="321"/>
      <c r="T164" s="321"/>
      <c r="U164" s="321"/>
      <c r="V164" s="340"/>
      <c r="W164" s="321"/>
      <c r="X164" s="5"/>
    </row>
    <row r="165" spans="1:24" ht="15.6" x14ac:dyDescent="0.3">
      <c r="A165" s="175"/>
      <c r="B165" s="203" t="s">
        <v>51</v>
      </c>
      <c r="C165" s="177"/>
      <c r="D165" s="177"/>
      <c r="E165" s="177"/>
      <c r="F165" s="177"/>
      <c r="G165" s="177"/>
      <c r="H165" s="177"/>
      <c r="I165" s="177"/>
      <c r="J165" s="177"/>
      <c r="K165" s="177"/>
      <c r="L165" s="177"/>
      <c r="M165" s="177"/>
      <c r="N165" s="177"/>
      <c r="O165" s="177"/>
      <c r="P165" s="177"/>
      <c r="Q165" s="177"/>
      <c r="R165" s="177"/>
      <c r="S165" s="177"/>
      <c r="T165" s="177"/>
      <c r="U165" s="177"/>
      <c r="V165" s="204"/>
      <c r="W165" s="177"/>
      <c r="X165" s="5"/>
    </row>
    <row r="166" spans="1:24" ht="15.6" x14ac:dyDescent="0.3">
      <c r="A166" s="342"/>
      <c r="B166" s="343" t="s">
        <v>52</v>
      </c>
      <c r="C166" s="343"/>
      <c r="D166" s="343"/>
      <c r="E166" s="343"/>
      <c r="F166" s="343"/>
      <c r="G166" s="343"/>
      <c r="H166" s="343"/>
      <c r="I166" s="343"/>
      <c r="J166" s="343"/>
      <c r="K166" s="343"/>
      <c r="L166" s="343"/>
      <c r="M166" s="343"/>
      <c r="N166" s="343"/>
      <c r="O166" s="343"/>
      <c r="P166" s="343"/>
      <c r="Q166" s="343"/>
      <c r="R166" s="343"/>
      <c r="S166" s="343"/>
      <c r="T166" s="343"/>
      <c r="U166" s="343"/>
      <c r="V166" s="344">
        <v>0</v>
      </c>
      <c r="W166" s="345"/>
      <c r="X166" s="5"/>
    </row>
    <row r="167" spans="1:24" ht="15.6" x14ac:dyDescent="0.3">
      <c r="A167" s="342"/>
      <c r="B167" s="343" t="s">
        <v>53</v>
      </c>
      <c r="C167" s="343"/>
      <c r="D167" s="343"/>
      <c r="E167" s="343"/>
      <c r="F167" s="343"/>
      <c r="G167" s="343"/>
      <c r="H167" s="343"/>
      <c r="I167" s="343"/>
      <c r="J167" s="343"/>
      <c r="K167" s="343"/>
      <c r="L167" s="343"/>
      <c r="M167" s="343"/>
      <c r="N167" s="343"/>
      <c r="O167" s="343"/>
      <c r="P167" s="343"/>
      <c r="Q167" s="343"/>
      <c r="R167" s="343"/>
      <c r="S167" s="343"/>
      <c r="T167" s="343"/>
      <c r="U167" s="343"/>
      <c r="V167" s="344">
        <v>253</v>
      </c>
      <c r="W167" s="345"/>
      <c r="X167" s="5"/>
    </row>
    <row r="168" spans="1:24" ht="15.6" x14ac:dyDescent="0.3">
      <c r="A168" s="342"/>
      <c r="B168" s="343" t="s">
        <v>54</v>
      </c>
      <c r="C168" s="343"/>
      <c r="D168" s="343"/>
      <c r="E168" s="343"/>
      <c r="F168" s="343"/>
      <c r="G168" s="343"/>
      <c r="H168" s="343"/>
      <c r="I168" s="343"/>
      <c r="J168" s="343"/>
      <c r="K168" s="343"/>
      <c r="L168" s="343"/>
      <c r="M168" s="343"/>
      <c r="N168" s="343"/>
      <c r="O168" s="343"/>
      <c r="P168" s="343"/>
      <c r="Q168" s="343"/>
      <c r="R168" s="343"/>
      <c r="S168" s="343"/>
      <c r="T168" s="343"/>
      <c r="U168" s="343"/>
      <c r="V168" s="344">
        <f>V167+V166</f>
        <v>253</v>
      </c>
      <c r="W168" s="345"/>
      <c r="X168" s="5"/>
    </row>
    <row r="169" spans="1:24" ht="15.6" x14ac:dyDescent="0.3">
      <c r="A169" s="342"/>
      <c r="B169" s="272" t="s">
        <v>318</v>
      </c>
      <c r="C169" s="343"/>
      <c r="D169" s="343"/>
      <c r="E169" s="343"/>
      <c r="F169" s="343"/>
      <c r="G169" s="343"/>
      <c r="H169" s="343"/>
      <c r="I169" s="343"/>
      <c r="J169" s="343"/>
      <c r="K169" s="343"/>
      <c r="L169" s="343"/>
      <c r="M169" s="343"/>
      <c r="N169" s="343"/>
      <c r="O169" s="343"/>
      <c r="P169" s="343"/>
      <c r="Q169" s="343"/>
      <c r="R169" s="343"/>
      <c r="S169" s="343"/>
      <c r="T169" s="343"/>
      <c r="U169" s="343"/>
      <c r="V169" s="344">
        <f>V115</f>
        <v>-253</v>
      </c>
      <c r="W169" s="345"/>
      <c r="X169" s="5"/>
    </row>
    <row r="170" spans="1:24" ht="15.6" x14ac:dyDescent="0.3">
      <c r="A170" s="342"/>
      <c r="B170" s="343" t="s">
        <v>55</v>
      </c>
      <c r="C170" s="343"/>
      <c r="D170" s="343"/>
      <c r="E170" s="343"/>
      <c r="F170" s="343"/>
      <c r="G170" s="343"/>
      <c r="H170" s="343"/>
      <c r="I170" s="343"/>
      <c r="J170" s="343"/>
      <c r="K170" s="343"/>
      <c r="L170" s="343"/>
      <c r="M170" s="343"/>
      <c r="N170" s="343"/>
      <c r="O170" s="343"/>
      <c r="P170" s="343"/>
      <c r="Q170" s="343"/>
      <c r="R170" s="343"/>
      <c r="S170" s="343"/>
      <c r="T170" s="343"/>
      <c r="U170" s="343"/>
      <c r="V170" s="344">
        <f>V168+V169</f>
        <v>0</v>
      </c>
      <c r="W170" s="345"/>
      <c r="X170" s="5"/>
    </row>
    <row r="171" spans="1:24" ht="15.6" x14ac:dyDescent="0.3">
      <c r="A171" s="342"/>
      <c r="B171" s="343" t="s">
        <v>288</v>
      </c>
      <c r="C171" s="343"/>
      <c r="D171" s="343"/>
      <c r="E171" s="343"/>
      <c r="F171" s="343"/>
      <c r="G171" s="343"/>
      <c r="H171" s="343"/>
      <c r="I171" s="343"/>
      <c r="J171" s="343"/>
      <c r="K171" s="343"/>
      <c r="L171" s="343"/>
      <c r="M171" s="343"/>
      <c r="N171" s="343"/>
      <c r="O171" s="343"/>
      <c r="P171" s="343"/>
      <c r="Q171" s="343"/>
      <c r="R171" s="343"/>
      <c r="S171" s="343"/>
      <c r="T171" s="343"/>
      <c r="U171" s="343"/>
      <c r="V171" s="344">
        <f>-V99</f>
        <v>229</v>
      </c>
      <c r="W171" s="345"/>
      <c r="X171" s="5"/>
    </row>
    <row r="172" spans="1:24" ht="16.2" thickBot="1" x14ac:dyDescent="0.35">
      <c r="A172" s="175"/>
      <c r="B172" s="321"/>
      <c r="C172" s="321"/>
      <c r="D172" s="321"/>
      <c r="E172" s="321"/>
      <c r="F172" s="321"/>
      <c r="G172" s="321"/>
      <c r="H172" s="321"/>
      <c r="I172" s="321"/>
      <c r="J172" s="321"/>
      <c r="K172" s="321"/>
      <c r="L172" s="321"/>
      <c r="M172" s="321"/>
      <c r="N172" s="321"/>
      <c r="O172" s="321"/>
      <c r="P172" s="321"/>
      <c r="Q172" s="321"/>
      <c r="R172" s="321"/>
      <c r="S172" s="321"/>
      <c r="T172" s="321"/>
      <c r="U172" s="321"/>
      <c r="V172" s="340"/>
      <c r="W172" s="321"/>
      <c r="X172" s="5"/>
    </row>
    <row r="173" spans="1:24"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74"/>
      <c r="U173" s="174"/>
      <c r="V173" s="195"/>
      <c r="W173" s="174"/>
      <c r="X173" s="5"/>
    </row>
    <row r="174" spans="1:24" ht="15.6" x14ac:dyDescent="0.3">
      <c r="A174" s="175"/>
      <c r="B174" s="203" t="s">
        <v>56</v>
      </c>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175"/>
      <c r="B175" s="186"/>
      <c r="C175" s="177"/>
      <c r="D175" s="177"/>
      <c r="E175" s="177"/>
      <c r="F175" s="177"/>
      <c r="G175" s="177"/>
      <c r="H175" s="177"/>
      <c r="I175" s="177"/>
      <c r="J175" s="177"/>
      <c r="K175" s="177"/>
      <c r="L175" s="177"/>
      <c r="M175" s="177"/>
      <c r="N175" s="177"/>
      <c r="O175" s="177"/>
      <c r="P175" s="177"/>
      <c r="Q175" s="177"/>
      <c r="R175" s="177"/>
      <c r="S175" s="177"/>
      <c r="T175" s="177"/>
      <c r="U175" s="177"/>
      <c r="V175" s="196"/>
      <c r="W175" s="177"/>
      <c r="X175" s="5"/>
    </row>
    <row r="176" spans="1:24" ht="15.6" x14ac:dyDescent="0.3">
      <c r="A176" s="271"/>
      <c r="B176" s="272" t="s">
        <v>57</v>
      </c>
      <c r="C176" s="272"/>
      <c r="D176" s="272"/>
      <c r="E176" s="272"/>
      <c r="F176" s="272"/>
      <c r="G176" s="272"/>
      <c r="H176" s="272"/>
      <c r="I176" s="272"/>
      <c r="J176" s="272"/>
      <c r="K176" s="272"/>
      <c r="L176" s="272"/>
      <c r="M176" s="272"/>
      <c r="N176" s="272"/>
      <c r="O176" s="272"/>
      <c r="P176" s="272"/>
      <c r="Q176" s="272"/>
      <c r="R176" s="272"/>
      <c r="S176" s="272"/>
      <c r="T176" s="272"/>
      <c r="U176" s="272"/>
      <c r="V176" s="325">
        <f>V71</f>
        <v>970592</v>
      </c>
      <c r="W176" s="275"/>
      <c r="X176" s="5"/>
    </row>
    <row r="177" spans="1:24" ht="15.6" x14ac:dyDescent="0.3">
      <c r="A177" s="271"/>
      <c r="B177" s="272" t="s">
        <v>58</v>
      </c>
      <c r="C177" s="272"/>
      <c r="D177" s="272"/>
      <c r="E177" s="272"/>
      <c r="F177" s="272"/>
      <c r="G177" s="272"/>
      <c r="H177" s="272"/>
      <c r="I177" s="272"/>
      <c r="J177" s="272"/>
      <c r="K177" s="272"/>
      <c r="L177" s="272"/>
      <c r="M177" s="272"/>
      <c r="N177" s="272"/>
      <c r="O177" s="272"/>
      <c r="P177" s="272"/>
      <c r="Q177" s="272"/>
      <c r="R177" s="272"/>
      <c r="S177" s="272"/>
      <c r="T177" s="272"/>
      <c r="U177" s="272"/>
      <c r="V177" s="325">
        <f>V84</f>
        <v>970592</v>
      </c>
      <c r="W177" s="275"/>
      <c r="X177" s="5"/>
    </row>
    <row r="178" spans="1:24" ht="16.2" thickBot="1" x14ac:dyDescent="0.35">
      <c r="A178" s="175"/>
      <c r="B178" s="321"/>
      <c r="C178" s="321"/>
      <c r="D178" s="321"/>
      <c r="E178" s="321"/>
      <c r="F178" s="321"/>
      <c r="G178" s="321"/>
      <c r="H178" s="321"/>
      <c r="I178" s="321"/>
      <c r="J178" s="321"/>
      <c r="K178" s="321"/>
      <c r="L178" s="321"/>
      <c r="M178" s="321"/>
      <c r="N178" s="321"/>
      <c r="O178" s="321"/>
      <c r="P178" s="321"/>
      <c r="Q178" s="321"/>
      <c r="R178" s="321"/>
      <c r="S178" s="321"/>
      <c r="T178" s="321"/>
      <c r="U178" s="321"/>
      <c r="V178" s="340"/>
      <c r="W178" s="321"/>
      <c r="X178" s="5"/>
    </row>
    <row r="179" spans="1:24" ht="15.6" x14ac:dyDescent="0.3">
      <c r="A179" s="173"/>
      <c r="B179" s="174"/>
      <c r="C179" s="174"/>
      <c r="D179" s="174"/>
      <c r="E179" s="174"/>
      <c r="F179" s="174"/>
      <c r="G179" s="174"/>
      <c r="H179" s="174"/>
      <c r="I179" s="174"/>
      <c r="J179" s="174"/>
      <c r="K179" s="174"/>
      <c r="L179" s="174"/>
      <c r="M179" s="174"/>
      <c r="N179" s="174"/>
      <c r="O179" s="174"/>
      <c r="P179" s="174"/>
      <c r="Q179" s="174"/>
      <c r="R179" s="174"/>
      <c r="S179" s="174"/>
      <c r="T179" s="174"/>
      <c r="U179" s="174"/>
      <c r="V179" s="195"/>
      <c r="W179" s="174"/>
      <c r="X179" s="5"/>
    </row>
    <row r="180" spans="1:24" ht="15.6" x14ac:dyDescent="0.3">
      <c r="A180" s="175"/>
      <c r="B180" s="203" t="s">
        <v>59</v>
      </c>
      <c r="C180" s="200"/>
      <c r="D180" s="200"/>
      <c r="E180" s="200"/>
      <c r="F180" s="200"/>
      <c r="G180" s="200"/>
      <c r="H180" s="205"/>
      <c r="I180" s="205"/>
      <c r="J180" s="205"/>
      <c r="K180" s="205"/>
      <c r="L180" s="205"/>
      <c r="M180" s="205"/>
      <c r="N180" s="205"/>
      <c r="O180" s="205"/>
      <c r="P180" s="205"/>
      <c r="Q180" s="205"/>
      <c r="R180" s="205"/>
      <c r="S180" s="205" t="s">
        <v>102</v>
      </c>
      <c r="T180" s="205" t="s">
        <v>179</v>
      </c>
      <c r="U180" s="179"/>
      <c r="V180" s="206" t="s">
        <v>117</v>
      </c>
      <c r="W180" s="207"/>
      <c r="X180" s="5"/>
    </row>
    <row r="181" spans="1:24" ht="15.6" x14ac:dyDescent="0.3">
      <c r="A181" s="271"/>
      <c r="B181" s="272" t="s">
        <v>60</v>
      </c>
      <c r="C181" s="272"/>
      <c r="D181" s="272"/>
      <c r="E181" s="272"/>
      <c r="F181" s="272"/>
      <c r="G181" s="272"/>
      <c r="H181" s="272"/>
      <c r="I181" s="272"/>
      <c r="J181" s="272"/>
      <c r="K181" s="272"/>
      <c r="L181" s="272"/>
      <c r="M181" s="272"/>
      <c r="N181" s="272"/>
      <c r="O181" s="272"/>
      <c r="P181" s="272"/>
      <c r="Q181" s="272"/>
      <c r="R181" s="272"/>
      <c r="S181" s="325">
        <f>+V34*0.16</f>
        <v>240030.4</v>
      </c>
      <c r="T181" s="311"/>
      <c r="U181" s="272"/>
      <c r="V181" s="325"/>
      <c r="W181" s="275"/>
      <c r="X181" s="5"/>
    </row>
    <row r="182" spans="1:24" ht="15.6" x14ac:dyDescent="0.3">
      <c r="A182" s="271"/>
      <c r="B182" s="272" t="s">
        <v>61</v>
      </c>
      <c r="C182" s="272"/>
      <c r="D182" s="272"/>
      <c r="E182" s="272"/>
      <c r="F182" s="272"/>
      <c r="G182" s="272"/>
      <c r="H182" s="272"/>
      <c r="I182" s="272"/>
      <c r="J182" s="272"/>
      <c r="K182" s="272"/>
      <c r="L182" s="272"/>
      <c r="M182" s="272"/>
      <c r="N182" s="272"/>
      <c r="O182" s="272"/>
      <c r="P182" s="272"/>
      <c r="Q182" s="272"/>
      <c r="R182" s="272"/>
      <c r="S182" s="325">
        <f>+'June 13'!S184</f>
        <v>47686</v>
      </c>
      <c r="T182" s="325">
        <f>+'June 13'!T184</f>
        <v>9723</v>
      </c>
      <c r="U182" s="272"/>
      <c r="V182" s="325">
        <f>S182+T182</f>
        <v>57409</v>
      </c>
      <c r="W182" s="275"/>
      <c r="X182" s="5"/>
    </row>
    <row r="183" spans="1:24" ht="15.6" x14ac:dyDescent="0.3">
      <c r="A183" s="271"/>
      <c r="B183" s="272" t="s">
        <v>62</v>
      </c>
      <c r="C183" s="272"/>
      <c r="D183" s="272"/>
      <c r="E183" s="272"/>
      <c r="F183" s="272"/>
      <c r="G183" s="272"/>
      <c r="H183" s="272"/>
      <c r="I183" s="272"/>
      <c r="J183" s="272"/>
      <c r="K183" s="272"/>
      <c r="L183" s="272"/>
      <c r="M183" s="272"/>
      <c r="N183" s="272"/>
      <c r="O183" s="272"/>
      <c r="P183" s="272"/>
      <c r="Q183" s="272"/>
      <c r="R183" s="272"/>
      <c r="S183" s="324">
        <v>327</v>
      </c>
      <c r="T183" s="324">
        <v>10</v>
      </c>
      <c r="U183" s="272"/>
      <c r="V183" s="325">
        <f>S183+T183</f>
        <v>337</v>
      </c>
      <c r="W183" s="275"/>
      <c r="X183" s="5"/>
    </row>
    <row r="184" spans="1:24" ht="15.6" x14ac:dyDescent="0.3">
      <c r="A184" s="271"/>
      <c r="B184" s="272" t="s">
        <v>63</v>
      </c>
      <c r="C184" s="272"/>
      <c r="D184" s="272"/>
      <c r="E184" s="272"/>
      <c r="F184" s="272"/>
      <c r="G184" s="272"/>
      <c r="H184" s="272"/>
      <c r="I184" s="272"/>
      <c r="J184" s="272"/>
      <c r="K184" s="272"/>
      <c r="L184" s="272"/>
      <c r="M184" s="272"/>
      <c r="N184" s="272"/>
      <c r="O184" s="272"/>
      <c r="P184" s="272"/>
      <c r="Q184" s="272"/>
      <c r="R184" s="272"/>
      <c r="S184" s="325">
        <f>+S182+S183</f>
        <v>48013</v>
      </c>
      <c r="T184" s="325">
        <f>T183+T182</f>
        <v>9733</v>
      </c>
      <c r="U184" s="272"/>
      <c r="V184" s="325">
        <f>S184+T184</f>
        <v>57746</v>
      </c>
      <c r="W184" s="275"/>
      <c r="X184" s="5"/>
    </row>
    <row r="185" spans="1:24" ht="15.6" x14ac:dyDescent="0.3">
      <c r="A185" s="271"/>
      <c r="B185" s="272" t="s">
        <v>64</v>
      </c>
      <c r="C185" s="272"/>
      <c r="D185" s="272"/>
      <c r="E185" s="272"/>
      <c r="F185" s="272"/>
      <c r="G185" s="272"/>
      <c r="H185" s="272"/>
      <c r="I185" s="272"/>
      <c r="J185" s="272"/>
      <c r="K185" s="272"/>
      <c r="L185" s="272"/>
      <c r="M185" s="272"/>
      <c r="N185" s="272"/>
      <c r="O185" s="272"/>
      <c r="P185" s="272"/>
      <c r="Q185" s="272"/>
      <c r="R185" s="272"/>
      <c r="S185" s="325">
        <f>S181-S184-T184</f>
        <v>182284.4</v>
      </c>
      <c r="T185" s="311"/>
      <c r="U185" s="272"/>
      <c r="V185" s="325"/>
      <c r="W185" s="275"/>
      <c r="X185" s="5"/>
    </row>
    <row r="186" spans="1:24" ht="16.2" thickBot="1" x14ac:dyDescent="0.35">
      <c r="A186" s="175"/>
      <c r="B186" s="321"/>
      <c r="C186" s="321"/>
      <c r="D186" s="321"/>
      <c r="E186" s="321"/>
      <c r="F186" s="321"/>
      <c r="G186" s="321"/>
      <c r="H186" s="321"/>
      <c r="I186" s="321"/>
      <c r="J186" s="321"/>
      <c r="K186" s="321"/>
      <c r="L186" s="321"/>
      <c r="M186" s="321"/>
      <c r="N186" s="321"/>
      <c r="O186" s="321"/>
      <c r="P186" s="321"/>
      <c r="Q186" s="321"/>
      <c r="R186" s="321"/>
      <c r="S186" s="321"/>
      <c r="T186" s="321"/>
      <c r="U186" s="321"/>
      <c r="V186" s="340"/>
      <c r="W186" s="321"/>
      <c r="X186" s="5"/>
    </row>
    <row r="187" spans="1:24" ht="15.6" x14ac:dyDescent="0.3">
      <c r="A187" s="173"/>
      <c r="B187" s="174"/>
      <c r="C187" s="174"/>
      <c r="D187" s="174"/>
      <c r="E187" s="174"/>
      <c r="F187" s="174"/>
      <c r="G187" s="174"/>
      <c r="H187" s="174"/>
      <c r="I187" s="174"/>
      <c r="J187" s="174"/>
      <c r="K187" s="174"/>
      <c r="L187" s="174"/>
      <c r="M187" s="174"/>
      <c r="N187" s="174"/>
      <c r="O187" s="174"/>
      <c r="P187" s="174"/>
      <c r="Q187" s="174"/>
      <c r="R187" s="174"/>
      <c r="S187" s="174"/>
      <c r="T187" s="174"/>
      <c r="U187" s="174"/>
      <c r="V187" s="195"/>
      <c r="W187" s="174"/>
      <c r="X187" s="5"/>
    </row>
    <row r="188" spans="1:24" ht="15.6" x14ac:dyDescent="0.3">
      <c r="A188" s="175"/>
      <c r="B188" s="203" t="s">
        <v>65</v>
      </c>
      <c r="C188" s="177"/>
      <c r="D188" s="177"/>
      <c r="E188" s="177"/>
      <c r="F188" s="177"/>
      <c r="G188" s="177"/>
      <c r="H188" s="177"/>
      <c r="I188" s="177"/>
      <c r="J188" s="177"/>
      <c r="K188" s="177"/>
      <c r="L188" s="177"/>
      <c r="M188" s="177"/>
      <c r="N188" s="177"/>
      <c r="O188" s="177"/>
      <c r="P188" s="177"/>
      <c r="Q188" s="177"/>
      <c r="R188" s="177"/>
      <c r="S188" s="177"/>
      <c r="T188" s="177"/>
      <c r="U188" s="177"/>
      <c r="V188" s="208"/>
      <c r="W188" s="177"/>
      <c r="X188" s="5"/>
    </row>
    <row r="189" spans="1:24" ht="15.6" x14ac:dyDescent="0.3">
      <c r="A189" s="271"/>
      <c r="B189" s="272" t="s">
        <v>66</v>
      </c>
      <c r="C189" s="272"/>
      <c r="D189" s="272"/>
      <c r="E189" s="272"/>
      <c r="F189" s="272"/>
      <c r="G189" s="272"/>
      <c r="H189" s="272"/>
      <c r="I189" s="272"/>
      <c r="J189" s="272"/>
      <c r="K189" s="272"/>
      <c r="L189" s="272"/>
      <c r="M189" s="272"/>
      <c r="N189" s="272"/>
      <c r="O189" s="272"/>
      <c r="P189" s="272"/>
      <c r="Q189" s="272"/>
      <c r="R189" s="272"/>
      <c r="S189" s="272"/>
      <c r="T189" s="272"/>
      <c r="U189" s="272"/>
      <c r="V189" s="341">
        <f>(V100+V102+V103+V104+V105)/-(V106+V107)</f>
        <v>3.4758842443729905</v>
      </c>
      <c r="W189" s="275" t="s">
        <v>118</v>
      </c>
      <c r="X189" s="5"/>
    </row>
    <row r="190" spans="1:24" ht="15.6" x14ac:dyDescent="0.3">
      <c r="A190" s="271"/>
      <c r="B190" s="272" t="s">
        <v>67</v>
      </c>
      <c r="C190" s="272"/>
      <c r="D190" s="272"/>
      <c r="E190" s="272"/>
      <c r="F190" s="272"/>
      <c r="G190" s="272"/>
      <c r="H190" s="272"/>
      <c r="I190" s="272"/>
      <c r="J190" s="272"/>
      <c r="K190" s="272"/>
      <c r="L190" s="272"/>
      <c r="M190" s="272"/>
      <c r="N190" s="272"/>
      <c r="O190" s="272"/>
      <c r="P190" s="272"/>
      <c r="Q190" s="272"/>
      <c r="R190" s="272"/>
      <c r="S190" s="272"/>
      <c r="T190" s="272"/>
      <c r="U190" s="272"/>
      <c r="V190" s="346">
        <v>1.69</v>
      </c>
      <c r="W190" s="275" t="s">
        <v>118</v>
      </c>
      <c r="X190" s="5"/>
    </row>
    <row r="191" spans="1:24" ht="15.6" x14ac:dyDescent="0.3">
      <c r="A191" s="271"/>
      <c r="B191" s="272" t="s">
        <v>68</v>
      </c>
      <c r="C191" s="272"/>
      <c r="D191" s="272"/>
      <c r="E191" s="272"/>
      <c r="F191" s="272"/>
      <c r="G191" s="272"/>
      <c r="H191" s="272"/>
      <c r="I191" s="272"/>
      <c r="J191" s="272"/>
      <c r="K191" s="272"/>
      <c r="L191" s="272"/>
      <c r="M191" s="272"/>
      <c r="N191" s="272"/>
      <c r="O191" s="272"/>
      <c r="P191" s="272"/>
      <c r="Q191" s="272"/>
      <c r="R191" s="272"/>
      <c r="S191" s="272"/>
      <c r="T191" s="272"/>
      <c r="U191" s="272"/>
      <c r="V191" s="341">
        <f>(V100+V102+V103+V104+V105+V106+V107)/-(V109+V110)</f>
        <v>14.807692307692308</v>
      </c>
      <c r="W191" s="275" t="s">
        <v>118</v>
      </c>
      <c r="X191" s="5"/>
    </row>
    <row r="192" spans="1:24" ht="15.6" x14ac:dyDescent="0.3">
      <c r="A192" s="271"/>
      <c r="B192" s="272" t="s">
        <v>69</v>
      </c>
      <c r="C192" s="272"/>
      <c r="D192" s="272"/>
      <c r="E192" s="272"/>
      <c r="F192" s="272"/>
      <c r="G192" s="272"/>
      <c r="H192" s="272"/>
      <c r="I192" s="272"/>
      <c r="J192" s="272"/>
      <c r="K192" s="272"/>
      <c r="L192" s="272"/>
      <c r="M192" s="272"/>
      <c r="N192" s="272"/>
      <c r="O192" s="272"/>
      <c r="P192" s="272"/>
      <c r="Q192" s="272"/>
      <c r="R192" s="272"/>
      <c r="S192" s="272"/>
      <c r="T192" s="272"/>
      <c r="U192" s="272"/>
      <c r="V192" s="346">
        <v>6.44</v>
      </c>
      <c r="W192" s="275" t="s">
        <v>118</v>
      </c>
      <c r="X192" s="5"/>
    </row>
    <row r="193" spans="1:24" ht="15.6" x14ac:dyDescent="0.3">
      <c r="A193" s="271"/>
      <c r="B193" s="272" t="s">
        <v>201</v>
      </c>
      <c r="C193" s="272"/>
      <c r="D193" s="272"/>
      <c r="E193" s="272"/>
      <c r="F193" s="272"/>
      <c r="G193" s="272"/>
      <c r="H193" s="272"/>
      <c r="I193" s="272"/>
      <c r="J193" s="272"/>
      <c r="K193" s="272"/>
      <c r="L193" s="272"/>
      <c r="M193" s="272"/>
      <c r="N193" s="272"/>
      <c r="O193" s="272"/>
      <c r="P193" s="272"/>
      <c r="Q193" s="272"/>
      <c r="R193" s="272"/>
      <c r="S193" s="272"/>
      <c r="T193" s="272"/>
      <c r="U193" s="272"/>
      <c r="V193" s="341">
        <f>(V100+V102+V103+V104+V105+V106+V107+V109+V110)/-(V111+V112)</f>
        <v>15.745614035087719</v>
      </c>
      <c r="W193" s="275" t="s">
        <v>118</v>
      </c>
      <c r="X193" s="5"/>
    </row>
    <row r="194" spans="1:24" ht="15.6" x14ac:dyDescent="0.3">
      <c r="A194" s="271"/>
      <c r="B194" s="272" t="s">
        <v>202</v>
      </c>
      <c r="C194" s="272"/>
      <c r="D194" s="272"/>
      <c r="E194" s="272"/>
      <c r="F194" s="272"/>
      <c r="G194" s="272"/>
      <c r="H194" s="272"/>
      <c r="I194" s="272"/>
      <c r="J194" s="272"/>
      <c r="K194" s="272"/>
      <c r="L194" s="272"/>
      <c r="M194" s="272"/>
      <c r="N194" s="272"/>
      <c r="O194" s="272"/>
      <c r="P194" s="272"/>
      <c r="Q194" s="272"/>
      <c r="R194" s="272"/>
      <c r="S194" s="272"/>
      <c r="T194" s="272"/>
      <c r="U194" s="272"/>
      <c r="V194" s="346">
        <v>8.25</v>
      </c>
      <c r="W194" s="275" t="s">
        <v>118</v>
      </c>
      <c r="X194" s="5"/>
    </row>
    <row r="195" spans="1:24" ht="15.6" x14ac:dyDescent="0.3">
      <c r="A195" s="271"/>
      <c r="B195" s="298"/>
      <c r="C195" s="298"/>
      <c r="D195" s="298"/>
      <c r="E195" s="298"/>
      <c r="F195" s="298"/>
      <c r="G195" s="298"/>
      <c r="H195" s="298"/>
      <c r="I195" s="298"/>
      <c r="J195" s="298"/>
      <c r="K195" s="298"/>
      <c r="L195" s="298"/>
      <c r="M195" s="298"/>
      <c r="N195" s="298"/>
      <c r="O195" s="298"/>
      <c r="P195" s="298"/>
      <c r="Q195" s="298"/>
      <c r="R195" s="298"/>
      <c r="S195" s="298"/>
      <c r="T195" s="298"/>
      <c r="U195" s="298"/>
      <c r="V195" s="298"/>
      <c r="W195" s="304"/>
      <c r="X195" s="5"/>
    </row>
    <row r="196" spans="1:24" ht="15.6" x14ac:dyDescent="0.3">
      <c r="A196" s="175"/>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5"/>
    </row>
    <row r="197" spans="1:24" ht="15.6" x14ac:dyDescent="0.3">
      <c r="A197" s="175"/>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5"/>
    </row>
    <row r="198" spans="1:24" ht="18" thickBot="1" x14ac:dyDescent="0.35">
      <c r="A198" s="194"/>
      <c r="B198" s="234" t="str">
        <f>B138</f>
        <v>PM13 INVESTOR REPORT QUARTER ENDING SEPTEMBER 2013</v>
      </c>
      <c r="C198" s="209"/>
      <c r="D198" s="209"/>
      <c r="E198" s="209"/>
      <c r="F198" s="209"/>
      <c r="G198" s="209"/>
      <c r="H198" s="209"/>
      <c r="I198" s="209"/>
      <c r="J198" s="209"/>
      <c r="K198" s="209"/>
      <c r="L198" s="209"/>
      <c r="M198" s="209"/>
      <c r="N198" s="209"/>
      <c r="O198" s="209"/>
      <c r="P198" s="209"/>
      <c r="Q198" s="209"/>
      <c r="R198" s="209"/>
      <c r="S198" s="209"/>
      <c r="T198" s="209"/>
      <c r="U198" s="209"/>
      <c r="V198" s="209"/>
      <c r="W198" s="210"/>
      <c r="X198" s="5"/>
    </row>
    <row r="199" spans="1:24" ht="15.6" x14ac:dyDescent="0.3">
      <c r="A199" s="246"/>
      <c r="B199" s="388" t="s">
        <v>70</v>
      </c>
      <c r="C199" s="249"/>
      <c r="D199" s="249"/>
      <c r="E199" s="249"/>
      <c r="F199" s="249"/>
      <c r="G199" s="250"/>
      <c r="H199" s="250"/>
      <c r="I199" s="250"/>
      <c r="J199" s="250"/>
      <c r="K199" s="250"/>
      <c r="L199" s="250"/>
      <c r="M199" s="250"/>
      <c r="N199" s="250"/>
      <c r="O199" s="250"/>
      <c r="P199" s="250"/>
      <c r="Q199" s="250"/>
      <c r="R199" s="250"/>
      <c r="S199" s="250"/>
      <c r="T199" s="250">
        <v>41547</v>
      </c>
      <c r="U199" s="247"/>
      <c r="V199" s="247"/>
      <c r="W199" s="247"/>
      <c r="X199" s="5"/>
    </row>
    <row r="200" spans="1:24" ht="15.6" x14ac:dyDescent="0.3">
      <c r="A200" s="211"/>
      <c r="B200" s="212"/>
      <c r="C200" s="213"/>
      <c r="D200" s="213"/>
      <c r="E200" s="213"/>
      <c r="F200" s="213"/>
      <c r="G200" s="214"/>
      <c r="H200" s="214"/>
      <c r="I200" s="214"/>
      <c r="J200" s="214"/>
      <c r="K200" s="214"/>
      <c r="L200" s="214"/>
      <c r="M200" s="214"/>
      <c r="N200" s="214"/>
      <c r="O200" s="214"/>
      <c r="P200" s="214"/>
      <c r="Q200" s="214"/>
      <c r="R200" s="214"/>
      <c r="S200" s="214"/>
      <c r="T200" s="214"/>
      <c r="U200" s="177"/>
      <c r="V200" s="177"/>
      <c r="W200" s="177"/>
      <c r="X200" s="5"/>
    </row>
    <row r="201" spans="1:24" ht="15.6" x14ac:dyDescent="0.3">
      <c r="A201" s="349"/>
      <c r="B201" s="272" t="s">
        <v>71</v>
      </c>
      <c r="C201" s="350"/>
      <c r="D201" s="350"/>
      <c r="E201" s="350"/>
      <c r="F201" s="350"/>
      <c r="G201" s="316"/>
      <c r="H201" s="316"/>
      <c r="I201" s="316"/>
      <c r="J201" s="316"/>
      <c r="K201" s="316"/>
      <c r="L201" s="316"/>
      <c r="M201" s="316"/>
      <c r="N201" s="316"/>
      <c r="O201" s="316"/>
      <c r="P201" s="316"/>
      <c r="Q201" s="316"/>
      <c r="R201" s="316"/>
      <c r="S201" s="316"/>
      <c r="T201" s="307">
        <v>5.4539999999999998E-2</v>
      </c>
      <c r="U201" s="272"/>
      <c r="V201" s="272"/>
      <c r="W201" s="275"/>
      <c r="X201" s="5"/>
    </row>
    <row r="202" spans="1:24" ht="15.6" x14ac:dyDescent="0.3">
      <c r="A202" s="349"/>
      <c r="B202" s="272" t="s">
        <v>154</v>
      </c>
      <c r="C202" s="350"/>
      <c r="D202" s="350"/>
      <c r="E202" s="350"/>
      <c r="F202" s="350"/>
      <c r="G202" s="316"/>
      <c r="H202" s="316"/>
      <c r="I202" s="316"/>
      <c r="J202" s="316"/>
      <c r="K202" s="316"/>
      <c r="L202" s="316"/>
      <c r="M202" s="316"/>
      <c r="N202" s="316"/>
      <c r="O202" s="316"/>
      <c r="P202" s="316"/>
      <c r="Q202" s="316"/>
      <c r="R202" s="316"/>
      <c r="S202" s="316"/>
      <c r="T202" s="307">
        <f>'Dec 06'!T199</f>
        <v>5.238600504269459E-2</v>
      </c>
      <c r="U202" s="272"/>
      <c r="V202" s="272"/>
      <c r="W202" s="275"/>
      <c r="X202" s="5"/>
    </row>
    <row r="203" spans="1:24" ht="15.6" x14ac:dyDescent="0.3">
      <c r="A203" s="349"/>
      <c r="B203" s="272" t="s">
        <v>72</v>
      </c>
      <c r="C203" s="350"/>
      <c r="D203" s="350"/>
      <c r="E203" s="350"/>
      <c r="F203" s="350"/>
      <c r="G203" s="316"/>
      <c r="H203" s="316"/>
      <c r="I203" s="316"/>
      <c r="J203" s="316"/>
      <c r="K203" s="316"/>
      <c r="L203" s="316"/>
      <c r="M203" s="316"/>
      <c r="N203" s="316"/>
      <c r="O203" s="316"/>
      <c r="P203" s="316"/>
      <c r="Q203" s="316"/>
      <c r="R203" s="316"/>
      <c r="S203" s="316"/>
      <c r="T203" s="307">
        <f>+T201-T202</f>
        <v>2.1539949573054079E-3</v>
      </c>
      <c r="U203" s="272"/>
      <c r="V203" s="272"/>
      <c r="W203" s="275"/>
      <c r="X203" s="5"/>
    </row>
    <row r="204" spans="1:24" ht="15.6" x14ac:dyDescent="0.3">
      <c r="A204" s="349"/>
      <c r="B204" s="272" t="s">
        <v>73</v>
      </c>
      <c r="C204" s="350"/>
      <c r="D204" s="350"/>
      <c r="E204" s="350"/>
      <c r="F204" s="350"/>
      <c r="G204" s="316"/>
      <c r="H204" s="316"/>
      <c r="I204" s="316"/>
      <c r="J204" s="316"/>
      <c r="K204" s="316"/>
      <c r="L204" s="316"/>
      <c r="M204" s="316"/>
      <c r="N204" s="316"/>
      <c r="O204" s="316"/>
      <c r="P204" s="316"/>
      <c r="Q204" s="316"/>
      <c r="R204" s="316"/>
      <c r="S204" s="316"/>
      <c r="T204" s="307">
        <v>2.273E-2</v>
      </c>
      <c r="U204" s="272"/>
      <c r="V204" s="272"/>
      <c r="W204" s="275"/>
      <c r="X204" s="5"/>
    </row>
    <row r="205" spans="1:24" ht="15.6" x14ac:dyDescent="0.3">
      <c r="A205" s="349"/>
      <c r="B205" s="272" t="s">
        <v>222</v>
      </c>
      <c r="C205" s="350"/>
      <c r="D205" s="350"/>
      <c r="E205" s="350"/>
      <c r="F205" s="350"/>
      <c r="G205" s="316"/>
      <c r="H205" s="316"/>
      <c r="I205" s="316"/>
      <c r="J205" s="316"/>
      <c r="K205" s="316"/>
      <c r="L205" s="316"/>
      <c r="M205" s="316"/>
      <c r="N205" s="316"/>
      <c r="O205" s="316"/>
      <c r="P205" s="316"/>
      <c r="Q205" s="316"/>
      <c r="R205" s="316"/>
      <c r="S205" s="316"/>
      <c r="T205" s="307">
        <f>V43</f>
        <v>8.3175100213896055E-3</v>
      </c>
      <c r="U205" s="272"/>
      <c r="V205" s="272"/>
      <c r="W205" s="275"/>
      <c r="X205" s="5"/>
    </row>
    <row r="206" spans="1:24" ht="15.6" x14ac:dyDescent="0.3">
      <c r="A206" s="349"/>
      <c r="B206" s="272" t="s">
        <v>74</v>
      </c>
      <c r="C206" s="350"/>
      <c r="D206" s="350"/>
      <c r="E206" s="350"/>
      <c r="F206" s="350"/>
      <c r="G206" s="316"/>
      <c r="H206" s="316"/>
      <c r="I206" s="316"/>
      <c r="J206" s="316"/>
      <c r="K206" s="316"/>
      <c r="L206" s="316"/>
      <c r="M206" s="316"/>
      <c r="N206" s="316"/>
      <c r="O206" s="316"/>
      <c r="P206" s="316"/>
      <c r="Q206" s="316"/>
      <c r="R206" s="316"/>
      <c r="S206" s="316"/>
      <c r="T206" s="307">
        <f>T204-T205</f>
        <v>1.4412489978610395E-2</v>
      </c>
      <c r="U206" s="272"/>
      <c r="V206" s="272"/>
      <c r="W206" s="275"/>
      <c r="X206" s="5"/>
    </row>
    <row r="207" spans="1:24" ht="15.6" x14ac:dyDescent="0.3">
      <c r="A207" s="349"/>
      <c r="B207" s="272" t="s">
        <v>274</v>
      </c>
      <c r="C207" s="350"/>
      <c r="D207" s="350"/>
      <c r="E207" s="350"/>
      <c r="F207" s="350"/>
      <c r="G207" s="316"/>
      <c r="H207" s="316"/>
      <c r="I207" s="316"/>
      <c r="J207" s="316"/>
      <c r="K207" s="316"/>
      <c r="L207" s="316"/>
      <c r="M207" s="316"/>
      <c r="N207" s="316"/>
      <c r="O207" s="316"/>
      <c r="P207" s="316"/>
      <c r="Q207" s="316"/>
      <c r="R207" s="316"/>
      <c r="S207" s="316"/>
      <c r="T207" s="307">
        <f>+V100/N71</f>
        <v>6.2371939501578537E-3</v>
      </c>
      <c r="U207" s="272"/>
      <c r="V207" s="272"/>
      <c r="W207" s="275"/>
      <c r="X207" s="5"/>
    </row>
    <row r="208" spans="1:24" ht="15.6" x14ac:dyDescent="0.3">
      <c r="A208" s="349"/>
      <c r="B208" s="272" t="s">
        <v>211</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212</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213</v>
      </c>
      <c r="C210" s="350"/>
      <c r="D210" s="350"/>
      <c r="E210" s="350"/>
      <c r="F210" s="350"/>
      <c r="G210" s="316"/>
      <c r="H210" s="316"/>
      <c r="I210" s="316"/>
      <c r="J210" s="316"/>
      <c r="K210" s="316"/>
      <c r="L210" s="316"/>
      <c r="M210" s="316"/>
      <c r="N210" s="316"/>
      <c r="O210" s="316"/>
      <c r="P210" s="316"/>
      <c r="Q210" s="316"/>
      <c r="R210" s="316"/>
      <c r="S210" s="316"/>
      <c r="T210" s="351">
        <v>50771</v>
      </c>
      <c r="U210" s="272"/>
      <c r="V210" s="272"/>
      <c r="W210" s="275"/>
      <c r="X210" s="5"/>
    </row>
    <row r="211" spans="1:24" ht="15.6" x14ac:dyDescent="0.3">
      <c r="A211" s="349"/>
      <c r="B211" s="272" t="s">
        <v>75</v>
      </c>
      <c r="C211" s="350"/>
      <c r="D211" s="350"/>
      <c r="E211" s="350"/>
      <c r="F211" s="350"/>
      <c r="G211" s="316"/>
      <c r="H211" s="316"/>
      <c r="I211" s="316"/>
      <c r="J211" s="316"/>
      <c r="K211" s="316"/>
      <c r="L211" s="316"/>
      <c r="M211" s="316"/>
      <c r="N211" s="316"/>
      <c r="O211" s="316"/>
      <c r="P211" s="316"/>
      <c r="Q211" s="316"/>
      <c r="R211" s="316"/>
      <c r="S211" s="316"/>
      <c r="T211" s="313">
        <v>20.66</v>
      </c>
      <c r="U211" s="272" t="s">
        <v>113</v>
      </c>
      <c r="V211" s="272"/>
      <c r="W211" s="275"/>
      <c r="X211" s="5"/>
    </row>
    <row r="212" spans="1:24" ht="15.6" x14ac:dyDescent="0.3">
      <c r="A212" s="349"/>
      <c r="B212" s="272" t="s">
        <v>76</v>
      </c>
      <c r="C212" s="350"/>
      <c r="D212" s="350"/>
      <c r="E212" s="350"/>
      <c r="F212" s="350"/>
      <c r="G212" s="316"/>
      <c r="H212" s="316"/>
      <c r="I212" s="316"/>
      <c r="J212" s="316"/>
      <c r="K212" s="316"/>
      <c r="L212" s="316"/>
      <c r="M212" s="316"/>
      <c r="N212" s="316"/>
      <c r="O212" s="316"/>
      <c r="P212" s="316"/>
      <c r="Q212" s="316"/>
      <c r="R212" s="316"/>
      <c r="S212" s="316"/>
      <c r="T212" s="313">
        <v>14.22</v>
      </c>
      <c r="U212" s="272" t="s">
        <v>113</v>
      </c>
      <c r="V212" s="272"/>
      <c r="W212" s="275"/>
      <c r="X212" s="5"/>
    </row>
    <row r="213" spans="1:24" ht="15.6" x14ac:dyDescent="0.3">
      <c r="A213" s="349"/>
      <c r="B213" s="272" t="s">
        <v>77</v>
      </c>
      <c r="C213" s="350"/>
      <c r="D213" s="350"/>
      <c r="E213" s="350"/>
      <c r="F213" s="350"/>
      <c r="G213" s="316"/>
      <c r="H213" s="316"/>
      <c r="I213" s="316"/>
      <c r="J213" s="316"/>
      <c r="K213" s="316"/>
      <c r="L213" s="316"/>
      <c r="M213" s="316"/>
      <c r="N213" s="316"/>
      <c r="O213" s="316"/>
      <c r="P213" s="316"/>
      <c r="Q213" s="316"/>
      <c r="R213" s="316"/>
      <c r="S213" s="316"/>
      <c r="T213" s="307">
        <f>P68/N68</f>
        <v>6.7142946553434765E-3</v>
      </c>
      <c r="U213" s="272"/>
      <c r="V213" s="272"/>
      <c r="W213" s="275"/>
      <c r="X213" s="5"/>
    </row>
    <row r="214" spans="1:24" ht="15.6" x14ac:dyDescent="0.3">
      <c r="A214" s="349"/>
      <c r="B214" s="272" t="s">
        <v>78</v>
      </c>
      <c r="C214" s="350"/>
      <c r="D214" s="350"/>
      <c r="E214" s="350"/>
      <c r="F214" s="350"/>
      <c r="G214" s="316"/>
      <c r="H214" s="316"/>
      <c r="I214" s="316"/>
      <c r="J214" s="316"/>
      <c r="K214" s="316"/>
      <c r="L214" s="316"/>
      <c r="M214" s="316"/>
      <c r="N214" s="316"/>
      <c r="O214" s="316"/>
      <c r="P214" s="316"/>
      <c r="Q214" s="316"/>
      <c r="R214" s="316"/>
      <c r="S214" s="316"/>
      <c r="T214" s="307">
        <v>7.0300000000000001E-2</v>
      </c>
      <c r="U214" s="272"/>
      <c r="V214" s="272"/>
      <c r="W214" s="275"/>
      <c r="X214" s="5"/>
    </row>
    <row r="215" spans="1:24" ht="15.6" x14ac:dyDescent="0.3">
      <c r="A215" s="211"/>
      <c r="B215" s="347"/>
      <c r="C215" s="347"/>
      <c r="D215" s="347"/>
      <c r="E215" s="347"/>
      <c r="F215" s="347"/>
      <c r="G215" s="321"/>
      <c r="H215" s="321"/>
      <c r="I215" s="321"/>
      <c r="J215" s="321"/>
      <c r="K215" s="321"/>
      <c r="L215" s="321"/>
      <c r="M215" s="321"/>
      <c r="N215" s="321"/>
      <c r="O215" s="321"/>
      <c r="P215" s="321"/>
      <c r="Q215" s="321"/>
      <c r="R215" s="321"/>
      <c r="S215" s="321"/>
      <c r="T215" s="340"/>
      <c r="U215" s="321"/>
      <c r="V215" s="348"/>
      <c r="W215" s="321"/>
      <c r="X215" s="5"/>
    </row>
    <row r="216" spans="1:24" ht="15.6" x14ac:dyDescent="0.3">
      <c r="A216" s="215"/>
      <c r="B216" s="219" t="s">
        <v>79</v>
      </c>
      <c r="C216" s="224"/>
      <c r="D216" s="224"/>
      <c r="E216" s="224"/>
      <c r="F216" s="251"/>
      <c r="G216" s="224"/>
      <c r="H216" s="224"/>
      <c r="I216" s="224"/>
      <c r="J216" s="224"/>
      <c r="K216" s="224"/>
      <c r="L216" s="224"/>
      <c r="M216" s="224"/>
      <c r="N216" s="224"/>
      <c r="O216" s="224"/>
      <c r="P216" s="224"/>
      <c r="Q216" s="224"/>
      <c r="R216" s="224"/>
      <c r="S216" s="224" t="s">
        <v>103</v>
      </c>
      <c r="T216" s="251" t="s">
        <v>110</v>
      </c>
      <c r="U216" s="220"/>
      <c r="V216" s="220"/>
      <c r="W216" s="220"/>
      <c r="X216" s="5"/>
    </row>
    <row r="217" spans="1:24" ht="15.6" x14ac:dyDescent="0.3">
      <c r="A217" s="356"/>
      <c r="B217" s="272" t="s">
        <v>80</v>
      </c>
      <c r="C217" s="324"/>
      <c r="D217" s="324"/>
      <c r="E217" s="324"/>
      <c r="F217" s="272"/>
      <c r="G217" s="272"/>
      <c r="H217" s="280"/>
      <c r="I217" s="280"/>
      <c r="J217" s="280"/>
      <c r="K217" s="280"/>
      <c r="L217" s="280"/>
      <c r="M217" s="280"/>
      <c r="N217" s="280"/>
      <c r="O217" s="280"/>
      <c r="P217" s="280"/>
      <c r="Q217" s="280"/>
      <c r="R217" s="280"/>
      <c r="S217" s="280">
        <v>1</v>
      </c>
      <c r="T217" s="357">
        <v>446</v>
      </c>
      <c r="U217" s="272"/>
      <c r="V217" s="358"/>
      <c r="W217" s="359"/>
      <c r="X217" s="5"/>
    </row>
    <row r="218" spans="1:24" ht="15.6" x14ac:dyDescent="0.3">
      <c r="A218" s="356"/>
      <c r="B218" s="272" t="s">
        <v>148</v>
      </c>
      <c r="C218" s="324"/>
      <c r="D218" s="324"/>
      <c r="E218" s="324"/>
      <c r="F218" s="272"/>
      <c r="G218" s="272"/>
      <c r="H218" s="280"/>
      <c r="I218" s="280"/>
      <c r="J218" s="280"/>
      <c r="K218" s="280"/>
      <c r="L218" s="280"/>
      <c r="M218" s="280"/>
      <c r="N218" s="280"/>
      <c r="O218" s="280"/>
      <c r="P218" s="280"/>
      <c r="Q218" s="280"/>
      <c r="R218" s="280"/>
      <c r="S218" s="360">
        <f>+R270</f>
        <v>187</v>
      </c>
      <c r="T218" s="357">
        <f>+T270</f>
        <v>27602</v>
      </c>
      <c r="U218" s="272"/>
      <c r="V218" s="358"/>
      <c r="W218" s="359"/>
      <c r="X218" s="5"/>
    </row>
    <row r="219" spans="1:24" ht="15.6" x14ac:dyDescent="0.3">
      <c r="A219" s="356"/>
      <c r="B219" s="272" t="s">
        <v>81</v>
      </c>
      <c r="C219" s="324"/>
      <c r="D219" s="324"/>
      <c r="E219" s="324"/>
      <c r="F219" s="272"/>
      <c r="G219" s="272"/>
      <c r="H219" s="280"/>
      <c r="I219" s="280"/>
      <c r="J219" s="280"/>
      <c r="K219" s="280"/>
      <c r="L219" s="280"/>
      <c r="M219" s="280"/>
      <c r="N219" s="280"/>
      <c r="O219" s="280"/>
      <c r="P219" s="280"/>
      <c r="Q219" s="280"/>
      <c r="R219" s="280"/>
      <c r="S219" s="360">
        <f>+R282</f>
        <v>0</v>
      </c>
      <c r="T219" s="357">
        <f>+T282</f>
        <v>0</v>
      </c>
      <c r="U219" s="272"/>
      <c r="V219" s="358"/>
      <c r="W219" s="359"/>
      <c r="X219" s="5"/>
    </row>
    <row r="220" spans="1:24" ht="15.6" x14ac:dyDescent="0.3">
      <c r="A220" s="356"/>
      <c r="B220" s="297" t="s">
        <v>82</v>
      </c>
      <c r="C220" s="361"/>
      <c r="D220" s="361"/>
      <c r="E220" s="361"/>
      <c r="F220" s="298"/>
      <c r="G220" s="298"/>
      <c r="H220" s="298"/>
      <c r="I220" s="298"/>
      <c r="J220" s="298"/>
      <c r="K220" s="298"/>
      <c r="L220" s="298"/>
      <c r="M220" s="298"/>
      <c r="N220" s="298"/>
      <c r="O220" s="298"/>
      <c r="P220" s="298"/>
      <c r="Q220" s="298"/>
      <c r="R220" s="298"/>
      <c r="S220" s="298"/>
      <c r="T220" s="357">
        <v>0</v>
      </c>
      <c r="U220" s="298"/>
      <c r="V220" s="362"/>
      <c r="W220" s="363"/>
      <c r="X220" s="5"/>
    </row>
    <row r="221" spans="1:24" ht="15.6" x14ac:dyDescent="0.3">
      <c r="A221" s="356"/>
      <c r="B221" s="297" t="s">
        <v>275</v>
      </c>
      <c r="C221" s="361"/>
      <c r="D221" s="361"/>
      <c r="E221" s="361"/>
      <c r="F221" s="298"/>
      <c r="G221" s="298"/>
      <c r="H221" s="298"/>
      <c r="I221" s="298"/>
      <c r="J221" s="298"/>
      <c r="K221" s="298"/>
      <c r="L221" s="298"/>
      <c r="M221" s="298"/>
      <c r="N221" s="298"/>
      <c r="O221" s="298"/>
      <c r="P221" s="298"/>
      <c r="Q221" s="298"/>
      <c r="R221" s="298"/>
      <c r="S221" s="298"/>
      <c r="T221" s="357">
        <f>+N81</f>
        <v>0</v>
      </c>
      <c r="U221" s="298"/>
      <c r="V221" s="362"/>
      <c r="W221" s="363"/>
      <c r="X221" s="5"/>
    </row>
    <row r="222" spans="1:24" ht="15.6" x14ac:dyDescent="0.3">
      <c r="A222" s="364"/>
      <c r="B222" s="297" t="s">
        <v>83</v>
      </c>
      <c r="C222" s="365"/>
      <c r="D222" s="365"/>
      <c r="E222" s="365"/>
      <c r="F222" s="365"/>
      <c r="G222" s="298"/>
      <c r="H222" s="298"/>
      <c r="I222" s="298"/>
      <c r="J222" s="298"/>
      <c r="K222" s="298"/>
      <c r="L222" s="298"/>
      <c r="M222" s="298"/>
      <c r="N222" s="298"/>
      <c r="O222" s="298"/>
      <c r="P222" s="298"/>
      <c r="Q222" s="298"/>
      <c r="R222" s="298"/>
      <c r="S222" s="298"/>
      <c r="T222" s="366"/>
      <c r="U222" s="298"/>
      <c r="V222" s="362"/>
      <c r="W222" s="367"/>
      <c r="X222" s="5"/>
    </row>
    <row r="223" spans="1:24" ht="15.6" x14ac:dyDescent="0.3">
      <c r="A223" s="364"/>
      <c r="B223" s="272" t="s">
        <v>84</v>
      </c>
      <c r="C223" s="272"/>
      <c r="D223" s="272"/>
      <c r="E223" s="272"/>
      <c r="F223" s="272"/>
      <c r="G223" s="272"/>
      <c r="H223" s="272"/>
      <c r="I223" s="272"/>
      <c r="J223" s="272"/>
      <c r="K223" s="272"/>
      <c r="L223" s="272"/>
      <c r="M223" s="272"/>
      <c r="N223" s="272"/>
      <c r="O223" s="272"/>
      <c r="P223" s="272"/>
      <c r="Q223" s="272"/>
      <c r="R223" s="272"/>
      <c r="S223" s="280"/>
      <c r="T223" s="357">
        <f>V167</f>
        <v>253</v>
      </c>
      <c r="U223" s="272"/>
      <c r="V223" s="362"/>
      <c r="W223" s="367"/>
      <c r="X223" s="5"/>
    </row>
    <row r="224" spans="1:24" ht="15.6" x14ac:dyDescent="0.3">
      <c r="A224" s="356"/>
      <c r="B224" s="272" t="s">
        <v>85</v>
      </c>
      <c r="C224" s="324"/>
      <c r="D224" s="324"/>
      <c r="E224" s="324"/>
      <c r="F224" s="324"/>
      <c r="G224" s="272"/>
      <c r="H224" s="272"/>
      <c r="I224" s="272"/>
      <c r="J224" s="272"/>
      <c r="K224" s="272"/>
      <c r="L224" s="272"/>
      <c r="M224" s="272"/>
      <c r="N224" s="272"/>
      <c r="O224" s="272"/>
      <c r="P224" s="272"/>
      <c r="Q224" s="272"/>
      <c r="R224" s="272"/>
      <c r="S224" s="280"/>
      <c r="T224" s="357">
        <f>'June 13'!T224+T223</f>
        <v>4884</v>
      </c>
      <c r="U224" s="272"/>
      <c r="V224" s="362"/>
      <c r="W224" s="367"/>
      <c r="X224" s="5"/>
    </row>
    <row r="225" spans="1:25" ht="15.6" x14ac:dyDescent="0.3">
      <c r="A225" s="364"/>
      <c r="B225" s="297" t="s">
        <v>297</v>
      </c>
      <c r="C225" s="365"/>
      <c r="D225" s="365"/>
      <c r="E225" s="365"/>
      <c r="F225" s="365"/>
      <c r="G225" s="298"/>
      <c r="H225" s="298"/>
      <c r="I225" s="298"/>
      <c r="J225" s="298"/>
      <c r="K225" s="298"/>
      <c r="L225" s="298"/>
      <c r="M225" s="298"/>
      <c r="N225" s="298"/>
      <c r="O225" s="298"/>
      <c r="P225" s="298"/>
      <c r="Q225" s="298"/>
      <c r="R225" s="298"/>
      <c r="S225" s="302"/>
      <c r="T225" s="366"/>
      <c r="U225" s="298"/>
      <c r="V225" s="362"/>
      <c r="W225" s="367"/>
      <c r="X225" s="5"/>
    </row>
    <row r="226" spans="1:25" ht="15.6" x14ac:dyDescent="0.3">
      <c r="A226" s="364"/>
      <c r="B226" s="272" t="s">
        <v>295</v>
      </c>
      <c r="C226" s="365"/>
      <c r="D226" s="365"/>
      <c r="E226" s="365"/>
      <c r="F226" s="365"/>
      <c r="G226" s="298"/>
      <c r="H226" s="298"/>
      <c r="I226" s="298"/>
      <c r="J226" s="298"/>
      <c r="K226" s="298"/>
      <c r="L226" s="298"/>
      <c r="M226" s="298"/>
      <c r="N226" s="298"/>
      <c r="O226" s="298"/>
      <c r="P226" s="298"/>
      <c r="Q226" s="298"/>
      <c r="R226" s="298"/>
      <c r="S226" s="280">
        <v>1</v>
      </c>
      <c r="T226" s="357">
        <v>264</v>
      </c>
      <c r="U226" s="298"/>
      <c r="V226" s="362"/>
      <c r="W226" s="367"/>
      <c r="X226" s="5"/>
    </row>
    <row r="227" spans="1:25" ht="15.6" x14ac:dyDescent="0.3">
      <c r="A227" s="356"/>
      <c r="B227" s="272" t="s">
        <v>87</v>
      </c>
      <c r="C227" s="370"/>
      <c r="D227" s="370"/>
      <c r="E227" s="370"/>
      <c r="F227" s="371"/>
      <c r="G227" s="298"/>
      <c r="H227" s="298"/>
      <c r="I227" s="298"/>
      <c r="J227" s="298"/>
      <c r="K227" s="298"/>
      <c r="L227" s="298"/>
      <c r="M227" s="298"/>
      <c r="N227" s="298"/>
      <c r="O227" s="298"/>
      <c r="P227" s="298"/>
      <c r="Q227" s="298"/>
      <c r="R227" s="298"/>
      <c r="S227" s="272"/>
      <c r="T227" s="372">
        <v>34.4</v>
      </c>
      <c r="U227" s="298"/>
      <c r="V227" s="362"/>
      <c r="W227" s="367"/>
      <c r="X227" s="5"/>
    </row>
    <row r="228" spans="1:25" ht="15.6" x14ac:dyDescent="0.3">
      <c r="A228" s="356"/>
      <c r="B228" s="272" t="s">
        <v>88</v>
      </c>
      <c r="C228" s="370"/>
      <c r="D228" s="370"/>
      <c r="E228" s="370"/>
      <c r="F228" s="371"/>
      <c r="G228" s="298"/>
      <c r="H228" s="298"/>
      <c r="I228" s="298"/>
      <c r="J228" s="298"/>
      <c r="K228" s="298"/>
      <c r="L228" s="298"/>
      <c r="M228" s="298"/>
      <c r="N228" s="298"/>
      <c r="O228" s="298"/>
      <c r="P228" s="298"/>
      <c r="Q228" s="298"/>
      <c r="R228" s="298"/>
      <c r="S228" s="272"/>
      <c r="T228" s="372">
        <v>20.440000000000001</v>
      </c>
      <c r="U228" s="298"/>
      <c r="V228" s="362"/>
      <c r="W228" s="367"/>
      <c r="X228" s="5"/>
    </row>
    <row r="229" spans="1:25" ht="15.6" x14ac:dyDescent="0.3">
      <c r="A229" s="356"/>
      <c r="B229" s="297" t="s">
        <v>220</v>
      </c>
      <c r="C229" s="370"/>
      <c r="D229" s="370"/>
      <c r="E229" s="370"/>
      <c r="F229" s="371"/>
      <c r="G229" s="298"/>
      <c r="H229" s="298"/>
      <c r="I229" s="298"/>
      <c r="J229" s="298"/>
      <c r="K229" s="298"/>
      <c r="L229" s="298"/>
      <c r="M229" s="298"/>
      <c r="N229" s="298"/>
      <c r="O229" s="298"/>
      <c r="P229" s="298"/>
      <c r="Q229" s="298"/>
      <c r="R229" s="298"/>
      <c r="S229" s="272"/>
      <c r="T229" s="373"/>
      <c r="U229" s="298"/>
      <c r="V229" s="362"/>
      <c r="W229" s="367"/>
      <c r="X229" s="5"/>
    </row>
    <row r="230" spans="1:25" ht="15.6" x14ac:dyDescent="0.3">
      <c r="A230" s="356"/>
      <c r="B230" s="272" t="s">
        <v>295</v>
      </c>
      <c r="C230" s="370"/>
      <c r="D230" s="370"/>
      <c r="E230" s="370"/>
      <c r="F230" s="371"/>
      <c r="G230" s="298"/>
      <c r="H230" s="298"/>
      <c r="I230" s="298"/>
      <c r="J230" s="298"/>
      <c r="K230" s="298"/>
      <c r="L230" s="298"/>
      <c r="M230" s="298"/>
      <c r="N230" s="298"/>
      <c r="O230" s="298"/>
      <c r="P230" s="298"/>
      <c r="Q230" s="298"/>
      <c r="R230" s="298"/>
      <c r="S230" s="280">
        <v>5</v>
      </c>
      <c r="T230" s="357">
        <v>532</v>
      </c>
      <c r="U230" s="298"/>
      <c r="V230" s="362"/>
      <c r="W230" s="367"/>
      <c r="X230" s="5"/>
    </row>
    <row r="231" spans="1:25" ht="15.6" x14ac:dyDescent="0.3">
      <c r="A231" s="356"/>
      <c r="B231" s="272" t="s">
        <v>221</v>
      </c>
      <c r="C231" s="370"/>
      <c r="D231" s="370"/>
      <c r="E231" s="370"/>
      <c r="F231" s="371"/>
      <c r="G231" s="298"/>
      <c r="H231" s="298"/>
      <c r="I231" s="298"/>
      <c r="J231" s="298"/>
      <c r="K231" s="298"/>
      <c r="L231" s="298"/>
      <c r="M231" s="298"/>
      <c r="N231" s="298"/>
      <c r="O231" s="298"/>
      <c r="P231" s="298"/>
      <c r="Q231" s="298"/>
      <c r="R231" s="298"/>
      <c r="S231" s="272"/>
      <c r="T231" s="372">
        <v>0.6</v>
      </c>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5.6" x14ac:dyDescent="0.3">
      <c r="A233" s="356"/>
      <c r="B233" s="365"/>
      <c r="C233" s="370"/>
      <c r="D233" s="370"/>
      <c r="E233" s="370"/>
      <c r="F233" s="371"/>
      <c r="G233" s="298"/>
      <c r="H233" s="298"/>
      <c r="I233" s="298"/>
      <c r="J233" s="298"/>
      <c r="K233" s="298"/>
      <c r="L233" s="298"/>
      <c r="M233" s="298"/>
      <c r="N233" s="298"/>
      <c r="O233" s="298"/>
      <c r="P233" s="298"/>
      <c r="Q233" s="298"/>
      <c r="R233" s="298"/>
      <c r="S233" s="298"/>
      <c r="T233" s="374"/>
      <c r="U233" s="298"/>
      <c r="V233" s="362"/>
      <c r="W233" s="367"/>
      <c r="X233" s="5"/>
    </row>
    <row r="234" spans="1:25" ht="17.399999999999999" x14ac:dyDescent="0.3">
      <c r="A234" s="356"/>
      <c r="B234" s="375" t="s">
        <v>171</v>
      </c>
      <c r="C234" s="370"/>
      <c r="D234" s="370"/>
      <c r="E234" s="370"/>
      <c r="F234" s="371"/>
      <c r="G234" s="298"/>
      <c r="H234" s="298"/>
      <c r="I234" s="298"/>
      <c r="J234" s="298"/>
      <c r="K234" s="298"/>
      <c r="L234" s="298"/>
      <c r="M234" s="298"/>
      <c r="N234" s="298"/>
      <c r="O234" s="298"/>
      <c r="P234" s="376" t="s">
        <v>170</v>
      </c>
      <c r="Q234" s="298"/>
      <c r="R234" s="298"/>
      <c r="S234" s="298"/>
      <c r="T234" s="374"/>
      <c r="U234" s="298"/>
      <c r="V234" s="362"/>
      <c r="W234" s="367"/>
      <c r="X234" s="5"/>
    </row>
    <row r="235" spans="1:25" ht="15.6" x14ac:dyDescent="0.3">
      <c r="A235" s="215"/>
      <c r="B235" s="347"/>
      <c r="C235" s="352"/>
      <c r="D235" s="352"/>
      <c r="E235" s="352"/>
      <c r="F235" s="353"/>
      <c r="G235" s="321"/>
      <c r="H235" s="321"/>
      <c r="I235" s="321"/>
      <c r="J235" s="321"/>
      <c r="K235" s="321"/>
      <c r="L235" s="321"/>
      <c r="M235" s="321"/>
      <c r="N235" s="321"/>
      <c r="O235" s="321"/>
      <c r="P235" s="321"/>
      <c r="Q235" s="321"/>
      <c r="R235" s="321"/>
      <c r="S235" s="321"/>
      <c r="T235" s="354"/>
      <c r="U235" s="321"/>
      <c r="V235" s="348"/>
      <c r="W235" s="355"/>
      <c r="X235" s="5"/>
    </row>
    <row r="236" spans="1:25" ht="15.6" x14ac:dyDescent="0.3">
      <c r="A236" s="239"/>
      <c r="B236" s="253" t="s">
        <v>310</v>
      </c>
      <c r="C236" s="254"/>
      <c r="D236" s="254"/>
      <c r="E236" s="254"/>
      <c r="F236" s="255"/>
      <c r="G236" s="254"/>
      <c r="H236" s="254"/>
      <c r="I236" s="254"/>
      <c r="J236" s="254"/>
      <c r="K236" s="254"/>
      <c r="L236" s="254"/>
      <c r="M236" s="254"/>
      <c r="N236" s="254"/>
      <c r="O236" s="254"/>
      <c r="P236" s="254"/>
      <c r="Q236" s="254"/>
      <c r="R236" s="255" t="s">
        <v>103</v>
      </c>
      <c r="S236" s="254" t="s">
        <v>104</v>
      </c>
      <c r="T236" s="255" t="s">
        <v>111</v>
      </c>
      <c r="U236" s="254" t="s">
        <v>104</v>
      </c>
      <c r="V236" s="240"/>
      <c r="W236" s="253"/>
      <c r="X236" s="5"/>
    </row>
    <row r="237" spans="1:25" ht="15.6" x14ac:dyDescent="0.3">
      <c r="A237" s="192"/>
      <c r="B237" s="231" t="s">
        <v>89</v>
      </c>
      <c r="C237" s="260"/>
      <c r="D237" s="260"/>
      <c r="E237" s="260"/>
      <c r="F237" s="229"/>
      <c r="G237" s="260"/>
      <c r="H237" s="260"/>
      <c r="I237" s="260"/>
      <c r="J237" s="260"/>
      <c r="K237" s="260"/>
      <c r="L237" s="260"/>
      <c r="M237" s="260"/>
      <c r="N237" s="260"/>
      <c r="O237" s="260"/>
      <c r="P237" s="260"/>
      <c r="Q237" s="260"/>
      <c r="R237" s="324">
        <f t="shared" ref="R237:R244" si="1">+R249+R261+R273</f>
        <v>7519</v>
      </c>
      <c r="S237" s="381">
        <f t="shared" ref="S237:S244" si="2">R237/$R$246</f>
        <v>0.99208338830980336</v>
      </c>
      <c r="T237" s="325">
        <f t="shared" ref="T237:T244" si="3">+T249+T261+T273</f>
        <v>963718</v>
      </c>
      <c r="U237" s="381">
        <f t="shared" ref="U237:U244" si="4">T237/$T$246</f>
        <v>0.99291772444034154</v>
      </c>
      <c r="V237" s="252"/>
      <c r="W237" s="230"/>
      <c r="X237" s="5"/>
    </row>
    <row r="238" spans="1:25" ht="15.6" x14ac:dyDescent="0.3">
      <c r="A238" s="271"/>
      <c r="B238" s="324" t="s">
        <v>90</v>
      </c>
      <c r="C238" s="380"/>
      <c r="D238" s="380"/>
      <c r="E238" s="380"/>
      <c r="F238" s="272"/>
      <c r="G238" s="381"/>
      <c r="H238" s="380"/>
      <c r="I238" s="380"/>
      <c r="J238" s="380"/>
      <c r="K238" s="380"/>
      <c r="L238" s="380"/>
      <c r="M238" s="380"/>
      <c r="N238" s="380"/>
      <c r="O238" s="380"/>
      <c r="P238" s="380"/>
      <c r="Q238" s="380"/>
      <c r="R238" s="324">
        <f t="shared" si="1"/>
        <v>10</v>
      </c>
      <c r="S238" s="381">
        <f t="shared" si="2"/>
        <v>1.3194352816994325E-3</v>
      </c>
      <c r="T238" s="325">
        <f t="shared" si="3"/>
        <v>1075</v>
      </c>
      <c r="U238" s="381">
        <f t="shared" si="4"/>
        <v>1.1075714615409976E-3</v>
      </c>
      <c r="V238" s="358"/>
      <c r="W238" s="382"/>
      <c r="X238" s="5"/>
      <c r="Y238" s="109"/>
    </row>
    <row r="239" spans="1:25" ht="15.6" x14ac:dyDescent="0.3">
      <c r="A239" s="271"/>
      <c r="B239" s="324" t="s">
        <v>91</v>
      </c>
      <c r="C239" s="380"/>
      <c r="D239" s="380"/>
      <c r="E239" s="380"/>
      <c r="F239" s="272"/>
      <c r="G239" s="381"/>
      <c r="H239" s="380"/>
      <c r="I239" s="380"/>
      <c r="J239" s="380"/>
      <c r="K239" s="380"/>
      <c r="L239" s="380"/>
      <c r="M239" s="380"/>
      <c r="N239" s="380"/>
      <c r="O239" s="380"/>
      <c r="P239" s="380"/>
      <c r="Q239" s="380"/>
      <c r="R239" s="324">
        <f t="shared" si="1"/>
        <v>9</v>
      </c>
      <c r="S239" s="381">
        <f t="shared" si="2"/>
        <v>1.1874917535294894E-3</v>
      </c>
      <c r="T239" s="325">
        <f t="shared" si="3"/>
        <v>655</v>
      </c>
      <c r="U239" s="381">
        <f t="shared" si="4"/>
        <v>6.7484586726451485E-4</v>
      </c>
      <c r="V239" s="358"/>
      <c r="W239" s="382"/>
      <c r="X239" s="5"/>
    </row>
    <row r="240" spans="1:25" ht="15.6" x14ac:dyDescent="0.3">
      <c r="A240" s="271"/>
      <c r="B240" s="324" t="s">
        <v>159</v>
      </c>
      <c r="C240" s="380"/>
      <c r="D240" s="380"/>
      <c r="E240" s="380"/>
      <c r="F240" s="272"/>
      <c r="G240" s="381"/>
      <c r="H240" s="380"/>
      <c r="I240" s="380"/>
      <c r="J240" s="380"/>
      <c r="K240" s="380"/>
      <c r="L240" s="380"/>
      <c r="M240" s="380"/>
      <c r="N240" s="380"/>
      <c r="O240" s="380"/>
      <c r="P240" s="380"/>
      <c r="Q240" s="380"/>
      <c r="R240" s="324">
        <f t="shared" si="1"/>
        <v>1</v>
      </c>
      <c r="S240" s="381">
        <f t="shared" si="2"/>
        <v>1.3194352816994325E-4</v>
      </c>
      <c r="T240" s="325">
        <f t="shared" si="3"/>
        <v>60</v>
      </c>
      <c r="U240" s="381">
        <f t="shared" si="4"/>
        <v>6.1817942039497537E-5</v>
      </c>
      <c r="V240" s="358"/>
      <c r="W240" s="382"/>
      <c r="X240" s="5"/>
      <c r="Y240" s="109"/>
    </row>
    <row r="241" spans="1:25" ht="15.6" x14ac:dyDescent="0.3">
      <c r="A241" s="271"/>
      <c r="B241" s="324" t="s">
        <v>160</v>
      </c>
      <c r="C241" s="380"/>
      <c r="D241" s="380"/>
      <c r="E241" s="380"/>
      <c r="F241" s="272"/>
      <c r="G241" s="381"/>
      <c r="H241" s="380"/>
      <c r="I241" s="380"/>
      <c r="J241" s="380"/>
      <c r="K241" s="380"/>
      <c r="L241" s="380"/>
      <c r="M241" s="380"/>
      <c r="N241" s="380"/>
      <c r="O241" s="380"/>
      <c r="P241" s="380"/>
      <c r="Q241" s="380"/>
      <c r="R241" s="324">
        <f t="shared" si="1"/>
        <v>2</v>
      </c>
      <c r="S241" s="381">
        <f t="shared" si="2"/>
        <v>2.6388705633988651E-4</v>
      </c>
      <c r="T241" s="325">
        <f t="shared" si="3"/>
        <v>131</v>
      </c>
      <c r="U241" s="381">
        <f t="shared" si="4"/>
        <v>1.3496917345290298E-4</v>
      </c>
      <c r="V241" s="358"/>
      <c r="W241" s="382"/>
      <c r="X241" s="5"/>
    </row>
    <row r="242" spans="1:25" ht="15.6" x14ac:dyDescent="0.3">
      <c r="A242" s="271"/>
      <c r="B242" s="324" t="s">
        <v>161</v>
      </c>
      <c r="C242" s="380"/>
      <c r="D242" s="380"/>
      <c r="E242" s="380"/>
      <c r="F242" s="272"/>
      <c r="G242" s="381"/>
      <c r="H242" s="380"/>
      <c r="I242" s="380"/>
      <c r="J242" s="380"/>
      <c r="K242" s="380"/>
      <c r="L242" s="380"/>
      <c r="M242" s="380"/>
      <c r="N242" s="380"/>
      <c r="O242" s="380"/>
      <c r="P242" s="380"/>
      <c r="Q242" s="380"/>
      <c r="R242" s="324">
        <f t="shared" si="1"/>
        <v>2</v>
      </c>
      <c r="S242" s="381">
        <f t="shared" si="2"/>
        <v>2.6388705633988651E-4</v>
      </c>
      <c r="T242" s="325">
        <f t="shared" si="3"/>
        <v>180</v>
      </c>
      <c r="U242" s="381">
        <f t="shared" si="4"/>
        <v>1.8545382611849263E-4</v>
      </c>
      <c r="V242" s="358"/>
      <c r="W242" s="382"/>
      <c r="X242" s="5"/>
      <c r="Y242" s="109"/>
    </row>
    <row r="243" spans="1:25" ht="15.6" x14ac:dyDescent="0.3">
      <c r="A243" s="271"/>
      <c r="B243" s="324" t="s">
        <v>162</v>
      </c>
      <c r="C243" s="380"/>
      <c r="D243" s="380"/>
      <c r="E243" s="380"/>
      <c r="F243" s="272"/>
      <c r="G243" s="381"/>
      <c r="H243" s="380"/>
      <c r="I243" s="380"/>
      <c r="J243" s="380"/>
      <c r="K243" s="380"/>
      <c r="L243" s="380"/>
      <c r="M243" s="380"/>
      <c r="N243" s="380"/>
      <c r="O243" s="380"/>
      <c r="P243" s="380"/>
      <c r="Q243" s="380"/>
      <c r="R243" s="324">
        <f t="shared" si="1"/>
        <v>6</v>
      </c>
      <c r="S243" s="381">
        <f t="shared" si="2"/>
        <v>7.9166116901965963E-4</v>
      </c>
      <c r="T243" s="325">
        <f t="shared" si="3"/>
        <v>966</v>
      </c>
      <c r="U243" s="381">
        <f t="shared" si="4"/>
        <v>9.9526886683591045E-4</v>
      </c>
      <c r="V243" s="358"/>
      <c r="W243" s="382"/>
      <c r="X243" s="5"/>
    </row>
    <row r="244" spans="1:25" ht="15.6" x14ac:dyDescent="0.3">
      <c r="A244" s="271"/>
      <c r="B244" s="324" t="s">
        <v>163</v>
      </c>
      <c r="C244" s="380"/>
      <c r="D244" s="380"/>
      <c r="E244" s="380"/>
      <c r="F244" s="272"/>
      <c r="G244" s="381"/>
      <c r="H244" s="380"/>
      <c r="I244" s="380"/>
      <c r="J244" s="380"/>
      <c r="K244" s="380"/>
      <c r="L244" s="380"/>
      <c r="M244" s="380"/>
      <c r="N244" s="380"/>
      <c r="O244" s="380"/>
      <c r="P244" s="380"/>
      <c r="Q244" s="380"/>
      <c r="R244" s="324">
        <f t="shared" si="1"/>
        <v>30</v>
      </c>
      <c r="S244" s="381">
        <f t="shared" si="2"/>
        <v>3.9583058450982983E-3</v>
      </c>
      <c r="T244" s="325">
        <f t="shared" si="3"/>
        <v>3807</v>
      </c>
      <c r="U244" s="381">
        <f t="shared" si="4"/>
        <v>3.9223484224061187E-3</v>
      </c>
      <c r="V244" s="358"/>
      <c r="W244" s="382"/>
      <c r="X244" s="5"/>
      <c r="Y244" s="109"/>
    </row>
    <row r="245" spans="1:25" ht="15.6" x14ac:dyDescent="0.3">
      <c r="A245" s="271"/>
      <c r="B245" s="324"/>
      <c r="C245" s="380"/>
      <c r="D245" s="380"/>
      <c r="E245" s="380"/>
      <c r="F245" s="272"/>
      <c r="G245" s="381"/>
      <c r="H245" s="380"/>
      <c r="I245" s="380"/>
      <c r="J245" s="380"/>
      <c r="K245" s="380"/>
      <c r="L245" s="380"/>
      <c r="M245" s="380"/>
      <c r="N245" s="380"/>
      <c r="O245" s="380"/>
      <c r="P245" s="380"/>
      <c r="Q245" s="380"/>
      <c r="R245" s="324"/>
      <c r="S245" s="381"/>
      <c r="T245" s="325"/>
      <c r="U245" s="381"/>
      <c r="V245" s="358"/>
      <c r="W245" s="382"/>
      <c r="X245" s="5"/>
    </row>
    <row r="246" spans="1:25" ht="15.6" x14ac:dyDescent="0.3">
      <c r="A246" s="271"/>
      <c r="B246" s="272" t="s">
        <v>117</v>
      </c>
      <c r="C246" s="272"/>
      <c r="D246" s="272"/>
      <c r="E246" s="272"/>
      <c r="F246" s="272"/>
      <c r="G246" s="272"/>
      <c r="H246" s="383"/>
      <c r="I246" s="383"/>
      <c r="J246" s="383"/>
      <c r="K246" s="383"/>
      <c r="L246" s="383"/>
      <c r="M246" s="383"/>
      <c r="N246" s="383"/>
      <c r="O246" s="383"/>
      <c r="P246" s="383"/>
      <c r="Q246" s="383"/>
      <c r="R246" s="324">
        <f>SUM(R237:R245)</f>
        <v>7579</v>
      </c>
      <c r="S246" s="381">
        <f>SUM(S237:S245)</f>
        <v>0.99999999999999978</v>
      </c>
      <c r="T246" s="325">
        <f>SUM(T237:T245)</f>
        <v>970592</v>
      </c>
      <c r="U246" s="381">
        <f>SUM(U237:U245)</f>
        <v>0.99999999999999989</v>
      </c>
      <c r="V246" s="272"/>
      <c r="W246" s="275"/>
      <c r="X246" s="5"/>
    </row>
    <row r="247" spans="1:25" ht="15.6" x14ac:dyDescent="0.3">
      <c r="A247" s="215"/>
      <c r="B247" s="347"/>
      <c r="C247" s="352"/>
      <c r="D247" s="352"/>
      <c r="E247" s="352"/>
      <c r="F247" s="353"/>
      <c r="G247" s="321"/>
      <c r="H247" s="321"/>
      <c r="I247" s="321"/>
      <c r="J247" s="321"/>
      <c r="K247" s="321"/>
      <c r="L247" s="321"/>
      <c r="M247" s="321"/>
      <c r="N247" s="321"/>
      <c r="O247" s="321"/>
      <c r="P247" s="321"/>
      <c r="Q247" s="321"/>
      <c r="R247" s="321"/>
      <c r="S247" s="321"/>
      <c r="T247" s="354"/>
      <c r="U247" s="321"/>
      <c r="V247" s="348"/>
      <c r="W247" s="355"/>
      <c r="X247" s="5"/>
    </row>
    <row r="248" spans="1:25" ht="15.6" x14ac:dyDescent="0.3">
      <c r="A248" s="239"/>
      <c r="B248" s="253" t="s">
        <v>165</v>
      </c>
      <c r="C248" s="254"/>
      <c r="D248" s="254"/>
      <c r="E248" s="254"/>
      <c r="F248" s="255"/>
      <c r="G248" s="254"/>
      <c r="H248" s="254"/>
      <c r="I248" s="254"/>
      <c r="J248" s="254"/>
      <c r="K248" s="254"/>
      <c r="L248" s="254"/>
      <c r="M248" s="254"/>
      <c r="N248" s="254"/>
      <c r="O248" s="254"/>
      <c r="P248" s="254"/>
      <c r="Q248" s="254"/>
      <c r="R248" s="255" t="s">
        <v>103</v>
      </c>
      <c r="S248" s="254" t="s">
        <v>104</v>
      </c>
      <c r="T248" s="255" t="s">
        <v>111</v>
      </c>
      <c r="U248" s="254" t="s">
        <v>104</v>
      </c>
      <c r="V248" s="240"/>
      <c r="W248" s="253"/>
      <c r="X248" s="5"/>
    </row>
    <row r="249" spans="1:25" ht="15.6" x14ac:dyDescent="0.3">
      <c r="A249" s="192"/>
      <c r="B249" s="231" t="s">
        <v>89</v>
      </c>
      <c r="C249" s="260"/>
      <c r="D249" s="260"/>
      <c r="E249" s="260"/>
      <c r="F249" s="229"/>
      <c r="G249" s="260"/>
      <c r="H249" s="260"/>
      <c r="I249" s="260"/>
      <c r="J249" s="260"/>
      <c r="K249" s="260"/>
      <c r="L249" s="260"/>
      <c r="M249" s="260"/>
      <c r="N249" s="260"/>
      <c r="O249" s="260"/>
      <c r="P249" s="260"/>
      <c r="Q249" s="260"/>
      <c r="R249" s="231">
        <v>7382</v>
      </c>
      <c r="S249" s="261">
        <f t="shared" ref="S249:S256" si="5">R249/$R$258</f>
        <v>0.99864718614718617</v>
      </c>
      <c r="T249" s="238">
        <v>941450</v>
      </c>
      <c r="U249" s="261">
        <f t="shared" ref="U249:U256" si="6">T249/$T$258</f>
        <v>0.99836689678575596</v>
      </c>
      <c r="V249" s="252"/>
      <c r="W249" s="230"/>
      <c r="X249" s="5"/>
    </row>
    <row r="250" spans="1:25" ht="15.6" x14ac:dyDescent="0.3">
      <c r="A250" s="271"/>
      <c r="B250" s="324" t="s">
        <v>90</v>
      </c>
      <c r="C250" s="380"/>
      <c r="D250" s="380"/>
      <c r="E250" s="380"/>
      <c r="F250" s="272"/>
      <c r="G250" s="381"/>
      <c r="H250" s="380"/>
      <c r="I250" s="380"/>
      <c r="J250" s="380"/>
      <c r="K250" s="380"/>
      <c r="L250" s="380"/>
      <c r="M250" s="380"/>
      <c r="N250" s="380"/>
      <c r="O250" s="380"/>
      <c r="P250" s="380"/>
      <c r="Q250" s="380"/>
      <c r="R250" s="324">
        <v>6</v>
      </c>
      <c r="S250" s="381">
        <f t="shared" si="5"/>
        <v>8.1168831168831174E-4</v>
      </c>
      <c r="T250" s="325">
        <v>776</v>
      </c>
      <c r="U250" s="381">
        <f t="shared" si="6"/>
        <v>8.2291434691778281E-4</v>
      </c>
      <c r="V250" s="358"/>
      <c r="W250" s="382"/>
      <c r="X250" s="5"/>
      <c r="Y250" s="109"/>
    </row>
    <row r="251" spans="1:25" ht="15.6" x14ac:dyDescent="0.3">
      <c r="A251" s="271"/>
      <c r="B251" s="324" t="s">
        <v>91</v>
      </c>
      <c r="C251" s="380"/>
      <c r="D251" s="380"/>
      <c r="E251" s="380"/>
      <c r="F251" s="272"/>
      <c r="G251" s="381"/>
      <c r="H251" s="380"/>
      <c r="I251" s="380"/>
      <c r="J251" s="380"/>
      <c r="K251" s="380"/>
      <c r="L251" s="380"/>
      <c r="M251" s="380"/>
      <c r="N251" s="380"/>
      <c r="O251" s="380"/>
      <c r="P251" s="380"/>
      <c r="Q251" s="380"/>
      <c r="R251" s="324">
        <v>0</v>
      </c>
      <c r="S251" s="381">
        <f t="shared" si="5"/>
        <v>0</v>
      </c>
      <c r="T251" s="325">
        <v>0</v>
      </c>
      <c r="U251" s="381">
        <f t="shared" si="6"/>
        <v>0</v>
      </c>
      <c r="V251" s="358"/>
      <c r="W251" s="382"/>
      <c r="X251" s="5"/>
    </row>
    <row r="252" spans="1:25" ht="15.6" x14ac:dyDescent="0.3">
      <c r="A252" s="271"/>
      <c r="B252" s="324" t="s">
        <v>159</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c r="Y252" s="109"/>
    </row>
    <row r="253" spans="1:25" ht="15.6" x14ac:dyDescent="0.3">
      <c r="A253" s="271"/>
      <c r="B253" s="324" t="s">
        <v>160</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row>
    <row r="254" spans="1:25" ht="15.6" x14ac:dyDescent="0.3">
      <c r="A254" s="271"/>
      <c r="B254" s="324" t="s">
        <v>161</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c r="Y254" s="109"/>
    </row>
    <row r="255" spans="1:25" ht="15.6" x14ac:dyDescent="0.3">
      <c r="A255" s="271"/>
      <c r="B255" s="324" t="s">
        <v>162</v>
      </c>
      <c r="C255" s="380"/>
      <c r="D255" s="380"/>
      <c r="E255" s="380"/>
      <c r="F255" s="272"/>
      <c r="G255" s="381"/>
      <c r="H255" s="380"/>
      <c r="I255" s="380"/>
      <c r="J255" s="380"/>
      <c r="K255" s="380"/>
      <c r="L255" s="380"/>
      <c r="M255" s="380"/>
      <c r="N255" s="380"/>
      <c r="O255" s="380"/>
      <c r="P255" s="380"/>
      <c r="Q255" s="380"/>
      <c r="R255" s="324">
        <v>2</v>
      </c>
      <c r="S255" s="381">
        <f t="shared" si="5"/>
        <v>2.7056277056277056E-4</v>
      </c>
      <c r="T255" s="325">
        <v>519</v>
      </c>
      <c r="U255" s="381">
        <f t="shared" si="6"/>
        <v>5.5037699233289857E-4</v>
      </c>
      <c r="V255" s="358"/>
      <c r="W255" s="382"/>
      <c r="X255" s="5"/>
    </row>
    <row r="256" spans="1:25" ht="15.6" x14ac:dyDescent="0.3">
      <c r="A256" s="271"/>
      <c r="B256" s="324" t="s">
        <v>163</v>
      </c>
      <c r="C256" s="380"/>
      <c r="D256" s="380"/>
      <c r="E256" s="380"/>
      <c r="F256" s="272"/>
      <c r="G256" s="381"/>
      <c r="H256" s="380"/>
      <c r="I256" s="380"/>
      <c r="J256" s="380"/>
      <c r="K256" s="380"/>
      <c r="L256" s="380"/>
      <c r="M256" s="380"/>
      <c r="N256" s="380"/>
      <c r="O256" s="380"/>
      <c r="P256" s="380"/>
      <c r="Q256" s="380"/>
      <c r="R256" s="324">
        <v>2</v>
      </c>
      <c r="S256" s="381">
        <f t="shared" si="5"/>
        <v>2.7056277056277056E-4</v>
      </c>
      <c r="T256" s="325">
        <v>245</v>
      </c>
      <c r="U256" s="381">
        <f t="shared" si="6"/>
        <v>2.5981187499337212E-4</v>
      </c>
      <c r="V256" s="358"/>
      <c r="W256" s="382"/>
      <c r="X256" s="5"/>
      <c r="Y256" s="109"/>
    </row>
    <row r="257" spans="1:24" ht="15.6" x14ac:dyDescent="0.3">
      <c r="A257" s="271"/>
      <c r="B257" s="324"/>
      <c r="C257" s="380"/>
      <c r="D257" s="380"/>
      <c r="E257" s="380"/>
      <c r="F257" s="272"/>
      <c r="G257" s="381"/>
      <c r="H257" s="380"/>
      <c r="I257" s="380"/>
      <c r="J257" s="380"/>
      <c r="K257" s="380"/>
      <c r="L257" s="380"/>
      <c r="M257" s="380"/>
      <c r="N257" s="380"/>
      <c r="O257" s="380"/>
      <c r="P257" s="380"/>
      <c r="Q257" s="380"/>
      <c r="R257" s="324"/>
      <c r="S257" s="381"/>
      <c r="T257" s="325"/>
      <c r="U257" s="381"/>
      <c r="V257" s="358"/>
      <c r="W257" s="382"/>
      <c r="X257" s="5"/>
    </row>
    <row r="258" spans="1:24" ht="15.6" x14ac:dyDescent="0.3">
      <c r="A258" s="271"/>
      <c r="B258" s="272" t="s">
        <v>117</v>
      </c>
      <c r="C258" s="272"/>
      <c r="D258" s="272"/>
      <c r="E258" s="272"/>
      <c r="F258" s="272"/>
      <c r="G258" s="272"/>
      <c r="H258" s="383"/>
      <c r="I258" s="383"/>
      <c r="J258" s="383"/>
      <c r="K258" s="383"/>
      <c r="L258" s="383"/>
      <c r="M258" s="383"/>
      <c r="N258" s="383"/>
      <c r="O258" s="383"/>
      <c r="P258" s="383"/>
      <c r="Q258" s="383"/>
      <c r="R258" s="324">
        <f>SUM(R249:R257)</f>
        <v>7392</v>
      </c>
      <c r="S258" s="381">
        <f>SUM(S249:S257)</f>
        <v>1</v>
      </c>
      <c r="T258" s="325">
        <f>SUM(T249:T257)</f>
        <v>942990</v>
      </c>
      <c r="U258" s="381">
        <f>SUM(U249:U257)</f>
        <v>1</v>
      </c>
      <c r="V258" s="272"/>
      <c r="W258" s="275"/>
      <c r="X258" s="5"/>
    </row>
    <row r="259" spans="1:24" ht="15.6" x14ac:dyDescent="0.3">
      <c r="A259" s="175"/>
      <c r="B259" s="321"/>
      <c r="C259" s="321"/>
      <c r="D259" s="321"/>
      <c r="E259" s="321"/>
      <c r="F259" s="321"/>
      <c r="G259" s="321"/>
      <c r="H259" s="377"/>
      <c r="I259" s="377"/>
      <c r="J259" s="377"/>
      <c r="K259" s="377"/>
      <c r="L259" s="377"/>
      <c r="M259" s="377"/>
      <c r="N259" s="377"/>
      <c r="O259" s="377"/>
      <c r="P259" s="377"/>
      <c r="Q259" s="377"/>
      <c r="R259" s="322"/>
      <c r="S259" s="378"/>
      <c r="T259" s="379"/>
      <c r="U259" s="378"/>
      <c r="V259" s="321"/>
      <c r="W259" s="321"/>
      <c r="X259" s="5"/>
    </row>
    <row r="260" spans="1:24" ht="15.6" x14ac:dyDescent="0.3">
      <c r="A260" s="256"/>
      <c r="B260" s="253" t="s">
        <v>279</v>
      </c>
      <c r="C260" s="254"/>
      <c r="D260" s="254"/>
      <c r="E260" s="254"/>
      <c r="F260" s="255"/>
      <c r="G260" s="254"/>
      <c r="H260" s="254"/>
      <c r="I260" s="254"/>
      <c r="J260" s="254"/>
      <c r="K260" s="254"/>
      <c r="L260" s="254"/>
      <c r="M260" s="254"/>
      <c r="N260" s="254"/>
      <c r="O260" s="254"/>
      <c r="P260" s="254"/>
      <c r="Q260" s="254"/>
      <c r="R260" s="255" t="s">
        <v>103</v>
      </c>
      <c r="S260" s="254" t="s">
        <v>104</v>
      </c>
      <c r="T260" s="255" t="s">
        <v>111</v>
      </c>
      <c r="U260" s="254" t="s">
        <v>104</v>
      </c>
      <c r="V260" s="257"/>
      <c r="W260" s="258"/>
      <c r="X260" s="5"/>
    </row>
    <row r="261" spans="1:24" ht="15.6" x14ac:dyDescent="0.3">
      <c r="A261" s="192"/>
      <c r="B261" s="231" t="s">
        <v>89</v>
      </c>
      <c r="C261" s="260"/>
      <c r="D261" s="260"/>
      <c r="E261" s="260"/>
      <c r="F261" s="229"/>
      <c r="G261" s="260"/>
      <c r="H261" s="260"/>
      <c r="I261" s="260"/>
      <c r="J261" s="260"/>
      <c r="K261" s="260"/>
      <c r="L261" s="260"/>
      <c r="M261" s="260"/>
      <c r="N261" s="260"/>
      <c r="O261" s="260"/>
      <c r="P261" s="260"/>
      <c r="Q261" s="260"/>
      <c r="R261" s="231">
        <v>137</v>
      </c>
      <c r="S261" s="261">
        <f>R261/$R$270</f>
        <v>0.73262032085561501</v>
      </c>
      <c r="T261" s="238">
        <v>22268</v>
      </c>
      <c r="U261" s="261">
        <f t="shared" ref="U261:U268" si="7">T261/$T$270</f>
        <v>0.80675313383088187</v>
      </c>
      <c r="V261" s="229"/>
      <c r="W261" s="193"/>
      <c r="X261" s="5"/>
    </row>
    <row r="262" spans="1:24" ht="15.6" x14ac:dyDescent="0.3">
      <c r="A262" s="271"/>
      <c r="B262" s="324" t="s">
        <v>90</v>
      </c>
      <c r="C262" s="380"/>
      <c r="D262" s="380"/>
      <c r="E262" s="380"/>
      <c r="F262" s="272"/>
      <c r="G262" s="381"/>
      <c r="H262" s="380"/>
      <c r="I262" s="380"/>
      <c r="J262" s="380"/>
      <c r="K262" s="380"/>
      <c r="L262" s="380"/>
      <c r="M262" s="380"/>
      <c r="N262" s="380"/>
      <c r="O262" s="380"/>
      <c r="P262" s="380"/>
      <c r="Q262" s="380"/>
      <c r="R262" s="324">
        <v>4</v>
      </c>
      <c r="S262" s="381">
        <f t="shared" ref="S262:S268" si="8">R262/$R$270</f>
        <v>2.1390374331550801E-2</v>
      </c>
      <c r="T262" s="325">
        <v>299</v>
      </c>
      <c r="U262" s="381">
        <f t="shared" si="7"/>
        <v>1.0832548366060431E-2</v>
      </c>
      <c r="V262" s="272"/>
      <c r="W262" s="304"/>
      <c r="X262" s="5"/>
    </row>
    <row r="263" spans="1:24" ht="15.6" x14ac:dyDescent="0.3">
      <c r="A263" s="271"/>
      <c r="B263" s="324" t="s">
        <v>91</v>
      </c>
      <c r="C263" s="380"/>
      <c r="D263" s="380"/>
      <c r="E263" s="380"/>
      <c r="F263" s="272"/>
      <c r="G263" s="381"/>
      <c r="H263" s="380"/>
      <c r="I263" s="380"/>
      <c r="J263" s="380"/>
      <c r="K263" s="380"/>
      <c r="L263" s="380"/>
      <c r="M263" s="380"/>
      <c r="N263" s="380"/>
      <c r="O263" s="380"/>
      <c r="P263" s="380"/>
      <c r="Q263" s="380"/>
      <c r="R263" s="324">
        <v>9</v>
      </c>
      <c r="S263" s="381">
        <f t="shared" si="8"/>
        <v>4.8128342245989303E-2</v>
      </c>
      <c r="T263" s="325">
        <v>655</v>
      </c>
      <c r="U263" s="381">
        <f t="shared" si="7"/>
        <v>2.3730164480834721E-2</v>
      </c>
      <c r="V263" s="272"/>
      <c r="W263" s="304"/>
      <c r="X263" s="5"/>
    </row>
    <row r="264" spans="1:24" ht="15.6" x14ac:dyDescent="0.3">
      <c r="A264" s="271"/>
      <c r="B264" s="324" t="s">
        <v>159</v>
      </c>
      <c r="C264" s="380"/>
      <c r="D264" s="380"/>
      <c r="E264" s="380"/>
      <c r="F264" s="272"/>
      <c r="G264" s="381"/>
      <c r="H264" s="380"/>
      <c r="I264" s="380"/>
      <c r="J264" s="380"/>
      <c r="K264" s="380"/>
      <c r="L264" s="380"/>
      <c r="M264" s="380"/>
      <c r="N264" s="380"/>
      <c r="O264" s="380"/>
      <c r="P264" s="380"/>
      <c r="Q264" s="380"/>
      <c r="R264" s="324">
        <v>1</v>
      </c>
      <c r="S264" s="381">
        <f t="shared" si="8"/>
        <v>5.3475935828877002E-3</v>
      </c>
      <c r="T264" s="325">
        <v>60</v>
      </c>
      <c r="U264" s="381">
        <f t="shared" si="7"/>
        <v>2.1737555249619592E-3</v>
      </c>
      <c r="V264" s="272"/>
      <c r="W264" s="304"/>
      <c r="X264" s="5"/>
    </row>
    <row r="265" spans="1:24" ht="15.6" x14ac:dyDescent="0.3">
      <c r="A265" s="271"/>
      <c r="B265" s="324" t="s">
        <v>160</v>
      </c>
      <c r="C265" s="380"/>
      <c r="D265" s="380"/>
      <c r="E265" s="380"/>
      <c r="F265" s="272"/>
      <c r="G265" s="381"/>
      <c r="H265" s="380"/>
      <c r="I265" s="380"/>
      <c r="J265" s="380"/>
      <c r="K265" s="380"/>
      <c r="L265" s="380"/>
      <c r="M265" s="380"/>
      <c r="N265" s="380"/>
      <c r="O265" s="380"/>
      <c r="P265" s="380"/>
      <c r="Q265" s="380"/>
      <c r="R265" s="324">
        <v>2</v>
      </c>
      <c r="S265" s="381">
        <f t="shared" si="8"/>
        <v>1.06951871657754E-2</v>
      </c>
      <c r="T265" s="325">
        <v>131</v>
      </c>
      <c r="U265" s="381">
        <f t="shared" si="7"/>
        <v>4.7460328961669443E-3</v>
      </c>
      <c r="V265" s="272"/>
      <c r="W265" s="304"/>
      <c r="X265" s="5"/>
    </row>
    <row r="266" spans="1:24" ht="15.6" x14ac:dyDescent="0.3">
      <c r="A266" s="271"/>
      <c r="B266" s="324" t="s">
        <v>161</v>
      </c>
      <c r="C266" s="380"/>
      <c r="D266" s="380"/>
      <c r="E266" s="380"/>
      <c r="F266" s="272"/>
      <c r="G266" s="381"/>
      <c r="H266" s="380"/>
      <c r="I266" s="380"/>
      <c r="J266" s="380"/>
      <c r="K266" s="380"/>
      <c r="L266" s="380"/>
      <c r="M266" s="380"/>
      <c r="N266" s="380"/>
      <c r="O266" s="380"/>
      <c r="P266" s="380"/>
      <c r="Q266" s="380"/>
      <c r="R266" s="324">
        <v>2</v>
      </c>
      <c r="S266" s="381">
        <f t="shared" si="8"/>
        <v>1.06951871657754E-2</v>
      </c>
      <c r="T266" s="325">
        <v>180</v>
      </c>
      <c r="U266" s="381">
        <f t="shared" si="7"/>
        <v>6.521266574885878E-3</v>
      </c>
      <c r="V266" s="272"/>
      <c r="W266" s="304"/>
      <c r="X266" s="5"/>
    </row>
    <row r="267" spans="1:24" ht="15.6" x14ac:dyDescent="0.3">
      <c r="A267" s="271"/>
      <c r="B267" s="324" t="s">
        <v>162</v>
      </c>
      <c r="C267" s="380"/>
      <c r="D267" s="380"/>
      <c r="E267" s="380"/>
      <c r="F267" s="272"/>
      <c r="G267" s="381"/>
      <c r="H267" s="380"/>
      <c r="I267" s="380"/>
      <c r="J267" s="380"/>
      <c r="K267" s="380"/>
      <c r="L267" s="380"/>
      <c r="M267" s="380"/>
      <c r="N267" s="380"/>
      <c r="O267" s="380"/>
      <c r="P267" s="380"/>
      <c r="Q267" s="380"/>
      <c r="R267" s="324">
        <v>4</v>
      </c>
      <c r="S267" s="381">
        <f t="shared" si="8"/>
        <v>2.1390374331550801E-2</v>
      </c>
      <c r="T267" s="325">
        <v>447</v>
      </c>
      <c r="U267" s="381">
        <f t="shared" si="7"/>
        <v>1.6194478660966596E-2</v>
      </c>
      <c r="V267" s="272"/>
      <c r="W267" s="304"/>
      <c r="X267" s="5"/>
    </row>
    <row r="268" spans="1:24" ht="15.6" x14ac:dyDescent="0.3">
      <c r="A268" s="271"/>
      <c r="B268" s="324" t="s">
        <v>163</v>
      </c>
      <c r="C268" s="380"/>
      <c r="D268" s="380"/>
      <c r="E268" s="380"/>
      <c r="F268" s="272"/>
      <c r="G268" s="381"/>
      <c r="H268" s="380"/>
      <c r="I268" s="380"/>
      <c r="J268" s="380"/>
      <c r="K268" s="380"/>
      <c r="L268" s="380"/>
      <c r="M268" s="380"/>
      <c r="N268" s="380"/>
      <c r="O268" s="380"/>
      <c r="P268" s="380"/>
      <c r="Q268" s="380"/>
      <c r="R268" s="324">
        <v>28</v>
      </c>
      <c r="S268" s="381">
        <f t="shared" si="8"/>
        <v>0.1497326203208556</v>
      </c>
      <c r="T268" s="325">
        <v>3562</v>
      </c>
      <c r="U268" s="381">
        <f t="shared" si="7"/>
        <v>0.12904861966524164</v>
      </c>
      <c r="V268" s="272"/>
      <c r="W268" s="304"/>
      <c r="X268" s="5"/>
    </row>
    <row r="269" spans="1:24" ht="15.6" x14ac:dyDescent="0.3">
      <c r="A269" s="271"/>
      <c r="B269" s="324"/>
      <c r="C269" s="380"/>
      <c r="D269" s="380"/>
      <c r="E269" s="380"/>
      <c r="F269" s="272"/>
      <c r="G269" s="381"/>
      <c r="H269" s="380"/>
      <c r="I269" s="380"/>
      <c r="J269" s="380"/>
      <c r="K269" s="380"/>
      <c r="L269" s="380"/>
      <c r="M269" s="380"/>
      <c r="N269" s="380"/>
      <c r="O269" s="380"/>
      <c r="P269" s="380"/>
      <c r="Q269" s="380"/>
      <c r="R269" s="324"/>
      <c r="S269" s="381"/>
      <c r="T269" s="325"/>
      <c r="U269" s="381"/>
      <c r="V269" s="272"/>
      <c r="W269" s="304"/>
      <c r="X269" s="5"/>
    </row>
    <row r="270" spans="1:24" ht="15.6" x14ac:dyDescent="0.3">
      <c r="A270" s="271"/>
      <c r="B270" s="272" t="s">
        <v>117</v>
      </c>
      <c r="C270" s="272"/>
      <c r="D270" s="272"/>
      <c r="E270" s="272"/>
      <c r="F270" s="272"/>
      <c r="G270" s="272"/>
      <c r="H270" s="383"/>
      <c r="I270" s="383"/>
      <c r="J270" s="383"/>
      <c r="K270" s="383"/>
      <c r="L270" s="383"/>
      <c r="M270" s="383"/>
      <c r="N270" s="383"/>
      <c r="O270" s="383"/>
      <c r="P270" s="383"/>
      <c r="Q270" s="383"/>
      <c r="R270" s="324">
        <f>SUM(R261:R269)</f>
        <v>187</v>
      </c>
      <c r="S270" s="381">
        <f>SUM(S261:S269)</f>
        <v>1</v>
      </c>
      <c r="T270" s="325">
        <f>SUM(T261:T269)</f>
        <v>27602</v>
      </c>
      <c r="U270" s="381">
        <f>SUM(U261:U269)</f>
        <v>0.99999999999999989</v>
      </c>
      <c r="V270" s="272"/>
      <c r="W270" s="304"/>
      <c r="X270" s="5"/>
    </row>
    <row r="271" spans="1:24" ht="15.6" x14ac:dyDescent="0.3">
      <c r="A271" s="175"/>
      <c r="B271" s="321"/>
      <c r="C271" s="321"/>
      <c r="D271" s="321"/>
      <c r="E271" s="321"/>
      <c r="F271" s="321"/>
      <c r="G271" s="321"/>
      <c r="H271" s="377"/>
      <c r="I271" s="377"/>
      <c r="J271" s="377"/>
      <c r="K271" s="377"/>
      <c r="L271" s="377"/>
      <c r="M271" s="377"/>
      <c r="N271" s="377"/>
      <c r="O271" s="377"/>
      <c r="P271" s="377"/>
      <c r="Q271" s="377"/>
      <c r="R271" s="322"/>
      <c r="S271" s="378"/>
      <c r="T271" s="379"/>
      <c r="U271" s="378"/>
      <c r="V271" s="321"/>
      <c r="W271" s="321"/>
      <c r="X271" s="5"/>
    </row>
    <row r="272" spans="1:24" ht="15.6" x14ac:dyDescent="0.3">
      <c r="A272" s="256"/>
      <c r="B272" s="253" t="s">
        <v>166</v>
      </c>
      <c r="C272" s="257"/>
      <c r="D272" s="257"/>
      <c r="E272" s="257"/>
      <c r="F272" s="257"/>
      <c r="G272" s="257"/>
      <c r="H272" s="259"/>
      <c r="I272" s="259"/>
      <c r="J272" s="259"/>
      <c r="K272" s="259"/>
      <c r="L272" s="259"/>
      <c r="M272" s="259"/>
      <c r="N272" s="259"/>
      <c r="O272" s="259"/>
      <c r="P272" s="259"/>
      <c r="Q272" s="259"/>
      <c r="R272" s="255" t="s">
        <v>103</v>
      </c>
      <c r="S272" s="254" t="s">
        <v>104</v>
      </c>
      <c r="T272" s="255" t="s">
        <v>111</v>
      </c>
      <c r="U272" s="254" t="s">
        <v>104</v>
      </c>
      <c r="V272" s="257"/>
      <c r="W272" s="258"/>
      <c r="X272" s="5"/>
    </row>
    <row r="273" spans="1:24" ht="15.6" x14ac:dyDescent="0.3">
      <c r="A273" s="192"/>
      <c r="B273" s="231" t="s">
        <v>89</v>
      </c>
      <c r="C273" s="229"/>
      <c r="D273" s="229"/>
      <c r="E273" s="229"/>
      <c r="F273" s="229"/>
      <c r="G273" s="229"/>
      <c r="H273" s="262"/>
      <c r="I273" s="262"/>
      <c r="J273" s="262"/>
      <c r="K273" s="262"/>
      <c r="L273" s="262"/>
      <c r="M273" s="262"/>
      <c r="N273" s="262"/>
      <c r="O273" s="262"/>
      <c r="P273" s="262"/>
      <c r="Q273" s="262"/>
      <c r="R273" s="231">
        <v>0</v>
      </c>
      <c r="S273" s="261">
        <v>0</v>
      </c>
      <c r="T273" s="238">
        <v>0</v>
      </c>
      <c r="U273" s="261">
        <v>0</v>
      </c>
      <c r="V273" s="229"/>
      <c r="W273" s="229"/>
      <c r="X273" s="5"/>
    </row>
    <row r="274" spans="1:24" ht="15.6" x14ac:dyDescent="0.3">
      <c r="A274" s="271"/>
      <c r="B274" s="324" t="s">
        <v>90</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91</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159</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160</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161</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162</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t="s">
        <v>163</v>
      </c>
      <c r="C280" s="272"/>
      <c r="D280" s="272"/>
      <c r="E280" s="272"/>
      <c r="F280" s="272"/>
      <c r="G280" s="272"/>
      <c r="H280" s="383"/>
      <c r="I280" s="383"/>
      <c r="J280" s="383"/>
      <c r="K280" s="383"/>
      <c r="L280" s="383"/>
      <c r="M280" s="383"/>
      <c r="N280" s="383"/>
      <c r="O280" s="383"/>
      <c r="P280" s="383"/>
      <c r="Q280" s="383"/>
      <c r="R280" s="324">
        <v>0</v>
      </c>
      <c r="S280" s="381">
        <v>0</v>
      </c>
      <c r="T280" s="325">
        <v>0</v>
      </c>
      <c r="U280" s="381">
        <v>0</v>
      </c>
      <c r="V280" s="272"/>
      <c r="W280" s="275"/>
      <c r="X280" s="5"/>
    </row>
    <row r="281" spans="1:24" ht="15.6" x14ac:dyDescent="0.3">
      <c r="A281" s="271"/>
      <c r="B281" s="324"/>
      <c r="C281" s="272"/>
      <c r="D281" s="272"/>
      <c r="E281" s="272"/>
      <c r="F281" s="272"/>
      <c r="G281" s="272"/>
      <c r="H281" s="383"/>
      <c r="I281" s="383"/>
      <c r="J281" s="383"/>
      <c r="K281" s="383"/>
      <c r="L281" s="383"/>
      <c r="M281" s="383"/>
      <c r="N281" s="383"/>
      <c r="O281" s="383"/>
      <c r="P281" s="383"/>
      <c r="Q281" s="383"/>
      <c r="R281" s="324"/>
      <c r="S281" s="381"/>
      <c r="T281" s="325"/>
      <c r="U281" s="381"/>
      <c r="V281" s="272"/>
      <c r="W281" s="275"/>
      <c r="X281" s="5"/>
    </row>
    <row r="282" spans="1:24" ht="15.6" x14ac:dyDescent="0.3">
      <c r="A282" s="271"/>
      <c r="B282" s="272" t="s">
        <v>117</v>
      </c>
      <c r="C282" s="272"/>
      <c r="D282" s="272"/>
      <c r="E282" s="272"/>
      <c r="F282" s="272"/>
      <c r="G282" s="272"/>
      <c r="H282" s="383"/>
      <c r="I282" s="383"/>
      <c r="J282" s="383"/>
      <c r="K282" s="383"/>
      <c r="L282" s="383"/>
      <c r="M282" s="383"/>
      <c r="N282" s="383"/>
      <c r="O282" s="383"/>
      <c r="P282" s="383"/>
      <c r="Q282" s="383"/>
      <c r="R282" s="324">
        <f>SUM(R273:R280)</f>
        <v>0</v>
      </c>
      <c r="S282" s="381">
        <f>SUM(S273:S280)</f>
        <v>0</v>
      </c>
      <c r="T282" s="325">
        <f>SUM(T273:T280)</f>
        <v>0</v>
      </c>
      <c r="U282" s="381">
        <f>SUM(U273:U280)</f>
        <v>0</v>
      </c>
      <c r="V282" s="272"/>
      <c r="W282" s="275"/>
      <c r="X282" s="5"/>
    </row>
    <row r="283" spans="1:24" ht="15.6" x14ac:dyDescent="0.3">
      <c r="A283" s="271"/>
      <c r="B283" s="272"/>
      <c r="C283" s="272"/>
      <c r="D283" s="272"/>
      <c r="E283" s="272"/>
      <c r="F283" s="272"/>
      <c r="G283" s="272"/>
      <c r="H283" s="383"/>
      <c r="I283" s="383"/>
      <c r="J283" s="383"/>
      <c r="K283" s="383"/>
      <c r="L283" s="383"/>
      <c r="M283" s="383"/>
      <c r="N283" s="383"/>
      <c r="O283" s="383"/>
      <c r="P283" s="383"/>
      <c r="Q283" s="383"/>
      <c r="R283" s="324"/>
      <c r="S283" s="381"/>
      <c r="T283" s="325"/>
      <c r="U283" s="381"/>
      <c r="V283" s="272"/>
      <c r="W283" s="275"/>
      <c r="X283" s="5"/>
    </row>
    <row r="284" spans="1:24" ht="15.6" x14ac:dyDescent="0.3">
      <c r="A284" s="271"/>
      <c r="B284" s="279" t="s">
        <v>167</v>
      </c>
      <c r="C284" s="272"/>
      <c r="D284" s="272"/>
      <c r="E284" s="272"/>
      <c r="F284" s="272"/>
      <c r="G284" s="272"/>
      <c r="H284" s="383"/>
      <c r="I284" s="383"/>
      <c r="J284" s="383"/>
      <c r="K284" s="383"/>
      <c r="L284" s="383"/>
      <c r="M284" s="383"/>
      <c r="N284" s="383"/>
      <c r="O284" s="383"/>
      <c r="P284" s="383"/>
      <c r="Q284" s="383"/>
      <c r="R284" s="390">
        <f>R282+R270+R258</f>
        <v>7579</v>
      </c>
      <c r="S284" s="381"/>
      <c r="T284" s="387">
        <f>+T282+T270+T258</f>
        <v>970592</v>
      </c>
      <c r="U284" s="381"/>
      <c r="V284" s="272"/>
      <c r="W284" s="275"/>
      <c r="X284" s="5"/>
    </row>
    <row r="285" spans="1:24" ht="15.6" x14ac:dyDescent="0.3">
      <c r="A285" s="175"/>
      <c r="B285" s="268"/>
      <c r="C285" s="268"/>
      <c r="D285" s="268"/>
      <c r="E285" s="268"/>
      <c r="F285" s="268"/>
      <c r="G285" s="268"/>
      <c r="H285" s="384"/>
      <c r="I285" s="384"/>
      <c r="J285" s="384"/>
      <c r="K285" s="384"/>
      <c r="L285" s="384"/>
      <c r="M285" s="384"/>
      <c r="N285" s="384"/>
      <c r="O285" s="384"/>
      <c r="P285" s="384"/>
      <c r="Q285" s="384"/>
      <c r="R285" s="384"/>
      <c r="S285" s="384"/>
      <c r="T285" s="385"/>
      <c r="U285" s="384"/>
      <c r="V285" s="268"/>
      <c r="W285" s="268"/>
      <c r="X285" s="5"/>
    </row>
    <row r="286" spans="1:24" ht="15.6" x14ac:dyDescent="0.3">
      <c r="A286" s="175"/>
      <c r="B286" s="220"/>
      <c r="C286" s="220"/>
      <c r="D286" s="220"/>
      <c r="E286" s="220"/>
      <c r="F286" s="220"/>
      <c r="G286" s="220"/>
      <c r="H286" s="263"/>
      <c r="I286" s="263"/>
      <c r="J286" s="263"/>
      <c r="K286" s="263"/>
      <c r="L286" s="263"/>
      <c r="M286" s="263"/>
      <c r="N286" s="263"/>
      <c r="O286" s="263"/>
      <c r="P286" s="263"/>
      <c r="Q286" s="263"/>
      <c r="R286" s="263"/>
      <c r="S286" s="263"/>
      <c r="T286" s="264"/>
      <c r="U286" s="263"/>
      <c r="V286" s="220"/>
      <c r="W286" s="220"/>
      <c r="X286" s="5"/>
    </row>
    <row r="287" spans="1:24" ht="15.6" x14ac:dyDescent="0.3">
      <c r="A287" s="216"/>
      <c r="B287" s="219" t="s">
        <v>92</v>
      </c>
      <c r="C287" s="220"/>
      <c r="D287" s="220"/>
      <c r="E287" s="220"/>
      <c r="F287" s="224" t="s">
        <v>98</v>
      </c>
      <c r="G287" s="220"/>
      <c r="H287" s="219" t="s">
        <v>100</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335</v>
      </c>
      <c r="C288" s="220"/>
      <c r="D288" s="220"/>
      <c r="E288" s="220"/>
      <c r="F288" s="265" t="s">
        <v>151</v>
      </c>
      <c r="G288" s="220"/>
      <c r="H288" s="219" t="s">
        <v>155</v>
      </c>
      <c r="I288" s="219"/>
      <c r="J288" s="219"/>
      <c r="K288" s="227"/>
      <c r="L288" s="227"/>
      <c r="M288" s="227"/>
      <c r="N288" s="227"/>
      <c r="O288" s="227"/>
      <c r="P288" s="227"/>
      <c r="Q288" s="227"/>
      <c r="R288" s="227"/>
      <c r="S288" s="227"/>
      <c r="T288" s="227"/>
      <c r="U288" s="227"/>
      <c r="V288" s="227"/>
      <c r="W288" s="227"/>
      <c r="X288" s="5"/>
    </row>
    <row r="289" spans="1:24" ht="15.6" x14ac:dyDescent="0.3">
      <c r="A289" s="216"/>
      <c r="B289" s="219" t="s">
        <v>336</v>
      </c>
      <c r="C289" s="219"/>
      <c r="D289" s="219"/>
      <c r="E289" s="219"/>
      <c r="F289" s="265" t="s">
        <v>282</v>
      </c>
      <c r="G289" s="219"/>
      <c r="H289" s="219" t="s">
        <v>283</v>
      </c>
      <c r="I289" s="227"/>
      <c r="J289" s="219"/>
      <c r="K289" s="227"/>
      <c r="L289" s="227"/>
      <c r="M289" s="227"/>
      <c r="N289" s="227"/>
      <c r="O289" s="227"/>
      <c r="P289" s="227"/>
      <c r="Q289" s="227"/>
      <c r="R289" s="227"/>
      <c r="S289" s="227"/>
      <c r="T289" s="227"/>
      <c r="U289" s="227"/>
      <c r="V289" s="227"/>
      <c r="W289" s="227"/>
      <c r="X289" s="5"/>
    </row>
    <row r="290" spans="1:24" ht="15.6" x14ac:dyDescent="0.3">
      <c r="A290" s="216"/>
      <c r="B290" s="219" t="s">
        <v>337</v>
      </c>
      <c r="C290" s="219"/>
      <c r="D290" s="219"/>
      <c r="E290" s="219"/>
      <c r="F290" s="265" t="s">
        <v>150</v>
      </c>
      <c r="G290" s="219"/>
      <c r="H290" s="219" t="s">
        <v>156</v>
      </c>
      <c r="I290" s="219"/>
      <c r="J290" s="219"/>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5.6" x14ac:dyDescent="0.3">
      <c r="A292" s="216"/>
      <c r="B292" s="219"/>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ht="18" thickBot="1" x14ac:dyDescent="0.35">
      <c r="A293" s="216"/>
      <c r="B293" s="267" t="str">
        <f>B198</f>
        <v>PM13 INVESTOR REPORT QUARTER ENDING SEPTEMBER 2013</v>
      </c>
      <c r="C293" s="219"/>
      <c r="D293" s="219"/>
      <c r="E293" s="219"/>
      <c r="F293" s="219"/>
      <c r="G293" s="266"/>
      <c r="H293" s="227"/>
      <c r="I293" s="227"/>
      <c r="J293" s="227"/>
      <c r="K293" s="227"/>
      <c r="L293" s="227"/>
      <c r="M293" s="227"/>
      <c r="N293" s="227"/>
      <c r="O293" s="227"/>
      <c r="P293" s="227"/>
      <c r="Q293" s="227"/>
      <c r="R293" s="227"/>
      <c r="S293" s="227"/>
      <c r="T293" s="227"/>
      <c r="U293" s="227"/>
      <c r="V293" s="227"/>
      <c r="W293" s="227"/>
      <c r="X293" s="5"/>
    </row>
    <row r="294" spans="1:24" x14ac:dyDescent="0.25">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row>
  </sheetData>
  <hyperlinks>
    <hyperlink ref="P234" r:id="rId1" xr:uid="{00000000-0004-0000-1B00-000000000000}"/>
    <hyperlink ref="I9" r:id="rId2" xr:uid="{00000000-0004-0000-1B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2" man="1"/>
    <brk id="138" max="22" man="1"/>
    <brk id="198" max="22" man="1"/>
  </row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89CB31"/>
  </sheetPr>
  <dimension ref="A1:Z294"/>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0.64139999999999997</v>
      </c>
      <c r="T16" s="224" t="s">
        <v>143</v>
      </c>
      <c r="U16" s="223">
        <v>0.35859999999999997</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41661</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395"/>
      <c r="B22" s="396"/>
      <c r="C22" s="397"/>
      <c r="D22" s="397" t="s">
        <v>180</v>
      </c>
      <c r="E22" s="397"/>
      <c r="F22" s="397" t="s">
        <v>181</v>
      </c>
      <c r="G22" s="397"/>
      <c r="H22" s="397" t="s">
        <v>182</v>
      </c>
      <c r="I22" s="397"/>
      <c r="J22" s="397" t="s">
        <v>223</v>
      </c>
      <c r="K22" s="397"/>
      <c r="L22" s="397" t="s">
        <v>183</v>
      </c>
      <c r="M22" s="397"/>
      <c r="N22" s="397" t="s">
        <v>184</v>
      </c>
      <c r="O22" s="397"/>
      <c r="P22" s="397" t="s">
        <v>224</v>
      </c>
      <c r="Q22" s="397"/>
      <c r="R22" s="397" t="s">
        <v>185</v>
      </c>
      <c r="S22" s="398"/>
      <c r="T22" s="398"/>
      <c r="U22" s="399"/>
      <c r="V22" s="399"/>
      <c r="W22" s="396"/>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323</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321</v>
      </c>
      <c r="E27" s="389"/>
      <c r="F27" s="389" t="s">
        <v>168</v>
      </c>
      <c r="G27" s="389"/>
      <c r="H27" s="389" t="s">
        <v>168</v>
      </c>
      <c r="I27" s="389"/>
      <c r="J27" s="389" t="s">
        <v>168</v>
      </c>
      <c r="K27" s="389"/>
      <c r="L27" s="389" t="s">
        <v>324</v>
      </c>
      <c r="M27" s="389"/>
      <c r="N27" s="389" t="s">
        <v>324</v>
      </c>
      <c r="O27" s="389"/>
      <c r="P27" s="389" t="s">
        <v>325</v>
      </c>
      <c r="Q27" s="389"/>
      <c r="R27" s="389" t="s">
        <v>325</v>
      </c>
      <c r="S27" s="273"/>
      <c r="T27" s="280"/>
      <c r="U27" s="274"/>
      <c r="V27" s="274"/>
      <c r="W27" s="275"/>
      <c r="X27" s="5"/>
    </row>
    <row r="28" spans="1:24" ht="15.6" x14ac:dyDescent="0.3">
      <c r="A28" s="271"/>
      <c r="B28" s="279" t="s">
        <v>195</v>
      </c>
      <c r="C28" s="273"/>
      <c r="D28" s="389" t="s">
        <v>319</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898388.39999999991</v>
      </c>
      <c r="E32" s="282"/>
      <c r="F32" s="283">
        <f>F31*F38</f>
        <v>74865.899999999994</v>
      </c>
      <c r="G32" s="283"/>
      <c r="H32" s="288">
        <f>H31*H38</f>
        <v>188662.068</v>
      </c>
      <c r="I32" s="288"/>
      <c r="J32" s="287">
        <f>J31*J38</f>
        <v>209623.96</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889499.1</v>
      </c>
      <c r="E33" s="286"/>
      <c r="F33" s="289">
        <f>F37*F31</f>
        <v>74125.125</v>
      </c>
      <c r="G33" s="289"/>
      <c r="H33" s="292">
        <f>H31*H37</f>
        <v>186795.315</v>
      </c>
      <c r="I33" s="292"/>
      <c r="J33" s="291">
        <f>J37*J31</f>
        <v>207549.78999999998</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477865.96632319997</v>
      </c>
      <c r="E35" s="282"/>
      <c r="F35" s="283">
        <f>F34*F38</f>
        <v>74865.899999999994</v>
      </c>
      <c r="G35" s="283"/>
      <c r="H35" s="283">
        <f>H34*H38</f>
        <v>126618.6004248</v>
      </c>
      <c r="I35" s="283"/>
      <c r="J35" s="283">
        <f>J34*J38</f>
        <v>111501.97895199999</v>
      </c>
      <c r="K35" s="283"/>
      <c r="L35" s="283">
        <f>L34*L38</f>
        <v>56000</v>
      </c>
      <c r="M35" s="283"/>
      <c r="N35" s="283">
        <f>N34*N38</f>
        <v>56376</v>
      </c>
      <c r="O35" s="283"/>
      <c r="P35" s="283">
        <f>P34*P38</f>
        <v>13000</v>
      </c>
      <c r="Q35" s="283"/>
      <c r="R35" s="283">
        <f>R34*R38</f>
        <v>54363</v>
      </c>
      <c r="S35" s="283"/>
      <c r="T35" s="283"/>
      <c r="U35" s="284"/>
      <c r="V35" s="283">
        <f>SUM(C35:R35)+1</f>
        <v>970592.44569999992</v>
      </c>
      <c r="W35" s="285"/>
      <c r="X35" s="5"/>
    </row>
    <row r="36" spans="1:24" ht="15.6" x14ac:dyDescent="0.3">
      <c r="A36" s="276"/>
      <c r="B36" s="279" t="s">
        <v>304</v>
      </c>
      <c r="C36" s="286"/>
      <c r="D36" s="289">
        <f>D34*D37</f>
        <v>473137.61727679998</v>
      </c>
      <c r="E36" s="286"/>
      <c r="F36" s="289">
        <f>F34*F37</f>
        <v>74125.125</v>
      </c>
      <c r="G36" s="289"/>
      <c r="H36" s="289">
        <f>H34*H37</f>
        <v>125365.74840900001</v>
      </c>
      <c r="I36" s="289"/>
      <c r="J36" s="289">
        <f>J34*J37</f>
        <v>110398.69829799999</v>
      </c>
      <c r="K36" s="289"/>
      <c r="L36" s="289">
        <v>56000</v>
      </c>
      <c r="M36" s="289"/>
      <c r="N36" s="289">
        <v>56376</v>
      </c>
      <c r="O36" s="289"/>
      <c r="P36" s="289">
        <v>13000</v>
      </c>
      <c r="Q36" s="289"/>
      <c r="R36" s="289">
        <v>54363</v>
      </c>
      <c r="S36" s="314"/>
      <c r="T36" s="314"/>
      <c r="U36" s="284"/>
      <c r="V36" s="289">
        <f>SUM(C36:R36)+1</f>
        <v>962767.18898380001</v>
      </c>
      <c r="W36" s="285"/>
      <c r="X36" s="5"/>
    </row>
    <row r="37" spans="1:24" ht="15.6" x14ac:dyDescent="0.3">
      <c r="A37" s="271"/>
      <c r="B37" s="297" t="s">
        <v>133</v>
      </c>
      <c r="C37" s="298"/>
      <c r="D37" s="299">
        <v>0.59299939999999995</v>
      </c>
      <c r="E37" s="300"/>
      <c r="F37" s="299">
        <v>0.593001</v>
      </c>
      <c r="G37" s="301"/>
      <c r="H37" s="299">
        <v>0.593001</v>
      </c>
      <c r="I37" s="301"/>
      <c r="J37" s="299">
        <v>0.59299939999999995</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0.59892559999999995</v>
      </c>
      <c r="E38" s="300"/>
      <c r="F38" s="299">
        <v>0.59892719999999999</v>
      </c>
      <c r="G38" s="301"/>
      <c r="H38" s="299">
        <v>0.59892719999999999</v>
      </c>
      <c r="I38" s="301"/>
      <c r="J38" s="299">
        <v>0.59892559999999995</v>
      </c>
      <c r="K38" s="301"/>
      <c r="L38" s="299">
        <v>1</v>
      </c>
      <c r="M38" s="299"/>
      <c r="N38" s="299">
        <v>1</v>
      </c>
      <c r="O38" s="299"/>
      <c r="P38" s="299">
        <v>1</v>
      </c>
      <c r="Q38" s="299"/>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4.0660000000000002E-3</v>
      </c>
      <c r="E40" s="272"/>
      <c r="F40" s="308">
        <v>7.5950000000000002E-3</v>
      </c>
      <c r="G40" s="307"/>
      <c r="H40" s="308">
        <v>4.6699999999999997E-3</v>
      </c>
      <c r="I40" s="308"/>
      <c r="J40" s="308">
        <v>4.2360000000000002E-3</v>
      </c>
      <c r="K40" s="307"/>
      <c r="L40" s="308">
        <v>9.195E-3</v>
      </c>
      <c r="M40" s="307"/>
      <c r="N40" s="308">
        <v>6.0699999999999999E-3</v>
      </c>
      <c r="O40" s="307"/>
      <c r="P40" s="308">
        <v>1.3195E-2</v>
      </c>
      <c r="Q40" s="307"/>
      <c r="R40" s="308">
        <v>1.0070000000000001E-2</v>
      </c>
      <c r="S40" s="307"/>
      <c r="T40" s="308"/>
      <c r="U40" s="274"/>
      <c r="V40" s="280"/>
      <c r="W40" s="275"/>
      <c r="X40" s="5"/>
    </row>
    <row r="41" spans="1:24" ht="15.6" x14ac:dyDescent="0.3">
      <c r="A41" s="271"/>
      <c r="B41" s="272" t="s">
        <v>13</v>
      </c>
      <c r="C41" s="272"/>
      <c r="D41" s="308">
        <v>4.2230000000000002E-3</v>
      </c>
      <c r="E41" s="272"/>
      <c r="F41" s="308">
        <v>7.4938000000000001E-3</v>
      </c>
      <c r="G41" s="307"/>
      <c r="H41" s="308">
        <v>4.5799999999999999E-3</v>
      </c>
      <c r="I41" s="308"/>
      <c r="J41" s="308">
        <v>4.4809999999999997E-3</v>
      </c>
      <c r="K41" s="307"/>
      <c r="L41" s="308">
        <v>9.0938000000000008E-3</v>
      </c>
      <c r="M41" s="307"/>
      <c r="N41" s="308">
        <v>5.9800000000000001E-3</v>
      </c>
      <c r="O41" s="307"/>
      <c r="P41" s="308">
        <v>1.3093799999999999E-2</v>
      </c>
      <c r="Q41" s="307"/>
      <c r="R41" s="308">
        <v>9.9799999999999993E-3</v>
      </c>
      <c r="S41" s="307"/>
      <c r="T41" s="308"/>
      <c r="U41" s="274"/>
      <c r="V41" s="307" t="s">
        <v>196</v>
      </c>
      <c r="W41" s="275"/>
      <c r="X41" s="5"/>
    </row>
    <row r="42" spans="1:24" ht="15.6" x14ac:dyDescent="0.3">
      <c r="A42" s="271"/>
      <c r="B42" s="272" t="s">
        <v>300</v>
      </c>
      <c r="C42" s="272"/>
      <c r="D42" s="280" t="s">
        <v>327</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v>7.9570000000000005E-3</v>
      </c>
      <c r="E43" s="308"/>
      <c r="F43" s="308">
        <f>+F40</f>
        <v>7.5950000000000002E-3</v>
      </c>
      <c r="G43" s="308"/>
      <c r="H43" s="308">
        <v>7.8390000000000005E-3</v>
      </c>
      <c r="I43" s="308"/>
      <c r="J43" s="308">
        <v>7.6750000000000004E-3</v>
      </c>
      <c r="K43" s="308"/>
      <c r="L43" s="308">
        <f>+L40</f>
        <v>9.195E-3</v>
      </c>
      <c r="M43" s="308"/>
      <c r="N43" s="308">
        <v>9.3749999999999997E-3</v>
      </c>
      <c r="O43" s="308"/>
      <c r="P43" s="308">
        <f>+P40</f>
        <v>1.3195E-2</v>
      </c>
      <c r="Q43" s="307"/>
      <c r="R43" s="308">
        <v>1.3594999999999999E-2</v>
      </c>
      <c r="S43" s="280"/>
      <c r="T43" s="280"/>
      <c r="U43" s="274"/>
      <c r="V43" s="307">
        <f>SUMPRODUCT(D43:R43,D35:R35)/V35</f>
        <v>8.4210132923769054E-3</v>
      </c>
      <c r="W43" s="275"/>
      <c r="X43" s="5"/>
    </row>
    <row r="44" spans="1:24" ht="15.6" x14ac:dyDescent="0.3">
      <c r="A44" s="271"/>
      <c r="B44" s="272" t="s">
        <v>302</v>
      </c>
      <c r="C44" s="309"/>
      <c r="D44" s="308">
        <v>7.8557999999999996E-3</v>
      </c>
      <c r="E44" s="308"/>
      <c r="F44" s="308">
        <f>+F41</f>
        <v>7.4938000000000001E-3</v>
      </c>
      <c r="G44" s="308"/>
      <c r="H44" s="308">
        <v>7.7378000000000004E-3</v>
      </c>
      <c r="I44" s="308"/>
      <c r="J44" s="308">
        <v>7.5738000000000003E-3</v>
      </c>
      <c r="K44" s="308"/>
      <c r="L44" s="308">
        <f>+L41</f>
        <v>9.0938000000000008E-3</v>
      </c>
      <c r="M44" s="308"/>
      <c r="N44" s="308">
        <v>9.2738000000000004E-3</v>
      </c>
      <c r="O44" s="308"/>
      <c r="P44" s="308">
        <f>+P41</f>
        <v>1.3093799999999999E-2</v>
      </c>
      <c r="Q44" s="307"/>
      <c r="R44" s="308">
        <v>1.34938E-2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328</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0.22954375343372477</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41654</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92</v>
      </c>
      <c r="S57" s="318"/>
      <c r="T57" s="319">
        <v>41470</v>
      </c>
      <c r="U57" s="320"/>
      <c r="V57" s="319">
        <v>41561</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92</v>
      </c>
      <c r="S58" s="272"/>
      <c r="T58" s="319">
        <v>41562</v>
      </c>
      <c r="U58" s="320"/>
      <c r="V58" s="319">
        <v>41653</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41641</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339</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970592</v>
      </c>
      <c r="O68" s="324"/>
      <c r="P68" s="324">
        <f>7825+191+267</f>
        <v>8283</v>
      </c>
      <c r="Q68" s="324"/>
      <c r="R68" s="324">
        <f>191+267</f>
        <v>458</v>
      </c>
      <c r="S68" s="324"/>
      <c r="T68" s="324">
        <v>0</v>
      </c>
      <c r="U68" s="324"/>
      <c r="V68" s="325">
        <f>+N68-P68+R68-T68</f>
        <v>962767</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970592</v>
      </c>
      <c r="O71" s="324"/>
      <c r="P71" s="324">
        <f>SUM(P68:P70)</f>
        <v>8283</v>
      </c>
      <c r="Q71" s="324"/>
      <c r="R71" s="324">
        <f>SUM(R68:R70)</f>
        <v>458</v>
      </c>
      <c r="S71" s="324"/>
      <c r="T71" s="324">
        <f>SUM(T68:T70)</f>
        <v>0</v>
      </c>
      <c r="U71" s="324"/>
      <c r="V71" s="324">
        <f>SUM(V68:V70)</f>
        <v>962767</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970592</v>
      </c>
      <c r="O84" s="328"/>
      <c r="P84" s="328"/>
      <c r="Q84" s="328"/>
      <c r="R84" s="328"/>
      <c r="S84" s="328"/>
      <c r="T84" s="328"/>
      <c r="U84" s="328"/>
      <c r="V84" s="328">
        <f>SUM(V71:V83)</f>
        <v>962767</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+T199</f>
        <v>41639</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8283-326</f>
        <v>7957</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4000+2896+12-507-872</f>
        <v>5529</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58+25</f>
        <v>83</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35</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480</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7957</v>
      </c>
      <c r="U96" s="272"/>
      <c r="V96" s="324">
        <f>SUM(V88:V95)</f>
        <v>6127</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-43</v>
      </c>
      <c r="U97" s="272"/>
      <c r="V97" s="324">
        <v>43</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-354</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7914</v>
      </c>
      <c r="U100" s="272"/>
      <c r="V100" s="324">
        <f>V96+V98+V97+V99</f>
        <v>5816</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331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343" t="s">
        <v>332</v>
      </c>
      <c r="C104" s="272"/>
      <c r="D104" s="272"/>
      <c r="E104" s="272"/>
      <c r="F104" s="272"/>
      <c r="G104" s="272"/>
      <c r="H104" s="272"/>
      <c r="I104" s="272"/>
      <c r="J104" s="272"/>
      <c r="K104" s="272"/>
      <c r="L104" s="272"/>
      <c r="M104" s="272"/>
      <c r="N104" s="272"/>
      <c r="O104" s="272"/>
      <c r="P104" s="272"/>
      <c r="Q104" s="272"/>
      <c r="R104" s="272"/>
      <c r="S104" s="272"/>
      <c r="T104" s="272"/>
      <c r="U104" s="272"/>
      <c r="V104" s="325">
        <f>-371-279-12</f>
        <v>-662</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0</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-1567+143</f>
        <v>-1424</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-143</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-2</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-133</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-130</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-186</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-43</v>
      </c>
      <c r="W112" s="275"/>
      <c r="X112" s="5"/>
      <c r="Y112" s="109"/>
    </row>
    <row r="113" spans="1:25" ht="15.6" x14ac:dyDescent="0.3">
      <c r="A113" s="392">
        <v>7</v>
      </c>
      <c r="B113" s="343" t="s">
        <v>333</v>
      </c>
      <c r="C113" s="343"/>
      <c r="D113" s="343"/>
      <c r="E113" s="343"/>
      <c r="F113" s="343"/>
      <c r="G113" s="272"/>
      <c r="H113" s="272"/>
      <c r="I113" s="272"/>
      <c r="J113" s="272"/>
      <c r="K113" s="272"/>
      <c r="L113" s="272"/>
      <c r="M113" s="272"/>
      <c r="N113" s="272"/>
      <c r="O113" s="272"/>
      <c r="P113" s="272"/>
      <c r="Q113" s="272"/>
      <c r="R113" s="272"/>
      <c r="S113" s="272"/>
      <c r="T113" s="272"/>
      <c r="U113" s="272"/>
      <c r="V113" s="325">
        <v>0</v>
      </c>
      <c r="W113" s="275"/>
      <c r="X113" s="5"/>
      <c r="Y113" s="109"/>
    </row>
    <row r="114" spans="1:25" ht="15.6" x14ac:dyDescent="0.3">
      <c r="A114" s="338">
        <f t="shared" ref="A114:A121" si="0">+A113+1</f>
        <v>8</v>
      </c>
      <c r="B114" s="272" t="s">
        <v>35</v>
      </c>
      <c r="C114" s="272"/>
      <c r="D114" s="272"/>
      <c r="E114" s="272"/>
      <c r="F114" s="272"/>
      <c r="G114" s="272"/>
      <c r="H114" s="272"/>
      <c r="I114" s="272"/>
      <c r="J114" s="272"/>
      <c r="K114" s="272"/>
      <c r="L114" s="272"/>
      <c r="M114" s="272"/>
      <c r="N114" s="272"/>
      <c r="O114" s="272"/>
      <c r="P114" s="272"/>
      <c r="Q114" s="272"/>
      <c r="R114" s="272"/>
      <c r="S114" s="272"/>
      <c r="T114" s="272"/>
      <c r="U114" s="272"/>
      <c r="V114" s="325">
        <v>-10</v>
      </c>
      <c r="W114" s="275"/>
      <c r="X114" s="5"/>
    </row>
    <row r="115" spans="1:25" ht="15.6" x14ac:dyDescent="0.3">
      <c r="A115" s="338">
        <f t="shared" si="0"/>
        <v>9</v>
      </c>
      <c r="B115" s="272" t="s">
        <v>45</v>
      </c>
      <c r="C115" s="272"/>
      <c r="D115" s="272"/>
      <c r="E115" s="272"/>
      <c r="F115" s="272"/>
      <c r="G115" s="272"/>
      <c r="H115" s="272"/>
      <c r="I115" s="272"/>
      <c r="J115" s="272"/>
      <c r="K115" s="272"/>
      <c r="L115" s="272"/>
      <c r="M115" s="272"/>
      <c r="N115" s="272"/>
      <c r="O115" s="272"/>
      <c r="P115" s="272"/>
      <c r="Q115" s="272"/>
      <c r="R115" s="272"/>
      <c r="S115" s="272"/>
      <c r="T115" s="324">
        <f>-V115</f>
        <v>326</v>
      </c>
      <c r="U115" s="272"/>
      <c r="V115" s="325">
        <v>-326</v>
      </c>
      <c r="W115" s="275"/>
      <c r="X115" s="5"/>
    </row>
    <row r="116" spans="1:25" ht="15.6" x14ac:dyDescent="0.3">
      <c r="A116" s="338">
        <f t="shared" si="0"/>
        <v>10</v>
      </c>
      <c r="B116" s="272" t="s">
        <v>128</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5" ht="15.6" x14ac:dyDescent="0.3">
      <c r="A117" s="338">
        <f t="shared" si="0"/>
        <v>11</v>
      </c>
      <c r="B117" s="272" t="s">
        <v>271</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5" ht="15.6" x14ac:dyDescent="0.3">
      <c r="A118" s="338">
        <f t="shared" si="0"/>
        <v>12</v>
      </c>
      <c r="B118" s="272" t="s">
        <v>36</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5" ht="15.6" x14ac:dyDescent="0.3">
      <c r="A119" s="338">
        <f t="shared" si="0"/>
        <v>13</v>
      </c>
      <c r="B119" s="272" t="s">
        <v>270</v>
      </c>
      <c r="C119" s="272"/>
      <c r="D119" s="272"/>
      <c r="E119" s="272"/>
      <c r="F119" s="272"/>
      <c r="G119" s="272"/>
      <c r="H119" s="272"/>
      <c r="I119" s="272"/>
      <c r="J119" s="272"/>
      <c r="K119" s="272"/>
      <c r="L119" s="272"/>
      <c r="M119" s="272"/>
      <c r="N119" s="272"/>
      <c r="O119" s="272"/>
      <c r="P119" s="272"/>
      <c r="Q119" s="272"/>
      <c r="R119" s="272"/>
      <c r="S119" s="272"/>
      <c r="T119" s="272"/>
      <c r="U119" s="272"/>
      <c r="V119" s="325">
        <v>0</v>
      </c>
      <c r="W119" s="275"/>
      <c r="X119" s="5"/>
    </row>
    <row r="120" spans="1:25" ht="15.6" x14ac:dyDescent="0.3">
      <c r="A120" s="338">
        <f t="shared" si="0"/>
        <v>14</v>
      </c>
      <c r="B120" s="272" t="s">
        <v>152</v>
      </c>
      <c r="C120" s="272"/>
      <c r="D120" s="272"/>
      <c r="E120" s="272"/>
      <c r="F120" s="272"/>
      <c r="G120" s="272"/>
      <c r="H120" s="272"/>
      <c r="I120" s="272"/>
      <c r="J120" s="272"/>
      <c r="K120" s="272"/>
      <c r="L120" s="272"/>
      <c r="M120" s="272"/>
      <c r="N120" s="272"/>
      <c r="O120" s="272"/>
      <c r="P120" s="272"/>
      <c r="Q120" s="272"/>
      <c r="R120" s="272"/>
      <c r="S120" s="272"/>
      <c r="T120" s="272"/>
      <c r="U120" s="272"/>
      <c r="V120" s="325">
        <v>-371</v>
      </c>
      <c r="W120" s="275"/>
      <c r="X120" s="5"/>
    </row>
    <row r="121" spans="1:25" ht="15.6" x14ac:dyDescent="0.3">
      <c r="A121" s="338">
        <f t="shared" si="0"/>
        <v>15</v>
      </c>
      <c r="B121" s="272" t="s">
        <v>129</v>
      </c>
      <c r="C121" s="272"/>
      <c r="D121" s="272"/>
      <c r="E121" s="272"/>
      <c r="F121" s="272"/>
      <c r="G121" s="272"/>
      <c r="H121" s="272"/>
      <c r="I121" s="272"/>
      <c r="J121" s="272"/>
      <c r="K121" s="272"/>
      <c r="L121" s="272"/>
      <c r="M121" s="272"/>
      <c r="N121" s="272"/>
      <c r="O121" s="272"/>
      <c r="P121" s="272"/>
      <c r="Q121" s="272"/>
      <c r="R121" s="272"/>
      <c r="S121" s="272"/>
      <c r="T121" s="272"/>
      <c r="U121" s="272"/>
      <c r="V121" s="325">
        <f>-V100-SUM(V102:V120)</f>
        <v>-2384</v>
      </c>
      <c r="W121" s="275"/>
      <c r="X121" s="5"/>
    </row>
    <row r="122" spans="1:25" ht="15.6" x14ac:dyDescent="0.3">
      <c r="A122" s="271"/>
      <c r="B122" s="335" t="s">
        <v>37</v>
      </c>
      <c r="C122" s="298"/>
      <c r="D122" s="298"/>
      <c r="E122" s="298"/>
      <c r="F122" s="298"/>
      <c r="G122" s="298"/>
      <c r="H122" s="298"/>
      <c r="I122" s="298"/>
      <c r="J122" s="298"/>
      <c r="K122" s="298"/>
      <c r="L122" s="298"/>
      <c r="M122" s="298"/>
      <c r="N122" s="298"/>
      <c r="O122" s="298"/>
      <c r="P122" s="298"/>
      <c r="Q122" s="298"/>
      <c r="R122" s="298"/>
      <c r="S122" s="298"/>
      <c r="T122" s="298"/>
      <c r="U122" s="298"/>
      <c r="V122" s="339"/>
      <c r="W122" s="304"/>
      <c r="X122" s="5"/>
    </row>
    <row r="123" spans="1:25" ht="15.6" x14ac:dyDescent="0.3">
      <c r="A123" s="338"/>
      <c r="B123" s="272" t="s">
        <v>176</v>
      </c>
      <c r="C123" s="272"/>
      <c r="D123" s="272"/>
      <c r="E123" s="272"/>
      <c r="F123" s="272"/>
      <c r="G123" s="272"/>
      <c r="H123" s="272"/>
      <c r="I123" s="272"/>
      <c r="J123" s="272"/>
      <c r="K123" s="272"/>
      <c r="L123" s="272"/>
      <c r="M123" s="272"/>
      <c r="N123" s="272"/>
      <c r="O123" s="272"/>
      <c r="P123" s="272"/>
      <c r="Q123" s="272"/>
      <c r="R123" s="272"/>
      <c r="S123" s="272"/>
      <c r="T123" s="324">
        <f>-T183</f>
        <v>0</v>
      </c>
      <c r="U123" s="324"/>
      <c r="V123" s="325"/>
      <c r="W123" s="275"/>
      <c r="X123" s="5"/>
    </row>
    <row r="124" spans="1:25" ht="15.6" x14ac:dyDescent="0.3">
      <c r="A124" s="338"/>
      <c r="B124" s="272" t="s">
        <v>177</v>
      </c>
      <c r="C124" s="272"/>
      <c r="D124" s="272"/>
      <c r="E124" s="272"/>
      <c r="F124" s="272"/>
      <c r="G124" s="272"/>
      <c r="H124" s="272"/>
      <c r="I124" s="272"/>
      <c r="J124" s="272"/>
      <c r="K124" s="272"/>
      <c r="L124" s="272"/>
      <c r="M124" s="272"/>
      <c r="N124" s="272"/>
      <c r="O124" s="272"/>
      <c r="P124" s="272"/>
      <c r="Q124" s="272"/>
      <c r="R124" s="272"/>
      <c r="S124" s="272"/>
      <c r="T124" s="324">
        <v>-160</v>
      </c>
      <c r="U124" s="324"/>
      <c r="V124" s="325"/>
      <c r="W124" s="275"/>
      <c r="X124" s="5"/>
    </row>
    <row r="125" spans="1:25" ht="15.6" x14ac:dyDescent="0.3">
      <c r="A125" s="338"/>
      <c r="B125" s="272" t="s">
        <v>38</v>
      </c>
      <c r="C125" s="272"/>
      <c r="D125" s="272"/>
      <c r="E125" s="272"/>
      <c r="F125" s="272"/>
      <c r="G125" s="272"/>
      <c r="H125" s="272"/>
      <c r="I125" s="272"/>
      <c r="J125" s="272"/>
      <c r="K125" s="272"/>
      <c r="L125" s="272"/>
      <c r="M125" s="272"/>
      <c r="N125" s="272"/>
      <c r="O125" s="272"/>
      <c r="P125" s="272"/>
      <c r="Q125" s="272"/>
      <c r="R125" s="272"/>
      <c r="S125" s="272"/>
      <c r="T125" s="324">
        <f>-S183</f>
        <v>-255</v>
      </c>
      <c r="U125" s="324"/>
      <c r="V125" s="325"/>
      <c r="W125" s="275"/>
      <c r="X125" s="5"/>
    </row>
    <row r="126" spans="1:25" ht="15.6" x14ac:dyDescent="0.3">
      <c r="A126" s="338"/>
      <c r="B126" s="272" t="s">
        <v>200</v>
      </c>
      <c r="C126" s="272"/>
      <c r="D126" s="272"/>
      <c r="E126" s="272"/>
      <c r="F126" s="272"/>
      <c r="G126" s="272"/>
      <c r="H126" s="272"/>
      <c r="I126" s="272"/>
      <c r="J126" s="272"/>
      <c r="K126" s="272"/>
      <c r="L126" s="272"/>
      <c r="M126" s="272"/>
      <c r="N126" s="272"/>
      <c r="O126" s="272"/>
      <c r="P126" s="272"/>
      <c r="Q126" s="272"/>
      <c r="R126" s="272"/>
      <c r="S126" s="272"/>
      <c r="T126" s="324">
        <v>-4728</v>
      </c>
      <c r="U126" s="324"/>
      <c r="V126" s="325"/>
      <c r="W126" s="275"/>
      <c r="X126" s="5"/>
    </row>
    <row r="127" spans="1:25" ht="15.6" x14ac:dyDescent="0.3">
      <c r="A127" s="338"/>
      <c r="B127" s="272" t="s">
        <v>198</v>
      </c>
      <c r="C127" s="272"/>
      <c r="D127" s="272"/>
      <c r="E127" s="272"/>
      <c r="F127" s="272"/>
      <c r="G127" s="272"/>
      <c r="H127" s="272"/>
      <c r="I127" s="272"/>
      <c r="J127" s="272"/>
      <c r="K127" s="272"/>
      <c r="L127" s="272"/>
      <c r="M127" s="272"/>
      <c r="N127" s="272"/>
      <c r="O127" s="272"/>
      <c r="P127" s="272"/>
      <c r="Q127" s="272"/>
      <c r="R127" s="272"/>
      <c r="S127" s="272"/>
      <c r="T127" s="324">
        <v>-741</v>
      </c>
      <c r="U127" s="324"/>
      <c r="V127" s="325"/>
      <c r="W127" s="275"/>
      <c r="X127" s="5"/>
    </row>
    <row r="128" spans="1:25" ht="15.6" x14ac:dyDescent="0.3">
      <c r="A128" s="338"/>
      <c r="B128" s="272" t="s">
        <v>197</v>
      </c>
      <c r="C128" s="272"/>
      <c r="D128" s="272"/>
      <c r="E128" s="272"/>
      <c r="F128" s="272"/>
      <c r="G128" s="272"/>
      <c r="H128" s="272"/>
      <c r="I128" s="272"/>
      <c r="J128" s="272"/>
      <c r="K128" s="272"/>
      <c r="L128" s="272"/>
      <c r="M128" s="272"/>
      <c r="N128" s="272"/>
      <c r="O128" s="272"/>
      <c r="P128" s="272"/>
      <c r="Q128" s="272"/>
      <c r="R128" s="272"/>
      <c r="S128" s="272"/>
      <c r="T128" s="324">
        <v>-1253</v>
      </c>
      <c r="U128" s="324"/>
      <c r="V128" s="325"/>
      <c r="W128" s="275"/>
      <c r="X128" s="5"/>
    </row>
    <row r="129" spans="1:24" ht="15.6" x14ac:dyDescent="0.3">
      <c r="A129" s="338"/>
      <c r="B129" s="272" t="s">
        <v>232</v>
      </c>
      <c r="C129" s="272"/>
      <c r="D129" s="272"/>
      <c r="E129" s="272"/>
      <c r="F129" s="272"/>
      <c r="G129" s="272"/>
      <c r="H129" s="272"/>
      <c r="I129" s="272"/>
      <c r="J129" s="272"/>
      <c r="K129" s="272"/>
      <c r="L129" s="272"/>
      <c r="M129" s="272"/>
      <c r="N129" s="272"/>
      <c r="O129" s="272"/>
      <c r="P129" s="272"/>
      <c r="Q129" s="272"/>
      <c r="R129" s="272"/>
      <c r="S129" s="272"/>
      <c r="T129" s="324">
        <v>-1103</v>
      </c>
      <c r="U129" s="324"/>
      <c r="V129" s="325"/>
      <c r="W129" s="275"/>
      <c r="X129" s="5"/>
    </row>
    <row r="130" spans="1:24" ht="15.6" x14ac:dyDescent="0.3">
      <c r="A130" s="338"/>
      <c r="B130" s="272" t="s">
        <v>192</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191</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233</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190</v>
      </c>
      <c r="C133" s="272"/>
      <c r="D133" s="272"/>
      <c r="E133" s="272"/>
      <c r="F133" s="272"/>
      <c r="G133" s="272"/>
      <c r="H133" s="272"/>
      <c r="I133" s="272"/>
      <c r="J133" s="272"/>
      <c r="K133" s="272"/>
      <c r="L133" s="272"/>
      <c r="M133" s="272"/>
      <c r="N133" s="272"/>
      <c r="O133" s="272"/>
      <c r="P133" s="272"/>
      <c r="Q133" s="272"/>
      <c r="R133" s="272"/>
      <c r="S133" s="272"/>
      <c r="T133" s="324">
        <v>0</v>
      </c>
      <c r="U133" s="324"/>
      <c r="V133" s="325"/>
      <c r="W133" s="275"/>
      <c r="X133" s="5"/>
    </row>
    <row r="134" spans="1:24" ht="15.6" x14ac:dyDescent="0.3">
      <c r="A134" s="338"/>
      <c r="B134" s="272" t="s">
        <v>39</v>
      </c>
      <c r="C134" s="272"/>
      <c r="D134" s="272"/>
      <c r="E134" s="272"/>
      <c r="F134" s="272"/>
      <c r="G134" s="272"/>
      <c r="H134" s="272"/>
      <c r="I134" s="272"/>
      <c r="J134" s="272"/>
      <c r="K134" s="272"/>
      <c r="L134" s="272"/>
      <c r="M134" s="272"/>
      <c r="N134" s="272"/>
      <c r="O134" s="272"/>
      <c r="P134" s="272"/>
      <c r="Q134" s="272"/>
      <c r="R134" s="272"/>
      <c r="S134" s="272"/>
      <c r="T134" s="324">
        <f>SUM(T123:T133)</f>
        <v>-8240</v>
      </c>
      <c r="U134" s="324"/>
      <c r="V134" s="324">
        <f>SUM(V101:V131)</f>
        <v>-5816</v>
      </c>
      <c r="W134" s="275"/>
      <c r="X134" s="5"/>
    </row>
    <row r="135" spans="1:24" ht="15.6" x14ac:dyDescent="0.3">
      <c r="A135" s="338"/>
      <c r="B135" s="272" t="s">
        <v>40</v>
      </c>
      <c r="C135" s="272"/>
      <c r="D135" s="272"/>
      <c r="E135" s="272"/>
      <c r="F135" s="272"/>
      <c r="G135" s="272"/>
      <c r="H135" s="272"/>
      <c r="I135" s="272"/>
      <c r="J135" s="272"/>
      <c r="K135" s="272"/>
      <c r="L135" s="272"/>
      <c r="M135" s="272"/>
      <c r="N135" s="272"/>
      <c r="O135" s="272"/>
      <c r="P135" s="272"/>
      <c r="Q135" s="272"/>
      <c r="R135" s="272"/>
      <c r="S135" s="272"/>
      <c r="T135" s="324">
        <f>T100+T134+T115</f>
        <v>0</v>
      </c>
      <c r="U135" s="324"/>
      <c r="V135" s="324">
        <f>V100+V134</f>
        <v>0</v>
      </c>
      <c r="W135" s="275"/>
      <c r="X135" s="5"/>
    </row>
    <row r="136" spans="1:24" ht="15.6" x14ac:dyDescent="0.3">
      <c r="A136" s="242"/>
      <c r="B136" s="268"/>
      <c r="C136" s="268"/>
      <c r="D136" s="268"/>
      <c r="E136" s="268"/>
      <c r="F136" s="268"/>
      <c r="G136" s="268"/>
      <c r="H136" s="268"/>
      <c r="I136" s="268"/>
      <c r="J136" s="268"/>
      <c r="K136" s="268"/>
      <c r="L136" s="268"/>
      <c r="M136" s="268"/>
      <c r="N136" s="268"/>
      <c r="O136" s="268"/>
      <c r="P136" s="268"/>
      <c r="Q136" s="268"/>
      <c r="R136" s="268"/>
      <c r="S136" s="268"/>
      <c r="T136" s="332"/>
      <c r="U136" s="332"/>
      <c r="V136" s="332"/>
      <c r="W136" s="268"/>
      <c r="X136" s="5"/>
    </row>
    <row r="137" spans="1:24" ht="15.6" x14ac:dyDescent="0.3">
      <c r="A137" s="242"/>
      <c r="B137" s="220"/>
      <c r="C137" s="220"/>
      <c r="D137" s="220"/>
      <c r="E137" s="220"/>
      <c r="F137" s="220"/>
      <c r="G137" s="220"/>
      <c r="H137" s="220"/>
      <c r="I137" s="220"/>
      <c r="J137" s="220"/>
      <c r="K137" s="220"/>
      <c r="L137" s="220"/>
      <c r="M137" s="220"/>
      <c r="N137" s="220"/>
      <c r="O137" s="220"/>
      <c r="P137" s="220"/>
      <c r="Q137" s="220"/>
      <c r="R137" s="220"/>
      <c r="S137" s="220"/>
      <c r="T137" s="220"/>
      <c r="U137" s="220"/>
      <c r="V137" s="243"/>
      <c r="W137" s="220"/>
      <c r="X137" s="5"/>
    </row>
    <row r="138" spans="1:24" ht="18" thickBot="1" x14ac:dyDescent="0.35">
      <c r="A138" s="244"/>
      <c r="B138" s="234" t="str">
        <f>B64</f>
        <v>PM13 INVESTOR REPORT QUARTER ENDING DECEMBER 2013</v>
      </c>
      <c r="C138" s="235"/>
      <c r="D138" s="235"/>
      <c r="E138" s="235"/>
      <c r="F138" s="235"/>
      <c r="G138" s="235"/>
      <c r="H138" s="235"/>
      <c r="I138" s="235"/>
      <c r="J138" s="235"/>
      <c r="K138" s="235"/>
      <c r="L138" s="235"/>
      <c r="M138" s="235"/>
      <c r="N138" s="235"/>
      <c r="O138" s="235"/>
      <c r="P138" s="235"/>
      <c r="Q138" s="235"/>
      <c r="R138" s="235"/>
      <c r="S138" s="235"/>
      <c r="T138" s="235"/>
      <c r="U138" s="235"/>
      <c r="V138" s="245"/>
      <c r="W138" s="237"/>
      <c r="X138" s="5"/>
    </row>
    <row r="139" spans="1:24" ht="15.6" x14ac:dyDescent="0.3">
      <c r="A139" s="246"/>
      <c r="B139" s="388" t="s">
        <v>41</v>
      </c>
      <c r="C139" s="247"/>
      <c r="D139" s="247"/>
      <c r="E139" s="247"/>
      <c r="F139" s="247"/>
      <c r="G139" s="247"/>
      <c r="H139" s="247"/>
      <c r="I139" s="247"/>
      <c r="J139" s="247"/>
      <c r="K139" s="247"/>
      <c r="L139" s="247"/>
      <c r="M139" s="247"/>
      <c r="N139" s="247"/>
      <c r="O139" s="247"/>
      <c r="P139" s="247"/>
      <c r="Q139" s="247"/>
      <c r="R139" s="247"/>
      <c r="S139" s="247"/>
      <c r="T139" s="247"/>
      <c r="U139" s="247"/>
      <c r="V139" s="248"/>
      <c r="W139" s="247"/>
      <c r="X139" s="5"/>
    </row>
    <row r="140" spans="1:24" ht="15.6" x14ac:dyDescent="0.3">
      <c r="A140" s="175"/>
      <c r="B140" s="186"/>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175"/>
      <c r="B141" s="203" t="s">
        <v>42</v>
      </c>
      <c r="C141" s="177"/>
      <c r="D141" s="177"/>
      <c r="E141" s="177"/>
      <c r="F141" s="177"/>
      <c r="G141" s="177"/>
      <c r="H141" s="177"/>
      <c r="I141" s="177"/>
      <c r="J141" s="177"/>
      <c r="K141" s="177"/>
      <c r="L141" s="177"/>
      <c r="M141" s="177"/>
      <c r="N141" s="177"/>
      <c r="O141" s="177"/>
      <c r="P141" s="177"/>
      <c r="Q141" s="177"/>
      <c r="R141" s="177"/>
      <c r="S141" s="177"/>
      <c r="T141" s="177"/>
      <c r="U141" s="177"/>
      <c r="V141" s="196"/>
      <c r="W141" s="177"/>
      <c r="X141" s="5"/>
    </row>
    <row r="142" spans="1:24" ht="15.6" x14ac:dyDescent="0.3">
      <c r="A142" s="271"/>
      <c r="B142" s="272" t="s">
        <v>43</v>
      </c>
      <c r="C142" s="272"/>
      <c r="D142" s="272"/>
      <c r="E142" s="272"/>
      <c r="F142" s="272"/>
      <c r="G142" s="272"/>
      <c r="H142" s="272"/>
      <c r="I142" s="272"/>
      <c r="J142" s="272"/>
      <c r="K142" s="272"/>
      <c r="L142" s="272"/>
      <c r="M142" s="272"/>
      <c r="N142" s="272"/>
      <c r="O142" s="272"/>
      <c r="P142" s="272"/>
      <c r="Q142" s="272"/>
      <c r="R142" s="272"/>
      <c r="S142" s="272"/>
      <c r="T142" s="272"/>
      <c r="U142" s="272"/>
      <c r="V142" s="325">
        <f>+V34*0.019</f>
        <v>28503.61</v>
      </c>
      <c r="W142" s="275"/>
      <c r="X142" s="5"/>
    </row>
    <row r="143" spans="1:24" ht="15.6" x14ac:dyDescent="0.3">
      <c r="A143" s="271"/>
      <c r="B143" s="272" t="s">
        <v>44</v>
      </c>
      <c r="C143" s="272"/>
      <c r="D143" s="272"/>
      <c r="E143" s="272"/>
      <c r="F143" s="272"/>
      <c r="G143" s="272"/>
      <c r="H143" s="272"/>
      <c r="I143" s="272"/>
      <c r="J143" s="272"/>
      <c r="K143" s="272"/>
      <c r="L143" s="272"/>
      <c r="M143" s="272"/>
      <c r="N143" s="272"/>
      <c r="O143" s="272"/>
      <c r="P143" s="272"/>
      <c r="Q143" s="272"/>
      <c r="R143" s="272"/>
      <c r="S143" s="272"/>
      <c r="T143" s="272"/>
      <c r="U143" s="272"/>
      <c r="V143" s="325">
        <v>28504</v>
      </c>
      <c r="W143" s="275"/>
      <c r="X143" s="5"/>
    </row>
    <row r="144" spans="1:24" ht="15.6" x14ac:dyDescent="0.3">
      <c r="A144" s="271"/>
      <c r="B144" s="272" t="s">
        <v>139</v>
      </c>
      <c r="C144" s="272"/>
      <c r="D144" s="272"/>
      <c r="E144" s="272"/>
      <c r="F144" s="272"/>
      <c r="G144" s="272"/>
      <c r="H144" s="272"/>
      <c r="I144" s="272"/>
      <c r="J144" s="272"/>
      <c r="K144" s="272"/>
      <c r="L144" s="272"/>
      <c r="M144" s="272"/>
      <c r="N144" s="272"/>
      <c r="O144" s="272"/>
      <c r="P144" s="272"/>
      <c r="Q144" s="272"/>
      <c r="R144" s="272"/>
      <c r="S144" s="272"/>
      <c r="T144" s="272"/>
      <c r="U144" s="272"/>
      <c r="V144" s="325"/>
      <c r="W144" s="275"/>
      <c r="X144" s="5"/>
    </row>
    <row r="145" spans="1:25" ht="15.6" x14ac:dyDescent="0.3">
      <c r="A145" s="271"/>
      <c r="B145" s="272" t="s">
        <v>126</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127</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178</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45</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132</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row>
    <row r="150" spans="1:25" ht="15.6" x14ac:dyDescent="0.3">
      <c r="A150" s="271"/>
      <c r="B150" s="272" t="s">
        <v>267</v>
      </c>
      <c r="C150" s="272"/>
      <c r="D150" s="272"/>
      <c r="E150" s="272"/>
      <c r="F150" s="272"/>
      <c r="G150" s="272"/>
      <c r="H150" s="272"/>
      <c r="I150" s="272"/>
      <c r="J150" s="272"/>
      <c r="K150" s="272"/>
      <c r="L150" s="272"/>
      <c r="M150" s="272"/>
      <c r="N150" s="272"/>
      <c r="O150" s="272"/>
      <c r="P150" s="272"/>
      <c r="Q150" s="272"/>
      <c r="R150" s="272"/>
      <c r="S150" s="272"/>
      <c r="T150" s="272"/>
      <c r="U150" s="272"/>
      <c r="V150" s="325">
        <v>0</v>
      </c>
      <c r="W150" s="275"/>
      <c r="X150" s="5"/>
      <c r="Y150" s="109"/>
    </row>
    <row r="151" spans="1:25" ht="15.6" x14ac:dyDescent="0.3">
      <c r="A151" s="271"/>
      <c r="B151" s="272" t="s">
        <v>46</v>
      </c>
      <c r="C151" s="272"/>
      <c r="D151" s="272"/>
      <c r="E151" s="272"/>
      <c r="F151" s="272"/>
      <c r="G151" s="272"/>
      <c r="H151" s="272"/>
      <c r="I151" s="272"/>
      <c r="J151" s="272"/>
      <c r="K151" s="272"/>
      <c r="L151" s="272"/>
      <c r="M151" s="272"/>
      <c r="N151" s="272"/>
      <c r="O151" s="272"/>
      <c r="P151" s="272"/>
      <c r="Q151" s="272"/>
      <c r="R151" s="272"/>
      <c r="S151" s="272"/>
      <c r="T151" s="272"/>
      <c r="U151" s="272"/>
      <c r="V151" s="325">
        <f>SUM(V143:V150)</f>
        <v>28504</v>
      </c>
      <c r="W151" s="275"/>
      <c r="X151" s="5"/>
    </row>
    <row r="152" spans="1:25" ht="15.6" x14ac:dyDescent="0.3">
      <c r="A152" s="271"/>
      <c r="B152" s="298"/>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335" t="s">
        <v>268</v>
      </c>
      <c r="C153" s="298"/>
      <c r="D153" s="298"/>
      <c r="E153" s="298"/>
      <c r="F153" s="298"/>
      <c r="G153" s="298"/>
      <c r="H153" s="298"/>
      <c r="I153" s="298"/>
      <c r="J153" s="298"/>
      <c r="K153" s="298"/>
      <c r="L153" s="298"/>
      <c r="M153" s="298"/>
      <c r="N153" s="298"/>
      <c r="O153" s="298"/>
      <c r="P153" s="298"/>
      <c r="Q153" s="298"/>
      <c r="R153" s="298"/>
      <c r="S153" s="298"/>
      <c r="T153" s="298"/>
      <c r="U153" s="298"/>
      <c r="V153" s="337"/>
      <c r="W153" s="304"/>
      <c r="X153" s="5"/>
    </row>
    <row r="154" spans="1:25" ht="15.6" x14ac:dyDescent="0.3">
      <c r="A154" s="271"/>
      <c r="B154" s="272" t="s">
        <v>158</v>
      </c>
      <c r="C154" s="272"/>
      <c r="D154" s="272"/>
      <c r="E154" s="272"/>
      <c r="F154" s="272"/>
      <c r="G154" s="272"/>
      <c r="H154" s="272"/>
      <c r="I154" s="272"/>
      <c r="J154" s="272"/>
      <c r="K154" s="272"/>
      <c r="L154" s="272"/>
      <c r="M154" s="272"/>
      <c r="N154" s="272"/>
      <c r="O154" s="272"/>
      <c r="P154" s="272"/>
      <c r="Q154" s="272"/>
      <c r="R154" s="272"/>
      <c r="S154" s="272"/>
      <c r="T154" s="272"/>
      <c r="U154" s="272"/>
      <c r="V154" s="325">
        <v>15000</v>
      </c>
      <c r="W154" s="275"/>
      <c r="X154" s="5"/>
    </row>
    <row r="155" spans="1:25" ht="15.6" x14ac:dyDescent="0.3">
      <c r="A155" s="271"/>
      <c r="B155" s="272" t="s">
        <v>175</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72" t="s">
        <v>272</v>
      </c>
      <c r="C156" s="272"/>
      <c r="D156" s="272"/>
      <c r="E156" s="272"/>
      <c r="F156" s="272"/>
      <c r="G156" s="272"/>
      <c r="H156" s="272"/>
      <c r="I156" s="272"/>
      <c r="J156" s="272"/>
      <c r="K156" s="272"/>
      <c r="L156" s="272"/>
      <c r="M156" s="272"/>
      <c r="N156" s="272"/>
      <c r="O156" s="272"/>
      <c r="P156" s="272"/>
      <c r="Q156" s="272"/>
      <c r="R156" s="272"/>
      <c r="S156" s="272"/>
      <c r="T156" s="272"/>
      <c r="U156" s="272"/>
      <c r="V156" s="325">
        <v>6000</v>
      </c>
      <c r="W156" s="275"/>
      <c r="X156" s="5"/>
    </row>
    <row r="157" spans="1:25" ht="15.6" x14ac:dyDescent="0.3">
      <c r="A157" s="271"/>
      <c r="B157" s="298"/>
      <c r="C157" s="298"/>
      <c r="D157" s="298"/>
      <c r="E157" s="298"/>
      <c r="F157" s="298"/>
      <c r="G157" s="298"/>
      <c r="H157" s="298"/>
      <c r="I157" s="298"/>
      <c r="J157" s="298"/>
      <c r="K157" s="298"/>
      <c r="L157" s="298"/>
      <c r="M157" s="298"/>
      <c r="N157" s="298"/>
      <c r="O157" s="298"/>
      <c r="P157" s="298"/>
      <c r="Q157" s="298"/>
      <c r="R157" s="298"/>
      <c r="S157" s="298"/>
      <c r="T157" s="298"/>
      <c r="U157" s="298"/>
      <c r="V157" s="337"/>
      <c r="W157" s="304"/>
      <c r="X157" s="5"/>
    </row>
    <row r="158" spans="1:25" ht="15.6" x14ac:dyDescent="0.3">
      <c r="A158" s="175"/>
      <c r="B158" s="321"/>
      <c r="C158" s="321"/>
      <c r="D158" s="321"/>
      <c r="E158" s="321"/>
      <c r="F158" s="321"/>
      <c r="G158" s="321"/>
      <c r="H158" s="321"/>
      <c r="I158" s="321"/>
      <c r="J158" s="321"/>
      <c r="K158" s="321"/>
      <c r="L158" s="321"/>
      <c r="M158" s="321"/>
      <c r="N158" s="321"/>
      <c r="O158" s="321"/>
      <c r="P158" s="321"/>
      <c r="Q158" s="321"/>
      <c r="R158" s="321"/>
      <c r="S158" s="321"/>
      <c r="T158" s="321"/>
      <c r="U158" s="321"/>
      <c r="V158" s="340"/>
      <c r="W158" s="321"/>
      <c r="X158" s="5"/>
    </row>
    <row r="159" spans="1:25" ht="15.6" x14ac:dyDescent="0.3">
      <c r="A159" s="175"/>
      <c r="B159" s="203" t="s">
        <v>24</v>
      </c>
      <c r="C159" s="177"/>
      <c r="D159" s="177"/>
      <c r="E159" s="177"/>
      <c r="F159" s="177"/>
      <c r="G159" s="177"/>
      <c r="H159" s="177"/>
      <c r="I159" s="177"/>
      <c r="J159" s="177"/>
      <c r="K159" s="177"/>
      <c r="L159" s="177"/>
      <c r="M159" s="177"/>
      <c r="N159" s="177"/>
      <c r="O159" s="177"/>
      <c r="P159" s="177"/>
      <c r="Q159" s="177"/>
      <c r="R159" s="177"/>
      <c r="S159" s="177"/>
      <c r="T159" s="177"/>
      <c r="U159" s="177"/>
      <c r="V159" s="196"/>
      <c r="W159" s="177"/>
      <c r="X159" s="5"/>
    </row>
    <row r="160" spans="1:25" ht="15.6" x14ac:dyDescent="0.3">
      <c r="A160" s="271"/>
      <c r="B160" s="272" t="s">
        <v>47</v>
      </c>
      <c r="C160" s="272"/>
      <c r="D160" s="272"/>
      <c r="E160" s="272"/>
      <c r="F160" s="272"/>
      <c r="G160" s="272"/>
      <c r="H160" s="272"/>
      <c r="I160" s="272"/>
      <c r="J160" s="272"/>
      <c r="K160" s="272"/>
      <c r="L160" s="272"/>
      <c r="M160" s="272"/>
      <c r="N160" s="272"/>
      <c r="O160" s="272"/>
      <c r="P160" s="272"/>
      <c r="Q160" s="272"/>
      <c r="R160" s="272"/>
      <c r="S160" s="272"/>
      <c r="T160" s="272"/>
      <c r="U160" s="272"/>
      <c r="V160" s="341" t="s">
        <v>121</v>
      </c>
      <c r="W160" s="275"/>
      <c r="X160" s="5"/>
    </row>
    <row r="161" spans="1:24" ht="15.6" x14ac:dyDescent="0.3">
      <c r="A161" s="271"/>
      <c r="B161" s="272" t="s">
        <v>48</v>
      </c>
      <c r="C161" s="274"/>
      <c r="D161" s="274"/>
      <c r="E161" s="274"/>
      <c r="F161" s="274"/>
      <c r="G161" s="274"/>
      <c r="H161" s="274"/>
      <c r="I161" s="274"/>
      <c r="J161" s="274"/>
      <c r="K161" s="274"/>
      <c r="L161" s="274"/>
      <c r="M161" s="274"/>
      <c r="N161" s="274"/>
      <c r="O161" s="274"/>
      <c r="P161" s="274"/>
      <c r="Q161" s="274"/>
      <c r="R161" s="274"/>
      <c r="S161" s="274"/>
      <c r="T161" s="274"/>
      <c r="U161" s="274"/>
      <c r="V161" s="341" t="s">
        <v>121</v>
      </c>
      <c r="W161" s="275"/>
      <c r="X161" s="5"/>
    </row>
    <row r="162" spans="1:24" ht="15.6" x14ac:dyDescent="0.3">
      <c r="A162" s="271"/>
      <c r="B162" s="272" t="s">
        <v>49</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271"/>
      <c r="B163" s="272" t="s">
        <v>50</v>
      </c>
      <c r="C163" s="272"/>
      <c r="D163" s="272"/>
      <c r="E163" s="272"/>
      <c r="F163" s="272"/>
      <c r="G163" s="272"/>
      <c r="H163" s="272"/>
      <c r="I163" s="272"/>
      <c r="J163" s="272"/>
      <c r="K163" s="272"/>
      <c r="L163" s="272"/>
      <c r="M163" s="272"/>
      <c r="N163" s="272"/>
      <c r="O163" s="272"/>
      <c r="P163" s="272"/>
      <c r="Q163" s="272"/>
      <c r="R163" s="272"/>
      <c r="S163" s="272"/>
      <c r="T163" s="272"/>
      <c r="U163" s="272"/>
      <c r="V163" s="341" t="s">
        <v>121</v>
      </c>
      <c r="W163" s="275"/>
      <c r="X163" s="5"/>
    </row>
    <row r="164" spans="1:24" ht="15.6" x14ac:dyDescent="0.3">
      <c r="A164" s="175"/>
      <c r="B164" s="321"/>
      <c r="C164" s="321"/>
      <c r="D164" s="321"/>
      <c r="E164" s="321"/>
      <c r="F164" s="321"/>
      <c r="G164" s="321"/>
      <c r="H164" s="321"/>
      <c r="I164" s="321"/>
      <c r="J164" s="321"/>
      <c r="K164" s="321"/>
      <c r="L164" s="321"/>
      <c r="M164" s="321"/>
      <c r="N164" s="321"/>
      <c r="O164" s="321"/>
      <c r="P164" s="321"/>
      <c r="Q164" s="321"/>
      <c r="R164" s="321"/>
      <c r="S164" s="321"/>
      <c r="T164" s="321"/>
      <c r="U164" s="321"/>
      <c r="V164" s="340"/>
      <c r="W164" s="321"/>
      <c r="X164" s="5"/>
    </row>
    <row r="165" spans="1:24" ht="15.6" x14ac:dyDescent="0.3">
      <c r="A165" s="175"/>
      <c r="B165" s="203" t="s">
        <v>51</v>
      </c>
      <c r="C165" s="177"/>
      <c r="D165" s="177"/>
      <c r="E165" s="177"/>
      <c r="F165" s="177"/>
      <c r="G165" s="177"/>
      <c r="H165" s="177"/>
      <c r="I165" s="177"/>
      <c r="J165" s="177"/>
      <c r="K165" s="177"/>
      <c r="L165" s="177"/>
      <c r="M165" s="177"/>
      <c r="N165" s="177"/>
      <c r="O165" s="177"/>
      <c r="P165" s="177"/>
      <c r="Q165" s="177"/>
      <c r="R165" s="177"/>
      <c r="S165" s="177"/>
      <c r="T165" s="177"/>
      <c r="U165" s="177"/>
      <c r="V165" s="204"/>
      <c r="W165" s="177"/>
      <c r="X165" s="5"/>
    </row>
    <row r="166" spans="1:24" ht="15.6" x14ac:dyDescent="0.3">
      <c r="A166" s="342"/>
      <c r="B166" s="343" t="s">
        <v>52</v>
      </c>
      <c r="C166" s="343"/>
      <c r="D166" s="343"/>
      <c r="E166" s="343"/>
      <c r="F166" s="343"/>
      <c r="G166" s="343"/>
      <c r="H166" s="343"/>
      <c r="I166" s="343"/>
      <c r="J166" s="343"/>
      <c r="K166" s="343"/>
      <c r="L166" s="343"/>
      <c r="M166" s="343"/>
      <c r="N166" s="343"/>
      <c r="O166" s="343"/>
      <c r="P166" s="343"/>
      <c r="Q166" s="343"/>
      <c r="R166" s="343"/>
      <c r="S166" s="343"/>
      <c r="T166" s="343"/>
      <c r="U166" s="343"/>
      <c r="V166" s="344">
        <v>0</v>
      </c>
      <c r="W166" s="345"/>
      <c r="X166" s="5"/>
    </row>
    <row r="167" spans="1:24" ht="15.6" x14ac:dyDescent="0.3">
      <c r="A167" s="342"/>
      <c r="B167" s="343" t="s">
        <v>53</v>
      </c>
      <c r="C167" s="343"/>
      <c r="D167" s="343"/>
      <c r="E167" s="343"/>
      <c r="F167" s="343"/>
      <c r="G167" s="343"/>
      <c r="H167" s="343"/>
      <c r="I167" s="343"/>
      <c r="J167" s="343"/>
      <c r="K167" s="343"/>
      <c r="L167" s="343"/>
      <c r="M167" s="343"/>
      <c r="N167" s="343"/>
      <c r="O167" s="343"/>
      <c r="P167" s="343"/>
      <c r="Q167" s="343"/>
      <c r="R167" s="343"/>
      <c r="S167" s="343"/>
      <c r="T167" s="343"/>
      <c r="U167" s="343"/>
      <c r="V167" s="344">
        <v>326</v>
      </c>
      <c r="W167" s="345"/>
      <c r="X167" s="5"/>
    </row>
    <row r="168" spans="1:24" ht="15.6" x14ac:dyDescent="0.3">
      <c r="A168" s="342"/>
      <c r="B168" s="343" t="s">
        <v>54</v>
      </c>
      <c r="C168" s="343"/>
      <c r="D168" s="343"/>
      <c r="E168" s="343"/>
      <c r="F168" s="343"/>
      <c r="G168" s="343"/>
      <c r="H168" s="343"/>
      <c r="I168" s="343"/>
      <c r="J168" s="343"/>
      <c r="K168" s="343"/>
      <c r="L168" s="343"/>
      <c r="M168" s="343"/>
      <c r="N168" s="343"/>
      <c r="O168" s="343"/>
      <c r="P168" s="343"/>
      <c r="Q168" s="343"/>
      <c r="R168" s="343"/>
      <c r="S168" s="343"/>
      <c r="T168" s="343"/>
      <c r="U168" s="343"/>
      <c r="V168" s="344">
        <f>V167+V166</f>
        <v>326</v>
      </c>
      <c r="W168" s="345"/>
      <c r="X168" s="5"/>
    </row>
    <row r="169" spans="1:24" ht="15.6" x14ac:dyDescent="0.3">
      <c r="A169" s="342"/>
      <c r="B169" s="272" t="s">
        <v>318</v>
      </c>
      <c r="C169" s="343"/>
      <c r="D169" s="343"/>
      <c r="E169" s="343"/>
      <c r="F169" s="343"/>
      <c r="G169" s="343"/>
      <c r="H169" s="343"/>
      <c r="I169" s="343"/>
      <c r="J169" s="343"/>
      <c r="K169" s="343"/>
      <c r="L169" s="343"/>
      <c r="M169" s="343"/>
      <c r="N169" s="343"/>
      <c r="O169" s="343"/>
      <c r="P169" s="343"/>
      <c r="Q169" s="343"/>
      <c r="R169" s="343"/>
      <c r="S169" s="343"/>
      <c r="T169" s="343"/>
      <c r="U169" s="343"/>
      <c r="V169" s="344">
        <f>V115</f>
        <v>-326</v>
      </c>
      <c r="W169" s="345"/>
      <c r="X169" s="5"/>
    </row>
    <row r="170" spans="1:24" ht="15.6" x14ac:dyDescent="0.3">
      <c r="A170" s="342"/>
      <c r="B170" s="343" t="s">
        <v>55</v>
      </c>
      <c r="C170" s="343"/>
      <c r="D170" s="343"/>
      <c r="E170" s="343"/>
      <c r="F170" s="343"/>
      <c r="G170" s="343"/>
      <c r="H170" s="343"/>
      <c r="I170" s="343"/>
      <c r="J170" s="343"/>
      <c r="K170" s="343"/>
      <c r="L170" s="343"/>
      <c r="M170" s="343"/>
      <c r="N170" s="343"/>
      <c r="O170" s="343"/>
      <c r="P170" s="343"/>
      <c r="Q170" s="343"/>
      <c r="R170" s="343"/>
      <c r="S170" s="343"/>
      <c r="T170" s="343"/>
      <c r="U170" s="343"/>
      <c r="V170" s="344">
        <f>V168+V169</f>
        <v>0</v>
      </c>
      <c r="W170" s="345"/>
      <c r="X170" s="5"/>
    </row>
    <row r="171" spans="1:24" ht="15.6" x14ac:dyDescent="0.3">
      <c r="A171" s="342"/>
      <c r="B171" s="343" t="s">
        <v>288</v>
      </c>
      <c r="C171" s="343"/>
      <c r="D171" s="343"/>
      <c r="E171" s="343"/>
      <c r="F171" s="343"/>
      <c r="G171" s="343"/>
      <c r="H171" s="343"/>
      <c r="I171" s="343"/>
      <c r="J171" s="343"/>
      <c r="K171" s="343"/>
      <c r="L171" s="343"/>
      <c r="M171" s="343"/>
      <c r="N171" s="343"/>
      <c r="O171" s="343"/>
      <c r="P171" s="343"/>
      <c r="Q171" s="343"/>
      <c r="R171" s="343"/>
      <c r="S171" s="343"/>
      <c r="T171" s="343"/>
      <c r="U171" s="343"/>
      <c r="V171" s="344">
        <f>-V99</f>
        <v>354</v>
      </c>
      <c r="W171" s="345"/>
      <c r="X171" s="5"/>
    </row>
    <row r="172" spans="1:24" ht="16.2" thickBot="1" x14ac:dyDescent="0.35">
      <c r="A172" s="175"/>
      <c r="B172" s="321"/>
      <c r="C172" s="321"/>
      <c r="D172" s="321"/>
      <c r="E172" s="321"/>
      <c r="F172" s="321"/>
      <c r="G172" s="321"/>
      <c r="H172" s="321"/>
      <c r="I172" s="321"/>
      <c r="J172" s="321"/>
      <c r="K172" s="321"/>
      <c r="L172" s="321"/>
      <c r="M172" s="321"/>
      <c r="N172" s="321"/>
      <c r="O172" s="321"/>
      <c r="P172" s="321"/>
      <c r="Q172" s="321"/>
      <c r="R172" s="321"/>
      <c r="S172" s="321"/>
      <c r="T172" s="321"/>
      <c r="U172" s="321"/>
      <c r="V172" s="340"/>
      <c r="W172" s="321"/>
      <c r="X172" s="5"/>
    </row>
    <row r="173" spans="1:24"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74"/>
      <c r="U173" s="174"/>
      <c r="V173" s="195"/>
      <c r="W173" s="174"/>
      <c r="X173" s="5"/>
    </row>
    <row r="174" spans="1:24" ht="15.6" x14ac:dyDescent="0.3">
      <c r="A174" s="175"/>
      <c r="B174" s="203" t="s">
        <v>56</v>
      </c>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175"/>
      <c r="B175" s="186"/>
      <c r="C175" s="177"/>
      <c r="D175" s="177"/>
      <c r="E175" s="177"/>
      <c r="F175" s="177"/>
      <c r="G175" s="177"/>
      <c r="H175" s="177"/>
      <c r="I175" s="177"/>
      <c r="J175" s="177"/>
      <c r="K175" s="177"/>
      <c r="L175" s="177"/>
      <c r="M175" s="177"/>
      <c r="N175" s="177"/>
      <c r="O175" s="177"/>
      <c r="P175" s="177"/>
      <c r="Q175" s="177"/>
      <c r="R175" s="177"/>
      <c r="S175" s="177"/>
      <c r="T175" s="177"/>
      <c r="U175" s="177"/>
      <c r="V175" s="196"/>
      <c r="W175" s="177"/>
      <c r="X175" s="5"/>
    </row>
    <row r="176" spans="1:24" ht="15.6" x14ac:dyDescent="0.3">
      <c r="A176" s="271"/>
      <c r="B176" s="272" t="s">
        <v>57</v>
      </c>
      <c r="C176" s="272"/>
      <c r="D176" s="272"/>
      <c r="E176" s="272"/>
      <c r="F176" s="272"/>
      <c r="G176" s="272"/>
      <c r="H176" s="272"/>
      <c r="I176" s="272"/>
      <c r="J176" s="272"/>
      <c r="K176" s="272"/>
      <c r="L176" s="272"/>
      <c r="M176" s="272"/>
      <c r="N176" s="272"/>
      <c r="O176" s="272"/>
      <c r="P176" s="272"/>
      <c r="Q176" s="272"/>
      <c r="R176" s="272"/>
      <c r="S176" s="272"/>
      <c r="T176" s="272"/>
      <c r="U176" s="272"/>
      <c r="V176" s="325">
        <f>V71</f>
        <v>962767</v>
      </c>
      <c r="W176" s="275"/>
      <c r="X176" s="5"/>
    </row>
    <row r="177" spans="1:24" ht="15.6" x14ac:dyDescent="0.3">
      <c r="A177" s="271"/>
      <c r="B177" s="272" t="s">
        <v>58</v>
      </c>
      <c r="C177" s="272"/>
      <c r="D177" s="272"/>
      <c r="E177" s="272"/>
      <c r="F177" s="272"/>
      <c r="G177" s="272"/>
      <c r="H177" s="272"/>
      <c r="I177" s="272"/>
      <c r="J177" s="272"/>
      <c r="K177" s="272"/>
      <c r="L177" s="272"/>
      <c r="M177" s="272"/>
      <c r="N177" s="272"/>
      <c r="O177" s="272"/>
      <c r="P177" s="272"/>
      <c r="Q177" s="272"/>
      <c r="R177" s="272"/>
      <c r="S177" s="272"/>
      <c r="T177" s="272"/>
      <c r="U177" s="272"/>
      <c r="V177" s="325">
        <f>V84</f>
        <v>962767</v>
      </c>
      <c r="W177" s="275"/>
      <c r="X177" s="5"/>
    </row>
    <row r="178" spans="1:24" ht="16.2" thickBot="1" x14ac:dyDescent="0.35">
      <c r="A178" s="175"/>
      <c r="B178" s="321"/>
      <c r="C178" s="321"/>
      <c r="D178" s="321"/>
      <c r="E178" s="321"/>
      <c r="F178" s="321"/>
      <c r="G178" s="321"/>
      <c r="H178" s="321"/>
      <c r="I178" s="321"/>
      <c r="J178" s="321"/>
      <c r="K178" s="321"/>
      <c r="L178" s="321"/>
      <c r="M178" s="321"/>
      <c r="N178" s="321"/>
      <c r="O178" s="321"/>
      <c r="P178" s="321"/>
      <c r="Q178" s="321"/>
      <c r="R178" s="321"/>
      <c r="S178" s="321"/>
      <c r="T178" s="321"/>
      <c r="U178" s="321"/>
      <c r="V178" s="340"/>
      <c r="W178" s="321"/>
      <c r="X178" s="5"/>
    </row>
    <row r="179" spans="1:24" ht="15.6" x14ac:dyDescent="0.3">
      <c r="A179" s="173"/>
      <c r="B179" s="174"/>
      <c r="C179" s="174"/>
      <c r="D179" s="174"/>
      <c r="E179" s="174"/>
      <c r="F179" s="174"/>
      <c r="G179" s="174"/>
      <c r="H179" s="174"/>
      <c r="I179" s="174"/>
      <c r="J179" s="174"/>
      <c r="K179" s="174"/>
      <c r="L179" s="174"/>
      <c r="M179" s="174"/>
      <c r="N179" s="174"/>
      <c r="O179" s="174"/>
      <c r="P179" s="174"/>
      <c r="Q179" s="174"/>
      <c r="R179" s="174"/>
      <c r="S179" s="174"/>
      <c r="T179" s="174"/>
      <c r="U179" s="174"/>
      <c r="V179" s="195"/>
      <c r="W179" s="174"/>
      <c r="X179" s="5"/>
    </row>
    <row r="180" spans="1:24" ht="15.6" x14ac:dyDescent="0.3">
      <c r="A180" s="175"/>
      <c r="B180" s="203" t="s">
        <v>59</v>
      </c>
      <c r="C180" s="200"/>
      <c r="D180" s="200"/>
      <c r="E180" s="200"/>
      <c r="F180" s="200"/>
      <c r="G180" s="200"/>
      <c r="H180" s="205"/>
      <c r="I180" s="205"/>
      <c r="J180" s="205"/>
      <c r="K180" s="205"/>
      <c r="L180" s="205"/>
      <c r="M180" s="205"/>
      <c r="N180" s="205"/>
      <c r="O180" s="205"/>
      <c r="P180" s="205"/>
      <c r="Q180" s="205"/>
      <c r="R180" s="205"/>
      <c r="S180" s="205" t="s">
        <v>102</v>
      </c>
      <c r="T180" s="205" t="s">
        <v>179</v>
      </c>
      <c r="U180" s="179"/>
      <c r="V180" s="206" t="s">
        <v>117</v>
      </c>
      <c r="W180" s="207"/>
      <c r="X180" s="5"/>
    </row>
    <row r="181" spans="1:24" ht="15.6" x14ac:dyDescent="0.3">
      <c r="A181" s="271"/>
      <c r="B181" s="272" t="s">
        <v>60</v>
      </c>
      <c r="C181" s="272"/>
      <c r="D181" s="272"/>
      <c r="E181" s="272"/>
      <c r="F181" s="272"/>
      <c r="G181" s="272"/>
      <c r="H181" s="272"/>
      <c r="I181" s="272"/>
      <c r="J181" s="272"/>
      <c r="K181" s="272"/>
      <c r="L181" s="272"/>
      <c r="M181" s="272"/>
      <c r="N181" s="272"/>
      <c r="O181" s="272"/>
      <c r="P181" s="272"/>
      <c r="Q181" s="272"/>
      <c r="R181" s="272"/>
      <c r="S181" s="325">
        <f>+V34*0.16</f>
        <v>240030.4</v>
      </c>
      <c r="T181" s="311"/>
      <c r="U181" s="272"/>
      <c r="V181" s="325"/>
      <c r="W181" s="275"/>
      <c r="X181" s="5"/>
    </row>
    <row r="182" spans="1:24" ht="15.6" x14ac:dyDescent="0.3">
      <c r="A182" s="271"/>
      <c r="B182" s="272" t="s">
        <v>61</v>
      </c>
      <c r="C182" s="272"/>
      <c r="D182" s="272"/>
      <c r="E182" s="272"/>
      <c r="F182" s="272"/>
      <c r="G182" s="272"/>
      <c r="H182" s="272"/>
      <c r="I182" s="272"/>
      <c r="J182" s="272"/>
      <c r="K182" s="272"/>
      <c r="L182" s="272"/>
      <c r="M182" s="272"/>
      <c r="N182" s="272"/>
      <c r="O182" s="272"/>
      <c r="P182" s="272"/>
      <c r="Q182" s="272"/>
      <c r="R182" s="272"/>
      <c r="S182" s="325">
        <f>+'September 13'!S184</f>
        <v>48013</v>
      </c>
      <c r="T182" s="325">
        <f>+'September 13'!T184</f>
        <v>9733</v>
      </c>
      <c r="U182" s="272"/>
      <c r="V182" s="325">
        <f>S182+T182</f>
        <v>57746</v>
      </c>
      <c r="W182" s="275"/>
      <c r="X182" s="5"/>
    </row>
    <row r="183" spans="1:24" ht="15.6" x14ac:dyDescent="0.3">
      <c r="A183" s="271"/>
      <c r="B183" s="272" t="s">
        <v>62</v>
      </c>
      <c r="C183" s="272"/>
      <c r="D183" s="272"/>
      <c r="E183" s="272"/>
      <c r="F183" s="272"/>
      <c r="G183" s="272"/>
      <c r="H183" s="272"/>
      <c r="I183" s="272"/>
      <c r="J183" s="272"/>
      <c r="K183" s="272"/>
      <c r="L183" s="272"/>
      <c r="M183" s="272"/>
      <c r="N183" s="272"/>
      <c r="O183" s="272"/>
      <c r="P183" s="272"/>
      <c r="Q183" s="272"/>
      <c r="R183" s="272"/>
      <c r="S183" s="324">
        <f>64+191</f>
        <v>255</v>
      </c>
      <c r="T183" s="324">
        <v>0</v>
      </c>
      <c r="U183" s="272"/>
      <c r="V183" s="325">
        <f>S183+T183</f>
        <v>255</v>
      </c>
      <c r="W183" s="275"/>
      <c r="X183" s="5"/>
    </row>
    <row r="184" spans="1:24" ht="15.6" x14ac:dyDescent="0.3">
      <c r="A184" s="271"/>
      <c r="B184" s="272" t="s">
        <v>63</v>
      </c>
      <c r="C184" s="272"/>
      <c r="D184" s="272"/>
      <c r="E184" s="272"/>
      <c r="F184" s="272"/>
      <c r="G184" s="272"/>
      <c r="H184" s="272"/>
      <c r="I184" s="272"/>
      <c r="J184" s="272"/>
      <c r="K184" s="272"/>
      <c r="L184" s="272"/>
      <c r="M184" s="272"/>
      <c r="N184" s="272"/>
      <c r="O184" s="272"/>
      <c r="P184" s="272"/>
      <c r="Q184" s="272"/>
      <c r="R184" s="272"/>
      <c r="S184" s="325">
        <f>+S182+S183</f>
        <v>48268</v>
      </c>
      <c r="T184" s="325">
        <f>T183+T182</f>
        <v>9733</v>
      </c>
      <c r="U184" s="272"/>
      <c r="V184" s="325">
        <f>S184+T184</f>
        <v>58001</v>
      </c>
      <c r="W184" s="275"/>
      <c r="X184" s="5"/>
    </row>
    <row r="185" spans="1:24" ht="15.6" x14ac:dyDescent="0.3">
      <c r="A185" s="271"/>
      <c r="B185" s="272" t="s">
        <v>64</v>
      </c>
      <c r="C185" s="272"/>
      <c r="D185" s="272"/>
      <c r="E185" s="272"/>
      <c r="F185" s="272"/>
      <c r="G185" s="272"/>
      <c r="H185" s="272"/>
      <c r="I185" s="272"/>
      <c r="J185" s="272"/>
      <c r="K185" s="272"/>
      <c r="L185" s="272"/>
      <c r="M185" s="272"/>
      <c r="N185" s="272"/>
      <c r="O185" s="272"/>
      <c r="P185" s="272"/>
      <c r="Q185" s="272"/>
      <c r="R185" s="272"/>
      <c r="S185" s="325">
        <f>S181-S184-T184</f>
        <v>182029.4</v>
      </c>
      <c r="T185" s="311"/>
      <c r="U185" s="272"/>
      <c r="V185" s="325"/>
      <c r="W185" s="275"/>
      <c r="X185" s="5"/>
    </row>
    <row r="186" spans="1:24" ht="16.2" thickBot="1" x14ac:dyDescent="0.35">
      <c r="A186" s="175"/>
      <c r="B186" s="321"/>
      <c r="C186" s="321"/>
      <c r="D186" s="321"/>
      <c r="E186" s="321"/>
      <c r="F186" s="321"/>
      <c r="G186" s="321"/>
      <c r="H186" s="321"/>
      <c r="I186" s="321"/>
      <c r="J186" s="321"/>
      <c r="K186" s="321"/>
      <c r="L186" s="321"/>
      <c r="M186" s="321"/>
      <c r="N186" s="321"/>
      <c r="O186" s="321"/>
      <c r="P186" s="321"/>
      <c r="Q186" s="321"/>
      <c r="R186" s="321"/>
      <c r="S186" s="321"/>
      <c r="T186" s="321"/>
      <c r="U186" s="321"/>
      <c r="V186" s="340"/>
      <c r="W186" s="321"/>
      <c r="X186" s="5"/>
    </row>
    <row r="187" spans="1:24" ht="15.6" x14ac:dyDescent="0.3">
      <c r="A187" s="173"/>
      <c r="B187" s="174"/>
      <c r="C187" s="174"/>
      <c r="D187" s="174"/>
      <c r="E187" s="174"/>
      <c r="F187" s="174"/>
      <c r="G187" s="174"/>
      <c r="H187" s="174"/>
      <c r="I187" s="174"/>
      <c r="J187" s="174"/>
      <c r="K187" s="174"/>
      <c r="L187" s="174"/>
      <c r="M187" s="174"/>
      <c r="N187" s="174"/>
      <c r="O187" s="174"/>
      <c r="P187" s="174"/>
      <c r="Q187" s="174"/>
      <c r="R187" s="174"/>
      <c r="S187" s="174"/>
      <c r="T187" s="174"/>
      <c r="U187" s="174"/>
      <c r="V187" s="195"/>
      <c r="W187" s="174"/>
      <c r="X187" s="5"/>
    </row>
    <row r="188" spans="1:24" ht="15.6" x14ac:dyDescent="0.3">
      <c r="A188" s="175"/>
      <c r="B188" s="203" t="s">
        <v>65</v>
      </c>
      <c r="C188" s="177"/>
      <c r="D188" s="177"/>
      <c r="E188" s="177"/>
      <c r="F188" s="177"/>
      <c r="G188" s="177"/>
      <c r="H188" s="177"/>
      <c r="I188" s="177"/>
      <c r="J188" s="177"/>
      <c r="K188" s="177"/>
      <c r="L188" s="177"/>
      <c r="M188" s="177"/>
      <c r="N188" s="177"/>
      <c r="O188" s="177"/>
      <c r="P188" s="177"/>
      <c r="Q188" s="177"/>
      <c r="R188" s="177"/>
      <c r="S188" s="177"/>
      <c r="T188" s="177"/>
      <c r="U188" s="177"/>
      <c r="V188" s="208"/>
      <c r="W188" s="177"/>
      <c r="X188" s="5"/>
    </row>
    <row r="189" spans="1:24" ht="15.6" x14ac:dyDescent="0.3">
      <c r="A189" s="271"/>
      <c r="B189" s="272" t="s">
        <v>66</v>
      </c>
      <c r="C189" s="272"/>
      <c r="D189" s="272"/>
      <c r="E189" s="272"/>
      <c r="F189" s="272"/>
      <c r="G189" s="272"/>
      <c r="H189" s="272"/>
      <c r="I189" s="272"/>
      <c r="J189" s="272"/>
      <c r="K189" s="272"/>
      <c r="L189" s="272"/>
      <c r="M189" s="272"/>
      <c r="N189" s="272"/>
      <c r="O189" s="272"/>
      <c r="P189" s="272"/>
      <c r="Q189" s="272"/>
      <c r="R189" s="272"/>
      <c r="S189" s="272"/>
      <c r="T189" s="272"/>
      <c r="U189" s="272"/>
      <c r="V189" s="341">
        <f>(V100+V102+V103+V104+V105)/-(V106+V107)</f>
        <v>3.2878111040204212</v>
      </c>
      <c r="W189" s="275" t="s">
        <v>118</v>
      </c>
      <c r="X189" s="5"/>
    </row>
    <row r="190" spans="1:24" ht="15.6" x14ac:dyDescent="0.3">
      <c r="A190" s="271"/>
      <c r="B190" s="272" t="s">
        <v>67</v>
      </c>
      <c r="C190" s="272"/>
      <c r="D190" s="272"/>
      <c r="E190" s="272"/>
      <c r="F190" s="272"/>
      <c r="G190" s="272"/>
      <c r="H190" s="272"/>
      <c r="I190" s="272"/>
      <c r="J190" s="272"/>
      <c r="K190" s="272"/>
      <c r="L190" s="272"/>
      <c r="M190" s="272"/>
      <c r="N190" s="272"/>
      <c r="O190" s="272"/>
      <c r="P190" s="272"/>
      <c r="Q190" s="272"/>
      <c r="R190" s="272"/>
      <c r="S190" s="272"/>
      <c r="T190" s="272"/>
      <c r="U190" s="272"/>
      <c r="V190" s="346">
        <v>1.7</v>
      </c>
      <c r="W190" s="275" t="s">
        <v>118</v>
      </c>
      <c r="X190" s="5"/>
    </row>
    <row r="191" spans="1:24" ht="15.6" x14ac:dyDescent="0.3">
      <c r="A191" s="271"/>
      <c r="B191" s="272" t="s">
        <v>68</v>
      </c>
      <c r="C191" s="272"/>
      <c r="D191" s="272"/>
      <c r="E191" s="272"/>
      <c r="F191" s="272"/>
      <c r="G191" s="272"/>
      <c r="H191" s="272"/>
      <c r="I191" s="272"/>
      <c r="J191" s="272"/>
      <c r="K191" s="272"/>
      <c r="L191" s="272"/>
      <c r="M191" s="272"/>
      <c r="N191" s="272"/>
      <c r="O191" s="272"/>
      <c r="P191" s="272"/>
      <c r="Q191" s="272"/>
      <c r="R191" s="272"/>
      <c r="S191" s="272"/>
      <c r="T191" s="272"/>
      <c r="U191" s="272"/>
      <c r="V191" s="341">
        <f>(V100+V102+V103+V104+V105+V106+V107)/-(V109+V110)</f>
        <v>13.631178707224334</v>
      </c>
      <c r="W191" s="275" t="s">
        <v>118</v>
      </c>
      <c r="X191" s="5"/>
    </row>
    <row r="192" spans="1:24" ht="15.6" x14ac:dyDescent="0.3">
      <c r="A192" s="271"/>
      <c r="B192" s="272" t="s">
        <v>69</v>
      </c>
      <c r="C192" s="272"/>
      <c r="D192" s="272"/>
      <c r="E192" s="272"/>
      <c r="F192" s="272"/>
      <c r="G192" s="272"/>
      <c r="H192" s="272"/>
      <c r="I192" s="272"/>
      <c r="J192" s="272"/>
      <c r="K192" s="272"/>
      <c r="L192" s="272"/>
      <c r="M192" s="272"/>
      <c r="N192" s="272"/>
      <c r="O192" s="272"/>
      <c r="P192" s="272"/>
      <c r="Q192" s="272"/>
      <c r="R192" s="272"/>
      <c r="S192" s="272"/>
      <c r="T192" s="272"/>
      <c r="U192" s="272"/>
      <c r="V192" s="346">
        <v>6.53</v>
      </c>
      <c r="W192" s="275" t="s">
        <v>118</v>
      </c>
      <c r="X192" s="5"/>
    </row>
    <row r="193" spans="1:24" ht="15.6" x14ac:dyDescent="0.3">
      <c r="A193" s="271"/>
      <c r="B193" s="272" t="s">
        <v>201</v>
      </c>
      <c r="C193" s="272"/>
      <c r="D193" s="272"/>
      <c r="E193" s="272"/>
      <c r="F193" s="272"/>
      <c r="G193" s="272"/>
      <c r="H193" s="272"/>
      <c r="I193" s="272"/>
      <c r="J193" s="272"/>
      <c r="K193" s="272"/>
      <c r="L193" s="272"/>
      <c r="M193" s="272"/>
      <c r="N193" s="272"/>
      <c r="O193" s="272"/>
      <c r="P193" s="272"/>
      <c r="Q193" s="272"/>
      <c r="R193" s="272"/>
      <c r="S193" s="272"/>
      <c r="T193" s="272"/>
      <c r="U193" s="272"/>
      <c r="V193" s="341">
        <f>(V100+V102+V103+V104+V105+V106+V107+V109+V110)/-(V111+V112)</f>
        <v>14.506550218340612</v>
      </c>
      <c r="W193" s="275" t="s">
        <v>118</v>
      </c>
      <c r="X193" s="5"/>
    </row>
    <row r="194" spans="1:24" ht="15.6" x14ac:dyDescent="0.3">
      <c r="A194" s="271"/>
      <c r="B194" s="272" t="s">
        <v>202</v>
      </c>
      <c r="C194" s="272"/>
      <c r="D194" s="272"/>
      <c r="E194" s="272"/>
      <c r="F194" s="272"/>
      <c r="G194" s="272"/>
      <c r="H194" s="272"/>
      <c r="I194" s="272"/>
      <c r="J194" s="272"/>
      <c r="K194" s="272"/>
      <c r="L194" s="272"/>
      <c r="M194" s="272"/>
      <c r="N194" s="272"/>
      <c r="O194" s="272"/>
      <c r="P194" s="272"/>
      <c r="Q194" s="272"/>
      <c r="R194" s="272"/>
      <c r="S194" s="272"/>
      <c r="T194" s="272"/>
      <c r="U194" s="272"/>
      <c r="V194" s="346">
        <v>8.35</v>
      </c>
      <c r="W194" s="275" t="s">
        <v>118</v>
      </c>
      <c r="X194" s="5"/>
    </row>
    <row r="195" spans="1:24" ht="15.6" x14ac:dyDescent="0.3">
      <c r="A195" s="271"/>
      <c r="B195" s="298"/>
      <c r="C195" s="298"/>
      <c r="D195" s="298"/>
      <c r="E195" s="298"/>
      <c r="F195" s="298"/>
      <c r="G195" s="298"/>
      <c r="H195" s="298"/>
      <c r="I195" s="298"/>
      <c r="J195" s="298"/>
      <c r="K195" s="298"/>
      <c r="L195" s="298"/>
      <c r="M195" s="298"/>
      <c r="N195" s="298"/>
      <c r="O195" s="298"/>
      <c r="P195" s="298"/>
      <c r="Q195" s="298"/>
      <c r="R195" s="298"/>
      <c r="S195" s="298"/>
      <c r="T195" s="298"/>
      <c r="U195" s="298"/>
      <c r="V195" s="298"/>
      <c r="W195" s="304"/>
      <c r="X195" s="5"/>
    </row>
    <row r="196" spans="1:24" ht="15.6" x14ac:dyDescent="0.3">
      <c r="A196" s="175"/>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5"/>
    </row>
    <row r="197" spans="1:24" ht="15.6" x14ac:dyDescent="0.3">
      <c r="A197" s="175"/>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5"/>
    </row>
    <row r="198" spans="1:24" ht="18" thickBot="1" x14ac:dyDescent="0.35">
      <c r="A198" s="194"/>
      <c r="B198" s="234" t="str">
        <f>B138</f>
        <v>PM13 INVESTOR REPORT QUARTER ENDING DECEMBER 2013</v>
      </c>
      <c r="C198" s="209"/>
      <c r="D198" s="209"/>
      <c r="E198" s="209"/>
      <c r="F198" s="209"/>
      <c r="G198" s="209"/>
      <c r="H198" s="209"/>
      <c r="I198" s="209"/>
      <c r="J198" s="209"/>
      <c r="K198" s="209"/>
      <c r="L198" s="209"/>
      <c r="M198" s="209"/>
      <c r="N198" s="209"/>
      <c r="O198" s="209"/>
      <c r="P198" s="209"/>
      <c r="Q198" s="209"/>
      <c r="R198" s="209"/>
      <c r="S198" s="209"/>
      <c r="T198" s="209"/>
      <c r="U198" s="209"/>
      <c r="V198" s="209"/>
      <c r="W198" s="210"/>
      <c r="X198" s="5"/>
    </row>
    <row r="199" spans="1:24" ht="15.6" x14ac:dyDescent="0.3">
      <c r="A199" s="246"/>
      <c r="B199" s="388" t="s">
        <v>70</v>
      </c>
      <c r="C199" s="249"/>
      <c r="D199" s="249"/>
      <c r="E199" s="249"/>
      <c r="F199" s="249"/>
      <c r="G199" s="250"/>
      <c r="H199" s="250"/>
      <c r="I199" s="250"/>
      <c r="J199" s="250"/>
      <c r="K199" s="250"/>
      <c r="L199" s="250"/>
      <c r="M199" s="250"/>
      <c r="N199" s="250"/>
      <c r="O199" s="250"/>
      <c r="P199" s="250"/>
      <c r="Q199" s="250"/>
      <c r="R199" s="250"/>
      <c r="S199" s="250"/>
      <c r="T199" s="250">
        <v>41639</v>
      </c>
      <c r="U199" s="247"/>
      <c r="V199" s="247"/>
      <c r="W199" s="247"/>
      <c r="X199" s="5"/>
    </row>
    <row r="200" spans="1:24" ht="15.6" x14ac:dyDescent="0.3">
      <c r="A200" s="211"/>
      <c r="B200" s="212"/>
      <c r="C200" s="213"/>
      <c r="D200" s="213"/>
      <c r="E200" s="213"/>
      <c r="F200" s="213"/>
      <c r="G200" s="214"/>
      <c r="H200" s="214"/>
      <c r="I200" s="214"/>
      <c r="J200" s="214"/>
      <c r="K200" s="214"/>
      <c r="L200" s="214"/>
      <c r="M200" s="214"/>
      <c r="N200" s="214"/>
      <c r="O200" s="214"/>
      <c r="P200" s="214"/>
      <c r="Q200" s="214"/>
      <c r="R200" s="214"/>
      <c r="S200" s="214"/>
      <c r="T200" s="214"/>
      <c r="U200" s="177"/>
      <c r="V200" s="177"/>
      <c r="W200" s="177"/>
      <c r="X200" s="5"/>
    </row>
    <row r="201" spans="1:24" ht="15.6" x14ac:dyDescent="0.3">
      <c r="A201" s="349"/>
      <c r="B201" s="272" t="s">
        <v>71</v>
      </c>
      <c r="C201" s="350"/>
      <c r="D201" s="350"/>
      <c r="E201" s="350"/>
      <c r="F201" s="350"/>
      <c r="G201" s="316"/>
      <c r="H201" s="316"/>
      <c r="I201" s="316"/>
      <c r="J201" s="316"/>
      <c r="K201" s="316"/>
      <c r="L201" s="316"/>
      <c r="M201" s="316"/>
      <c r="N201" s="316"/>
      <c r="O201" s="316"/>
      <c r="P201" s="316"/>
      <c r="Q201" s="316"/>
      <c r="R201" s="316"/>
      <c r="S201" s="316"/>
      <c r="T201" s="307">
        <v>5.4539999999999998E-2</v>
      </c>
      <c r="U201" s="272"/>
      <c r="V201" s="272"/>
      <c r="W201" s="275"/>
      <c r="X201" s="5"/>
    </row>
    <row r="202" spans="1:24" ht="15.6" x14ac:dyDescent="0.3">
      <c r="A202" s="349"/>
      <c r="B202" s="272" t="s">
        <v>154</v>
      </c>
      <c r="C202" s="350"/>
      <c r="D202" s="350"/>
      <c r="E202" s="350"/>
      <c r="F202" s="350"/>
      <c r="G202" s="316"/>
      <c r="H202" s="316"/>
      <c r="I202" s="316"/>
      <c r="J202" s="316"/>
      <c r="K202" s="316"/>
      <c r="L202" s="316"/>
      <c r="M202" s="316"/>
      <c r="N202" s="316"/>
      <c r="O202" s="316"/>
      <c r="P202" s="316"/>
      <c r="Q202" s="316"/>
      <c r="R202" s="316"/>
      <c r="S202" s="316"/>
      <c r="T202" s="307">
        <f>'Dec 06'!T199</f>
        <v>5.238600504269459E-2</v>
      </c>
      <c r="U202" s="272"/>
      <c r="V202" s="272"/>
      <c r="W202" s="275"/>
      <c r="X202" s="5"/>
    </row>
    <row r="203" spans="1:24" ht="15.6" x14ac:dyDescent="0.3">
      <c r="A203" s="349"/>
      <c r="B203" s="272" t="s">
        <v>72</v>
      </c>
      <c r="C203" s="350"/>
      <c r="D203" s="350"/>
      <c r="E203" s="350"/>
      <c r="F203" s="350"/>
      <c r="G203" s="316"/>
      <c r="H203" s="316"/>
      <c r="I203" s="316"/>
      <c r="J203" s="316"/>
      <c r="K203" s="316"/>
      <c r="L203" s="316"/>
      <c r="M203" s="316"/>
      <c r="N203" s="316"/>
      <c r="O203" s="316"/>
      <c r="P203" s="316"/>
      <c r="Q203" s="316"/>
      <c r="R203" s="316"/>
      <c r="S203" s="316"/>
      <c r="T203" s="307">
        <f>+T201-T202</f>
        <v>2.1539949573054079E-3</v>
      </c>
      <c r="U203" s="272"/>
      <c r="V203" s="272"/>
      <c r="W203" s="275"/>
      <c r="X203" s="5"/>
    </row>
    <row r="204" spans="1:24" ht="15.6" x14ac:dyDescent="0.3">
      <c r="A204" s="349"/>
      <c r="B204" s="272" t="s">
        <v>73</v>
      </c>
      <c r="C204" s="350"/>
      <c r="D204" s="350"/>
      <c r="E204" s="350"/>
      <c r="F204" s="350"/>
      <c r="G204" s="316"/>
      <c r="H204" s="316"/>
      <c r="I204" s="316"/>
      <c r="J204" s="316"/>
      <c r="K204" s="316"/>
      <c r="L204" s="316"/>
      <c r="M204" s="316"/>
      <c r="N204" s="316"/>
      <c r="O204" s="316"/>
      <c r="P204" s="316"/>
      <c r="Q204" s="316"/>
      <c r="R204" s="316"/>
      <c r="S204" s="316"/>
      <c r="T204" s="307">
        <v>2.2759999999999999E-2</v>
      </c>
      <c r="U204" s="272"/>
      <c r="V204" s="272"/>
      <c r="W204" s="275"/>
      <c r="X204" s="5"/>
    </row>
    <row r="205" spans="1:24" ht="15.6" x14ac:dyDescent="0.3">
      <c r="A205" s="349"/>
      <c r="B205" s="272" t="s">
        <v>222</v>
      </c>
      <c r="C205" s="350"/>
      <c r="D205" s="350"/>
      <c r="E205" s="350"/>
      <c r="F205" s="350"/>
      <c r="G205" s="316"/>
      <c r="H205" s="316"/>
      <c r="I205" s="316"/>
      <c r="J205" s="316"/>
      <c r="K205" s="316"/>
      <c r="L205" s="316"/>
      <c r="M205" s="316"/>
      <c r="N205" s="316"/>
      <c r="O205" s="316"/>
      <c r="P205" s="316"/>
      <c r="Q205" s="316"/>
      <c r="R205" s="316"/>
      <c r="S205" s="316"/>
      <c r="T205" s="307">
        <f>V43</f>
        <v>8.4210132923769054E-3</v>
      </c>
      <c r="U205" s="272"/>
      <c r="V205" s="272"/>
      <c r="W205" s="275"/>
      <c r="X205" s="5"/>
    </row>
    <row r="206" spans="1:24" ht="15.6" x14ac:dyDescent="0.3">
      <c r="A206" s="349"/>
      <c r="B206" s="272" t="s">
        <v>74</v>
      </c>
      <c r="C206" s="350"/>
      <c r="D206" s="350"/>
      <c r="E206" s="350"/>
      <c r="F206" s="350"/>
      <c r="G206" s="316"/>
      <c r="H206" s="316"/>
      <c r="I206" s="316"/>
      <c r="J206" s="316"/>
      <c r="K206" s="316"/>
      <c r="L206" s="316"/>
      <c r="M206" s="316"/>
      <c r="N206" s="316"/>
      <c r="O206" s="316"/>
      <c r="P206" s="316"/>
      <c r="Q206" s="316"/>
      <c r="R206" s="316"/>
      <c r="S206" s="316"/>
      <c r="T206" s="307">
        <f>T204-T205</f>
        <v>1.4338986707623094E-2</v>
      </c>
      <c r="U206" s="272"/>
      <c r="V206" s="272"/>
      <c r="W206" s="275"/>
      <c r="X206" s="5"/>
    </row>
    <row r="207" spans="1:24" ht="15.6" x14ac:dyDescent="0.3">
      <c r="A207" s="349"/>
      <c r="B207" s="272" t="s">
        <v>274</v>
      </c>
      <c r="C207" s="350"/>
      <c r="D207" s="350"/>
      <c r="E207" s="350"/>
      <c r="F207" s="350"/>
      <c r="G207" s="316"/>
      <c r="H207" s="316"/>
      <c r="I207" s="316"/>
      <c r="J207" s="316"/>
      <c r="K207" s="316"/>
      <c r="L207" s="316"/>
      <c r="M207" s="316"/>
      <c r="N207" s="316"/>
      <c r="O207" s="316"/>
      <c r="P207" s="316"/>
      <c r="Q207" s="316"/>
      <c r="R207" s="316"/>
      <c r="S207" s="316"/>
      <c r="T207" s="307">
        <f>+V100/N71</f>
        <v>5.9922191816952951E-3</v>
      </c>
      <c r="U207" s="272"/>
      <c r="V207" s="272"/>
      <c r="W207" s="275"/>
      <c r="X207" s="5"/>
    </row>
    <row r="208" spans="1:24" ht="15.6" x14ac:dyDescent="0.3">
      <c r="A208" s="349"/>
      <c r="B208" s="272" t="s">
        <v>211</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212</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213</v>
      </c>
      <c r="C210" s="350"/>
      <c r="D210" s="350"/>
      <c r="E210" s="350"/>
      <c r="F210" s="350"/>
      <c r="G210" s="316"/>
      <c r="H210" s="316"/>
      <c r="I210" s="316"/>
      <c r="J210" s="316"/>
      <c r="K210" s="316"/>
      <c r="L210" s="316"/>
      <c r="M210" s="316"/>
      <c r="N210" s="316"/>
      <c r="O210" s="316"/>
      <c r="P210" s="316"/>
      <c r="Q210" s="316"/>
      <c r="R210" s="316"/>
      <c r="S210" s="316"/>
      <c r="T210" s="351">
        <v>50771</v>
      </c>
      <c r="U210" s="272"/>
      <c r="V210" s="272"/>
      <c r="W210" s="275"/>
      <c r="X210" s="5"/>
    </row>
    <row r="211" spans="1:24" ht="15.6" x14ac:dyDescent="0.3">
      <c r="A211" s="349"/>
      <c r="B211" s="272" t="s">
        <v>75</v>
      </c>
      <c r="C211" s="350"/>
      <c r="D211" s="350"/>
      <c r="E211" s="350"/>
      <c r="F211" s="350"/>
      <c r="G211" s="316"/>
      <c r="H211" s="316"/>
      <c r="I211" s="316"/>
      <c r="J211" s="316"/>
      <c r="K211" s="316"/>
      <c r="L211" s="316"/>
      <c r="M211" s="316"/>
      <c r="N211" s="316"/>
      <c r="O211" s="316"/>
      <c r="P211" s="316"/>
      <c r="Q211" s="316"/>
      <c r="R211" s="316"/>
      <c r="S211" s="316"/>
      <c r="T211" s="313">
        <v>20.66</v>
      </c>
      <c r="U211" s="272" t="s">
        <v>113</v>
      </c>
      <c r="V211" s="272"/>
      <c r="W211" s="275"/>
      <c r="X211" s="5"/>
    </row>
    <row r="212" spans="1:24" ht="15.6" x14ac:dyDescent="0.3">
      <c r="A212" s="349"/>
      <c r="B212" s="272" t="s">
        <v>76</v>
      </c>
      <c r="C212" s="350"/>
      <c r="D212" s="350"/>
      <c r="E212" s="350"/>
      <c r="F212" s="350"/>
      <c r="G212" s="316"/>
      <c r="H212" s="316"/>
      <c r="I212" s="316"/>
      <c r="J212" s="316"/>
      <c r="K212" s="316"/>
      <c r="L212" s="316"/>
      <c r="M212" s="316"/>
      <c r="N212" s="316"/>
      <c r="O212" s="316"/>
      <c r="P212" s="316"/>
      <c r="Q212" s="316"/>
      <c r="R212" s="316"/>
      <c r="S212" s="316"/>
      <c r="T212" s="313">
        <v>13.97</v>
      </c>
      <c r="U212" s="272" t="s">
        <v>113</v>
      </c>
      <c r="V212" s="272"/>
      <c r="W212" s="275"/>
      <c r="X212" s="5"/>
    </row>
    <row r="213" spans="1:24" ht="15.6" x14ac:dyDescent="0.3">
      <c r="A213" s="349"/>
      <c r="B213" s="272" t="s">
        <v>77</v>
      </c>
      <c r="C213" s="350"/>
      <c r="D213" s="350"/>
      <c r="E213" s="350"/>
      <c r="F213" s="350"/>
      <c r="G213" s="316"/>
      <c r="H213" s="316"/>
      <c r="I213" s="316"/>
      <c r="J213" s="316"/>
      <c r="K213" s="316"/>
      <c r="L213" s="316"/>
      <c r="M213" s="316"/>
      <c r="N213" s="316"/>
      <c r="O213" s="316"/>
      <c r="P213" s="316"/>
      <c r="Q213" s="316"/>
      <c r="R213" s="316"/>
      <c r="S213" s="316"/>
      <c r="T213" s="307">
        <f>P68/N68</f>
        <v>8.5339668985526355E-3</v>
      </c>
      <c r="U213" s="272"/>
      <c r="V213" s="272"/>
      <c r="W213" s="275"/>
      <c r="X213" s="5"/>
    </row>
    <row r="214" spans="1:24" ht="15.6" x14ac:dyDescent="0.3">
      <c r="A214" s="349"/>
      <c r="B214" s="272" t="s">
        <v>78</v>
      </c>
      <c r="C214" s="350"/>
      <c r="D214" s="350"/>
      <c r="E214" s="350"/>
      <c r="F214" s="350"/>
      <c r="G214" s="316"/>
      <c r="H214" s="316"/>
      <c r="I214" s="316"/>
      <c r="J214" s="316"/>
      <c r="K214" s="316"/>
      <c r="L214" s="316"/>
      <c r="M214" s="316"/>
      <c r="N214" s="316"/>
      <c r="O214" s="316"/>
      <c r="P214" s="316"/>
      <c r="Q214" s="316"/>
      <c r="R214" s="316"/>
      <c r="S214" s="316"/>
      <c r="T214" s="307">
        <v>6.9000000000000006E-2</v>
      </c>
      <c r="U214" s="272"/>
      <c r="V214" s="272"/>
      <c r="W214" s="275"/>
      <c r="X214" s="5"/>
    </row>
    <row r="215" spans="1:24" ht="15.6" x14ac:dyDescent="0.3">
      <c r="A215" s="211"/>
      <c r="B215" s="347"/>
      <c r="C215" s="347"/>
      <c r="D215" s="347"/>
      <c r="E215" s="347"/>
      <c r="F215" s="347"/>
      <c r="G215" s="321"/>
      <c r="H215" s="321"/>
      <c r="I215" s="321"/>
      <c r="J215" s="321"/>
      <c r="K215" s="321"/>
      <c r="L215" s="321"/>
      <c r="M215" s="321"/>
      <c r="N215" s="321"/>
      <c r="O215" s="321"/>
      <c r="P215" s="321"/>
      <c r="Q215" s="321"/>
      <c r="R215" s="321"/>
      <c r="S215" s="321"/>
      <c r="T215" s="340"/>
      <c r="U215" s="321"/>
      <c r="V215" s="348"/>
      <c r="W215" s="321"/>
      <c r="X215" s="5"/>
    </row>
    <row r="216" spans="1:24" ht="15.6" x14ac:dyDescent="0.3">
      <c r="A216" s="215"/>
      <c r="B216" s="219" t="s">
        <v>79</v>
      </c>
      <c r="C216" s="224"/>
      <c r="D216" s="224"/>
      <c r="E216" s="224"/>
      <c r="F216" s="251"/>
      <c r="G216" s="224"/>
      <c r="H216" s="224"/>
      <c r="I216" s="224"/>
      <c r="J216" s="224"/>
      <c r="K216" s="224"/>
      <c r="L216" s="224"/>
      <c r="M216" s="224"/>
      <c r="N216" s="224"/>
      <c r="O216" s="224"/>
      <c r="P216" s="224"/>
      <c r="Q216" s="224"/>
      <c r="R216" s="224"/>
      <c r="S216" s="224" t="s">
        <v>103</v>
      </c>
      <c r="T216" s="251" t="s">
        <v>110</v>
      </c>
      <c r="U216" s="220"/>
      <c r="V216" s="220"/>
      <c r="W216" s="220"/>
      <c r="X216" s="5"/>
    </row>
    <row r="217" spans="1:24" ht="15.6" x14ac:dyDescent="0.3">
      <c r="A217" s="356"/>
      <c r="B217" s="272" t="s">
        <v>80</v>
      </c>
      <c r="C217" s="324"/>
      <c r="D217" s="324"/>
      <c r="E217" s="324"/>
      <c r="F217" s="272"/>
      <c r="G217" s="272"/>
      <c r="H217" s="280"/>
      <c r="I217" s="280"/>
      <c r="J217" s="280"/>
      <c r="K217" s="280"/>
      <c r="L217" s="280"/>
      <c r="M217" s="280"/>
      <c r="N217" s="280"/>
      <c r="O217" s="280"/>
      <c r="P217" s="280"/>
      <c r="Q217" s="280"/>
      <c r="R217" s="280"/>
      <c r="S217" s="280">
        <v>0</v>
      </c>
      <c r="T217" s="357">
        <v>0</v>
      </c>
      <c r="U217" s="272"/>
      <c r="V217" s="358"/>
      <c r="W217" s="359"/>
      <c r="X217" s="5"/>
    </row>
    <row r="218" spans="1:24" ht="15.6" x14ac:dyDescent="0.3">
      <c r="A218" s="356"/>
      <c r="B218" s="272" t="s">
        <v>148</v>
      </c>
      <c r="C218" s="324"/>
      <c r="D218" s="324"/>
      <c r="E218" s="324"/>
      <c r="F218" s="272"/>
      <c r="G218" s="272"/>
      <c r="H218" s="280"/>
      <c r="I218" s="280"/>
      <c r="J218" s="280"/>
      <c r="K218" s="280"/>
      <c r="L218" s="280"/>
      <c r="M218" s="280"/>
      <c r="N218" s="280"/>
      <c r="O218" s="280"/>
      <c r="P218" s="280"/>
      <c r="Q218" s="280"/>
      <c r="R218" s="280"/>
      <c r="S218" s="360">
        <f>+R270</f>
        <v>178</v>
      </c>
      <c r="T218" s="357">
        <f>+T270</f>
        <v>26869</v>
      </c>
      <c r="U218" s="272"/>
      <c r="V218" s="358"/>
      <c r="W218" s="359"/>
      <c r="X218" s="5"/>
    </row>
    <row r="219" spans="1:24" ht="15.6" x14ac:dyDescent="0.3">
      <c r="A219" s="356"/>
      <c r="B219" s="272" t="s">
        <v>81</v>
      </c>
      <c r="C219" s="324"/>
      <c r="D219" s="324"/>
      <c r="E219" s="324"/>
      <c r="F219" s="272"/>
      <c r="G219" s="272"/>
      <c r="H219" s="280"/>
      <c r="I219" s="280"/>
      <c r="J219" s="280"/>
      <c r="K219" s="280"/>
      <c r="L219" s="280"/>
      <c r="M219" s="280"/>
      <c r="N219" s="280"/>
      <c r="O219" s="280"/>
      <c r="P219" s="280"/>
      <c r="Q219" s="280"/>
      <c r="R219" s="280"/>
      <c r="S219" s="360">
        <f>+R282</f>
        <v>1</v>
      </c>
      <c r="T219" s="357">
        <f>+T282</f>
        <v>446</v>
      </c>
      <c r="U219" s="272"/>
      <c r="V219" s="358"/>
      <c r="W219" s="359"/>
      <c r="X219" s="5"/>
    </row>
    <row r="220" spans="1:24" ht="15.6" x14ac:dyDescent="0.3">
      <c r="A220" s="356"/>
      <c r="B220" s="297" t="s">
        <v>82</v>
      </c>
      <c r="C220" s="361"/>
      <c r="D220" s="361"/>
      <c r="E220" s="361"/>
      <c r="F220" s="298"/>
      <c r="G220" s="298"/>
      <c r="H220" s="298"/>
      <c r="I220" s="298"/>
      <c r="J220" s="298"/>
      <c r="K220" s="298"/>
      <c r="L220" s="298"/>
      <c r="M220" s="298"/>
      <c r="N220" s="298"/>
      <c r="O220" s="298"/>
      <c r="P220" s="298"/>
      <c r="Q220" s="298"/>
      <c r="R220" s="298"/>
      <c r="S220" s="298"/>
      <c r="T220" s="357">
        <v>0</v>
      </c>
      <c r="U220" s="298"/>
      <c r="V220" s="362"/>
      <c r="W220" s="363"/>
      <c r="X220" s="5"/>
    </row>
    <row r="221" spans="1:24" ht="15.6" x14ac:dyDescent="0.3">
      <c r="A221" s="356"/>
      <c r="B221" s="297" t="s">
        <v>275</v>
      </c>
      <c r="C221" s="361"/>
      <c r="D221" s="361"/>
      <c r="E221" s="361"/>
      <c r="F221" s="298"/>
      <c r="G221" s="298"/>
      <c r="H221" s="298"/>
      <c r="I221" s="298"/>
      <c r="J221" s="298"/>
      <c r="K221" s="298"/>
      <c r="L221" s="298"/>
      <c r="M221" s="298"/>
      <c r="N221" s="298"/>
      <c r="O221" s="298"/>
      <c r="P221" s="298"/>
      <c r="Q221" s="298"/>
      <c r="R221" s="298"/>
      <c r="S221" s="298"/>
      <c r="T221" s="357">
        <f>+N81</f>
        <v>0</v>
      </c>
      <c r="U221" s="298"/>
      <c r="V221" s="362"/>
      <c r="W221" s="363"/>
      <c r="X221" s="5"/>
    </row>
    <row r="222" spans="1:24" ht="15.6" x14ac:dyDescent="0.3">
      <c r="A222" s="364"/>
      <c r="B222" s="297" t="s">
        <v>83</v>
      </c>
      <c r="C222" s="365"/>
      <c r="D222" s="365"/>
      <c r="E222" s="365"/>
      <c r="F222" s="365"/>
      <c r="G222" s="298"/>
      <c r="H222" s="298"/>
      <c r="I222" s="298"/>
      <c r="J222" s="298"/>
      <c r="K222" s="298"/>
      <c r="L222" s="298"/>
      <c r="M222" s="298"/>
      <c r="N222" s="298"/>
      <c r="O222" s="298"/>
      <c r="P222" s="298"/>
      <c r="Q222" s="298"/>
      <c r="R222" s="298"/>
      <c r="S222" s="298"/>
      <c r="T222" s="366"/>
      <c r="U222" s="298"/>
      <c r="V222" s="362"/>
      <c r="W222" s="367"/>
      <c r="X222" s="5"/>
    </row>
    <row r="223" spans="1:24" ht="15.6" x14ac:dyDescent="0.3">
      <c r="A223" s="364"/>
      <c r="B223" s="272" t="s">
        <v>84</v>
      </c>
      <c r="C223" s="272"/>
      <c r="D223" s="272"/>
      <c r="E223" s="272"/>
      <c r="F223" s="272"/>
      <c r="G223" s="272"/>
      <c r="H223" s="272"/>
      <c r="I223" s="272"/>
      <c r="J223" s="272"/>
      <c r="K223" s="272"/>
      <c r="L223" s="272"/>
      <c r="M223" s="272"/>
      <c r="N223" s="272"/>
      <c r="O223" s="272"/>
      <c r="P223" s="272"/>
      <c r="Q223" s="272"/>
      <c r="R223" s="272"/>
      <c r="S223" s="280"/>
      <c r="T223" s="357">
        <f>V167</f>
        <v>326</v>
      </c>
      <c r="U223" s="272"/>
      <c r="V223" s="362"/>
      <c r="W223" s="367"/>
      <c r="X223" s="5"/>
    </row>
    <row r="224" spans="1:24" ht="15.6" x14ac:dyDescent="0.3">
      <c r="A224" s="356"/>
      <c r="B224" s="272" t="s">
        <v>85</v>
      </c>
      <c r="C224" s="324"/>
      <c r="D224" s="324"/>
      <c r="E224" s="324"/>
      <c r="F224" s="324"/>
      <c r="G224" s="272"/>
      <c r="H224" s="272"/>
      <c r="I224" s="272"/>
      <c r="J224" s="272"/>
      <c r="K224" s="272"/>
      <c r="L224" s="272"/>
      <c r="M224" s="272"/>
      <c r="N224" s="272"/>
      <c r="O224" s="272"/>
      <c r="P224" s="272"/>
      <c r="Q224" s="272"/>
      <c r="R224" s="272"/>
      <c r="S224" s="280"/>
      <c r="T224" s="357">
        <f>'September 13'!T224+T223</f>
        <v>5210</v>
      </c>
      <c r="U224" s="272"/>
      <c r="V224" s="362"/>
      <c r="W224" s="367"/>
      <c r="X224" s="5"/>
    </row>
    <row r="225" spans="1:25" ht="15.6" x14ac:dyDescent="0.3">
      <c r="A225" s="364"/>
      <c r="B225" s="297" t="s">
        <v>297</v>
      </c>
      <c r="C225" s="365"/>
      <c r="D225" s="365"/>
      <c r="E225" s="365"/>
      <c r="F225" s="365"/>
      <c r="G225" s="298"/>
      <c r="H225" s="298"/>
      <c r="I225" s="298"/>
      <c r="J225" s="298"/>
      <c r="K225" s="298"/>
      <c r="L225" s="298"/>
      <c r="M225" s="298"/>
      <c r="N225" s="298"/>
      <c r="O225" s="298"/>
      <c r="P225" s="298"/>
      <c r="Q225" s="298"/>
      <c r="R225" s="298"/>
      <c r="S225" s="302"/>
      <c r="T225" s="366"/>
      <c r="U225" s="298"/>
      <c r="V225" s="362"/>
      <c r="W225" s="367"/>
      <c r="X225" s="5"/>
    </row>
    <row r="226" spans="1:25" ht="15.6" x14ac:dyDescent="0.3">
      <c r="A226" s="364"/>
      <c r="B226" s="272" t="s">
        <v>295</v>
      </c>
      <c r="C226" s="365"/>
      <c r="D226" s="365"/>
      <c r="E226" s="365"/>
      <c r="F226" s="365"/>
      <c r="G226" s="298"/>
      <c r="H226" s="298"/>
      <c r="I226" s="298"/>
      <c r="J226" s="298"/>
      <c r="K226" s="298"/>
      <c r="L226" s="298"/>
      <c r="M226" s="298"/>
      <c r="N226" s="298"/>
      <c r="O226" s="298"/>
      <c r="P226" s="298"/>
      <c r="Q226" s="298"/>
      <c r="R226" s="298"/>
      <c r="S226" s="280">
        <v>0</v>
      </c>
      <c r="T226" s="357">
        <v>0</v>
      </c>
      <c r="U226" s="298"/>
      <c r="V226" s="362"/>
      <c r="W226" s="367"/>
      <c r="X226" s="5"/>
    </row>
    <row r="227" spans="1:25" ht="15.6" x14ac:dyDescent="0.3">
      <c r="A227" s="356"/>
      <c r="B227" s="272" t="s">
        <v>87</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72" t="s">
        <v>88</v>
      </c>
      <c r="C228" s="370"/>
      <c r="D228" s="370"/>
      <c r="E228" s="370"/>
      <c r="F228" s="371"/>
      <c r="G228" s="298"/>
      <c r="H228" s="298"/>
      <c r="I228" s="298"/>
      <c r="J228" s="298"/>
      <c r="K228" s="298"/>
      <c r="L228" s="298"/>
      <c r="M228" s="298"/>
      <c r="N228" s="298"/>
      <c r="O228" s="298"/>
      <c r="P228" s="298"/>
      <c r="Q228" s="298"/>
      <c r="R228" s="298"/>
      <c r="S228" s="272"/>
      <c r="T228" s="372">
        <v>0</v>
      </c>
      <c r="U228" s="298"/>
      <c r="V228" s="362"/>
      <c r="W228" s="367"/>
      <c r="X228" s="5"/>
    </row>
    <row r="229" spans="1:25" ht="15.6" x14ac:dyDescent="0.3">
      <c r="A229" s="356"/>
      <c r="B229" s="297" t="s">
        <v>220</v>
      </c>
      <c r="C229" s="370"/>
      <c r="D229" s="370"/>
      <c r="E229" s="370"/>
      <c r="F229" s="371"/>
      <c r="G229" s="298"/>
      <c r="H229" s="298"/>
      <c r="I229" s="298"/>
      <c r="J229" s="298"/>
      <c r="K229" s="298"/>
      <c r="L229" s="298"/>
      <c r="M229" s="298"/>
      <c r="N229" s="298"/>
      <c r="O229" s="298"/>
      <c r="P229" s="298"/>
      <c r="Q229" s="298"/>
      <c r="R229" s="298"/>
      <c r="S229" s="272"/>
      <c r="T229" s="373"/>
      <c r="U229" s="298"/>
      <c r="V229" s="362"/>
      <c r="W229" s="367"/>
      <c r="X229" s="5"/>
    </row>
    <row r="230" spans="1:25" ht="15.6" x14ac:dyDescent="0.3">
      <c r="A230" s="356"/>
      <c r="B230" s="272" t="s">
        <v>295</v>
      </c>
      <c r="C230" s="370"/>
      <c r="D230" s="370"/>
      <c r="E230" s="370"/>
      <c r="F230" s="371"/>
      <c r="G230" s="298"/>
      <c r="H230" s="298"/>
      <c r="I230" s="298"/>
      <c r="J230" s="298"/>
      <c r="K230" s="298"/>
      <c r="L230" s="298"/>
      <c r="M230" s="298"/>
      <c r="N230" s="298"/>
      <c r="O230" s="298"/>
      <c r="P230" s="298"/>
      <c r="Q230" s="298"/>
      <c r="R230" s="298"/>
      <c r="S230" s="280">
        <v>8</v>
      </c>
      <c r="T230" s="357">
        <v>575</v>
      </c>
      <c r="U230" s="298"/>
      <c r="V230" s="362"/>
      <c r="W230" s="367"/>
      <c r="X230" s="5"/>
    </row>
    <row r="231" spans="1:25" ht="15.6" x14ac:dyDescent="0.3">
      <c r="A231" s="356"/>
      <c r="B231" s="272" t="s">
        <v>221</v>
      </c>
      <c r="C231" s="370"/>
      <c r="D231" s="370"/>
      <c r="E231" s="370"/>
      <c r="F231" s="371"/>
      <c r="G231" s="298"/>
      <c r="H231" s="298"/>
      <c r="I231" s="298"/>
      <c r="J231" s="298"/>
      <c r="K231" s="298"/>
      <c r="L231" s="298"/>
      <c r="M231" s="298"/>
      <c r="N231" s="298"/>
      <c r="O231" s="298"/>
      <c r="P231" s="298"/>
      <c r="Q231" s="298"/>
      <c r="R231" s="298"/>
      <c r="S231" s="272"/>
      <c r="T231" s="372">
        <v>3.43</v>
      </c>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5.6" x14ac:dyDescent="0.3">
      <c r="A233" s="356"/>
      <c r="B233" s="365"/>
      <c r="C233" s="370"/>
      <c r="D233" s="370"/>
      <c r="E233" s="370"/>
      <c r="F233" s="371"/>
      <c r="G233" s="298"/>
      <c r="H233" s="298"/>
      <c r="I233" s="298"/>
      <c r="J233" s="298"/>
      <c r="K233" s="298"/>
      <c r="L233" s="298"/>
      <c r="M233" s="298"/>
      <c r="N233" s="298"/>
      <c r="O233" s="298"/>
      <c r="P233" s="298"/>
      <c r="Q233" s="298"/>
      <c r="R233" s="298"/>
      <c r="S233" s="298"/>
      <c r="T233" s="374"/>
      <c r="U233" s="298"/>
      <c r="V233" s="362"/>
      <c r="W233" s="367"/>
      <c r="X233" s="5"/>
    </row>
    <row r="234" spans="1:25" ht="17.399999999999999" x14ac:dyDescent="0.3">
      <c r="A234" s="356"/>
      <c r="B234" s="375" t="s">
        <v>171</v>
      </c>
      <c r="C234" s="370"/>
      <c r="D234" s="370"/>
      <c r="E234" s="370"/>
      <c r="F234" s="371"/>
      <c r="G234" s="298"/>
      <c r="H234" s="298"/>
      <c r="I234" s="298"/>
      <c r="J234" s="298"/>
      <c r="K234" s="298"/>
      <c r="L234" s="298"/>
      <c r="M234" s="298"/>
      <c r="N234" s="298"/>
      <c r="O234" s="298"/>
      <c r="P234" s="376" t="s">
        <v>170</v>
      </c>
      <c r="Q234" s="298"/>
      <c r="R234" s="298"/>
      <c r="S234" s="298"/>
      <c r="T234" s="374"/>
      <c r="U234" s="298"/>
      <c r="V234" s="362"/>
      <c r="W234" s="367"/>
      <c r="X234" s="5"/>
    </row>
    <row r="235" spans="1:25" ht="15.6" x14ac:dyDescent="0.3">
      <c r="A235" s="215"/>
      <c r="B235" s="347"/>
      <c r="C235" s="352"/>
      <c r="D235" s="352"/>
      <c r="E235" s="352"/>
      <c r="F235" s="353"/>
      <c r="G235" s="321"/>
      <c r="H235" s="321"/>
      <c r="I235" s="321"/>
      <c r="J235" s="321"/>
      <c r="K235" s="321"/>
      <c r="L235" s="321"/>
      <c r="M235" s="321"/>
      <c r="N235" s="321"/>
      <c r="O235" s="321"/>
      <c r="P235" s="321"/>
      <c r="Q235" s="321"/>
      <c r="R235" s="321"/>
      <c r="S235" s="321"/>
      <c r="T235" s="354"/>
      <c r="U235" s="321"/>
      <c r="V235" s="348"/>
      <c r="W235" s="355"/>
      <c r="X235" s="5"/>
    </row>
    <row r="236" spans="1:25" ht="15.6" x14ac:dyDescent="0.3">
      <c r="A236" s="239"/>
      <c r="B236" s="253" t="s">
        <v>310</v>
      </c>
      <c r="C236" s="254"/>
      <c r="D236" s="254"/>
      <c r="E236" s="254"/>
      <c r="F236" s="255"/>
      <c r="G236" s="254"/>
      <c r="H236" s="254"/>
      <c r="I236" s="254"/>
      <c r="J236" s="254"/>
      <c r="K236" s="254"/>
      <c r="L236" s="254"/>
      <c r="M236" s="254"/>
      <c r="N236" s="254"/>
      <c r="O236" s="254"/>
      <c r="P236" s="254"/>
      <c r="Q236" s="254"/>
      <c r="R236" s="255" t="s">
        <v>103</v>
      </c>
      <c r="S236" s="254" t="s">
        <v>104</v>
      </c>
      <c r="T236" s="255" t="s">
        <v>111</v>
      </c>
      <c r="U236" s="254" t="s">
        <v>104</v>
      </c>
      <c r="V236" s="240"/>
      <c r="W236" s="253"/>
      <c r="X236" s="5"/>
    </row>
    <row r="237" spans="1:25" ht="15.6" x14ac:dyDescent="0.3">
      <c r="A237" s="192"/>
      <c r="B237" s="231" t="s">
        <v>89</v>
      </c>
      <c r="C237" s="260"/>
      <c r="D237" s="260"/>
      <c r="E237" s="260"/>
      <c r="F237" s="229"/>
      <c r="G237" s="260"/>
      <c r="H237" s="260"/>
      <c r="I237" s="260"/>
      <c r="J237" s="260"/>
      <c r="K237" s="260"/>
      <c r="L237" s="260"/>
      <c r="M237" s="260"/>
      <c r="N237" s="260"/>
      <c r="O237" s="260"/>
      <c r="P237" s="260"/>
      <c r="Q237" s="260"/>
      <c r="R237" s="324">
        <f t="shared" ref="R237:R244" si="1">+R249+R261+R273</f>
        <v>7466</v>
      </c>
      <c r="S237" s="381">
        <f t="shared" ref="S237:S244" si="2">R237/$R$246</f>
        <v>0.99400878711223539</v>
      </c>
      <c r="T237" s="325">
        <f t="shared" ref="T237:T244" si="3">+T249+T261+T273</f>
        <v>957310</v>
      </c>
      <c r="U237" s="381">
        <f t="shared" ref="U237:U244" si="4">T237/$T$246</f>
        <v>0.99433196193886997</v>
      </c>
      <c r="V237" s="252"/>
      <c r="W237" s="230"/>
      <c r="X237" s="5"/>
    </row>
    <row r="238" spans="1:25" ht="15.6" x14ac:dyDescent="0.3">
      <c r="A238" s="271"/>
      <c r="B238" s="324" t="s">
        <v>90</v>
      </c>
      <c r="C238" s="380"/>
      <c r="D238" s="380"/>
      <c r="E238" s="380"/>
      <c r="F238" s="272"/>
      <c r="G238" s="381"/>
      <c r="H238" s="380"/>
      <c r="I238" s="380"/>
      <c r="J238" s="380"/>
      <c r="K238" s="380"/>
      <c r="L238" s="380"/>
      <c r="M238" s="380"/>
      <c r="N238" s="380"/>
      <c r="O238" s="380"/>
      <c r="P238" s="380"/>
      <c r="Q238" s="380"/>
      <c r="R238" s="324">
        <f t="shared" si="1"/>
        <v>7</v>
      </c>
      <c r="S238" s="381">
        <f t="shared" si="2"/>
        <v>9.3196644920782849E-4</v>
      </c>
      <c r="T238" s="325">
        <f t="shared" si="3"/>
        <v>518</v>
      </c>
      <c r="U238" s="381">
        <f t="shared" si="4"/>
        <v>5.3803256655036991E-4</v>
      </c>
      <c r="V238" s="358"/>
      <c r="W238" s="382"/>
      <c r="X238" s="5"/>
      <c r="Y238" s="109"/>
    </row>
    <row r="239" spans="1:25" ht="15.6" x14ac:dyDescent="0.3">
      <c r="A239" s="271"/>
      <c r="B239" s="324" t="s">
        <v>91</v>
      </c>
      <c r="C239" s="380"/>
      <c r="D239" s="380"/>
      <c r="E239" s="380"/>
      <c r="F239" s="272"/>
      <c r="G239" s="381"/>
      <c r="H239" s="380"/>
      <c r="I239" s="380"/>
      <c r="J239" s="380"/>
      <c r="K239" s="380"/>
      <c r="L239" s="380"/>
      <c r="M239" s="380"/>
      <c r="N239" s="380"/>
      <c r="O239" s="380"/>
      <c r="P239" s="380"/>
      <c r="Q239" s="380"/>
      <c r="R239" s="324">
        <f t="shared" si="1"/>
        <v>2</v>
      </c>
      <c r="S239" s="381">
        <f t="shared" si="2"/>
        <v>2.6627612834509385E-4</v>
      </c>
      <c r="T239" s="325">
        <f t="shared" si="3"/>
        <v>171</v>
      </c>
      <c r="U239" s="381">
        <f t="shared" si="4"/>
        <v>1.7761306733612598E-4</v>
      </c>
      <c r="V239" s="358"/>
      <c r="W239" s="382"/>
      <c r="X239" s="5"/>
    </row>
    <row r="240" spans="1:25" ht="15.6" x14ac:dyDescent="0.3">
      <c r="A240" s="271"/>
      <c r="B240" s="324" t="s">
        <v>159</v>
      </c>
      <c r="C240" s="380"/>
      <c r="D240" s="380"/>
      <c r="E240" s="380"/>
      <c r="F240" s="272"/>
      <c r="G240" s="381"/>
      <c r="H240" s="380"/>
      <c r="I240" s="380"/>
      <c r="J240" s="380"/>
      <c r="K240" s="380"/>
      <c r="L240" s="380"/>
      <c r="M240" s="380"/>
      <c r="N240" s="380"/>
      <c r="O240" s="380"/>
      <c r="P240" s="380"/>
      <c r="Q240" s="380"/>
      <c r="R240" s="324">
        <f t="shared" si="1"/>
        <v>0</v>
      </c>
      <c r="S240" s="381">
        <f t="shared" si="2"/>
        <v>0</v>
      </c>
      <c r="T240" s="325">
        <f t="shared" si="3"/>
        <v>0</v>
      </c>
      <c r="U240" s="381">
        <f t="shared" si="4"/>
        <v>0</v>
      </c>
      <c r="V240" s="358"/>
      <c r="W240" s="382"/>
      <c r="X240" s="5"/>
      <c r="Y240" s="109"/>
    </row>
    <row r="241" spans="1:25" ht="15.6" x14ac:dyDescent="0.3">
      <c r="A241" s="271"/>
      <c r="B241" s="324" t="s">
        <v>160</v>
      </c>
      <c r="C241" s="380"/>
      <c r="D241" s="380"/>
      <c r="E241" s="380"/>
      <c r="F241" s="272"/>
      <c r="G241" s="381"/>
      <c r="H241" s="380"/>
      <c r="I241" s="380"/>
      <c r="J241" s="380"/>
      <c r="K241" s="380"/>
      <c r="L241" s="380"/>
      <c r="M241" s="380"/>
      <c r="N241" s="380"/>
      <c r="O241" s="380"/>
      <c r="P241" s="380"/>
      <c r="Q241" s="380"/>
      <c r="R241" s="324">
        <f t="shared" si="1"/>
        <v>0</v>
      </c>
      <c r="S241" s="381">
        <f t="shared" si="2"/>
        <v>0</v>
      </c>
      <c r="T241" s="325">
        <f t="shared" si="3"/>
        <v>0</v>
      </c>
      <c r="U241" s="381">
        <f t="shared" si="4"/>
        <v>0</v>
      </c>
      <c r="V241" s="358"/>
      <c r="W241" s="382"/>
      <c r="X241" s="5"/>
    </row>
    <row r="242" spans="1:25" ht="15.6" x14ac:dyDescent="0.3">
      <c r="A242" s="271"/>
      <c r="B242" s="324" t="s">
        <v>161</v>
      </c>
      <c r="C242" s="380"/>
      <c r="D242" s="380"/>
      <c r="E242" s="380"/>
      <c r="F242" s="272"/>
      <c r="G242" s="381"/>
      <c r="H242" s="380"/>
      <c r="I242" s="380"/>
      <c r="J242" s="380"/>
      <c r="K242" s="380"/>
      <c r="L242" s="380"/>
      <c r="M242" s="380"/>
      <c r="N242" s="380"/>
      <c r="O242" s="380"/>
      <c r="P242" s="380"/>
      <c r="Q242" s="380"/>
      <c r="R242" s="324">
        <f t="shared" si="1"/>
        <v>0</v>
      </c>
      <c r="S242" s="381">
        <f t="shared" si="2"/>
        <v>0</v>
      </c>
      <c r="T242" s="325">
        <f t="shared" si="3"/>
        <v>0</v>
      </c>
      <c r="U242" s="381">
        <f t="shared" si="4"/>
        <v>0</v>
      </c>
      <c r="V242" s="358"/>
      <c r="W242" s="382"/>
      <c r="X242" s="5"/>
      <c r="Y242" s="109"/>
    </row>
    <row r="243" spans="1:25" ht="15.6" x14ac:dyDescent="0.3">
      <c r="A243" s="271"/>
      <c r="B243" s="324" t="s">
        <v>162</v>
      </c>
      <c r="C243" s="380"/>
      <c r="D243" s="380"/>
      <c r="E243" s="380"/>
      <c r="F243" s="272"/>
      <c r="G243" s="381"/>
      <c r="H243" s="380"/>
      <c r="I243" s="380"/>
      <c r="J243" s="380"/>
      <c r="K243" s="380"/>
      <c r="L243" s="380"/>
      <c r="M243" s="380"/>
      <c r="N243" s="380"/>
      <c r="O243" s="380"/>
      <c r="P243" s="380"/>
      <c r="Q243" s="380"/>
      <c r="R243" s="324">
        <f t="shared" si="1"/>
        <v>5</v>
      </c>
      <c r="S243" s="381">
        <f t="shared" si="2"/>
        <v>6.6569032086273463E-4</v>
      </c>
      <c r="T243" s="325">
        <f t="shared" si="3"/>
        <v>519</v>
      </c>
      <c r="U243" s="381">
        <f t="shared" si="4"/>
        <v>5.3907123945876837E-4</v>
      </c>
      <c r="V243" s="358"/>
      <c r="W243" s="382"/>
      <c r="X243" s="5"/>
    </row>
    <row r="244" spans="1:25" ht="15.6" x14ac:dyDescent="0.3">
      <c r="A244" s="271"/>
      <c r="B244" s="324" t="s">
        <v>163</v>
      </c>
      <c r="C244" s="380"/>
      <c r="D244" s="380"/>
      <c r="E244" s="380"/>
      <c r="F244" s="272"/>
      <c r="G244" s="381"/>
      <c r="H244" s="380"/>
      <c r="I244" s="380"/>
      <c r="J244" s="380"/>
      <c r="K244" s="380"/>
      <c r="L244" s="380"/>
      <c r="M244" s="380"/>
      <c r="N244" s="380"/>
      <c r="O244" s="380"/>
      <c r="P244" s="380"/>
      <c r="Q244" s="380"/>
      <c r="R244" s="324">
        <f t="shared" si="1"/>
        <v>31</v>
      </c>
      <c r="S244" s="381">
        <f t="shared" si="2"/>
        <v>4.1272799893489545E-3</v>
      </c>
      <c r="T244" s="325">
        <f t="shared" si="3"/>
        <v>4249</v>
      </c>
      <c r="U244" s="381">
        <f t="shared" si="4"/>
        <v>4.4133211877847908E-3</v>
      </c>
      <c r="V244" s="358"/>
      <c r="W244" s="382"/>
      <c r="X244" s="5"/>
      <c r="Y244" s="109"/>
    </row>
    <row r="245" spans="1:25" ht="15.6" x14ac:dyDescent="0.3">
      <c r="A245" s="271"/>
      <c r="B245" s="324"/>
      <c r="C245" s="380"/>
      <c r="D245" s="380"/>
      <c r="E245" s="380"/>
      <c r="F245" s="272"/>
      <c r="G245" s="381"/>
      <c r="H245" s="380"/>
      <c r="I245" s="380"/>
      <c r="J245" s="380"/>
      <c r="K245" s="380"/>
      <c r="L245" s="380"/>
      <c r="M245" s="380"/>
      <c r="N245" s="380"/>
      <c r="O245" s="380"/>
      <c r="P245" s="380"/>
      <c r="Q245" s="380"/>
      <c r="R245" s="324"/>
      <c r="S245" s="381"/>
      <c r="T245" s="325"/>
      <c r="U245" s="381"/>
      <c r="V245" s="358"/>
      <c r="W245" s="382"/>
      <c r="X245" s="5"/>
    </row>
    <row r="246" spans="1:25" ht="15.6" x14ac:dyDescent="0.3">
      <c r="A246" s="271"/>
      <c r="B246" s="272" t="s">
        <v>117</v>
      </c>
      <c r="C246" s="272"/>
      <c r="D246" s="272"/>
      <c r="E246" s="272"/>
      <c r="F246" s="272"/>
      <c r="G246" s="272"/>
      <c r="H246" s="383"/>
      <c r="I246" s="383"/>
      <c r="J246" s="383"/>
      <c r="K246" s="383"/>
      <c r="L246" s="383"/>
      <c r="M246" s="383"/>
      <c r="N246" s="383"/>
      <c r="O246" s="383"/>
      <c r="P246" s="383"/>
      <c r="Q246" s="383"/>
      <c r="R246" s="324">
        <f>SUM(R237:R245)</f>
        <v>7511</v>
      </c>
      <c r="S246" s="381">
        <f>SUM(S237:S245)</f>
        <v>0.99999999999999989</v>
      </c>
      <c r="T246" s="325">
        <f>SUM(T237:T245)</f>
        <v>962767</v>
      </c>
      <c r="U246" s="381">
        <f>SUM(U237:U245)</f>
        <v>1</v>
      </c>
      <c r="V246" s="272"/>
      <c r="W246" s="275"/>
      <c r="X246" s="5"/>
    </row>
    <row r="247" spans="1:25" ht="15.6" x14ac:dyDescent="0.3">
      <c r="A247" s="215"/>
      <c r="B247" s="347"/>
      <c r="C247" s="352"/>
      <c r="D247" s="352"/>
      <c r="E247" s="352"/>
      <c r="F247" s="353"/>
      <c r="G247" s="321"/>
      <c r="H247" s="321"/>
      <c r="I247" s="321"/>
      <c r="J247" s="321"/>
      <c r="K247" s="321"/>
      <c r="L247" s="321"/>
      <c r="M247" s="321"/>
      <c r="N247" s="321"/>
      <c r="O247" s="321"/>
      <c r="P247" s="321"/>
      <c r="Q247" s="321"/>
      <c r="R247" s="321"/>
      <c r="S247" s="321"/>
      <c r="T247" s="354"/>
      <c r="U247" s="321"/>
      <c r="V247" s="348"/>
      <c r="W247" s="355"/>
      <c r="X247" s="5"/>
    </row>
    <row r="248" spans="1:25" ht="15.6" x14ac:dyDescent="0.3">
      <c r="A248" s="239"/>
      <c r="B248" s="253" t="s">
        <v>165</v>
      </c>
      <c r="C248" s="254"/>
      <c r="D248" s="254"/>
      <c r="E248" s="254"/>
      <c r="F248" s="255"/>
      <c r="G248" s="254"/>
      <c r="H248" s="254"/>
      <c r="I248" s="254"/>
      <c r="J248" s="254"/>
      <c r="K248" s="254"/>
      <c r="L248" s="254"/>
      <c r="M248" s="254"/>
      <c r="N248" s="254"/>
      <c r="O248" s="254"/>
      <c r="P248" s="254"/>
      <c r="Q248" s="254"/>
      <c r="R248" s="255" t="s">
        <v>103</v>
      </c>
      <c r="S248" s="254" t="s">
        <v>104</v>
      </c>
      <c r="T248" s="255" t="s">
        <v>111</v>
      </c>
      <c r="U248" s="254" t="s">
        <v>104</v>
      </c>
      <c r="V248" s="240"/>
      <c r="W248" s="253"/>
      <c r="X248" s="5"/>
    </row>
    <row r="249" spans="1:25" ht="15.6" x14ac:dyDescent="0.3">
      <c r="A249" s="192"/>
      <c r="B249" s="231" t="s">
        <v>89</v>
      </c>
      <c r="C249" s="260"/>
      <c r="D249" s="260"/>
      <c r="E249" s="260"/>
      <c r="F249" s="229"/>
      <c r="G249" s="260"/>
      <c r="H249" s="260"/>
      <c r="I249" s="260"/>
      <c r="J249" s="260"/>
      <c r="K249" s="260"/>
      <c r="L249" s="260"/>
      <c r="M249" s="260"/>
      <c r="N249" s="260"/>
      <c r="O249" s="260"/>
      <c r="P249" s="260"/>
      <c r="Q249" s="260"/>
      <c r="R249" s="231">
        <v>7323</v>
      </c>
      <c r="S249" s="261">
        <f t="shared" ref="S249:S256" si="5">R249/$R$258</f>
        <v>0.99877250409165308</v>
      </c>
      <c r="T249" s="238">
        <v>934742</v>
      </c>
      <c r="U249" s="261">
        <f t="shared" ref="U249:U256" si="6">T249/$T$258</f>
        <v>0.99924100862470766</v>
      </c>
      <c r="V249" s="252"/>
      <c r="W249" s="230"/>
      <c r="X249" s="5"/>
    </row>
    <row r="250" spans="1:25" ht="15.6" x14ac:dyDescent="0.3">
      <c r="A250" s="271"/>
      <c r="B250" s="324" t="s">
        <v>90</v>
      </c>
      <c r="C250" s="380"/>
      <c r="D250" s="380"/>
      <c r="E250" s="380"/>
      <c r="F250" s="272"/>
      <c r="G250" s="381"/>
      <c r="H250" s="380"/>
      <c r="I250" s="380"/>
      <c r="J250" s="380"/>
      <c r="K250" s="380"/>
      <c r="L250" s="380"/>
      <c r="M250" s="380"/>
      <c r="N250" s="380"/>
      <c r="O250" s="380"/>
      <c r="P250" s="380"/>
      <c r="Q250" s="380"/>
      <c r="R250" s="324">
        <v>5</v>
      </c>
      <c r="S250" s="381">
        <f t="shared" si="5"/>
        <v>6.8194217130387348E-4</v>
      </c>
      <c r="T250" s="325">
        <v>372</v>
      </c>
      <c r="U250" s="381">
        <f t="shared" si="6"/>
        <v>3.9766872057572171E-4</v>
      </c>
      <c r="V250" s="358"/>
      <c r="W250" s="382"/>
      <c r="X250" s="5"/>
      <c r="Y250" s="109"/>
    </row>
    <row r="251" spans="1:25" ht="15.6" x14ac:dyDescent="0.3">
      <c r="A251" s="271"/>
      <c r="B251" s="324" t="s">
        <v>91</v>
      </c>
      <c r="C251" s="380"/>
      <c r="D251" s="380"/>
      <c r="E251" s="380"/>
      <c r="F251" s="272"/>
      <c r="G251" s="381"/>
      <c r="H251" s="380"/>
      <c r="I251" s="380"/>
      <c r="J251" s="380"/>
      <c r="K251" s="380"/>
      <c r="L251" s="380"/>
      <c r="M251" s="380"/>
      <c r="N251" s="380"/>
      <c r="O251" s="380"/>
      <c r="P251" s="380"/>
      <c r="Q251" s="380"/>
      <c r="R251" s="324">
        <v>1</v>
      </c>
      <c r="S251" s="381">
        <f t="shared" si="5"/>
        <v>1.3638843426077467E-4</v>
      </c>
      <c r="T251" s="325">
        <v>43</v>
      </c>
      <c r="U251" s="381">
        <f t="shared" si="6"/>
        <v>4.5967083292354929E-5</v>
      </c>
      <c r="V251" s="358"/>
      <c r="W251" s="382"/>
      <c r="X251" s="5"/>
    </row>
    <row r="252" spans="1:25" ht="15.6" x14ac:dyDescent="0.3">
      <c r="A252" s="271"/>
      <c r="B252" s="324" t="s">
        <v>159</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c r="Y252" s="109"/>
    </row>
    <row r="253" spans="1:25" ht="15.6" x14ac:dyDescent="0.3">
      <c r="A253" s="271"/>
      <c r="B253" s="324" t="s">
        <v>160</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row>
    <row r="254" spans="1:25" ht="15.6" x14ac:dyDescent="0.3">
      <c r="A254" s="271"/>
      <c r="B254" s="324" t="s">
        <v>161</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c r="Y254" s="109"/>
    </row>
    <row r="255" spans="1:25" ht="15.6" x14ac:dyDescent="0.3">
      <c r="A255" s="271"/>
      <c r="B255" s="324" t="s">
        <v>162</v>
      </c>
      <c r="C255" s="380"/>
      <c r="D255" s="380"/>
      <c r="E255" s="380"/>
      <c r="F255" s="272"/>
      <c r="G255" s="381"/>
      <c r="H255" s="380"/>
      <c r="I255" s="380"/>
      <c r="J255" s="380"/>
      <c r="K255" s="380"/>
      <c r="L255" s="380"/>
      <c r="M255" s="380"/>
      <c r="N255" s="380"/>
      <c r="O255" s="380"/>
      <c r="P255" s="380"/>
      <c r="Q255" s="380"/>
      <c r="R255" s="324">
        <v>1</v>
      </c>
      <c r="S255" s="381">
        <f t="shared" si="5"/>
        <v>1.3638843426077467E-4</v>
      </c>
      <c r="T255" s="325">
        <v>50</v>
      </c>
      <c r="U255" s="381">
        <f t="shared" si="6"/>
        <v>5.3450096851575498E-5</v>
      </c>
      <c r="V255" s="358"/>
      <c r="W255" s="382"/>
      <c r="X255" s="5"/>
    </row>
    <row r="256" spans="1:25" ht="15.6" x14ac:dyDescent="0.3">
      <c r="A256" s="271"/>
      <c r="B256" s="324" t="s">
        <v>163</v>
      </c>
      <c r="C256" s="380"/>
      <c r="D256" s="380"/>
      <c r="E256" s="380"/>
      <c r="F256" s="272"/>
      <c r="G256" s="381"/>
      <c r="H256" s="380"/>
      <c r="I256" s="380"/>
      <c r="J256" s="380"/>
      <c r="K256" s="380"/>
      <c r="L256" s="380"/>
      <c r="M256" s="380"/>
      <c r="N256" s="380"/>
      <c r="O256" s="380"/>
      <c r="P256" s="380"/>
      <c r="Q256" s="380"/>
      <c r="R256" s="324">
        <v>2</v>
      </c>
      <c r="S256" s="381">
        <f t="shared" si="5"/>
        <v>2.7277686852154935E-4</v>
      </c>
      <c r="T256" s="325">
        <v>245</v>
      </c>
      <c r="U256" s="381">
        <f t="shared" si="6"/>
        <v>2.6190547457271993E-4</v>
      </c>
      <c r="V256" s="358"/>
      <c r="W256" s="382"/>
      <c r="X256" s="5"/>
      <c r="Y256" s="109"/>
    </row>
    <row r="257" spans="1:24" ht="15.6" x14ac:dyDescent="0.3">
      <c r="A257" s="271"/>
      <c r="B257" s="324"/>
      <c r="C257" s="380"/>
      <c r="D257" s="380"/>
      <c r="E257" s="380"/>
      <c r="F257" s="272"/>
      <c r="G257" s="381"/>
      <c r="H257" s="380"/>
      <c r="I257" s="380"/>
      <c r="J257" s="380"/>
      <c r="K257" s="380"/>
      <c r="L257" s="380"/>
      <c r="M257" s="380"/>
      <c r="N257" s="380"/>
      <c r="O257" s="380"/>
      <c r="P257" s="380"/>
      <c r="Q257" s="380"/>
      <c r="R257" s="324"/>
      <c r="S257" s="381"/>
      <c r="T257" s="325"/>
      <c r="U257" s="381"/>
      <c r="V257" s="358"/>
      <c r="W257" s="382"/>
      <c r="X257" s="5"/>
    </row>
    <row r="258" spans="1:24" ht="15.6" x14ac:dyDescent="0.3">
      <c r="A258" s="271"/>
      <c r="B258" s="272" t="s">
        <v>117</v>
      </c>
      <c r="C258" s="272"/>
      <c r="D258" s="272"/>
      <c r="E258" s="272"/>
      <c r="F258" s="272"/>
      <c r="G258" s="272"/>
      <c r="H258" s="383"/>
      <c r="I258" s="383"/>
      <c r="J258" s="383"/>
      <c r="K258" s="383"/>
      <c r="L258" s="383"/>
      <c r="M258" s="383"/>
      <c r="N258" s="383"/>
      <c r="O258" s="383"/>
      <c r="P258" s="383"/>
      <c r="Q258" s="383"/>
      <c r="R258" s="324">
        <f>SUM(R249:R257)</f>
        <v>7332</v>
      </c>
      <c r="S258" s="381">
        <f>SUM(S249:S257)</f>
        <v>1</v>
      </c>
      <c r="T258" s="325">
        <f>SUM(T249:T257)</f>
        <v>935452</v>
      </c>
      <c r="U258" s="381">
        <f>SUM(U249:U257)</f>
        <v>1</v>
      </c>
      <c r="V258" s="272"/>
      <c r="W258" s="275"/>
      <c r="X258" s="5"/>
    </row>
    <row r="259" spans="1:24" ht="15.6" x14ac:dyDescent="0.3">
      <c r="A259" s="175"/>
      <c r="B259" s="321"/>
      <c r="C259" s="321"/>
      <c r="D259" s="321"/>
      <c r="E259" s="321"/>
      <c r="F259" s="321"/>
      <c r="G259" s="321"/>
      <c r="H259" s="377"/>
      <c r="I259" s="377"/>
      <c r="J259" s="377"/>
      <c r="K259" s="377"/>
      <c r="L259" s="377"/>
      <c r="M259" s="377"/>
      <c r="N259" s="377"/>
      <c r="O259" s="377"/>
      <c r="P259" s="377"/>
      <c r="Q259" s="377"/>
      <c r="R259" s="322"/>
      <c r="S259" s="378"/>
      <c r="T259" s="379"/>
      <c r="U259" s="378"/>
      <c r="V259" s="321"/>
      <c r="W259" s="321"/>
      <c r="X259" s="5"/>
    </row>
    <row r="260" spans="1:24" ht="15.6" x14ac:dyDescent="0.3">
      <c r="A260" s="256"/>
      <c r="B260" s="253" t="s">
        <v>279</v>
      </c>
      <c r="C260" s="254"/>
      <c r="D260" s="254"/>
      <c r="E260" s="254"/>
      <c r="F260" s="255"/>
      <c r="G260" s="254"/>
      <c r="H260" s="254"/>
      <c r="I260" s="254"/>
      <c r="J260" s="254"/>
      <c r="K260" s="254"/>
      <c r="L260" s="254"/>
      <c r="M260" s="254"/>
      <c r="N260" s="254"/>
      <c r="O260" s="254"/>
      <c r="P260" s="254"/>
      <c r="Q260" s="254"/>
      <c r="R260" s="255" t="s">
        <v>103</v>
      </c>
      <c r="S260" s="254" t="s">
        <v>104</v>
      </c>
      <c r="T260" s="255" t="s">
        <v>111</v>
      </c>
      <c r="U260" s="254" t="s">
        <v>104</v>
      </c>
      <c r="V260" s="257"/>
      <c r="W260" s="258"/>
      <c r="X260" s="5"/>
    </row>
    <row r="261" spans="1:24" ht="15.6" x14ac:dyDescent="0.3">
      <c r="A261" s="192"/>
      <c r="B261" s="231" t="s">
        <v>89</v>
      </c>
      <c r="C261" s="260"/>
      <c r="D261" s="260"/>
      <c r="E261" s="260"/>
      <c r="F261" s="229"/>
      <c r="G261" s="260"/>
      <c r="H261" s="260"/>
      <c r="I261" s="260"/>
      <c r="J261" s="260"/>
      <c r="K261" s="260"/>
      <c r="L261" s="260"/>
      <c r="M261" s="260"/>
      <c r="N261" s="260"/>
      <c r="O261" s="260"/>
      <c r="P261" s="260"/>
      <c r="Q261" s="260"/>
      <c r="R261" s="231">
        <v>143</v>
      </c>
      <c r="S261" s="261">
        <f>R261/$R$270</f>
        <v>0.8033707865168539</v>
      </c>
      <c r="T261" s="238">
        <v>22568</v>
      </c>
      <c r="U261" s="261">
        <f t="shared" ref="U261:U268" si="7">T261/$T$270</f>
        <v>0.8399270534817076</v>
      </c>
      <c r="V261" s="229"/>
      <c r="W261" s="193"/>
      <c r="X261" s="5"/>
    </row>
    <row r="262" spans="1:24" ht="15.6" x14ac:dyDescent="0.3">
      <c r="A262" s="271"/>
      <c r="B262" s="324" t="s">
        <v>90</v>
      </c>
      <c r="C262" s="380"/>
      <c r="D262" s="380"/>
      <c r="E262" s="380"/>
      <c r="F262" s="272"/>
      <c r="G262" s="381"/>
      <c r="H262" s="380"/>
      <c r="I262" s="380"/>
      <c r="J262" s="380"/>
      <c r="K262" s="380"/>
      <c r="L262" s="380"/>
      <c r="M262" s="380"/>
      <c r="N262" s="380"/>
      <c r="O262" s="380"/>
      <c r="P262" s="380"/>
      <c r="Q262" s="380"/>
      <c r="R262" s="324">
        <v>2</v>
      </c>
      <c r="S262" s="381">
        <f t="shared" ref="S262:S268" si="8">R262/$R$270</f>
        <v>1.1235955056179775E-2</v>
      </c>
      <c r="T262" s="325">
        <v>146</v>
      </c>
      <c r="U262" s="381">
        <f t="shared" si="7"/>
        <v>5.4337712605604972E-3</v>
      </c>
      <c r="V262" s="272"/>
      <c r="W262" s="304"/>
      <c r="X262" s="5"/>
    </row>
    <row r="263" spans="1:24" ht="15.6" x14ac:dyDescent="0.3">
      <c r="A263" s="271"/>
      <c r="B263" s="324" t="s">
        <v>91</v>
      </c>
      <c r="C263" s="380"/>
      <c r="D263" s="380"/>
      <c r="E263" s="380"/>
      <c r="F263" s="272"/>
      <c r="G263" s="381"/>
      <c r="H263" s="380"/>
      <c r="I263" s="380"/>
      <c r="J263" s="380"/>
      <c r="K263" s="380"/>
      <c r="L263" s="380"/>
      <c r="M263" s="380"/>
      <c r="N263" s="380"/>
      <c r="O263" s="380"/>
      <c r="P263" s="380"/>
      <c r="Q263" s="380"/>
      <c r="R263" s="324">
        <v>1</v>
      </c>
      <c r="S263" s="381">
        <f t="shared" si="8"/>
        <v>5.6179775280898875E-3</v>
      </c>
      <c r="T263" s="325">
        <v>128</v>
      </c>
      <c r="U263" s="381">
        <f t="shared" si="7"/>
        <v>4.7638542558338607E-3</v>
      </c>
      <c r="V263" s="272"/>
      <c r="W263" s="304"/>
      <c r="X263" s="5"/>
    </row>
    <row r="264" spans="1:24" ht="15.6" x14ac:dyDescent="0.3">
      <c r="A264" s="271"/>
      <c r="B264" s="324" t="s">
        <v>159</v>
      </c>
      <c r="C264" s="380"/>
      <c r="D264" s="380"/>
      <c r="E264" s="380"/>
      <c r="F264" s="272"/>
      <c r="G264" s="381"/>
      <c r="H264" s="380"/>
      <c r="I264" s="380"/>
      <c r="J264" s="380"/>
      <c r="K264" s="380"/>
      <c r="L264" s="380"/>
      <c r="M264" s="380"/>
      <c r="N264" s="380"/>
      <c r="O264" s="380"/>
      <c r="P264" s="380"/>
      <c r="Q264" s="380"/>
      <c r="R264" s="324">
        <v>0</v>
      </c>
      <c r="S264" s="381">
        <f t="shared" si="8"/>
        <v>0</v>
      </c>
      <c r="T264" s="325">
        <v>0</v>
      </c>
      <c r="U264" s="381">
        <f t="shared" si="7"/>
        <v>0</v>
      </c>
      <c r="V264" s="272"/>
      <c r="W264" s="304"/>
      <c r="X264" s="5"/>
    </row>
    <row r="265" spans="1:24" ht="15.6" x14ac:dyDescent="0.3">
      <c r="A265" s="271"/>
      <c r="B265" s="324" t="s">
        <v>160</v>
      </c>
      <c r="C265" s="380"/>
      <c r="D265" s="380"/>
      <c r="E265" s="380"/>
      <c r="F265" s="272"/>
      <c r="G265" s="381"/>
      <c r="H265" s="380"/>
      <c r="I265" s="380"/>
      <c r="J265" s="380"/>
      <c r="K265" s="380"/>
      <c r="L265" s="380"/>
      <c r="M265" s="380"/>
      <c r="N265" s="380"/>
      <c r="O265" s="380"/>
      <c r="P265" s="380"/>
      <c r="Q265" s="380"/>
      <c r="R265" s="324">
        <v>0</v>
      </c>
      <c r="S265" s="381">
        <f t="shared" si="8"/>
        <v>0</v>
      </c>
      <c r="T265" s="325">
        <v>0</v>
      </c>
      <c r="U265" s="381">
        <f t="shared" si="7"/>
        <v>0</v>
      </c>
      <c r="V265" s="272"/>
      <c r="W265" s="304"/>
      <c r="X265" s="5"/>
    </row>
    <row r="266" spans="1:24" ht="15.6" x14ac:dyDescent="0.3">
      <c r="A266" s="271"/>
      <c r="B266" s="324" t="s">
        <v>161</v>
      </c>
      <c r="C266" s="380"/>
      <c r="D266" s="380"/>
      <c r="E266" s="380"/>
      <c r="F266" s="272"/>
      <c r="G266" s="381"/>
      <c r="H266" s="380"/>
      <c r="I266" s="380"/>
      <c r="J266" s="380"/>
      <c r="K266" s="380"/>
      <c r="L266" s="380"/>
      <c r="M266" s="380"/>
      <c r="N266" s="380"/>
      <c r="O266" s="380"/>
      <c r="P266" s="380"/>
      <c r="Q266" s="380"/>
      <c r="R266" s="324">
        <v>0</v>
      </c>
      <c r="S266" s="381">
        <f t="shared" si="8"/>
        <v>0</v>
      </c>
      <c r="T266" s="325">
        <v>0</v>
      </c>
      <c r="U266" s="381">
        <f t="shared" si="7"/>
        <v>0</v>
      </c>
      <c r="V266" s="272"/>
      <c r="W266" s="304"/>
      <c r="X266" s="5"/>
    </row>
    <row r="267" spans="1:24" ht="15.6" x14ac:dyDescent="0.3">
      <c r="A267" s="271"/>
      <c r="B267" s="324" t="s">
        <v>162</v>
      </c>
      <c r="C267" s="380"/>
      <c r="D267" s="380"/>
      <c r="E267" s="380"/>
      <c r="F267" s="272"/>
      <c r="G267" s="381"/>
      <c r="H267" s="380"/>
      <c r="I267" s="380"/>
      <c r="J267" s="380"/>
      <c r="K267" s="380"/>
      <c r="L267" s="380"/>
      <c r="M267" s="380"/>
      <c r="N267" s="380"/>
      <c r="O267" s="380"/>
      <c r="P267" s="380"/>
      <c r="Q267" s="380"/>
      <c r="R267" s="324">
        <v>4</v>
      </c>
      <c r="S267" s="381">
        <f t="shared" si="8"/>
        <v>2.247191011235955E-2</v>
      </c>
      <c r="T267" s="325">
        <v>469</v>
      </c>
      <c r="U267" s="381">
        <f t="shared" si="7"/>
        <v>1.7455059734266254E-2</v>
      </c>
      <c r="V267" s="272"/>
      <c r="W267" s="304"/>
      <c r="X267" s="5"/>
    </row>
    <row r="268" spans="1:24" ht="15.6" x14ac:dyDescent="0.3">
      <c r="A268" s="271"/>
      <c r="B268" s="324" t="s">
        <v>163</v>
      </c>
      <c r="C268" s="380"/>
      <c r="D268" s="380"/>
      <c r="E268" s="380"/>
      <c r="F268" s="272"/>
      <c r="G268" s="381"/>
      <c r="H268" s="380"/>
      <c r="I268" s="380"/>
      <c r="J268" s="380"/>
      <c r="K268" s="380"/>
      <c r="L268" s="380"/>
      <c r="M268" s="380"/>
      <c r="N268" s="380"/>
      <c r="O268" s="380"/>
      <c r="P268" s="380"/>
      <c r="Q268" s="380"/>
      <c r="R268" s="324">
        <v>28</v>
      </c>
      <c r="S268" s="381">
        <f t="shared" si="8"/>
        <v>0.15730337078651685</v>
      </c>
      <c r="T268" s="325">
        <v>3558</v>
      </c>
      <c r="U268" s="381">
        <f t="shared" si="7"/>
        <v>0.13242026126763184</v>
      </c>
      <c r="V268" s="272"/>
      <c r="W268" s="304"/>
      <c r="X268" s="5"/>
    </row>
    <row r="269" spans="1:24" ht="15.6" x14ac:dyDescent="0.3">
      <c r="A269" s="271"/>
      <c r="B269" s="324"/>
      <c r="C269" s="380"/>
      <c r="D269" s="380"/>
      <c r="E269" s="380"/>
      <c r="F269" s="272"/>
      <c r="G269" s="381"/>
      <c r="H269" s="380"/>
      <c r="I269" s="380"/>
      <c r="J269" s="380"/>
      <c r="K269" s="380"/>
      <c r="L269" s="380"/>
      <c r="M269" s="380"/>
      <c r="N269" s="380"/>
      <c r="O269" s="380"/>
      <c r="P269" s="380"/>
      <c r="Q269" s="380"/>
      <c r="R269" s="324"/>
      <c r="S269" s="381"/>
      <c r="T269" s="325"/>
      <c r="U269" s="381"/>
      <c r="V269" s="272"/>
      <c r="W269" s="304"/>
      <c r="X269" s="5"/>
    </row>
    <row r="270" spans="1:24" ht="15.6" x14ac:dyDescent="0.3">
      <c r="A270" s="271"/>
      <c r="B270" s="272" t="s">
        <v>117</v>
      </c>
      <c r="C270" s="272"/>
      <c r="D270" s="272"/>
      <c r="E270" s="272"/>
      <c r="F270" s="272"/>
      <c r="G270" s="272"/>
      <c r="H270" s="383"/>
      <c r="I270" s="383"/>
      <c r="J270" s="383"/>
      <c r="K270" s="383"/>
      <c r="L270" s="383"/>
      <c r="M270" s="383"/>
      <c r="N270" s="383"/>
      <c r="O270" s="383"/>
      <c r="P270" s="383"/>
      <c r="Q270" s="383"/>
      <c r="R270" s="324">
        <f>SUM(R261:R269)</f>
        <v>178</v>
      </c>
      <c r="S270" s="381">
        <f>SUM(S261:S269)</f>
        <v>1</v>
      </c>
      <c r="T270" s="325">
        <f>SUM(T261:T269)</f>
        <v>26869</v>
      </c>
      <c r="U270" s="381">
        <f>SUM(U261:U269)</f>
        <v>1</v>
      </c>
      <c r="V270" s="272"/>
      <c r="W270" s="304"/>
      <c r="X270" s="5"/>
    </row>
    <row r="271" spans="1:24" ht="15.6" x14ac:dyDescent="0.3">
      <c r="A271" s="175"/>
      <c r="B271" s="321"/>
      <c r="C271" s="321"/>
      <c r="D271" s="321"/>
      <c r="E271" s="321"/>
      <c r="F271" s="321"/>
      <c r="G271" s="321"/>
      <c r="H271" s="377"/>
      <c r="I271" s="377"/>
      <c r="J271" s="377"/>
      <c r="K271" s="377"/>
      <c r="L271" s="377"/>
      <c r="M271" s="377"/>
      <c r="N271" s="377"/>
      <c r="O271" s="377"/>
      <c r="P271" s="377"/>
      <c r="Q271" s="377"/>
      <c r="R271" s="322"/>
      <c r="S271" s="378"/>
      <c r="T271" s="379"/>
      <c r="U271" s="378"/>
      <c r="V271" s="321"/>
      <c r="W271" s="321"/>
      <c r="X271" s="5"/>
    </row>
    <row r="272" spans="1:24" ht="15.6" x14ac:dyDescent="0.3">
      <c r="A272" s="256"/>
      <c r="B272" s="253" t="s">
        <v>166</v>
      </c>
      <c r="C272" s="257"/>
      <c r="D272" s="257"/>
      <c r="E272" s="257"/>
      <c r="F272" s="257"/>
      <c r="G272" s="257"/>
      <c r="H272" s="259"/>
      <c r="I272" s="259"/>
      <c r="J272" s="259"/>
      <c r="K272" s="259"/>
      <c r="L272" s="259"/>
      <c r="M272" s="259"/>
      <c r="N272" s="259"/>
      <c r="O272" s="259"/>
      <c r="P272" s="259"/>
      <c r="Q272" s="259"/>
      <c r="R272" s="255" t="s">
        <v>103</v>
      </c>
      <c r="S272" s="254" t="s">
        <v>104</v>
      </c>
      <c r="T272" s="255" t="s">
        <v>111</v>
      </c>
      <c r="U272" s="254" t="s">
        <v>104</v>
      </c>
      <c r="V272" s="257"/>
      <c r="W272" s="258"/>
      <c r="X272" s="5"/>
    </row>
    <row r="273" spans="1:24" ht="15.6" x14ac:dyDescent="0.3">
      <c r="A273" s="192"/>
      <c r="B273" s="231" t="s">
        <v>89</v>
      </c>
      <c r="C273" s="229"/>
      <c r="D273" s="229"/>
      <c r="E273" s="229"/>
      <c r="F273" s="229"/>
      <c r="G273" s="229"/>
      <c r="H273" s="262"/>
      <c r="I273" s="262"/>
      <c r="J273" s="262"/>
      <c r="K273" s="262"/>
      <c r="L273" s="262"/>
      <c r="M273" s="262"/>
      <c r="N273" s="262"/>
      <c r="O273" s="262"/>
      <c r="P273" s="262"/>
      <c r="Q273" s="262"/>
      <c r="R273" s="231">
        <v>0</v>
      </c>
      <c r="S273" s="261">
        <v>0</v>
      </c>
      <c r="T273" s="238">
        <v>0</v>
      </c>
      <c r="U273" s="261">
        <v>0</v>
      </c>
      <c r="V273" s="229"/>
      <c r="W273" s="229"/>
      <c r="X273" s="5"/>
    </row>
    <row r="274" spans="1:24" ht="15.6" x14ac:dyDescent="0.3">
      <c r="A274" s="271"/>
      <c r="B274" s="324" t="s">
        <v>90</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91</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159</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160</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161</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162</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t="s">
        <v>163</v>
      </c>
      <c r="C280" s="272"/>
      <c r="D280" s="272"/>
      <c r="E280" s="272"/>
      <c r="F280" s="272"/>
      <c r="G280" s="272"/>
      <c r="H280" s="383"/>
      <c r="I280" s="383"/>
      <c r="J280" s="383"/>
      <c r="K280" s="383"/>
      <c r="L280" s="383"/>
      <c r="M280" s="383"/>
      <c r="N280" s="383"/>
      <c r="O280" s="383"/>
      <c r="P280" s="383"/>
      <c r="Q280" s="383"/>
      <c r="R280" s="324">
        <v>1</v>
      </c>
      <c r="S280" s="381">
        <v>1</v>
      </c>
      <c r="T280" s="325">
        <v>446</v>
      </c>
      <c r="U280" s="381">
        <v>1</v>
      </c>
      <c r="V280" s="272"/>
      <c r="W280" s="275"/>
      <c r="X280" s="5"/>
    </row>
    <row r="281" spans="1:24" ht="15.6" x14ac:dyDescent="0.3">
      <c r="A281" s="271"/>
      <c r="B281" s="324"/>
      <c r="C281" s="272"/>
      <c r="D281" s="272"/>
      <c r="E281" s="272"/>
      <c r="F281" s="272"/>
      <c r="G281" s="272"/>
      <c r="H281" s="383"/>
      <c r="I281" s="383"/>
      <c r="J281" s="383"/>
      <c r="K281" s="383"/>
      <c r="L281" s="383"/>
      <c r="M281" s="383"/>
      <c r="N281" s="383"/>
      <c r="O281" s="383"/>
      <c r="P281" s="383"/>
      <c r="Q281" s="383"/>
      <c r="R281" s="324"/>
      <c r="S281" s="381"/>
      <c r="T281" s="325"/>
      <c r="U281" s="381"/>
      <c r="V281" s="272"/>
      <c r="W281" s="275"/>
      <c r="X281" s="5"/>
    </row>
    <row r="282" spans="1:24" ht="15.6" x14ac:dyDescent="0.3">
      <c r="A282" s="271"/>
      <c r="B282" s="272" t="s">
        <v>117</v>
      </c>
      <c r="C282" s="272"/>
      <c r="D282" s="272"/>
      <c r="E282" s="272"/>
      <c r="F282" s="272"/>
      <c r="G282" s="272"/>
      <c r="H282" s="383"/>
      <c r="I282" s="383"/>
      <c r="J282" s="383"/>
      <c r="K282" s="383"/>
      <c r="L282" s="383"/>
      <c r="M282" s="383"/>
      <c r="N282" s="383"/>
      <c r="O282" s="383"/>
      <c r="P282" s="383"/>
      <c r="Q282" s="383"/>
      <c r="R282" s="324">
        <f>SUM(R273:R280)</f>
        <v>1</v>
      </c>
      <c r="S282" s="381">
        <f>SUM(S273:S280)</f>
        <v>1</v>
      </c>
      <c r="T282" s="325">
        <f>SUM(T273:T280)</f>
        <v>446</v>
      </c>
      <c r="U282" s="381">
        <f>SUM(U273:U280)</f>
        <v>1</v>
      </c>
      <c r="V282" s="272"/>
      <c r="W282" s="275"/>
      <c r="X282" s="5"/>
    </row>
    <row r="283" spans="1:24" ht="15.6" x14ac:dyDescent="0.3">
      <c r="A283" s="271"/>
      <c r="B283" s="272"/>
      <c r="C283" s="272"/>
      <c r="D283" s="272"/>
      <c r="E283" s="272"/>
      <c r="F283" s="272"/>
      <c r="G283" s="272"/>
      <c r="H283" s="383"/>
      <c r="I283" s="383"/>
      <c r="J283" s="383"/>
      <c r="K283" s="383"/>
      <c r="L283" s="383"/>
      <c r="M283" s="383"/>
      <c r="N283" s="383"/>
      <c r="O283" s="383"/>
      <c r="P283" s="383"/>
      <c r="Q283" s="383"/>
      <c r="R283" s="324"/>
      <c r="S283" s="381"/>
      <c r="T283" s="325"/>
      <c r="U283" s="381"/>
      <c r="V283" s="272"/>
      <c r="W283" s="275"/>
      <c r="X283" s="5"/>
    </row>
    <row r="284" spans="1:24" ht="15.6" x14ac:dyDescent="0.3">
      <c r="A284" s="271"/>
      <c r="B284" s="279" t="s">
        <v>167</v>
      </c>
      <c r="C284" s="272"/>
      <c r="D284" s="272"/>
      <c r="E284" s="272"/>
      <c r="F284" s="272"/>
      <c r="G284" s="272"/>
      <c r="H284" s="383"/>
      <c r="I284" s="383"/>
      <c r="J284" s="383"/>
      <c r="K284" s="383"/>
      <c r="L284" s="383"/>
      <c r="M284" s="383"/>
      <c r="N284" s="383"/>
      <c r="O284" s="383"/>
      <c r="P284" s="383"/>
      <c r="Q284" s="383"/>
      <c r="R284" s="390">
        <f>R282+R270+R258</f>
        <v>7511</v>
      </c>
      <c r="S284" s="381"/>
      <c r="T284" s="387">
        <f>+T282+T270+T258</f>
        <v>962767</v>
      </c>
      <c r="U284" s="381"/>
      <c r="V284" s="272"/>
      <c r="W284" s="275"/>
      <c r="X284" s="5"/>
    </row>
    <row r="285" spans="1:24" ht="15.6" x14ac:dyDescent="0.3">
      <c r="A285" s="175"/>
      <c r="B285" s="268"/>
      <c r="C285" s="268"/>
      <c r="D285" s="268"/>
      <c r="E285" s="268"/>
      <c r="F285" s="268"/>
      <c r="G285" s="268"/>
      <c r="H285" s="384"/>
      <c r="I285" s="384"/>
      <c r="J285" s="384"/>
      <c r="K285" s="384"/>
      <c r="L285" s="384"/>
      <c r="M285" s="384"/>
      <c r="N285" s="384"/>
      <c r="O285" s="384"/>
      <c r="P285" s="384"/>
      <c r="Q285" s="384"/>
      <c r="R285" s="384"/>
      <c r="S285" s="384"/>
      <c r="T285" s="385"/>
      <c r="U285" s="384"/>
      <c r="V285" s="268"/>
      <c r="W285" s="268"/>
      <c r="X285" s="5"/>
    </row>
    <row r="286" spans="1:24" ht="15.6" x14ac:dyDescent="0.3">
      <c r="A286" s="175"/>
      <c r="B286" s="220"/>
      <c r="C286" s="220"/>
      <c r="D286" s="220"/>
      <c r="E286" s="220"/>
      <c r="F286" s="220"/>
      <c r="G286" s="220"/>
      <c r="H286" s="263"/>
      <c r="I286" s="263"/>
      <c r="J286" s="263"/>
      <c r="K286" s="263"/>
      <c r="L286" s="263"/>
      <c r="M286" s="263"/>
      <c r="N286" s="263"/>
      <c r="O286" s="263"/>
      <c r="P286" s="263"/>
      <c r="Q286" s="263"/>
      <c r="R286" s="263"/>
      <c r="S286" s="263"/>
      <c r="T286" s="264"/>
      <c r="U286" s="263"/>
      <c r="V286" s="220"/>
      <c r="W286" s="220"/>
      <c r="X286" s="5"/>
    </row>
    <row r="287" spans="1:24" ht="15.6" x14ac:dyDescent="0.3">
      <c r="A287" s="216"/>
      <c r="B287" s="219" t="s">
        <v>92</v>
      </c>
      <c r="C287" s="220"/>
      <c r="D287" s="220"/>
      <c r="E287" s="220"/>
      <c r="F287" s="224" t="s">
        <v>98</v>
      </c>
      <c r="G287" s="220"/>
      <c r="H287" s="219" t="s">
        <v>100</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335</v>
      </c>
      <c r="C288" s="220"/>
      <c r="D288" s="220"/>
      <c r="E288" s="220"/>
      <c r="F288" s="265" t="s">
        <v>151</v>
      </c>
      <c r="G288" s="220"/>
      <c r="H288" s="219" t="s">
        <v>155</v>
      </c>
      <c r="I288" s="219"/>
      <c r="J288" s="219"/>
      <c r="K288" s="227"/>
      <c r="L288" s="227"/>
      <c r="M288" s="227"/>
      <c r="N288" s="227"/>
      <c r="O288" s="227"/>
      <c r="P288" s="227"/>
      <c r="Q288" s="227"/>
      <c r="R288" s="227"/>
      <c r="S288" s="227"/>
      <c r="T288" s="227"/>
      <c r="U288" s="227"/>
      <c r="V288" s="227"/>
      <c r="W288" s="227"/>
      <c r="X288" s="5"/>
    </row>
    <row r="289" spans="1:24" ht="15.6" x14ac:dyDescent="0.3">
      <c r="A289" s="216"/>
      <c r="B289" s="219" t="s">
        <v>336</v>
      </c>
      <c r="C289" s="219"/>
      <c r="D289" s="219"/>
      <c r="E289" s="219"/>
      <c r="F289" s="265" t="s">
        <v>282</v>
      </c>
      <c r="G289" s="219"/>
      <c r="H289" s="219" t="s">
        <v>283</v>
      </c>
      <c r="I289" s="227"/>
      <c r="J289" s="219"/>
      <c r="K289" s="227"/>
      <c r="L289" s="227"/>
      <c r="M289" s="227"/>
      <c r="N289" s="227"/>
      <c r="O289" s="227"/>
      <c r="P289" s="227"/>
      <c r="Q289" s="227"/>
      <c r="R289" s="227"/>
      <c r="S289" s="227"/>
      <c r="T289" s="227"/>
      <c r="U289" s="227"/>
      <c r="V289" s="227"/>
      <c r="W289" s="227"/>
      <c r="X289" s="5"/>
    </row>
    <row r="290" spans="1:24" ht="15.6" x14ac:dyDescent="0.3">
      <c r="A290" s="216"/>
      <c r="B290" s="219" t="s">
        <v>337</v>
      </c>
      <c r="C290" s="219"/>
      <c r="D290" s="219"/>
      <c r="E290" s="219"/>
      <c r="F290" s="265" t="s">
        <v>150</v>
      </c>
      <c r="G290" s="219"/>
      <c r="H290" s="219" t="s">
        <v>156</v>
      </c>
      <c r="I290" s="219"/>
      <c r="J290" s="219"/>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5.6" x14ac:dyDescent="0.3">
      <c r="A292" s="216"/>
      <c r="B292" s="219"/>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ht="18" thickBot="1" x14ac:dyDescent="0.35">
      <c r="A293" s="216"/>
      <c r="B293" s="267" t="str">
        <f>B198</f>
        <v>PM13 INVESTOR REPORT QUARTER ENDING DECEMBER 2013</v>
      </c>
      <c r="C293" s="219"/>
      <c r="D293" s="219"/>
      <c r="E293" s="219"/>
      <c r="F293" s="219"/>
      <c r="G293" s="266"/>
      <c r="H293" s="227"/>
      <c r="I293" s="227"/>
      <c r="J293" s="227"/>
      <c r="K293" s="227"/>
      <c r="L293" s="227"/>
      <c r="M293" s="227"/>
      <c r="N293" s="227"/>
      <c r="O293" s="227"/>
      <c r="P293" s="227"/>
      <c r="Q293" s="227"/>
      <c r="R293" s="227"/>
      <c r="S293" s="227"/>
      <c r="T293" s="227"/>
      <c r="U293" s="227"/>
      <c r="V293" s="227"/>
      <c r="W293" s="227"/>
      <c r="X293" s="5"/>
    </row>
    <row r="294" spans="1:24" x14ac:dyDescent="0.25">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row>
  </sheetData>
  <hyperlinks>
    <hyperlink ref="P234" r:id="rId1" xr:uid="{00000000-0004-0000-1C00-000000000000}"/>
    <hyperlink ref="I9" r:id="rId2" xr:uid="{00000000-0004-0000-1C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2" man="1"/>
    <brk id="138" max="22" man="1"/>
    <brk id="198" max="22"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9CB31"/>
  </sheetPr>
  <dimension ref="A1:Y280"/>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238</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239</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140</v>
      </c>
      <c r="C5" s="8"/>
      <c r="D5" s="8"/>
      <c r="E5" s="8"/>
      <c r="F5" s="8"/>
      <c r="G5" s="8"/>
      <c r="H5" s="8"/>
      <c r="I5" s="8"/>
      <c r="J5" s="8"/>
      <c r="K5" s="8"/>
      <c r="L5" s="8"/>
      <c r="M5" s="8"/>
      <c r="N5" s="8"/>
      <c r="O5" s="8"/>
      <c r="P5" s="8"/>
      <c r="Q5" s="8"/>
      <c r="R5" s="8"/>
      <c r="S5" s="8"/>
      <c r="T5" s="8"/>
      <c r="U5" s="8"/>
      <c r="V5" s="8"/>
      <c r="W5" s="8"/>
      <c r="X5" s="5"/>
    </row>
    <row r="6" spans="1:24" ht="15.6" x14ac:dyDescent="0.3">
      <c r="A6" s="6"/>
      <c r="B6" s="11" t="s">
        <v>142</v>
      </c>
      <c r="C6" s="8"/>
      <c r="D6" s="8"/>
      <c r="E6" s="8"/>
      <c r="F6" s="8"/>
      <c r="G6" s="8"/>
      <c r="H6" s="8"/>
      <c r="I6" s="8"/>
      <c r="J6" s="8"/>
      <c r="K6" s="8"/>
      <c r="L6" s="8"/>
      <c r="M6" s="8"/>
      <c r="N6" s="8"/>
      <c r="O6" s="8"/>
      <c r="P6" s="8"/>
      <c r="Q6" s="8"/>
      <c r="R6" s="8"/>
      <c r="S6" s="8"/>
      <c r="T6" s="8"/>
      <c r="U6" s="8"/>
      <c r="V6" s="8"/>
      <c r="W6" s="8"/>
      <c r="X6" s="5"/>
    </row>
    <row r="7" spans="1:24" ht="15.6" x14ac:dyDescent="0.3">
      <c r="A7" s="6"/>
      <c r="B7" s="11" t="s">
        <v>141</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169</v>
      </c>
      <c r="C9" s="8"/>
      <c r="D9" s="8"/>
      <c r="E9" s="8"/>
      <c r="F9" s="8"/>
      <c r="G9" s="8"/>
      <c r="H9" s="8"/>
      <c r="I9" s="148" t="s">
        <v>170</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240</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105</v>
      </c>
      <c r="S15" s="137">
        <v>0.57609999999999995</v>
      </c>
      <c r="T15" s="17" t="s">
        <v>143</v>
      </c>
      <c r="U15" s="137">
        <v>0.4239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105</v>
      </c>
      <c r="S16" s="137">
        <v>0.54959999999999998</v>
      </c>
      <c r="T16" s="17" t="s">
        <v>143</v>
      </c>
      <c r="U16" s="137">
        <v>0.45040000000000002</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39016</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39286</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106</v>
      </c>
      <c r="U20" s="8"/>
      <c r="V20" s="16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180</v>
      </c>
      <c r="E22" s="112"/>
      <c r="F22" s="112" t="s">
        <v>181</v>
      </c>
      <c r="G22" s="112"/>
      <c r="H22" s="112" t="s">
        <v>182</v>
      </c>
      <c r="I22" s="112"/>
      <c r="J22" s="112" t="s">
        <v>223</v>
      </c>
      <c r="K22" s="112"/>
      <c r="L22" s="112" t="s">
        <v>183</v>
      </c>
      <c r="M22" s="112"/>
      <c r="N22" s="112" t="s">
        <v>184</v>
      </c>
      <c r="O22" s="112"/>
      <c r="P22" s="112" t="s">
        <v>224</v>
      </c>
      <c r="Q22" s="112"/>
      <c r="R22" s="112" t="s">
        <v>185</v>
      </c>
      <c r="S22" s="113"/>
      <c r="T22" s="23"/>
      <c r="U22" s="162"/>
      <c r="V22" s="162"/>
      <c r="W22" s="8"/>
      <c r="X22" s="5"/>
    </row>
    <row r="23" spans="1:24" ht="15.6" x14ac:dyDescent="0.3">
      <c r="A23" s="24"/>
      <c r="B23" s="25" t="s">
        <v>7</v>
      </c>
      <c r="C23" s="26"/>
      <c r="D23" s="26" t="s">
        <v>216</v>
      </c>
      <c r="E23" s="26"/>
      <c r="F23" s="26" t="s">
        <v>144</v>
      </c>
      <c r="G23" s="26"/>
      <c r="H23" s="26" t="s">
        <v>144</v>
      </c>
      <c r="I23" s="26"/>
      <c r="J23" s="26" t="s">
        <v>144</v>
      </c>
      <c r="K23" s="26"/>
      <c r="L23" s="26" t="s">
        <v>186</v>
      </c>
      <c r="M23" s="26"/>
      <c r="N23" s="26" t="s">
        <v>186</v>
      </c>
      <c r="O23" s="26"/>
      <c r="P23" s="26" t="s">
        <v>145</v>
      </c>
      <c r="Q23" s="26"/>
      <c r="R23" s="26" t="s">
        <v>145</v>
      </c>
      <c r="S23" s="26"/>
      <c r="T23" s="26"/>
      <c r="U23" s="163"/>
      <c r="V23" s="163"/>
      <c r="W23" s="25"/>
      <c r="X23" s="5"/>
    </row>
    <row r="24" spans="1:24" ht="15.6" x14ac:dyDescent="0.3">
      <c r="A24" s="24"/>
      <c r="B24" s="25" t="s">
        <v>8</v>
      </c>
      <c r="C24" s="26"/>
      <c r="D24" s="26" t="s">
        <v>217</v>
      </c>
      <c r="E24" s="26"/>
      <c r="F24" s="26" t="s">
        <v>146</v>
      </c>
      <c r="G24" s="26"/>
      <c r="H24" s="26" t="s">
        <v>146</v>
      </c>
      <c r="I24" s="26"/>
      <c r="J24" s="26" t="s">
        <v>146</v>
      </c>
      <c r="K24" s="26"/>
      <c r="L24" s="26" t="s">
        <v>168</v>
      </c>
      <c r="M24" s="26"/>
      <c r="N24" s="26" t="s">
        <v>168</v>
      </c>
      <c r="O24" s="26"/>
      <c r="P24" s="26" t="s">
        <v>147</v>
      </c>
      <c r="Q24" s="26"/>
      <c r="R24" s="26" t="s">
        <v>147</v>
      </c>
      <c r="S24" s="26"/>
      <c r="T24" s="26"/>
      <c r="U24" s="163"/>
      <c r="V24" s="163"/>
      <c r="W24" s="25"/>
      <c r="X24" s="5"/>
    </row>
    <row r="25" spans="1:24" ht="15.6" x14ac:dyDescent="0.3">
      <c r="A25" s="28"/>
      <c r="B25" s="131" t="s">
        <v>193</v>
      </c>
      <c r="C25" s="123"/>
      <c r="D25" s="26" t="s">
        <v>218</v>
      </c>
      <c r="E25" s="26"/>
      <c r="F25" s="26" t="s">
        <v>146</v>
      </c>
      <c r="G25" s="26"/>
      <c r="H25" s="26" t="s">
        <v>146</v>
      </c>
      <c r="I25" s="26"/>
      <c r="J25" s="26" t="s">
        <v>146</v>
      </c>
      <c r="K25" s="26"/>
      <c r="L25" s="26" t="s">
        <v>168</v>
      </c>
      <c r="M25" s="26"/>
      <c r="N25" s="26" t="s">
        <v>168</v>
      </c>
      <c r="O25" s="26"/>
      <c r="P25" s="26" t="s">
        <v>147</v>
      </c>
      <c r="Q25" s="26"/>
      <c r="R25" s="26" t="s">
        <v>147</v>
      </c>
      <c r="S25" s="123"/>
      <c r="T25" s="26"/>
      <c r="U25" s="163"/>
      <c r="V25" s="163"/>
      <c r="W25" s="25"/>
      <c r="X25" s="5"/>
    </row>
    <row r="26" spans="1:24" ht="15.6" x14ac:dyDescent="0.3">
      <c r="A26" s="28"/>
      <c r="B26" s="29" t="s">
        <v>9</v>
      </c>
      <c r="C26" s="123"/>
      <c r="D26" s="123" t="s">
        <v>216</v>
      </c>
      <c r="E26" s="123"/>
      <c r="F26" s="123" t="s">
        <v>144</v>
      </c>
      <c r="G26" s="123"/>
      <c r="H26" s="123" t="s">
        <v>144</v>
      </c>
      <c r="I26" s="123"/>
      <c r="J26" s="123" t="s">
        <v>144</v>
      </c>
      <c r="K26" s="123"/>
      <c r="L26" s="123" t="s">
        <v>186</v>
      </c>
      <c r="M26" s="123"/>
      <c r="N26" s="123" t="s">
        <v>186</v>
      </c>
      <c r="O26" s="123"/>
      <c r="P26" s="123" t="s">
        <v>145</v>
      </c>
      <c r="Q26" s="123"/>
      <c r="R26" s="123" t="s">
        <v>145</v>
      </c>
      <c r="S26" s="123"/>
      <c r="T26" s="26"/>
      <c r="U26" s="163"/>
      <c r="V26" s="163"/>
      <c r="W26" s="25"/>
      <c r="X26" s="5"/>
    </row>
    <row r="27" spans="1:24" ht="15.6" x14ac:dyDescent="0.3">
      <c r="A27" s="24"/>
      <c r="B27" s="29" t="s">
        <v>194</v>
      </c>
      <c r="C27" s="26"/>
      <c r="D27" s="123" t="s">
        <v>217</v>
      </c>
      <c r="E27" s="123"/>
      <c r="F27" s="123" t="s">
        <v>146</v>
      </c>
      <c r="G27" s="123"/>
      <c r="H27" s="123" t="s">
        <v>146</v>
      </c>
      <c r="I27" s="123"/>
      <c r="J27" s="123" t="s">
        <v>146</v>
      </c>
      <c r="K27" s="123"/>
      <c r="L27" s="123" t="s">
        <v>168</v>
      </c>
      <c r="M27" s="123"/>
      <c r="N27" s="123" t="s">
        <v>168</v>
      </c>
      <c r="O27" s="123"/>
      <c r="P27" s="123" t="s">
        <v>147</v>
      </c>
      <c r="Q27" s="123"/>
      <c r="R27" s="123" t="s">
        <v>147</v>
      </c>
      <c r="S27" s="26"/>
      <c r="T27" s="30"/>
      <c r="U27" s="163"/>
      <c r="V27" s="163"/>
      <c r="W27" s="25"/>
      <c r="X27" s="5"/>
    </row>
    <row r="28" spans="1:24" ht="15.6" x14ac:dyDescent="0.3">
      <c r="A28" s="24"/>
      <c r="B28" s="153" t="s">
        <v>195</v>
      </c>
      <c r="C28" s="26"/>
      <c r="D28" s="123" t="s">
        <v>218</v>
      </c>
      <c r="E28" s="123"/>
      <c r="F28" s="123" t="s">
        <v>146</v>
      </c>
      <c r="G28" s="123"/>
      <c r="H28" s="123" t="s">
        <v>146</v>
      </c>
      <c r="I28" s="123"/>
      <c r="J28" s="123" t="s">
        <v>146</v>
      </c>
      <c r="K28" s="123"/>
      <c r="L28" s="123" t="s">
        <v>168</v>
      </c>
      <c r="M28" s="123"/>
      <c r="N28" s="123" t="s">
        <v>168</v>
      </c>
      <c r="O28" s="123"/>
      <c r="P28" s="123" t="s">
        <v>147</v>
      </c>
      <c r="Q28" s="123"/>
      <c r="R28" s="123" t="s">
        <v>147</v>
      </c>
      <c r="S28" s="26"/>
      <c r="T28" s="30"/>
      <c r="U28" s="163"/>
      <c r="V28" s="163"/>
      <c r="W28" s="25"/>
      <c r="X28" s="5"/>
    </row>
    <row r="29" spans="1:24" ht="15.6" x14ac:dyDescent="0.3">
      <c r="A29" s="24"/>
      <c r="B29" s="25" t="s">
        <v>10</v>
      </c>
      <c r="C29" s="32"/>
      <c r="D29" s="26" t="s">
        <v>348</v>
      </c>
      <c r="E29" s="26"/>
      <c r="F29" s="30" t="s">
        <v>242</v>
      </c>
      <c r="G29" s="26"/>
      <c r="H29" s="26" t="s">
        <v>243</v>
      </c>
      <c r="I29" s="26"/>
      <c r="J29" s="26" t="s">
        <v>245</v>
      </c>
      <c r="K29" s="26"/>
      <c r="L29" s="26" t="s">
        <v>246</v>
      </c>
      <c r="M29" s="26"/>
      <c r="N29" s="26" t="s">
        <v>247</v>
      </c>
      <c r="O29" s="26"/>
      <c r="P29" s="26" t="s">
        <v>248</v>
      </c>
      <c r="Q29" s="26"/>
      <c r="R29" s="26" t="s">
        <v>249</v>
      </c>
      <c r="S29" s="31"/>
      <c r="T29" s="31"/>
      <c r="U29" s="164"/>
      <c r="V29" s="31"/>
      <c r="W29" s="34"/>
      <c r="X29" s="5"/>
    </row>
    <row r="30" spans="1:24" ht="15.6" x14ac:dyDescent="0.3">
      <c r="A30" s="24"/>
      <c r="B30" s="25" t="s">
        <v>10</v>
      </c>
      <c r="C30" s="32"/>
      <c r="D30" s="26" t="s">
        <v>241</v>
      </c>
      <c r="E30" s="26"/>
      <c r="F30" s="30" t="s">
        <v>121</v>
      </c>
      <c r="G30" s="26"/>
      <c r="H30" s="26" t="s">
        <v>121</v>
      </c>
      <c r="I30" s="26"/>
      <c r="J30" s="26" t="s">
        <v>244</v>
      </c>
      <c r="K30" s="26"/>
      <c r="L30" s="26" t="s">
        <v>121</v>
      </c>
      <c r="M30" s="26"/>
      <c r="N30" s="26" t="s">
        <v>121</v>
      </c>
      <c r="O30" s="26"/>
      <c r="P30" s="26" t="s">
        <v>121</v>
      </c>
      <c r="Q30" s="26"/>
      <c r="R30" s="26" t="s">
        <v>121</v>
      </c>
      <c r="S30" s="31"/>
      <c r="T30" s="31"/>
      <c r="U30" s="164"/>
      <c r="V30" s="31"/>
      <c r="W30" s="34"/>
      <c r="X30" s="5"/>
    </row>
    <row r="31" spans="1:24" ht="15.6" x14ac:dyDescent="0.3">
      <c r="A31" s="28"/>
      <c r="B31" s="25" t="s">
        <v>136</v>
      </c>
      <c r="C31" s="36"/>
      <c r="D31" s="146">
        <v>1500000</v>
      </c>
      <c r="E31" s="32"/>
      <c r="F31" s="31">
        <v>125000</v>
      </c>
      <c r="G31" s="31"/>
      <c r="H31" s="124">
        <v>315000</v>
      </c>
      <c r="I31" s="124"/>
      <c r="J31" s="146">
        <v>350000</v>
      </c>
      <c r="K31" s="31"/>
      <c r="L31" s="31">
        <v>56000</v>
      </c>
      <c r="M31" s="31"/>
      <c r="N31" s="124">
        <v>84000</v>
      </c>
      <c r="O31" s="31"/>
      <c r="P31" s="31">
        <v>13000</v>
      </c>
      <c r="Q31" s="31"/>
      <c r="R31" s="124">
        <v>81000</v>
      </c>
      <c r="S31" s="35"/>
      <c r="T31" s="35"/>
      <c r="U31" s="37"/>
      <c r="V31" s="35"/>
      <c r="W31" s="34"/>
      <c r="X31" s="5"/>
    </row>
    <row r="32" spans="1:24" ht="15.6" x14ac:dyDescent="0.3">
      <c r="A32" s="24"/>
      <c r="B32" s="25" t="s">
        <v>135</v>
      </c>
      <c r="C32" s="32"/>
      <c r="D32" s="146">
        <f>D31*D38</f>
        <v>1442184</v>
      </c>
      <c r="E32" s="32"/>
      <c r="F32" s="31">
        <f>F31*F38</f>
        <v>120182</v>
      </c>
      <c r="G32" s="31"/>
      <c r="H32" s="124">
        <f>H31*H38</f>
        <v>302858.64</v>
      </c>
      <c r="I32" s="124"/>
      <c r="J32" s="146">
        <f>J31*J38</f>
        <v>336509.6</v>
      </c>
      <c r="K32" s="31"/>
      <c r="L32" s="31">
        <f>L31*L38</f>
        <v>56000</v>
      </c>
      <c r="M32" s="31"/>
      <c r="N32" s="124">
        <f>N31*N38</f>
        <v>84000</v>
      </c>
      <c r="O32" s="31"/>
      <c r="P32" s="31">
        <f>P31*P38</f>
        <v>13000</v>
      </c>
      <c r="Q32" s="31"/>
      <c r="R32" s="124">
        <f>R31*R38</f>
        <v>81000</v>
      </c>
      <c r="S32" s="31"/>
      <c r="T32" s="31"/>
      <c r="U32" s="164"/>
      <c r="V32" s="31"/>
      <c r="W32" s="34"/>
      <c r="X32" s="5"/>
    </row>
    <row r="33" spans="1:24" ht="15.6" x14ac:dyDescent="0.3">
      <c r="A33" s="24"/>
      <c r="B33" s="29" t="s">
        <v>137</v>
      </c>
      <c r="C33" s="32"/>
      <c r="D33" s="151">
        <f>D37*D31</f>
        <v>1412073.5999999999</v>
      </c>
      <c r="E33" s="36"/>
      <c r="F33" s="35">
        <f>F37*F31</f>
        <v>117672.825</v>
      </c>
      <c r="G33" s="35"/>
      <c r="H33" s="125">
        <f>H31*H37</f>
        <v>296535.51899999997</v>
      </c>
      <c r="I33" s="125"/>
      <c r="J33" s="151">
        <f>J37*J31</f>
        <v>329483.83999999997</v>
      </c>
      <c r="K33" s="35"/>
      <c r="L33" s="35">
        <f>L31*L37</f>
        <v>56000</v>
      </c>
      <c r="M33" s="35"/>
      <c r="N33" s="125">
        <f>N31*N37</f>
        <v>84000</v>
      </c>
      <c r="O33" s="35"/>
      <c r="P33" s="35">
        <f>P31*P37</f>
        <v>13000</v>
      </c>
      <c r="Q33" s="35"/>
      <c r="R33" s="125">
        <f>R31*R37</f>
        <v>81000</v>
      </c>
      <c r="S33" s="31"/>
      <c r="T33" s="31"/>
      <c r="U33" s="164"/>
      <c r="V33" s="31"/>
      <c r="W33" s="34"/>
      <c r="X33" s="5"/>
    </row>
    <row r="34" spans="1:24" ht="15.6" x14ac:dyDescent="0.3">
      <c r="A34" s="28"/>
      <c r="B34" s="25" t="s">
        <v>298</v>
      </c>
      <c r="C34" s="36"/>
      <c r="D34" s="31">
        <v>797872</v>
      </c>
      <c r="E34" s="32"/>
      <c r="F34" s="31">
        <v>125000</v>
      </c>
      <c r="G34" s="31"/>
      <c r="H34" s="31">
        <v>211409</v>
      </c>
      <c r="I34" s="31"/>
      <c r="J34" s="31">
        <v>186170</v>
      </c>
      <c r="K34" s="31"/>
      <c r="L34" s="31">
        <v>56000</v>
      </c>
      <c r="M34" s="31"/>
      <c r="N34" s="31">
        <v>56376</v>
      </c>
      <c r="O34" s="31"/>
      <c r="P34" s="31">
        <v>13000</v>
      </c>
      <c r="Q34" s="31"/>
      <c r="R34" s="31">
        <v>54363</v>
      </c>
      <c r="S34" s="35"/>
      <c r="T34" s="35"/>
      <c r="U34" s="37"/>
      <c r="V34" s="154">
        <f>SUM(C34:R34)</f>
        <v>1500190</v>
      </c>
      <c r="W34" s="34"/>
      <c r="X34" s="5"/>
    </row>
    <row r="35" spans="1:24" ht="15.6" x14ac:dyDescent="0.3">
      <c r="A35" s="28"/>
      <c r="B35" s="25" t="s">
        <v>299</v>
      </c>
      <c r="C35" s="126"/>
      <c r="D35" s="31">
        <f>D34*D38</f>
        <v>767118.82163200004</v>
      </c>
      <c r="E35" s="32"/>
      <c r="F35" s="31">
        <f>F34*F38</f>
        <v>120182</v>
      </c>
      <c r="G35" s="31"/>
      <c r="H35" s="31">
        <f>H34*H38</f>
        <v>203260.451504</v>
      </c>
      <c r="I35" s="31"/>
      <c r="J35" s="31">
        <f>J34*J38</f>
        <v>178994.26352000001</v>
      </c>
      <c r="K35" s="31"/>
      <c r="L35" s="31">
        <f>L34*L38</f>
        <v>56000</v>
      </c>
      <c r="M35" s="31"/>
      <c r="N35" s="31">
        <f>N34*N38</f>
        <v>56376</v>
      </c>
      <c r="O35" s="31"/>
      <c r="P35" s="31">
        <f>P34*P38</f>
        <v>13000</v>
      </c>
      <c r="Q35" s="31"/>
      <c r="R35" s="31">
        <f>R34*R38</f>
        <v>54363</v>
      </c>
      <c r="S35" s="31"/>
      <c r="T35" s="31"/>
      <c r="U35" s="164"/>
      <c r="V35" s="154">
        <f>SUM(C35:R35)-1</f>
        <v>1449293.5366560002</v>
      </c>
      <c r="W35" s="34"/>
      <c r="X35" s="5"/>
    </row>
    <row r="36" spans="1:24" ht="15.6" x14ac:dyDescent="0.3">
      <c r="A36" s="28"/>
      <c r="B36" s="29" t="s">
        <v>304</v>
      </c>
      <c r="C36" s="126"/>
      <c r="D36" s="35">
        <f>D34*D37</f>
        <v>751102.6582528</v>
      </c>
      <c r="E36" s="36"/>
      <c r="F36" s="35">
        <f>F34*F37</f>
        <v>117672.825</v>
      </c>
      <c r="G36" s="35"/>
      <c r="H36" s="35">
        <f>H34*H37</f>
        <v>199016.75408339998</v>
      </c>
      <c r="I36" s="35"/>
      <c r="J36" s="35">
        <f>J34*J37</f>
        <v>175257.16140799999</v>
      </c>
      <c r="K36" s="35"/>
      <c r="L36" s="35">
        <v>56000</v>
      </c>
      <c r="M36" s="35"/>
      <c r="N36" s="35">
        <v>56376</v>
      </c>
      <c r="O36" s="35"/>
      <c r="P36" s="35">
        <v>13000</v>
      </c>
      <c r="Q36" s="35"/>
      <c r="R36" s="35">
        <v>54363</v>
      </c>
      <c r="S36" s="128"/>
      <c r="T36" s="128"/>
      <c r="U36" s="164"/>
      <c r="V36" s="155">
        <f>SUM(C36:R36)</f>
        <v>1422788.3987441999</v>
      </c>
      <c r="W36" s="34"/>
      <c r="X36" s="5"/>
    </row>
    <row r="37" spans="1:24" ht="15.6" x14ac:dyDescent="0.3">
      <c r="A37" s="24"/>
      <c r="B37" s="122" t="s">
        <v>133</v>
      </c>
      <c r="C37" s="25"/>
      <c r="D37" s="168">
        <v>0.94138239999999995</v>
      </c>
      <c r="E37" s="136"/>
      <c r="F37" s="168">
        <v>0.94138259999999996</v>
      </c>
      <c r="G37" s="135"/>
      <c r="H37" s="168">
        <v>0.94138259999999996</v>
      </c>
      <c r="I37" s="135"/>
      <c r="J37" s="168">
        <v>0.94138239999999995</v>
      </c>
      <c r="K37" s="135"/>
      <c r="L37" s="168">
        <v>1</v>
      </c>
      <c r="M37" s="135"/>
      <c r="N37" s="168">
        <v>1</v>
      </c>
      <c r="O37" s="135"/>
      <c r="P37" s="168">
        <v>1</v>
      </c>
      <c r="Q37" s="135"/>
      <c r="R37" s="168">
        <v>1</v>
      </c>
      <c r="S37" s="30"/>
      <c r="T37" s="30"/>
      <c r="U37" s="163"/>
      <c r="V37" s="163"/>
      <c r="W37" s="25"/>
      <c r="X37" s="5"/>
    </row>
    <row r="38" spans="1:24" ht="15.6" x14ac:dyDescent="0.3">
      <c r="A38" s="24"/>
      <c r="B38" s="122" t="s">
        <v>134</v>
      </c>
      <c r="C38" s="25"/>
      <c r="D38" s="168">
        <v>0.96145599999999998</v>
      </c>
      <c r="E38" s="136"/>
      <c r="F38" s="168">
        <v>0.96145599999999998</v>
      </c>
      <c r="G38" s="135"/>
      <c r="H38" s="168">
        <v>0.96145599999999998</v>
      </c>
      <c r="I38" s="135"/>
      <c r="J38" s="168">
        <v>0.96145599999999998</v>
      </c>
      <c r="K38" s="135"/>
      <c r="L38" s="135">
        <v>1</v>
      </c>
      <c r="M38" s="135"/>
      <c r="N38" s="135">
        <v>1</v>
      </c>
      <c r="O38" s="135"/>
      <c r="P38" s="135">
        <v>1</v>
      </c>
      <c r="Q38" s="135"/>
      <c r="R38" s="135">
        <v>1</v>
      </c>
      <c r="S38" s="39"/>
      <c r="T38" s="38"/>
      <c r="U38" s="163"/>
      <c r="V38" s="39"/>
      <c r="W38" s="25"/>
      <c r="X38" s="5"/>
    </row>
    <row r="39" spans="1:24" ht="15.6" x14ac:dyDescent="0.3">
      <c r="A39" s="24"/>
      <c r="B39" s="25" t="s">
        <v>11</v>
      </c>
      <c r="C39" s="25"/>
      <c r="D39" s="30" t="s">
        <v>250</v>
      </c>
      <c r="E39" s="25"/>
      <c r="F39" s="30" t="s">
        <v>225</v>
      </c>
      <c r="G39" s="30"/>
      <c r="H39" s="30" t="s">
        <v>225</v>
      </c>
      <c r="I39" s="30"/>
      <c r="J39" s="30" t="s">
        <v>251</v>
      </c>
      <c r="K39" s="30"/>
      <c r="L39" s="30" t="s">
        <v>252</v>
      </c>
      <c r="M39" s="30"/>
      <c r="N39" s="30" t="s">
        <v>253</v>
      </c>
      <c r="O39" s="30"/>
      <c r="P39" s="30" t="s">
        <v>254</v>
      </c>
      <c r="Q39" s="30"/>
      <c r="R39" s="30" t="s">
        <v>255</v>
      </c>
      <c r="S39" s="39"/>
      <c r="T39" s="38"/>
      <c r="U39" s="163"/>
      <c r="V39" s="163"/>
      <c r="W39" s="25"/>
      <c r="X39" s="5"/>
    </row>
    <row r="40" spans="1:24" ht="15.6" x14ac:dyDescent="0.3">
      <c r="A40" s="24"/>
      <c r="B40" s="25" t="s">
        <v>12</v>
      </c>
      <c r="C40" s="25"/>
      <c r="D40" s="38">
        <v>5.3100000000000001E-2</v>
      </c>
      <c r="E40" s="25"/>
      <c r="F40" s="38">
        <v>5.7200000000000001E-2</v>
      </c>
      <c r="G40" s="39"/>
      <c r="H40" s="38">
        <v>4.088E-2</v>
      </c>
      <c r="I40" s="38"/>
      <c r="J40" s="38">
        <v>5.4456299999999999E-2</v>
      </c>
      <c r="K40" s="39"/>
      <c r="L40" s="38">
        <v>5.8000000000000003E-2</v>
      </c>
      <c r="M40" s="39"/>
      <c r="N40" s="38">
        <v>4.1579999999999999E-2</v>
      </c>
      <c r="O40" s="39"/>
      <c r="P40" s="38">
        <v>0.06</v>
      </c>
      <c r="Q40" s="39"/>
      <c r="R40" s="38">
        <v>4.3580000000000001E-2</v>
      </c>
      <c r="S40" s="39"/>
      <c r="T40" s="38"/>
      <c r="U40" s="163"/>
      <c r="V40" s="30"/>
      <c r="W40" s="25"/>
      <c r="X40" s="5"/>
    </row>
    <row r="41" spans="1:24" ht="15.6" x14ac:dyDescent="0.3">
      <c r="A41" s="24"/>
      <c r="B41" s="25" t="s">
        <v>13</v>
      </c>
      <c r="C41" s="25"/>
      <c r="D41" s="38">
        <v>5.3100000000000001E-2</v>
      </c>
      <c r="E41" s="25"/>
      <c r="F41" s="38">
        <v>5.6731299999999998E-2</v>
      </c>
      <c r="G41" s="39"/>
      <c r="H41" s="38">
        <v>3.8649999999999997E-2</v>
      </c>
      <c r="I41" s="38"/>
      <c r="J41" s="38">
        <v>5.45E-2</v>
      </c>
      <c r="K41" s="39"/>
      <c r="L41" s="38">
        <v>5.75313E-2</v>
      </c>
      <c r="M41" s="39"/>
      <c r="N41" s="38">
        <v>3.9350000000000003E-2</v>
      </c>
      <c r="O41" s="39"/>
      <c r="P41" s="38">
        <v>5.9531300000000002E-2</v>
      </c>
      <c r="Q41" s="39"/>
      <c r="R41" s="38">
        <v>4.1349999999999998E-2</v>
      </c>
      <c r="S41" s="39"/>
      <c r="T41" s="38"/>
      <c r="U41" s="163"/>
      <c r="V41" s="39" t="s">
        <v>196</v>
      </c>
      <c r="W41" s="25"/>
      <c r="X41" s="5"/>
    </row>
    <row r="42" spans="1:24" ht="15.6" x14ac:dyDescent="0.3">
      <c r="A42" s="24"/>
      <c r="B42" s="25" t="s">
        <v>300</v>
      </c>
      <c r="C42" s="25"/>
      <c r="D42" s="30" t="s">
        <v>286</v>
      </c>
      <c r="E42" s="25"/>
      <c r="F42" s="30" t="s">
        <v>225</v>
      </c>
      <c r="G42" s="30"/>
      <c r="H42" s="30" t="s">
        <v>263</v>
      </c>
      <c r="I42" s="30"/>
      <c r="J42" s="30" t="s">
        <v>262</v>
      </c>
      <c r="K42" s="30"/>
      <c r="L42" s="30" t="s">
        <v>252</v>
      </c>
      <c r="M42" s="30"/>
      <c r="N42" s="30" t="s">
        <v>264</v>
      </c>
      <c r="O42" s="30"/>
      <c r="P42" s="30" t="s">
        <v>254</v>
      </c>
      <c r="Q42" s="30"/>
      <c r="R42" s="30" t="s">
        <v>260</v>
      </c>
      <c r="S42" s="39"/>
      <c r="T42" s="38"/>
      <c r="U42" s="163"/>
      <c r="V42" s="163"/>
      <c r="W42" s="25"/>
      <c r="X42" s="5"/>
    </row>
    <row r="43" spans="1:24" ht="15.6" x14ac:dyDescent="0.3">
      <c r="A43" s="24"/>
      <c r="B43" s="25" t="s">
        <v>301</v>
      </c>
      <c r="C43" s="110"/>
      <c r="D43" s="38">
        <v>5.6214500000000001E-2</v>
      </c>
      <c r="E43" s="38"/>
      <c r="F43" s="38">
        <f>+F40</f>
        <v>5.7200000000000001E-2</v>
      </c>
      <c r="G43" s="38"/>
      <c r="H43" s="38">
        <v>5.7321999999999998E-2</v>
      </c>
      <c r="I43" s="38"/>
      <c r="J43" s="38">
        <v>5.7239999999999999E-2</v>
      </c>
      <c r="K43" s="38"/>
      <c r="L43" s="38">
        <f>+L40</f>
        <v>5.8000000000000003E-2</v>
      </c>
      <c r="M43" s="38"/>
      <c r="N43" s="38">
        <v>5.8090000000000003E-2</v>
      </c>
      <c r="O43" s="38"/>
      <c r="P43" s="38">
        <f>+P40</f>
        <v>0.06</v>
      </c>
      <c r="Q43" s="39"/>
      <c r="R43" s="38">
        <v>6.0199999999999997E-2</v>
      </c>
      <c r="S43" s="30"/>
      <c r="T43" s="30"/>
      <c r="U43" s="163"/>
      <c r="V43" s="39">
        <f>SUMPRODUCT(D43:R43,D35:R35)/V35</f>
        <v>5.6903636839445867E-2</v>
      </c>
      <c r="W43" s="25"/>
      <c r="X43" s="5"/>
    </row>
    <row r="44" spans="1:24" ht="15.6" x14ac:dyDescent="0.3">
      <c r="A44" s="24"/>
      <c r="B44" s="25" t="s">
        <v>302</v>
      </c>
      <c r="C44" s="110"/>
      <c r="D44" s="38">
        <v>5.5745799999999998E-2</v>
      </c>
      <c r="E44" s="38"/>
      <c r="F44" s="38">
        <f>+F41</f>
        <v>5.6731299999999998E-2</v>
      </c>
      <c r="G44" s="38"/>
      <c r="H44" s="38">
        <v>5.6853300000000002E-2</v>
      </c>
      <c r="I44" s="38"/>
      <c r="J44" s="38">
        <v>5.6771299999999997E-2</v>
      </c>
      <c r="K44" s="38"/>
      <c r="L44" s="38">
        <f>+L41</f>
        <v>5.75313E-2</v>
      </c>
      <c r="M44" s="38"/>
      <c r="N44" s="38">
        <v>5.76213E-2</v>
      </c>
      <c r="O44" s="38"/>
      <c r="P44" s="38">
        <f>+P41</f>
        <v>5.9531300000000002E-2</v>
      </c>
      <c r="Q44" s="39"/>
      <c r="R44" s="38">
        <v>5.9731300000000001E-2</v>
      </c>
      <c r="S44" s="30"/>
      <c r="T44" s="30"/>
      <c r="U44" s="163"/>
      <c r="V44" s="163"/>
      <c r="W44" s="25"/>
      <c r="X44" s="5"/>
    </row>
    <row r="45" spans="1:24" ht="15.6" x14ac:dyDescent="0.3">
      <c r="A45" s="24"/>
      <c r="B45" s="25" t="s">
        <v>14</v>
      </c>
      <c r="C45" s="25"/>
      <c r="D45" s="110">
        <v>40466</v>
      </c>
      <c r="E45" s="110"/>
      <c r="F45" s="110">
        <v>40466</v>
      </c>
      <c r="G45" s="110"/>
      <c r="H45" s="110">
        <v>40466</v>
      </c>
      <c r="I45" s="110"/>
      <c r="J45" s="110">
        <v>40466</v>
      </c>
      <c r="K45" s="110"/>
      <c r="L45" s="110">
        <v>40466</v>
      </c>
      <c r="M45" s="110"/>
      <c r="N45" s="110">
        <v>40466</v>
      </c>
      <c r="O45" s="110"/>
      <c r="P45" s="110">
        <v>40466</v>
      </c>
      <c r="Q45" s="110"/>
      <c r="R45" s="110">
        <v>40466</v>
      </c>
      <c r="S45" s="30"/>
      <c r="T45" s="30"/>
      <c r="U45" s="163"/>
      <c r="V45" s="163"/>
      <c r="W45" s="25"/>
      <c r="X45" s="5"/>
    </row>
    <row r="46" spans="1:24" ht="15.6" x14ac:dyDescent="0.3">
      <c r="A46" s="24"/>
      <c r="B46" s="25" t="s">
        <v>15</v>
      </c>
      <c r="C46" s="25"/>
      <c r="D46" s="110" t="s">
        <v>121</v>
      </c>
      <c r="E46" s="110"/>
      <c r="F46" s="110">
        <v>40831</v>
      </c>
      <c r="G46" s="110"/>
      <c r="H46" s="110">
        <v>40831</v>
      </c>
      <c r="I46" s="110"/>
      <c r="J46" s="110">
        <v>40831</v>
      </c>
      <c r="K46" s="30"/>
      <c r="L46" s="110">
        <v>40831</v>
      </c>
      <c r="M46" s="30"/>
      <c r="N46" s="110">
        <v>40831</v>
      </c>
      <c r="O46" s="30"/>
      <c r="P46" s="110">
        <v>40831</v>
      </c>
      <c r="Q46" s="30"/>
      <c r="R46" s="110">
        <v>40831</v>
      </c>
      <c r="S46" s="30"/>
      <c r="T46" s="30"/>
      <c r="U46" s="163"/>
      <c r="V46" s="163"/>
      <c r="W46" s="25"/>
      <c r="X46" s="5"/>
    </row>
    <row r="47" spans="1:24" ht="15.6" x14ac:dyDescent="0.3">
      <c r="A47" s="24"/>
      <c r="B47" s="25" t="s">
        <v>122</v>
      </c>
      <c r="C47" s="25"/>
      <c r="D47" s="160" t="s">
        <v>121</v>
      </c>
      <c r="E47" s="25"/>
      <c r="F47" s="30" t="s">
        <v>226</v>
      </c>
      <c r="G47" s="30"/>
      <c r="H47" s="30" t="s">
        <v>226</v>
      </c>
      <c r="I47" s="30"/>
      <c r="J47" s="30" t="s">
        <v>256</v>
      </c>
      <c r="K47" s="30"/>
      <c r="L47" s="30" t="s">
        <v>254</v>
      </c>
      <c r="M47" s="30"/>
      <c r="N47" s="30" t="s">
        <v>257</v>
      </c>
      <c r="O47" s="30"/>
      <c r="P47" s="30" t="s">
        <v>258</v>
      </c>
      <c r="Q47" s="30"/>
      <c r="R47" s="30" t="s">
        <v>259</v>
      </c>
      <c r="S47" s="40"/>
      <c r="T47" s="40"/>
      <c r="U47" s="40"/>
      <c r="V47" s="40"/>
      <c r="W47" s="25"/>
      <c r="X47" s="5"/>
    </row>
    <row r="48" spans="1:24" ht="15.6" x14ac:dyDescent="0.3">
      <c r="A48" s="24"/>
      <c r="B48" s="25" t="s">
        <v>303</v>
      </c>
      <c r="C48" s="25"/>
      <c r="D48" s="30" t="s">
        <v>203</v>
      </c>
      <c r="E48" s="25"/>
      <c r="F48" s="30" t="s">
        <v>226</v>
      </c>
      <c r="G48" s="30"/>
      <c r="H48" s="30" t="s">
        <v>227</v>
      </c>
      <c r="I48" s="30"/>
      <c r="J48" s="30" t="s">
        <v>237</v>
      </c>
      <c r="K48" s="30"/>
      <c r="L48" s="30" t="s">
        <v>254</v>
      </c>
      <c r="M48" s="30"/>
      <c r="N48" s="30" t="s">
        <v>260</v>
      </c>
      <c r="O48" s="30"/>
      <c r="P48" s="30" t="s">
        <v>258</v>
      </c>
      <c r="Q48" s="30"/>
      <c r="R48" s="30" t="s">
        <v>261</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196</v>
      </c>
      <c r="W49" s="25"/>
      <c r="X49" s="5"/>
    </row>
    <row r="50" spans="1:25" ht="15.6" x14ac:dyDescent="0.3">
      <c r="A50" s="24"/>
      <c r="B50" s="25" t="s">
        <v>172</v>
      </c>
      <c r="C50" s="25"/>
      <c r="D50" s="30"/>
      <c r="E50" s="25"/>
      <c r="F50" s="30"/>
      <c r="G50" s="30"/>
      <c r="H50" s="30"/>
      <c r="I50" s="30"/>
      <c r="J50" s="30"/>
      <c r="K50" s="30"/>
      <c r="L50" s="30"/>
      <c r="M50" s="30"/>
      <c r="N50" s="30"/>
      <c r="O50" s="30"/>
      <c r="P50" s="30"/>
      <c r="Q50" s="30"/>
      <c r="R50" s="30"/>
      <c r="S50" s="25"/>
      <c r="T50" s="25"/>
      <c r="U50" s="25"/>
      <c r="V50" s="39">
        <f>SUM(L34:R34)/SUM(D34:J34)</f>
        <v>0.13611940162868597</v>
      </c>
      <c r="W50" s="25"/>
      <c r="X50" s="5"/>
    </row>
    <row r="51" spans="1:25" ht="15.6" x14ac:dyDescent="0.3">
      <c r="A51" s="24"/>
      <c r="B51" s="25" t="s">
        <v>173</v>
      </c>
      <c r="C51" s="25"/>
      <c r="D51" s="25"/>
      <c r="E51" s="25"/>
      <c r="F51" s="41"/>
      <c r="G51" s="25"/>
      <c r="H51" s="25"/>
      <c r="I51" s="25"/>
      <c r="J51" s="25"/>
      <c r="K51" s="25"/>
      <c r="L51" s="25"/>
      <c r="M51" s="25"/>
      <c r="N51" s="25"/>
      <c r="O51" s="25"/>
      <c r="P51" s="25"/>
      <c r="Q51" s="25"/>
      <c r="R51" s="25"/>
      <c r="S51" s="25"/>
      <c r="T51" s="25"/>
      <c r="U51" s="25"/>
      <c r="V51" s="39">
        <f>SUM(L36:R36)/SUM(D36:J36)</f>
        <v>0.14459521896843577</v>
      </c>
      <c r="W51" s="25"/>
      <c r="X51" s="5"/>
    </row>
    <row r="52" spans="1:25" ht="15.6" x14ac:dyDescent="0.3">
      <c r="A52" s="24"/>
      <c r="B52" s="25" t="s">
        <v>174</v>
      </c>
      <c r="C52" s="25"/>
      <c r="D52" s="25"/>
      <c r="E52" s="25"/>
      <c r="F52" s="25"/>
      <c r="G52" s="25"/>
      <c r="H52" s="25"/>
      <c r="I52" s="25"/>
      <c r="J52" s="25"/>
      <c r="K52" s="25"/>
      <c r="L52" s="25"/>
      <c r="M52" s="25"/>
      <c r="N52" s="25"/>
      <c r="O52" s="25"/>
      <c r="P52" s="25"/>
      <c r="Q52" s="25"/>
      <c r="R52" s="25"/>
      <c r="S52" s="25"/>
      <c r="T52" s="30" t="s">
        <v>107</v>
      </c>
      <c r="U52" s="30" t="s">
        <v>112</v>
      </c>
      <c r="V52" s="31">
        <f>+V34/2-SUM(L34:R34)</f>
        <v>570356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205</v>
      </c>
      <c r="C54" s="25"/>
      <c r="D54" s="25"/>
      <c r="E54" s="25"/>
      <c r="F54" s="25"/>
      <c r="G54" s="25"/>
      <c r="H54" s="25"/>
      <c r="I54" s="25"/>
      <c r="J54" s="25"/>
      <c r="K54" s="25"/>
      <c r="L54" s="25"/>
      <c r="M54" s="25"/>
      <c r="N54" s="25"/>
      <c r="O54" s="25"/>
      <c r="P54" s="25"/>
      <c r="Q54" s="25"/>
      <c r="R54" s="25"/>
      <c r="S54" s="25"/>
      <c r="T54" s="25"/>
      <c r="U54" s="25"/>
      <c r="V54" s="156" t="s">
        <v>206</v>
      </c>
      <c r="W54" s="25"/>
      <c r="X54" s="5"/>
    </row>
    <row r="55" spans="1:25" ht="15.6" x14ac:dyDescent="0.3">
      <c r="A55" s="24"/>
      <c r="B55" s="25" t="s">
        <v>236</v>
      </c>
      <c r="C55" s="25"/>
      <c r="D55" s="25"/>
      <c r="E55" s="25"/>
      <c r="F55" s="25"/>
      <c r="G55" s="25"/>
      <c r="H55" s="25"/>
      <c r="I55" s="25"/>
      <c r="J55" s="25"/>
      <c r="K55" s="25"/>
      <c r="L55" s="25"/>
      <c r="M55" s="25"/>
      <c r="N55" s="25"/>
      <c r="O55" s="25"/>
      <c r="P55" s="25"/>
      <c r="Q55" s="25"/>
      <c r="R55" s="25"/>
      <c r="S55" s="25"/>
      <c r="T55" s="30"/>
      <c r="U55" s="30"/>
      <c r="V55" s="157" t="s">
        <v>114</v>
      </c>
      <c r="W55" s="25"/>
      <c r="X55" s="5"/>
    </row>
    <row r="56" spans="1:25" ht="15.6" x14ac:dyDescent="0.3">
      <c r="A56" s="24"/>
      <c r="B56" s="29" t="s">
        <v>204</v>
      </c>
      <c r="C56" s="29"/>
      <c r="D56" s="29"/>
      <c r="E56" s="29"/>
      <c r="F56" s="29"/>
      <c r="G56" s="29"/>
      <c r="H56" s="29"/>
      <c r="I56" s="29"/>
      <c r="J56" s="29"/>
      <c r="K56" s="29"/>
      <c r="L56" s="29"/>
      <c r="M56" s="29"/>
      <c r="N56" s="29"/>
      <c r="O56" s="29"/>
      <c r="P56" s="29"/>
      <c r="Q56" s="29"/>
      <c r="R56" s="29"/>
      <c r="S56" s="29"/>
      <c r="T56" s="43"/>
      <c r="U56" s="43"/>
      <c r="V56" s="44">
        <v>39279</v>
      </c>
      <c r="W56" s="25"/>
      <c r="X56" s="5"/>
    </row>
    <row r="57" spans="1:25" ht="15.6" x14ac:dyDescent="0.3">
      <c r="A57" s="24"/>
      <c r="B57" s="25" t="s">
        <v>124</v>
      </c>
      <c r="C57" s="25"/>
      <c r="D57" s="25"/>
      <c r="E57" s="25"/>
      <c r="F57" s="25"/>
      <c r="G57" s="25"/>
      <c r="H57" s="58"/>
      <c r="I57" s="58"/>
      <c r="J57" s="58"/>
      <c r="K57" s="58"/>
      <c r="L57" s="58"/>
      <c r="M57" s="58"/>
      <c r="N57" s="58"/>
      <c r="O57" s="58"/>
      <c r="P57" s="58"/>
      <c r="Q57" s="58"/>
      <c r="R57" s="25">
        <f>+V57-T57+1</f>
        <v>90</v>
      </c>
      <c r="S57" s="58"/>
      <c r="T57" s="45">
        <v>39098</v>
      </c>
      <c r="U57" s="46"/>
      <c r="V57" s="45">
        <v>39187</v>
      </c>
      <c r="W57" s="25"/>
      <c r="X57" s="5"/>
    </row>
    <row r="58" spans="1:25" ht="15.6" x14ac:dyDescent="0.3">
      <c r="A58" s="24"/>
      <c r="B58" s="25" t="s">
        <v>125</v>
      </c>
      <c r="C58" s="25"/>
      <c r="D58" s="25"/>
      <c r="E58" s="25"/>
      <c r="F58" s="25"/>
      <c r="G58" s="25"/>
      <c r="H58" s="25"/>
      <c r="I58" s="25"/>
      <c r="J58" s="25"/>
      <c r="K58" s="25"/>
      <c r="L58" s="25"/>
      <c r="M58" s="25"/>
      <c r="N58" s="25"/>
      <c r="O58" s="25"/>
      <c r="P58" s="25"/>
      <c r="Q58" s="25"/>
      <c r="R58" s="25">
        <f>+V58-T58+1</f>
        <v>91</v>
      </c>
      <c r="S58" s="25"/>
      <c r="T58" s="45">
        <v>39188</v>
      </c>
      <c r="U58" s="46"/>
      <c r="V58" s="45">
        <v>39278</v>
      </c>
      <c r="W58" s="25"/>
      <c r="X58" s="5"/>
    </row>
    <row r="59" spans="1:25" ht="15.6" x14ac:dyDescent="0.3">
      <c r="A59" s="24"/>
      <c r="B59" s="25" t="s">
        <v>235</v>
      </c>
      <c r="C59" s="25"/>
      <c r="D59" s="25"/>
      <c r="E59" s="25"/>
      <c r="F59" s="25"/>
      <c r="G59" s="25"/>
      <c r="H59" s="25"/>
      <c r="I59" s="25"/>
      <c r="J59" s="25"/>
      <c r="K59" s="25"/>
      <c r="L59" s="25"/>
      <c r="M59" s="25"/>
      <c r="N59" s="25"/>
      <c r="O59" s="25"/>
      <c r="P59" s="25"/>
      <c r="Q59" s="25"/>
      <c r="R59" s="25"/>
      <c r="S59" s="25"/>
      <c r="T59" s="45"/>
      <c r="U59" s="46"/>
      <c r="V59" s="45" t="s">
        <v>123</v>
      </c>
      <c r="W59" s="25"/>
      <c r="X59" s="5"/>
    </row>
    <row r="60" spans="1:25" ht="15.6" x14ac:dyDescent="0.3">
      <c r="A60" s="24"/>
      <c r="B60" s="25" t="s">
        <v>234</v>
      </c>
      <c r="C60" s="25"/>
      <c r="D60" s="25"/>
      <c r="E60" s="25"/>
      <c r="F60" s="25"/>
      <c r="G60" s="25"/>
      <c r="H60" s="25"/>
      <c r="I60" s="25"/>
      <c r="J60" s="25"/>
      <c r="K60" s="25"/>
      <c r="L60" s="25"/>
      <c r="M60" s="25"/>
      <c r="N60" s="25"/>
      <c r="O60" s="25"/>
      <c r="P60" s="25"/>
      <c r="Q60" s="25"/>
      <c r="R60" s="25"/>
      <c r="S60" s="25"/>
      <c r="T60" s="45"/>
      <c r="U60" s="46"/>
      <c r="V60" s="45" t="s">
        <v>157</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39265</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278</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95</v>
      </c>
      <c r="M68" s="115"/>
      <c r="N68" s="115" t="s">
        <v>97</v>
      </c>
      <c r="O68" s="115"/>
      <c r="P68" s="115" t="s">
        <v>99</v>
      </c>
      <c r="Q68" s="115"/>
      <c r="R68" s="115" t="s">
        <v>101</v>
      </c>
      <c r="S68" s="115"/>
      <c r="T68" s="115" t="s">
        <v>108</v>
      </c>
      <c r="U68" s="115"/>
      <c r="V68" s="116" t="s">
        <v>115</v>
      </c>
      <c r="W68" s="117"/>
      <c r="X68" s="5"/>
    </row>
    <row r="69" spans="1:24" ht="15.6" x14ac:dyDescent="0.3">
      <c r="A69" s="24"/>
      <c r="B69" s="25" t="s">
        <v>19</v>
      </c>
      <c r="C69" s="34"/>
      <c r="D69" s="34"/>
      <c r="E69" s="34"/>
      <c r="F69" s="34"/>
      <c r="G69" s="34"/>
      <c r="H69" s="34"/>
      <c r="I69" s="34"/>
      <c r="J69" s="34"/>
      <c r="K69" s="34"/>
      <c r="L69" s="34">
        <f>1085286</f>
        <v>1085286</v>
      </c>
      <c r="M69" s="34"/>
      <c r="N69" s="53">
        <v>1449294</v>
      </c>
      <c r="O69" s="34"/>
      <c r="P69" s="34">
        <f>26506+6646+4786</f>
        <v>37938</v>
      </c>
      <c r="Q69" s="34"/>
      <c r="R69" s="34">
        <f>6646+4786</f>
        <v>11432</v>
      </c>
      <c r="S69" s="34"/>
      <c r="T69" s="34">
        <v>0</v>
      </c>
      <c r="U69" s="34"/>
      <c r="V69" s="53">
        <f>+N69-P69+R69-T69</f>
        <v>1422788</v>
      </c>
      <c r="W69" s="25"/>
      <c r="X69" s="5"/>
    </row>
    <row r="70" spans="1:24" ht="15.6" x14ac:dyDescent="0.3">
      <c r="A70" s="24"/>
      <c r="B70" s="25" t="s">
        <v>20</v>
      </c>
      <c r="C70" s="34"/>
      <c r="D70" s="34"/>
      <c r="E70" s="34"/>
      <c r="F70" s="34"/>
      <c r="G70" s="34"/>
      <c r="H70" s="34"/>
      <c r="I70" s="34"/>
      <c r="J70" s="34"/>
      <c r="K70" s="34"/>
      <c r="L70" s="34">
        <v>35</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1085321</v>
      </c>
      <c r="M72" s="34"/>
      <c r="N72" s="54">
        <f>N69+N70</f>
        <v>1449294</v>
      </c>
      <c r="O72" s="34"/>
      <c r="P72" s="34">
        <f>SUM(P69:P71)</f>
        <v>37938</v>
      </c>
      <c r="Q72" s="34"/>
      <c r="R72" s="34">
        <f>SUM(R69:R71)</f>
        <v>11432</v>
      </c>
      <c r="S72" s="34"/>
      <c r="T72" s="34">
        <f>SUM(T69:T71)</f>
        <v>0</v>
      </c>
      <c r="U72" s="34"/>
      <c r="V72" s="54">
        <f>SUM(V69:V71)</f>
        <v>1422788</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120</v>
      </c>
      <c r="C82" s="34"/>
      <c r="D82" s="34"/>
      <c r="E82" s="34"/>
      <c r="F82" s="34"/>
      <c r="G82" s="34"/>
      <c r="H82" s="34"/>
      <c r="I82" s="34"/>
      <c r="J82" s="34"/>
      <c r="K82" s="34"/>
      <c r="L82" s="34">
        <f>414862+7</f>
        <v>414869</v>
      </c>
      <c r="M82" s="34"/>
      <c r="N82" s="34">
        <v>0</v>
      </c>
      <c r="O82" s="34"/>
      <c r="P82" s="34">
        <v>0</v>
      </c>
      <c r="Q82" s="34"/>
      <c r="R82" s="34"/>
      <c r="S82" s="34"/>
      <c r="T82" s="34"/>
      <c r="U82" s="34"/>
      <c r="V82" s="54">
        <f>SUM(N82:R82)</f>
        <v>0</v>
      </c>
      <c r="W82" s="25"/>
      <c r="X82" s="5"/>
    </row>
    <row r="83" spans="1:24" ht="15.6" x14ac:dyDescent="0.3">
      <c r="A83" s="24"/>
      <c r="B83" s="25" t="s">
        <v>149</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1500190</v>
      </c>
      <c r="M85" s="34"/>
      <c r="N85" s="54">
        <f>SUM(N72:N84)</f>
        <v>1449294</v>
      </c>
      <c r="O85" s="34"/>
      <c r="P85" s="34"/>
      <c r="Q85" s="34"/>
      <c r="R85" s="34"/>
      <c r="S85" s="34"/>
      <c r="T85" s="54"/>
      <c r="U85" s="34"/>
      <c r="V85" s="54">
        <f>SUM(V72:V84)</f>
        <v>1422788</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96</v>
      </c>
      <c r="M88" s="17"/>
      <c r="N88" s="158">
        <f>+T197</f>
        <v>39262</v>
      </c>
      <c r="O88" s="17"/>
      <c r="P88" s="17"/>
      <c r="Q88" s="17"/>
      <c r="R88" s="17"/>
      <c r="S88" s="17"/>
      <c r="T88" s="17" t="s">
        <v>109</v>
      </c>
      <c r="U88" s="17"/>
      <c r="V88" s="17" t="s">
        <v>116</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37938-4</f>
        <v>37934</v>
      </c>
      <c r="U90" s="25"/>
      <c r="V90" s="53"/>
      <c r="W90" s="25"/>
      <c r="X90" s="5"/>
    </row>
    <row r="91" spans="1:24" ht="15.6" x14ac:dyDescent="0.3">
      <c r="A91" s="24"/>
      <c r="B91" s="25" t="s">
        <v>219</v>
      </c>
      <c r="C91" s="25"/>
      <c r="D91" s="25"/>
      <c r="E91" s="25"/>
      <c r="F91" s="25"/>
      <c r="G91" s="25"/>
      <c r="H91" s="40"/>
      <c r="I91" s="40"/>
      <c r="J91" s="40"/>
      <c r="K91" s="57"/>
      <c r="L91" s="40"/>
      <c r="M91" s="25"/>
      <c r="N91" s="127"/>
      <c r="O91" s="25"/>
      <c r="P91" s="25"/>
      <c r="Q91" s="25"/>
      <c r="R91" s="25"/>
      <c r="S91" s="25"/>
      <c r="T91" s="34"/>
      <c r="U91" s="25"/>
      <c r="V91" s="53">
        <f>11730+10800-639-3411</f>
        <v>18480</v>
      </c>
      <c r="W91" s="25"/>
      <c r="X91" s="5"/>
    </row>
    <row r="92" spans="1:24" ht="15.6" x14ac:dyDescent="0.3">
      <c r="A92" s="24"/>
      <c r="B92" s="25" t="s">
        <v>214</v>
      </c>
      <c r="C92" s="25"/>
      <c r="D92" s="25"/>
      <c r="E92" s="25"/>
      <c r="F92" s="25"/>
      <c r="G92" s="25"/>
      <c r="H92" s="40"/>
      <c r="I92" s="40"/>
      <c r="J92" s="40"/>
      <c r="K92" s="57"/>
      <c r="L92" s="40"/>
      <c r="M92" s="25"/>
      <c r="N92" s="127"/>
      <c r="O92" s="25"/>
      <c r="P92" s="25"/>
      <c r="Q92" s="25"/>
      <c r="R92" s="25"/>
      <c r="S92" s="25"/>
      <c r="T92" s="34"/>
      <c r="U92" s="25"/>
      <c r="V92" s="53">
        <f>282+278</f>
        <v>560</v>
      </c>
      <c r="W92" s="25"/>
      <c r="X92" s="5"/>
    </row>
    <row r="93" spans="1:24" ht="15.6" x14ac:dyDescent="0.3">
      <c r="A93" s="24"/>
      <c r="B93" s="25" t="s">
        <v>215</v>
      </c>
      <c r="C93" s="25"/>
      <c r="D93" s="25"/>
      <c r="E93" s="25"/>
      <c r="F93" s="25"/>
      <c r="G93" s="25"/>
      <c r="H93" s="40"/>
      <c r="I93" s="40"/>
      <c r="J93" s="40"/>
      <c r="K93" s="57"/>
      <c r="L93" s="40"/>
      <c r="M93" s="25"/>
      <c r="N93" s="127"/>
      <c r="O93" s="25"/>
      <c r="P93" s="25"/>
      <c r="Q93" s="25"/>
      <c r="R93" s="25"/>
      <c r="S93" s="25"/>
      <c r="T93" s="34"/>
      <c r="U93" s="25"/>
      <c r="V93" s="53">
        <v>874</v>
      </c>
      <c r="W93" s="25"/>
      <c r="X93" s="5"/>
    </row>
    <row r="94" spans="1:24" ht="15.6" x14ac:dyDescent="0.3">
      <c r="A94" s="24"/>
      <c r="B94" s="25" t="s">
        <v>277</v>
      </c>
      <c r="C94" s="25"/>
      <c r="D94" s="25"/>
      <c r="E94" s="25"/>
      <c r="F94" s="25"/>
      <c r="G94" s="25"/>
      <c r="H94" s="40"/>
      <c r="I94" s="40"/>
      <c r="J94" s="40"/>
      <c r="K94" s="57"/>
      <c r="L94" s="40"/>
      <c r="M94" s="25"/>
      <c r="N94" s="127"/>
      <c r="O94" s="25"/>
      <c r="P94" s="25"/>
      <c r="Q94" s="25"/>
      <c r="R94" s="25"/>
      <c r="S94" s="25"/>
      <c r="T94" s="34"/>
      <c r="U94" s="25"/>
      <c r="V94" s="53">
        <v>750</v>
      </c>
      <c r="W94" s="25"/>
      <c r="X94" s="5"/>
    </row>
    <row r="95" spans="1:24" ht="15.6" x14ac:dyDescent="0.3">
      <c r="A95" s="24"/>
      <c r="B95" s="25" t="s">
        <v>138</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265</v>
      </c>
      <c r="C96" s="25"/>
      <c r="D96" s="25"/>
      <c r="E96" s="25"/>
      <c r="F96" s="25"/>
      <c r="G96" s="25"/>
      <c r="H96" s="25"/>
      <c r="I96" s="25"/>
      <c r="J96" s="25"/>
      <c r="K96" s="25"/>
      <c r="L96" s="25"/>
      <c r="M96" s="25"/>
      <c r="N96" s="25"/>
      <c r="O96" s="25"/>
      <c r="P96" s="25"/>
      <c r="Q96" s="25"/>
      <c r="R96" s="25"/>
      <c r="S96" s="25"/>
      <c r="T96" s="34"/>
      <c r="U96" s="25"/>
      <c r="V96" s="53">
        <v>4217</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37934</v>
      </c>
      <c r="U97" s="25"/>
      <c r="V97" s="54">
        <f>SUM(V89:V96)</f>
        <v>24881</v>
      </c>
      <c r="W97" s="25"/>
      <c r="X97" s="5"/>
    </row>
    <row r="98" spans="1:25" ht="15.6" x14ac:dyDescent="0.3">
      <c r="A98" s="24"/>
      <c r="B98" s="25" t="s">
        <v>164</v>
      </c>
      <c r="C98" s="25"/>
      <c r="D98" s="25"/>
      <c r="E98" s="25"/>
      <c r="F98" s="25"/>
      <c r="G98" s="25"/>
      <c r="H98" s="25"/>
      <c r="I98" s="25"/>
      <c r="J98" s="25"/>
      <c r="K98" s="25"/>
      <c r="L98" s="25"/>
      <c r="M98" s="25"/>
      <c r="N98" s="25"/>
      <c r="O98" s="25"/>
      <c r="P98" s="25"/>
      <c r="Q98" s="25"/>
      <c r="R98" s="25"/>
      <c r="S98" s="25"/>
      <c r="T98" s="34">
        <f>-V98</f>
        <v>-1299</v>
      </c>
      <c r="U98" s="25"/>
      <c r="V98" s="54">
        <v>1299</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32</v>
      </c>
      <c r="C100" s="25"/>
      <c r="D100" s="25"/>
      <c r="E100" s="25"/>
      <c r="F100" s="25"/>
      <c r="G100" s="25"/>
      <c r="H100" s="25"/>
      <c r="I100" s="25"/>
      <c r="J100" s="25"/>
      <c r="K100" s="25"/>
      <c r="L100" s="25"/>
      <c r="M100" s="25"/>
      <c r="N100" s="25"/>
      <c r="O100" s="25"/>
      <c r="P100" s="25"/>
      <c r="Q100" s="25"/>
      <c r="R100" s="25"/>
      <c r="S100" s="25"/>
      <c r="T100" s="34">
        <f>T97+T99+T98</f>
        <v>36635</v>
      </c>
      <c r="U100" s="25"/>
      <c r="V100" s="54">
        <f>V97+V99+V98</f>
        <v>26180</v>
      </c>
      <c r="W100" s="25"/>
      <c r="X100" s="5"/>
    </row>
    <row r="101" spans="1:25" ht="15.6" x14ac:dyDescent="0.3">
      <c r="A101" s="24"/>
      <c r="B101" s="118" t="s">
        <v>33</v>
      </c>
      <c r="C101" s="25"/>
      <c r="D101" s="25"/>
      <c r="E101" s="25"/>
      <c r="F101" s="25"/>
      <c r="G101" s="25"/>
      <c r="H101" s="25"/>
      <c r="I101" s="25"/>
      <c r="J101" s="25"/>
      <c r="K101" s="25"/>
      <c r="L101" s="25"/>
      <c r="M101" s="25"/>
      <c r="N101" s="25"/>
      <c r="O101" s="25"/>
      <c r="P101" s="25"/>
      <c r="Q101" s="25"/>
      <c r="R101" s="25"/>
      <c r="S101" s="25"/>
      <c r="T101" s="34"/>
      <c r="U101" s="25"/>
      <c r="V101" s="53"/>
      <c r="W101" s="25"/>
      <c r="X101" s="5"/>
    </row>
    <row r="102" spans="1:25" ht="15.6" x14ac:dyDescent="0.3">
      <c r="A102" s="24">
        <v>1</v>
      </c>
      <c r="B102" s="25" t="s">
        <v>34</v>
      </c>
      <c r="C102" s="25"/>
      <c r="D102" s="25"/>
      <c r="E102" s="25"/>
      <c r="F102" s="25"/>
      <c r="G102" s="25"/>
      <c r="H102" s="25"/>
      <c r="I102" s="25"/>
      <c r="J102" s="25"/>
      <c r="K102" s="25"/>
      <c r="L102" s="25"/>
      <c r="M102" s="25"/>
      <c r="N102" s="25"/>
      <c r="O102" s="25"/>
      <c r="P102" s="25"/>
      <c r="Q102" s="25"/>
      <c r="R102" s="25"/>
      <c r="S102" s="25"/>
      <c r="T102" s="25"/>
      <c r="U102" s="25"/>
      <c r="V102" s="53">
        <v>0</v>
      </c>
      <c r="W102" s="25"/>
      <c r="X102" s="5"/>
    </row>
    <row r="103" spans="1:25" ht="15.6" x14ac:dyDescent="0.3">
      <c r="A103" s="24">
        <f>+A102+1</f>
        <v>2</v>
      </c>
      <c r="B103" s="25" t="s">
        <v>231</v>
      </c>
      <c r="C103" s="25"/>
      <c r="D103" s="25"/>
      <c r="E103" s="25"/>
      <c r="F103" s="25"/>
      <c r="G103" s="25"/>
      <c r="H103" s="25"/>
      <c r="I103" s="25"/>
      <c r="J103" s="25"/>
      <c r="K103" s="25"/>
      <c r="L103" s="25"/>
      <c r="M103" s="25"/>
      <c r="N103" s="25"/>
      <c r="O103" s="25"/>
      <c r="P103" s="25"/>
      <c r="Q103" s="25"/>
      <c r="R103" s="25"/>
      <c r="S103" s="25"/>
      <c r="T103" s="25"/>
      <c r="U103" s="25"/>
      <c r="V103" s="53">
        <f>-2</f>
        <v>-2</v>
      </c>
      <c r="W103" s="25"/>
      <c r="X103" s="5"/>
    </row>
    <row r="104" spans="1:25" ht="15.6" x14ac:dyDescent="0.3">
      <c r="A104" s="24">
        <f>+A103+1</f>
        <v>3</v>
      </c>
      <c r="B104" s="25" t="s">
        <v>207</v>
      </c>
      <c r="C104" s="25"/>
      <c r="D104" s="25"/>
      <c r="E104" s="25"/>
      <c r="F104" s="25"/>
      <c r="G104" s="25"/>
      <c r="H104" s="25"/>
      <c r="I104" s="25"/>
      <c r="J104" s="25"/>
      <c r="K104" s="25"/>
      <c r="L104" s="25"/>
      <c r="M104" s="25"/>
      <c r="N104" s="25"/>
      <c r="O104" s="25"/>
      <c r="P104" s="25"/>
      <c r="Q104" s="25"/>
      <c r="R104" s="25"/>
      <c r="S104" s="25"/>
      <c r="T104" s="25"/>
      <c r="U104" s="25"/>
      <c r="V104" s="53">
        <f>-542-7-17</f>
        <v>-566</v>
      </c>
      <c r="W104" s="25"/>
      <c r="X104" s="5"/>
    </row>
    <row r="105" spans="1:25" ht="15.6" x14ac:dyDescent="0.3">
      <c r="A105" s="24" t="s">
        <v>130</v>
      </c>
      <c r="B105" s="25" t="s">
        <v>119</v>
      </c>
      <c r="C105" s="25"/>
      <c r="D105" s="25"/>
      <c r="E105" s="25"/>
      <c r="F105" s="25"/>
      <c r="G105" s="25"/>
      <c r="H105" s="25"/>
      <c r="I105" s="25"/>
      <c r="J105" s="25"/>
      <c r="K105" s="25"/>
      <c r="L105" s="25"/>
      <c r="M105" s="25"/>
      <c r="N105" s="25"/>
      <c r="O105" s="25"/>
      <c r="P105" s="25"/>
      <c r="Q105" s="25"/>
      <c r="R105" s="25"/>
      <c r="S105" s="25"/>
      <c r="T105" s="25"/>
      <c r="U105" s="25"/>
      <c r="V105" s="53">
        <v>0</v>
      </c>
      <c r="W105" s="25"/>
      <c r="X105" s="5"/>
    </row>
    <row r="106" spans="1:25" ht="15.6" x14ac:dyDescent="0.3">
      <c r="A106" s="24" t="s">
        <v>131</v>
      </c>
      <c r="B106" s="25" t="s">
        <v>228</v>
      </c>
      <c r="C106" s="25"/>
      <c r="D106" s="25"/>
      <c r="E106" s="25"/>
      <c r="F106" s="25"/>
      <c r="G106" s="25"/>
      <c r="H106" s="25"/>
      <c r="I106" s="25"/>
      <c r="J106" s="25"/>
      <c r="K106" s="25"/>
      <c r="L106" s="25"/>
      <c r="M106" s="25"/>
      <c r="N106" s="25"/>
      <c r="O106" s="25"/>
      <c r="P106" s="25"/>
      <c r="Q106" s="25"/>
      <c r="R106" s="25"/>
      <c r="S106" s="25"/>
      <c r="T106" s="25"/>
      <c r="U106" s="25"/>
      <c r="V106" s="53">
        <v>-16210</v>
      </c>
      <c r="W106" s="25"/>
      <c r="X106" s="5"/>
      <c r="Y106" s="109"/>
    </row>
    <row r="107" spans="1:25" ht="15.6" x14ac:dyDescent="0.3">
      <c r="A107" s="24" t="s">
        <v>153</v>
      </c>
      <c r="B107" s="25" t="s">
        <v>187</v>
      </c>
      <c r="C107" s="25"/>
      <c r="D107" s="25"/>
      <c r="E107" s="25"/>
      <c r="F107" s="25"/>
      <c r="G107" s="25"/>
      <c r="H107" s="25"/>
      <c r="I107" s="25"/>
      <c r="J107" s="25"/>
      <c r="K107" s="25"/>
      <c r="L107" s="25"/>
      <c r="M107" s="25"/>
      <c r="N107" s="25"/>
      <c r="O107" s="25"/>
      <c r="P107" s="25"/>
      <c r="Q107" s="25"/>
      <c r="R107" s="25"/>
      <c r="S107" s="25"/>
      <c r="T107" s="25"/>
      <c r="U107" s="25"/>
      <c r="V107" s="53">
        <v>-1714</v>
      </c>
      <c r="W107" s="25"/>
      <c r="X107" s="5"/>
      <c r="Y107" s="109"/>
    </row>
    <row r="108" spans="1:25" ht="15.6" x14ac:dyDescent="0.3">
      <c r="A108" s="24" t="s">
        <v>266</v>
      </c>
      <c r="B108" s="25" t="s">
        <v>269</v>
      </c>
      <c r="C108" s="25"/>
      <c r="D108" s="25"/>
      <c r="E108" s="25"/>
      <c r="F108" s="25"/>
      <c r="G108" s="25"/>
      <c r="H108" s="25"/>
      <c r="I108" s="25"/>
      <c r="J108" s="25"/>
      <c r="K108" s="25"/>
      <c r="L108" s="25"/>
      <c r="M108" s="25"/>
      <c r="N108" s="25"/>
      <c r="O108" s="25"/>
      <c r="P108" s="25"/>
      <c r="Q108" s="25"/>
      <c r="R108" s="25"/>
      <c r="S108" s="25"/>
      <c r="T108" s="25"/>
      <c r="U108" s="25"/>
      <c r="V108" s="53">
        <v>-4</v>
      </c>
      <c r="W108" s="25"/>
      <c r="X108" s="5"/>
    </row>
    <row r="109" spans="1:25" ht="15.6" x14ac:dyDescent="0.3">
      <c r="A109" s="24" t="s">
        <v>208</v>
      </c>
      <c r="B109" s="25" t="s">
        <v>188</v>
      </c>
      <c r="C109" s="25"/>
      <c r="D109" s="25"/>
      <c r="E109" s="25"/>
      <c r="F109" s="25"/>
      <c r="G109" s="25"/>
      <c r="H109" s="25"/>
      <c r="I109" s="25"/>
      <c r="J109" s="25"/>
      <c r="K109" s="25"/>
      <c r="L109" s="25"/>
      <c r="M109" s="25"/>
      <c r="N109" s="25"/>
      <c r="O109" s="25"/>
      <c r="P109" s="25"/>
      <c r="Q109" s="25"/>
      <c r="R109" s="25"/>
      <c r="S109" s="25"/>
      <c r="T109" s="25"/>
      <c r="U109" s="25"/>
      <c r="V109" s="53">
        <v>-816</v>
      </c>
      <c r="W109" s="25"/>
      <c r="X109" s="5"/>
      <c r="Y109" s="109"/>
    </row>
    <row r="110" spans="1:25" ht="15.6" x14ac:dyDescent="0.3">
      <c r="A110" s="24" t="s">
        <v>209</v>
      </c>
      <c r="B110" s="25" t="s">
        <v>189</v>
      </c>
      <c r="C110" s="25"/>
      <c r="D110" s="25"/>
      <c r="E110" s="25"/>
      <c r="F110" s="25"/>
      <c r="G110" s="25"/>
      <c r="H110" s="25"/>
      <c r="I110" s="25"/>
      <c r="J110" s="25"/>
      <c r="K110" s="25"/>
      <c r="L110" s="25"/>
      <c r="M110" s="25"/>
      <c r="N110" s="25"/>
      <c r="O110" s="25"/>
      <c r="P110" s="25"/>
      <c r="Q110" s="25"/>
      <c r="R110" s="25"/>
      <c r="S110" s="25"/>
      <c r="T110" s="25"/>
      <c r="U110" s="25"/>
      <c r="V110" s="53">
        <v>-810</v>
      </c>
      <c r="W110" s="25"/>
      <c r="X110" s="5"/>
      <c r="Y110" s="109"/>
    </row>
    <row r="111" spans="1:25" ht="15.6" x14ac:dyDescent="0.3">
      <c r="A111" s="24" t="s">
        <v>210</v>
      </c>
      <c r="B111" s="25" t="s">
        <v>199</v>
      </c>
      <c r="C111" s="25"/>
      <c r="D111" s="25"/>
      <c r="E111" s="25"/>
      <c r="F111" s="25"/>
      <c r="G111" s="25"/>
      <c r="H111" s="25"/>
      <c r="I111" s="25"/>
      <c r="J111" s="25"/>
      <c r="K111" s="25"/>
      <c r="L111" s="25"/>
      <c r="M111" s="25"/>
      <c r="N111" s="25"/>
      <c r="O111" s="25"/>
      <c r="P111" s="25"/>
      <c r="Q111" s="25"/>
      <c r="R111" s="25"/>
      <c r="S111" s="25"/>
      <c r="T111" s="25"/>
      <c r="U111" s="25"/>
      <c r="V111" s="53">
        <v>-816</v>
      </c>
      <c r="W111" s="25"/>
      <c r="X111" s="5"/>
      <c r="Y111" s="109"/>
    </row>
    <row r="112" spans="1:25" ht="15.6" x14ac:dyDescent="0.3">
      <c r="A112" s="24" t="s">
        <v>230</v>
      </c>
      <c r="B112" s="25" t="s">
        <v>229</v>
      </c>
      <c r="C112" s="25"/>
      <c r="D112" s="25"/>
      <c r="E112" s="25"/>
      <c r="F112" s="25"/>
      <c r="G112" s="25"/>
      <c r="H112" s="25"/>
      <c r="I112" s="25"/>
      <c r="J112" s="25"/>
      <c r="K112" s="25"/>
      <c r="L112" s="25"/>
      <c r="M112" s="25"/>
      <c r="N112" s="25"/>
      <c r="O112" s="25"/>
      <c r="P112" s="25"/>
      <c r="Q112" s="25"/>
      <c r="R112" s="25"/>
      <c r="S112" s="25"/>
      <c r="T112" s="25"/>
      <c r="U112" s="25"/>
      <c r="V112" s="53">
        <v>-194</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20" si="0">+A113+1</f>
        <v>8</v>
      </c>
      <c r="B114" s="25" t="s">
        <v>45</v>
      </c>
      <c r="C114" s="25"/>
      <c r="D114" s="25"/>
      <c r="E114" s="25"/>
      <c r="F114" s="25"/>
      <c r="G114" s="25"/>
      <c r="H114" s="25"/>
      <c r="I114" s="25"/>
      <c r="J114" s="25"/>
      <c r="K114" s="25"/>
      <c r="L114" s="25"/>
      <c r="M114" s="25"/>
      <c r="N114" s="25"/>
      <c r="O114" s="25"/>
      <c r="P114" s="25"/>
      <c r="Q114" s="25"/>
      <c r="R114" s="25"/>
      <c r="S114" s="25"/>
      <c r="T114" s="34">
        <f>-V114</f>
        <v>4</v>
      </c>
      <c r="U114" s="25"/>
      <c r="V114" s="53">
        <v>-4</v>
      </c>
      <c r="W114" s="25"/>
      <c r="X114" s="5"/>
    </row>
    <row r="115" spans="1:24" ht="15.6" x14ac:dyDescent="0.3">
      <c r="A115" s="24">
        <f t="shared" si="0"/>
        <v>9</v>
      </c>
      <c r="B115" s="25" t="s">
        <v>128</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271</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36</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270</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4" ht="15.6" x14ac:dyDescent="0.3">
      <c r="A119" s="24">
        <f t="shared" si="0"/>
        <v>13</v>
      </c>
      <c r="B119" s="25" t="s">
        <v>152</v>
      </c>
      <c r="C119" s="25"/>
      <c r="D119" s="25"/>
      <c r="E119" s="25"/>
      <c r="F119" s="25"/>
      <c r="G119" s="25"/>
      <c r="H119" s="25"/>
      <c r="I119" s="25"/>
      <c r="J119" s="25"/>
      <c r="K119" s="25"/>
      <c r="L119" s="25"/>
      <c r="M119" s="25"/>
      <c r="N119" s="25"/>
      <c r="O119" s="25"/>
      <c r="P119" s="25"/>
      <c r="Q119" s="25"/>
      <c r="R119" s="25"/>
      <c r="S119" s="25"/>
      <c r="T119" s="25"/>
      <c r="U119" s="25"/>
      <c r="V119" s="53">
        <v>-542</v>
      </c>
      <c r="W119" s="25"/>
      <c r="X119" s="5"/>
    </row>
    <row r="120" spans="1:24" ht="15.6" x14ac:dyDescent="0.3">
      <c r="A120" s="24">
        <f t="shared" si="0"/>
        <v>14</v>
      </c>
      <c r="B120" s="25" t="s">
        <v>129</v>
      </c>
      <c r="C120" s="25"/>
      <c r="D120" s="25"/>
      <c r="E120" s="25"/>
      <c r="F120" s="25"/>
      <c r="G120" s="25"/>
      <c r="H120" s="25"/>
      <c r="I120" s="25"/>
      <c r="J120" s="25"/>
      <c r="K120" s="25"/>
      <c r="L120" s="25"/>
      <c r="M120" s="25"/>
      <c r="N120" s="25"/>
      <c r="O120" s="25"/>
      <c r="P120" s="25"/>
      <c r="Q120" s="25"/>
      <c r="R120" s="25"/>
      <c r="S120" s="25"/>
      <c r="T120" s="25"/>
      <c r="U120" s="25"/>
      <c r="V120" s="53">
        <f>-V100-SUM(V102:V119)</f>
        <v>-4492</v>
      </c>
      <c r="W120" s="25"/>
      <c r="X120" s="5"/>
    </row>
    <row r="121" spans="1:24" ht="15.6" x14ac:dyDescent="0.3">
      <c r="A121" s="24"/>
      <c r="B121" s="118" t="s">
        <v>37</v>
      </c>
      <c r="C121" s="25"/>
      <c r="D121" s="25"/>
      <c r="E121" s="25"/>
      <c r="F121" s="25"/>
      <c r="G121" s="25"/>
      <c r="H121" s="25"/>
      <c r="I121" s="25"/>
      <c r="J121" s="25"/>
      <c r="K121" s="25"/>
      <c r="L121" s="25"/>
      <c r="M121" s="25"/>
      <c r="N121" s="25"/>
      <c r="O121" s="25"/>
      <c r="P121" s="25"/>
      <c r="Q121" s="25"/>
      <c r="R121" s="25"/>
      <c r="S121" s="25"/>
      <c r="T121" s="25"/>
      <c r="U121" s="25"/>
      <c r="V121" s="59"/>
      <c r="W121" s="25"/>
      <c r="X121" s="5"/>
    </row>
    <row r="122" spans="1:24" ht="15.6" x14ac:dyDescent="0.3">
      <c r="A122" s="24"/>
      <c r="B122" s="25" t="s">
        <v>176</v>
      </c>
      <c r="C122" s="25"/>
      <c r="D122" s="25"/>
      <c r="E122" s="25"/>
      <c r="F122" s="25"/>
      <c r="G122" s="25"/>
      <c r="H122" s="25"/>
      <c r="I122" s="25"/>
      <c r="J122" s="25"/>
      <c r="K122" s="25"/>
      <c r="L122" s="25"/>
      <c r="M122" s="25"/>
      <c r="N122" s="25"/>
      <c r="O122" s="25"/>
      <c r="P122" s="25"/>
      <c r="Q122" s="25"/>
      <c r="R122" s="25"/>
      <c r="S122" s="25"/>
      <c r="T122" s="34">
        <f>-T181</f>
        <v>-877</v>
      </c>
      <c r="U122" s="34"/>
      <c r="V122" s="53"/>
      <c r="W122" s="25"/>
      <c r="X122" s="5"/>
    </row>
    <row r="123" spans="1:24" ht="15.6" x14ac:dyDescent="0.3">
      <c r="A123" s="24"/>
      <c r="B123" s="25" t="s">
        <v>177</v>
      </c>
      <c r="C123" s="25"/>
      <c r="D123" s="25"/>
      <c r="E123" s="25"/>
      <c r="F123" s="25"/>
      <c r="G123" s="25"/>
      <c r="H123" s="25"/>
      <c r="I123" s="25"/>
      <c r="J123" s="25"/>
      <c r="K123" s="25"/>
      <c r="L123" s="25"/>
      <c r="M123" s="25"/>
      <c r="N123" s="25"/>
      <c r="O123" s="25"/>
      <c r="P123" s="25"/>
      <c r="Q123" s="25"/>
      <c r="R123" s="25"/>
      <c r="S123" s="25"/>
      <c r="T123" s="34">
        <v>-989</v>
      </c>
      <c r="U123" s="34"/>
      <c r="V123" s="53"/>
      <c r="W123" s="25"/>
      <c r="X123" s="5"/>
    </row>
    <row r="124" spans="1:24" ht="15.6" x14ac:dyDescent="0.3">
      <c r="A124" s="24"/>
      <c r="B124" s="25" t="s">
        <v>38</v>
      </c>
      <c r="C124" s="25"/>
      <c r="D124" s="25"/>
      <c r="E124" s="25"/>
      <c r="F124" s="25"/>
      <c r="G124" s="25"/>
      <c r="H124" s="25"/>
      <c r="I124" s="25"/>
      <c r="J124" s="25"/>
      <c r="K124" s="25"/>
      <c r="L124" s="25"/>
      <c r="M124" s="25"/>
      <c r="N124" s="25"/>
      <c r="O124" s="25"/>
      <c r="P124" s="25"/>
      <c r="Q124" s="25"/>
      <c r="R124" s="25"/>
      <c r="S124" s="25"/>
      <c r="T124" s="34">
        <f>-S181</f>
        <v>-8266</v>
      </c>
      <c r="U124" s="34"/>
      <c r="V124" s="53"/>
      <c r="W124" s="25"/>
      <c r="X124" s="5"/>
    </row>
    <row r="125" spans="1:24" ht="15.6" x14ac:dyDescent="0.3">
      <c r="A125" s="24"/>
      <c r="B125" s="25" t="s">
        <v>200</v>
      </c>
      <c r="C125" s="25"/>
      <c r="D125" s="25"/>
      <c r="E125" s="25"/>
      <c r="F125" s="25"/>
      <c r="G125" s="25"/>
      <c r="H125" s="25"/>
      <c r="I125" s="25"/>
      <c r="J125" s="25"/>
      <c r="K125" s="25"/>
      <c r="L125" s="25"/>
      <c r="M125" s="25"/>
      <c r="N125" s="25"/>
      <c r="O125" s="25"/>
      <c r="P125" s="25"/>
      <c r="Q125" s="25"/>
      <c r="R125" s="25"/>
      <c r="S125" s="25"/>
      <c r="T125" s="34">
        <v>-16017</v>
      </c>
      <c r="U125" s="34"/>
      <c r="V125" s="53"/>
      <c r="W125" s="25"/>
      <c r="X125" s="5"/>
    </row>
    <row r="126" spans="1:24" ht="15.6" x14ac:dyDescent="0.3">
      <c r="A126" s="24"/>
      <c r="B126" s="25" t="s">
        <v>198</v>
      </c>
      <c r="C126" s="25"/>
      <c r="D126" s="25"/>
      <c r="E126" s="25"/>
      <c r="F126" s="25"/>
      <c r="G126" s="25"/>
      <c r="H126" s="25"/>
      <c r="I126" s="25"/>
      <c r="J126" s="25"/>
      <c r="K126" s="25"/>
      <c r="L126" s="25"/>
      <c r="M126" s="25"/>
      <c r="N126" s="25"/>
      <c r="O126" s="25"/>
      <c r="P126" s="25"/>
      <c r="Q126" s="25"/>
      <c r="R126" s="25"/>
      <c r="S126" s="25"/>
      <c r="T126" s="34">
        <v>-2509</v>
      </c>
      <c r="U126" s="34"/>
      <c r="V126" s="53"/>
      <c r="W126" s="25"/>
      <c r="X126" s="5"/>
    </row>
    <row r="127" spans="1:24" ht="15.6" x14ac:dyDescent="0.3">
      <c r="A127" s="24"/>
      <c r="B127" s="25" t="s">
        <v>197</v>
      </c>
      <c r="C127" s="25"/>
      <c r="D127" s="25"/>
      <c r="E127" s="25"/>
      <c r="F127" s="25"/>
      <c r="G127" s="25"/>
      <c r="H127" s="25"/>
      <c r="I127" s="25"/>
      <c r="J127" s="25"/>
      <c r="K127" s="25"/>
      <c r="L127" s="25"/>
      <c r="M127" s="25"/>
      <c r="N127" s="25"/>
      <c r="O127" s="25"/>
      <c r="P127" s="25"/>
      <c r="Q127" s="25"/>
      <c r="R127" s="25"/>
      <c r="S127" s="25"/>
      <c r="T127" s="34">
        <v>-4244</v>
      </c>
      <c r="U127" s="34"/>
      <c r="V127" s="53"/>
      <c r="W127" s="25"/>
      <c r="X127" s="5"/>
    </row>
    <row r="128" spans="1:24" ht="15.6" x14ac:dyDescent="0.3">
      <c r="A128" s="24"/>
      <c r="B128" s="25" t="s">
        <v>232</v>
      </c>
      <c r="C128" s="25"/>
      <c r="D128" s="25"/>
      <c r="E128" s="25"/>
      <c r="F128" s="25"/>
      <c r="G128" s="25"/>
      <c r="H128" s="25"/>
      <c r="I128" s="25"/>
      <c r="J128" s="25"/>
      <c r="K128" s="25"/>
      <c r="L128" s="25"/>
      <c r="M128" s="25"/>
      <c r="N128" s="25"/>
      <c r="O128" s="25"/>
      <c r="P128" s="25"/>
      <c r="Q128" s="25"/>
      <c r="R128" s="25"/>
      <c r="S128" s="25"/>
      <c r="T128" s="34">
        <v>-3737</v>
      </c>
      <c r="U128" s="34"/>
      <c r="V128" s="53"/>
      <c r="W128" s="25"/>
      <c r="X128" s="5"/>
    </row>
    <row r="129" spans="1:24" ht="15.6" x14ac:dyDescent="0.3">
      <c r="A129" s="24"/>
      <c r="B129" s="25" t="s">
        <v>192</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191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233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190</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39</v>
      </c>
      <c r="C133" s="25"/>
      <c r="D133" s="25"/>
      <c r="E133" s="25"/>
      <c r="F133" s="25"/>
      <c r="G133" s="25"/>
      <c r="H133" s="25"/>
      <c r="I133" s="25"/>
      <c r="J133" s="25"/>
      <c r="K133" s="25"/>
      <c r="L133" s="25"/>
      <c r="M133" s="25"/>
      <c r="N133" s="25"/>
      <c r="O133" s="25"/>
      <c r="P133" s="25"/>
      <c r="Q133" s="25"/>
      <c r="R133" s="25"/>
      <c r="S133" s="25"/>
      <c r="T133" s="34">
        <f>SUM(T122:T132)</f>
        <v>-36639</v>
      </c>
      <c r="U133" s="34"/>
      <c r="V133" s="34">
        <f>SUM(V101:V130)</f>
        <v>-26180</v>
      </c>
      <c r="W133" s="25"/>
      <c r="X133" s="5"/>
    </row>
    <row r="134" spans="1:24" ht="15.6" x14ac:dyDescent="0.3">
      <c r="A134" s="24"/>
      <c r="B134" s="25" t="s">
        <v>40</v>
      </c>
      <c r="C134" s="25"/>
      <c r="D134" s="25"/>
      <c r="E134" s="25"/>
      <c r="F134" s="25"/>
      <c r="G134" s="25"/>
      <c r="H134" s="25"/>
      <c r="I134" s="25"/>
      <c r="J134" s="25"/>
      <c r="K134" s="25"/>
      <c r="L134" s="25"/>
      <c r="M134" s="25"/>
      <c r="N134" s="25"/>
      <c r="O134" s="25"/>
      <c r="P134" s="25"/>
      <c r="Q134" s="25"/>
      <c r="R134" s="25"/>
      <c r="S134" s="25"/>
      <c r="T134" s="34">
        <f>T100+T133+T114</f>
        <v>0</v>
      </c>
      <c r="U134" s="34"/>
      <c r="V134" s="34">
        <f>V100+V133</f>
        <v>0</v>
      </c>
      <c r="W134" s="25"/>
      <c r="X134" s="5"/>
    </row>
    <row r="135" spans="1:24" ht="15.6" x14ac:dyDescent="0.3">
      <c r="A135" s="24"/>
      <c r="B135" s="25"/>
      <c r="C135" s="25"/>
      <c r="D135" s="25"/>
      <c r="E135" s="25"/>
      <c r="F135" s="25"/>
      <c r="G135" s="25"/>
      <c r="H135" s="25"/>
      <c r="I135" s="25"/>
      <c r="J135" s="25"/>
      <c r="K135" s="25"/>
      <c r="L135" s="25"/>
      <c r="M135" s="25"/>
      <c r="N135" s="25"/>
      <c r="O135" s="25"/>
      <c r="P135" s="25"/>
      <c r="Q135" s="25"/>
      <c r="R135" s="25"/>
      <c r="S135" s="25"/>
      <c r="T135" s="34"/>
      <c r="U135" s="34"/>
      <c r="V135" s="34"/>
      <c r="W135" s="25"/>
      <c r="X135" s="5"/>
    </row>
    <row r="136" spans="1:24" ht="15.6" x14ac:dyDescent="0.3">
      <c r="A136" s="6"/>
      <c r="B136" s="8"/>
      <c r="C136" s="8"/>
      <c r="D136" s="8"/>
      <c r="E136" s="8"/>
      <c r="F136" s="8"/>
      <c r="G136" s="8"/>
      <c r="H136" s="8"/>
      <c r="I136" s="8"/>
      <c r="J136" s="8"/>
      <c r="K136" s="8"/>
      <c r="L136" s="8"/>
      <c r="M136" s="8"/>
      <c r="N136" s="8"/>
      <c r="O136" s="8"/>
      <c r="P136" s="8"/>
      <c r="Q136" s="8"/>
      <c r="R136" s="8"/>
      <c r="S136" s="8"/>
      <c r="T136" s="8"/>
      <c r="U136" s="8"/>
      <c r="V136" s="52"/>
      <c r="W136" s="8"/>
      <c r="X136" s="5"/>
    </row>
    <row r="137" spans="1:24" ht="18" thickBot="1" x14ac:dyDescent="0.35">
      <c r="A137" s="101"/>
      <c r="B137" s="102" t="str">
        <f>B64</f>
        <v>PM13 INVESTOR REPORT QUARTER ENDING JUNE 2007</v>
      </c>
      <c r="C137" s="103"/>
      <c r="D137" s="103"/>
      <c r="E137" s="103"/>
      <c r="F137" s="103"/>
      <c r="G137" s="103"/>
      <c r="H137" s="103"/>
      <c r="I137" s="103"/>
      <c r="J137" s="103"/>
      <c r="K137" s="103"/>
      <c r="L137" s="103"/>
      <c r="M137" s="103"/>
      <c r="N137" s="103"/>
      <c r="O137" s="103"/>
      <c r="P137" s="103"/>
      <c r="Q137" s="103"/>
      <c r="R137" s="103"/>
      <c r="S137" s="103"/>
      <c r="T137" s="103"/>
      <c r="U137" s="103"/>
      <c r="V137" s="106"/>
      <c r="W137" s="105"/>
      <c r="X137" s="5"/>
    </row>
    <row r="138" spans="1:24" ht="15.6" x14ac:dyDescent="0.3">
      <c r="A138" s="2"/>
      <c r="B138" s="60" t="s">
        <v>41</v>
      </c>
      <c r="C138" s="4"/>
      <c r="D138" s="4"/>
      <c r="E138" s="4"/>
      <c r="F138" s="4"/>
      <c r="G138" s="4"/>
      <c r="H138" s="4"/>
      <c r="I138" s="4"/>
      <c r="J138" s="4"/>
      <c r="K138" s="4"/>
      <c r="L138" s="4"/>
      <c r="M138" s="4"/>
      <c r="N138" s="4"/>
      <c r="O138" s="4"/>
      <c r="P138" s="4"/>
      <c r="Q138" s="4"/>
      <c r="R138" s="4"/>
      <c r="S138" s="4"/>
      <c r="T138" s="4"/>
      <c r="U138" s="4"/>
      <c r="V138" s="50"/>
      <c r="W138" s="4"/>
      <c r="X138" s="5"/>
    </row>
    <row r="139" spans="1:24" ht="15.6" x14ac:dyDescent="0.3">
      <c r="A139" s="6"/>
      <c r="B139" s="21"/>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6"/>
      <c r="B140" s="119" t="s">
        <v>42</v>
      </c>
      <c r="C140" s="8"/>
      <c r="D140" s="8"/>
      <c r="E140" s="8"/>
      <c r="F140" s="8"/>
      <c r="G140" s="8"/>
      <c r="H140" s="8"/>
      <c r="I140" s="8"/>
      <c r="J140" s="8"/>
      <c r="K140" s="8"/>
      <c r="L140" s="8"/>
      <c r="M140" s="8"/>
      <c r="N140" s="8"/>
      <c r="O140" s="8"/>
      <c r="P140" s="8"/>
      <c r="Q140" s="8"/>
      <c r="R140" s="8"/>
      <c r="S140" s="8"/>
      <c r="T140" s="8"/>
      <c r="U140" s="8"/>
      <c r="V140" s="52"/>
      <c r="W140" s="8"/>
      <c r="X140" s="5"/>
    </row>
    <row r="141" spans="1:24" ht="15.6" x14ac:dyDescent="0.3">
      <c r="A141" s="24"/>
      <c r="B141" s="25" t="s">
        <v>43</v>
      </c>
      <c r="C141" s="25"/>
      <c r="D141" s="25"/>
      <c r="E141" s="25"/>
      <c r="F141" s="25"/>
      <c r="G141" s="25"/>
      <c r="H141" s="25"/>
      <c r="I141" s="25"/>
      <c r="J141" s="25"/>
      <c r="K141" s="25"/>
      <c r="L141" s="25"/>
      <c r="M141" s="25"/>
      <c r="N141" s="25"/>
      <c r="O141" s="25"/>
      <c r="P141" s="25"/>
      <c r="Q141" s="25"/>
      <c r="R141" s="25"/>
      <c r="S141" s="25"/>
      <c r="T141" s="25"/>
      <c r="U141" s="25"/>
      <c r="V141" s="53">
        <f>+V34*0.019</f>
        <v>28503.61</v>
      </c>
      <c r="W141" s="25"/>
      <c r="X141" s="5"/>
    </row>
    <row r="142" spans="1:24" ht="15.6" x14ac:dyDescent="0.3">
      <c r="A142" s="24"/>
      <c r="B142" s="25" t="s">
        <v>44</v>
      </c>
      <c r="C142" s="25"/>
      <c r="D142" s="25"/>
      <c r="E142" s="25"/>
      <c r="F142" s="25"/>
      <c r="G142" s="25"/>
      <c r="H142" s="25"/>
      <c r="I142" s="25"/>
      <c r="J142" s="25"/>
      <c r="K142" s="25"/>
      <c r="L142" s="25"/>
      <c r="M142" s="25"/>
      <c r="N142" s="25"/>
      <c r="O142" s="25"/>
      <c r="P142" s="25"/>
      <c r="Q142" s="25"/>
      <c r="R142" s="25"/>
      <c r="S142" s="25"/>
      <c r="T142" s="25"/>
      <c r="U142" s="25"/>
      <c r="V142" s="53">
        <v>28504</v>
      </c>
      <c r="W142" s="25"/>
      <c r="X142" s="5"/>
    </row>
    <row r="143" spans="1:24" ht="15.6" x14ac:dyDescent="0.3">
      <c r="A143" s="24"/>
      <c r="B143" s="25" t="s">
        <v>139</v>
      </c>
      <c r="C143" s="25"/>
      <c r="D143" s="25"/>
      <c r="E143" s="25"/>
      <c r="F143" s="25"/>
      <c r="G143" s="25"/>
      <c r="H143" s="25"/>
      <c r="I143" s="25"/>
      <c r="J143" s="25"/>
      <c r="K143" s="25"/>
      <c r="L143" s="25"/>
      <c r="M143" s="25"/>
      <c r="N143" s="25"/>
      <c r="O143" s="25"/>
      <c r="P143" s="25"/>
      <c r="Q143" s="25"/>
      <c r="R143" s="25"/>
      <c r="S143" s="25"/>
      <c r="T143" s="25"/>
      <c r="U143" s="25"/>
      <c r="V143" s="53"/>
      <c r="W143" s="25"/>
      <c r="X143" s="5"/>
    </row>
    <row r="144" spans="1:24" ht="15.6" x14ac:dyDescent="0.3">
      <c r="A144" s="24"/>
      <c r="B144" s="25" t="s">
        <v>126</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127</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178</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45</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132</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267</v>
      </c>
      <c r="C149" s="25"/>
      <c r="D149" s="25"/>
      <c r="E149" s="25"/>
      <c r="F149" s="25"/>
      <c r="G149" s="25"/>
      <c r="H149" s="25"/>
      <c r="I149" s="25"/>
      <c r="J149" s="25"/>
      <c r="K149" s="25"/>
      <c r="L149" s="25"/>
      <c r="M149" s="25"/>
      <c r="N149" s="25"/>
      <c r="O149" s="25"/>
      <c r="P149" s="25"/>
      <c r="Q149" s="25"/>
      <c r="R149" s="25"/>
      <c r="S149" s="25"/>
      <c r="T149" s="25"/>
      <c r="U149" s="25"/>
      <c r="V149" s="53">
        <v>0</v>
      </c>
      <c r="W149" s="25"/>
      <c r="X149" s="5"/>
      <c r="Y149" s="109"/>
    </row>
    <row r="150" spans="1:25" ht="15.6" x14ac:dyDescent="0.3">
      <c r="A150" s="24"/>
      <c r="B150" s="25" t="s">
        <v>46</v>
      </c>
      <c r="C150" s="25"/>
      <c r="D150" s="25"/>
      <c r="E150" s="25"/>
      <c r="F150" s="25"/>
      <c r="G150" s="25"/>
      <c r="H150" s="25"/>
      <c r="I150" s="25"/>
      <c r="J150" s="25"/>
      <c r="K150" s="25"/>
      <c r="L150" s="25"/>
      <c r="M150" s="25"/>
      <c r="N150" s="25"/>
      <c r="O150" s="25"/>
      <c r="P150" s="25"/>
      <c r="Q150" s="25"/>
      <c r="R150" s="25"/>
      <c r="S150" s="25"/>
      <c r="T150" s="25"/>
      <c r="U150" s="25"/>
      <c r="V150" s="53">
        <f>SUM(V142:V149)</f>
        <v>28504</v>
      </c>
      <c r="W150" s="25"/>
      <c r="X150" s="5"/>
    </row>
    <row r="151" spans="1:25" ht="15.6" x14ac:dyDescent="0.3">
      <c r="A151" s="24"/>
      <c r="B151" s="25"/>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138" t="s">
        <v>268</v>
      </c>
      <c r="C152" s="25"/>
      <c r="D152" s="25"/>
      <c r="E152" s="25"/>
      <c r="F152" s="25"/>
      <c r="G152" s="25"/>
      <c r="H152" s="25"/>
      <c r="I152" s="25"/>
      <c r="J152" s="25"/>
      <c r="K152" s="25"/>
      <c r="L152" s="25"/>
      <c r="M152" s="25"/>
      <c r="N152" s="25"/>
      <c r="O152" s="25"/>
      <c r="P152" s="25"/>
      <c r="Q152" s="25"/>
      <c r="R152" s="25"/>
      <c r="S152" s="25"/>
      <c r="T152" s="25"/>
      <c r="U152" s="25"/>
      <c r="V152" s="53"/>
      <c r="W152" s="25"/>
      <c r="X152" s="5"/>
    </row>
    <row r="153" spans="1:25" ht="15.6" x14ac:dyDescent="0.3">
      <c r="A153" s="24"/>
      <c r="B153" s="25" t="s">
        <v>158</v>
      </c>
      <c r="C153" s="25"/>
      <c r="D153" s="25"/>
      <c r="E153" s="25"/>
      <c r="F153" s="25"/>
      <c r="G153" s="25"/>
      <c r="H153" s="25"/>
      <c r="I153" s="25"/>
      <c r="J153" s="25"/>
      <c r="K153" s="25"/>
      <c r="L153" s="25"/>
      <c r="M153" s="25"/>
      <c r="N153" s="25"/>
      <c r="O153" s="25"/>
      <c r="P153" s="25"/>
      <c r="Q153" s="25"/>
      <c r="R153" s="25"/>
      <c r="S153" s="25"/>
      <c r="T153" s="25"/>
      <c r="U153" s="25"/>
      <c r="V153" s="53">
        <v>15000</v>
      </c>
      <c r="W153" s="25"/>
      <c r="X153" s="5"/>
    </row>
    <row r="154" spans="1:25" ht="15.6" x14ac:dyDescent="0.3">
      <c r="A154" s="24"/>
      <c r="B154" s="25" t="s">
        <v>175</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t="s">
        <v>272</v>
      </c>
      <c r="C155" s="25"/>
      <c r="D155" s="25"/>
      <c r="E155" s="25"/>
      <c r="F155" s="25"/>
      <c r="G155" s="25"/>
      <c r="H155" s="25"/>
      <c r="I155" s="25"/>
      <c r="J155" s="25"/>
      <c r="K155" s="25"/>
      <c r="L155" s="25"/>
      <c r="M155" s="25"/>
      <c r="N155" s="25"/>
      <c r="O155" s="25"/>
      <c r="P155" s="25"/>
      <c r="Q155" s="25"/>
      <c r="R155" s="25"/>
      <c r="S155" s="25"/>
      <c r="T155" s="25"/>
      <c r="U155" s="25"/>
      <c r="V155" s="53">
        <v>13431</v>
      </c>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53"/>
      <c r="W156" s="25"/>
      <c r="X156" s="5"/>
    </row>
    <row r="157" spans="1:25" ht="15.6" x14ac:dyDescent="0.3">
      <c r="A157" s="24"/>
      <c r="B157" s="25"/>
      <c r="C157" s="25"/>
      <c r="D157" s="25"/>
      <c r="E157" s="25"/>
      <c r="F157" s="25"/>
      <c r="G157" s="25"/>
      <c r="H157" s="25"/>
      <c r="I157" s="25"/>
      <c r="J157" s="25"/>
      <c r="K157" s="25"/>
      <c r="L157" s="25"/>
      <c r="M157" s="25"/>
      <c r="N157" s="25"/>
      <c r="O157" s="25"/>
      <c r="P157" s="25"/>
      <c r="Q157" s="25"/>
      <c r="R157" s="25"/>
      <c r="S157" s="25"/>
      <c r="T157" s="25"/>
      <c r="U157" s="25"/>
      <c r="V157" s="61"/>
      <c r="W157" s="25"/>
      <c r="X157" s="5"/>
    </row>
    <row r="158" spans="1:25" ht="15.6" x14ac:dyDescent="0.3">
      <c r="A158" s="6"/>
      <c r="B158" s="119" t="s">
        <v>24</v>
      </c>
      <c r="C158" s="8"/>
      <c r="D158" s="8"/>
      <c r="E158" s="8"/>
      <c r="F158" s="8"/>
      <c r="G158" s="8"/>
      <c r="H158" s="8"/>
      <c r="I158" s="8"/>
      <c r="J158" s="8"/>
      <c r="K158" s="8"/>
      <c r="L158" s="8"/>
      <c r="M158" s="8"/>
      <c r="N158" s="8"/>
      <c r="O158" s="8"/>
      <c r="P158" s="8"/>
      <c r="Q158" s="8"/>
      <c r="R158" s="8"/>
      <c r="S158" s="8"/>
      <c r="T158" s="8"/>
      <c r="U158" s="8"/>
      <c r="V158" s="52"/>
      <c r="W158" s="8"/>
      <c r="X158" s="5"/>
    </row>
    <row r="159" spans="1:25" ht="15.6" x14ac:dyDescent="0.3">
      <c r="A159" s="24"/>
      <c r="B159" s="25" t="s">
        <v>47</v>
      </c>
      <c r="C159" s="25"/>
      <c r="D159" s="25"/>
      <c r="E159" s="25"/>
      <c r="F159" s="25"/>
      <c r="G159" s="25"/>
      <c r="H159" s="25"/>
      <c r="I159" s="25"/>
      <c r="J159" s="25"/>
      <c r="K159" s="25"/>
      <c r="L159" s="25"/>
      <c r="M159" s="25"/>
      <c r="N159" s="25"/>
      <c r="O159" s="25"/>
      <c r="P159" s="25"/>
      <c r="Q159" s="25"/>
      <c r="R159" s="25"/>
      <c r="S159" s="25"/>
      <c r="T159" s="25"/>
      <c r="U159" s="25"/>
      <c r="V159" s="59" t="s">
        <v>121</v>
      </c>
      <c r="W159" s="25"/>
      <c r="X159" s="5"/>
    </row>
    <row r="160" spans="1:25" ht="15.6" x14ac:dyDescent="0.3">
      <c r="A160" s="24"/>
      <c r="B160" s="25" t="s">
        <v>48</v>
      </c>
      <c r="C160" s="163"/>
      <c r="D160" s="163"/>
      <c r="E160" s="163"/>
      <c r="F160" s="163"/>
      <c r="G160" s="163"/>
      <c r="H160" s="163"/>
      <c r="I160" s="163"/>
      <c r="J160" s="163"/>
      <c r="K160" s="163"/>
      <c r="L160" s="163"/>
      <c r="M160" s="163"/>
      <c r="N160" s="163"/>
      <c r="O160" s="163"/>
      <c r="P160" s="163"/>
      <c r="Q160" s="163"/>
      <c r="R160" s="163"/>
      <c r="S160" s="163"/>
      <c r="T160" s="163"/>
      <c r="U160" s="163"/>
      <c r="V160" s="59" t="s">
        <v>121</v>
      </c>
      <c r="W160" s="25"/>
      <c r="X160" s="5"/>
    </row>
    <row r="161" spans="1:24" ht="15.6" x14ac:dyDescent="0.3">
      <c r="A161" s="24"/>
      <c r="B161" s="25" t="s">
        <v>49</v>
      </c>
      <c r="C161" s="25"/>
      <c r="D161" s="25"/>
      <c r="E161" s="25"/>
      <c r="F161" s="25"/>
      <c r="G161" s="25"/>
      <c r="H161" s="25"/>
      <c r="I161" s="25"/>
      <c r="J161" s="25"/>
      <c r="K161" s="25"/>
      <c r="L161" s="25"/>
      <c r="M161" s="25"/>
      <c r="N161" s="25"/>
      <c r="O161" s="25"/>
      <c r="P161" s="25"/>
      <c r="Q161" s="25"/>
      <c r="R161" s="25"/>
      <c r="S161" s="25"/>
      <c r="T161" s="25"/>
      <c r="U161" s="25"/>
      <c r="V161" s="59" t="s">
        <v>121</v>
      </c>
      <c r="W161" s="25"/>
      <c r="X161" s="5"/>
    </row>
    <row r="162" spans="1:24" ht="15.6" x14ac:dyDescent="0.3">
      <c r="A162" s="24"/>
      <c r="B162" s="25" t="s">
        <v>50</v>
      </c>
      <c r="C162" s="25"/>
      <c r="D162" s="25"/>
      <c r="E162" s="25"/>
      <c r="F162" s="25"/>
      <c r="G162" s="25"/>
      <c r="H162" s="25"/>
      <c r="I162" s="25"/>
      <c r="J162" s="25"/>
      <c r="K162" s="25"/>
      <c r="L162" s="25"/>
      <c r="M162" s="25"/>
      <c r="N162" s="25"/>
      <c r="O162" s="25"/>
      <c r="P162" s="25"/>
      <c r="Q162" s="25"/>
      <c r="R162" s="25"/>
      <c r="S162" s="25"/>
      <c r="T162" s="25"/>
      <c r="U162" s="25"/>
      <c r="V162" s="59" t="s">
        <v>121</v>
      </c>
      <c r="W162" s="25"/>
      <c r="X162" s="5"/>
    </row>
    <row r="163" spans="1:24" ht="15.6" x14ac:dyDescent="0.3">
      <c r="A163" s="24"/>
      <c r="B163" s="25"/>
      <c r="C163" s="25"/>
      <c r="D163" s="25"/>
      <c r="E163" s="25"/>
      <c r="F163" s="25"/>
      <c r="G163" s="25"/>
      <c r="H163" s="25"/>
      <c r="I163" s="25"/>
      <c r="J163" s="25"/>
      <c r="K163" s="25"/>
      <c r="L163" s="25"/>
      <c r="M163" s="25"/>
      <c r="N163" s="25"/>
      <c r="O163" s="25"/>
      <c r="P163" s="25"/>
      <c r="Q163" s="25"/>
      <c r="R163" s="25"/>
      <c r="S163" s="25"/>
      <c r="T163" s="25"/>
      <c r="U163" s="25"/>
      <c r="V163" s="61"/>
      <c r="W163" s="25"/>
      <c r="X163" s="5"/>
    </row>
    <row r="164" spans="1:24" ht="15.6" x14ac:dyDescent="0.3">
      <c r="A164" s="6"/>
      <c r="B164" s="119" t="s">
        <v>51</v>
      </c>
      <c r="C164" s="8"/>
      <c r="D164" s="8"/>
      <c r="E164" s="8"/>
      <c r="F164" s="8"/>
      <c r="G164" s="8"/>
      <c r="H164" s="8"/>
      <c r="I164" s="8"/>
      <c r="J164" s="8"/>
      <c r="K164" s="8"/>
      <c r="L164" s="8"/>
      <c r="M164" s="8"/>
      <c r="N164" s="8"/>
      <c r="O164" s="8"/>
      <c r="P164" s="8"/>
      <c r="Q164" s="8"/>
      <c r="R164" s="8"/>
      <c r="S164" s="8"/>
      <c r="T164" s="8"/>
      <c r="U164" s="8"/>
      <c r="V164" s="63"/>
      <c r="W164" s="8"/>
      <c r="X164" s="5"/>
    </row>
    <row r="165" spans="1:24" ht="15.6" x14ac:dyDescent="0.3">
      <c r="A165" s="24"/>
      <c r="B165" s="25" t="s">
        <v>52</v>
      </c>
      <c r="C165" s="25"/>
      <c r="D165" s="25"/>
      <c r="E165" s="25"/>
      <c r="F165" s="25"/>
      <c r="G165" s="25"/>
      <c r="H165" s="25"/>
      <c r="I165" s="25"/>
      <c r="J165" s="25"/>
      <c r="K165" s="25"/>
      <c r="L165" s="25"/>
      <c r="M165" s="25"/>
      <c r="N165" s="25"/>
      <c r="O165" s="25"/>
      <c r="P165" s="25"/>
      <c r="Q165" s="25"/>
      <c r="R165" s="25"/>
      <c r="S165" s="25"/>
      <c r="T165" s="25"/>
      <c r="U165" s="25"/>
      <c r="V165" s="53">
        <v>0</v>
      </c>
      <c r="W165" s="25"/>
      <c r="X165" s="5"/>
    </row>
    <row r="166" spans="1:24" ht="15.6" x14ac:dyDescent="0.3">
      <c r="A166" s="24"/>
      <c r="B166" s="25" t="s">
        <v>53</v>
      </c>
      <c r="C166" s="25"/>
      <c r="D166" s="25"/>
      <c r="E166" s="25"/>
      <c r="F166" s="25"/>
      <c r="G166" s="25"/>
      <c r="H166" s="25"/>
      <c r="I166" s="25"/>
      <c r="J166" s="25"/>
      <c r="K166" s="25"/>
      <c r="L166" s="25"/>
      <c r="M166" s="25"/>
      <c r="N166" s="25"/>
      <c r="O166" s="25"/>
      <c r="P166" s="25"/>
      <c r="Q166" s="25"/>
      <c r="R166" s="25"/>
      <c r="S166" s="25"/>
      <c r="T166" s="25"/>
      <c r="U166" s="25"/>
      <c r="V166" s="53">
        <v>4</v>
      </c>
      <c r="W166" s="25"/>
      <c r="X166" s="5"/>
    </row>
    <row r="167" spans="1:24" ht="15.6" x14ac:dyDescent="0.3">
      <c r="A167" s="24"/>
      <c r="B167" s="25" t="s">
        <v>54</v>
      </c>
      <c r="C167" s="25"/>
      <c r="D167" s="25"/>
      <c r="E167" s="25"/>
      <c r="F167" s="25"/>
      <c r="G167" s="25"/>
      <c r="H167" s="25"/>
      <c r="I167" s="25"/>
      <c r="J167" s="25"/>
      <c r="K167" s="25"/>
      <c r="L167" s="25"/>
      <c r="M167" s="25"/>
      <c r="N167" s="25"/>
      <c r="O167" s="25"/>
      <c r="P167" s="25"/>
      <c r="Q167" s="25"/>
      <c r="R167" s="25"/>
      <c r="S167" s="25"/>
      <c r="T167" s="25"/>
      <c r="U167" s="25"/>
      <c r="V167" s="53">
        <f>V166+V165</f>
        <v>4</v>
      </c>
      <c r="W167" s="25"/>
      <c r="X167" s="5"/>
    </row>
    <row r="168" spans="1:24" ht="15.6" x14ac:dyDescent="0.3">
      <c r="A168" s="24"/>
      <c r="B168" s="391" t="s">
        <v>318</v>
      </c>
      <c r="C168" s="25"/>
      <c r="D168" s="25"/>
      <c r="E168" s="25"/>
      <c r="F168" s="25"/>
      <c r="G168" s="25"/>
      <c r="H168" s="25"/>
      <c r="I168" s="25"/>
      <c r="J168" s="25"/>
      <c r="K168" s="25"/>
      <c r="L168" s="25"/>
      <c r="M168" s="25"/>
      <c r="N168" s="25"/>
      <c r="O168" s="25"/>
      <c r="P168" s="25"/>
      <c r="Q168" s="25"/>
      <c r="R168" s="25"/>
      <c r="S168" s="25"/>
      <c r="T168" s="25"/>
      <c r="U168" s="25"/>
      <c r="V168" s="53">
        <f>V114</f>
        <v>-4</v>
      </c>
      <c r="W168" s="25"/>
      <c r="X168" s="5"/>
    </row>
    <row r="169" spans="1:24" ht="15.6" x14ac:dyDescent="0.3">
      <c r="A169" s="24"/>
      <c r="B169" s="25" t="s">
        <v>55</v>
      </c>
      <c r="C169" s="25"/>
      <c r="D169" s="25"/>
      <c r="E169" s="25"/>
      <c r="F169" s="25"/>
      <c r="G169" s="25"/>
      <c r="H169" s="25"/>
      <c r="I169" s="25"/>
      <c r="J169" s="25"/>
      <c r="K169" s="25"/>
      <c r="L169" s="25"/>
      <c r="M169" s="25"/>
      <c r="N169" s="25"/>
      <c r="O169" s="25"/>
      <c r="P169" s="25"/>
      <c r="Q169" s="25"/>
      <c r="R169" s="25"/>
      <c r="S169" s="25"/>
      <c r="T169" s="25"/>
      <c r="U169" s="25"/>
      <c r="V169" s="53">
        <f>V167+V168</f>
        <v>0</v>
      </c>
      <c r="W169" s="25"/>
      <c r="X169" s="5"/>
    </row>
    <row r="170" spans="1:24" ht="16.2" thickBot="1" x14ac:dyDescent="0.35">
      <c r="A170" s="24"/>
      <c r="B170" s="25"/>
      <c r="C170" s="25"/>
      <c r="D170" s="25"/>
      <c r="E170" s="25"/>
      <c r="F170" s="25"/>
      <c r="G170" s="25"/>
      <c r="H170" s="25"/>
      <c r="I170" s="25"/>
      <c r="J170" s="25"/>
      <c r="K170" s="25"/>
      <c r="L170" s="25"/>
      <c r="M170" s="25"/>
      <c r="N170" s="25"/>
      <c r="O170" s="25"/>
      <c r="P170" s="25"/>
      <c r="Q170" s="25"/>
      <c r="R170" s="25"/>
      <c r="S170" s="25"/>
      <c r="T170" s="25"/>
      <c r="U170" s="25"/>
      <c r="V170" s="61"/>
      <c r="W170" s="25"/>
      <c r="X170" s="5"/>
    </row>
    <row r="171" spans="1:24" ht="15.6" x14ac:dyDescent="0.3">
      <c r="A171" s="2"/>
      <c r="B171" s="4"/>
      <c r="C171" s="4"/>
      <c r="D171" s="4"/>
      <c r="E171" s="4"/>
      <c r="F171" s="4"/>
      <c r="G171" s="4"/>
      <c r="H171" s="4"/>
      <c r="I171" s="4"/>
      <c r="J171" s="4"/>
      <c r="K171" s="4"/>
      <c r="L171" s="4"/>
      <c r="M171" s="4"/>
      <c r="N171" s="4"/>
      <c r="O171" s="4"/>
      <c r="P171" s="4"/>
      <c r="Q171" s="4"/>
      <c r="R171" s="4"/>
      <c r="S171" s="4"/>
      <c r="T171" s="4"/>
      <c r="U171" s="4"/>
      <c r="V171" s="50"/>
      <c r="W171" s="4"/>
      <c r="X171" s="5"/>
    </row>
    <row r="172" spans="1:24" ht="15.6" x14ac:dyDescent="0.3">
      <c r="A172" s="6"/>
      <c r="B172" s="119" t="s">
        <v>56</v>
      </c>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6"/>
      <c r="B173" s="21"/>
      <c r="C173" s="8"/>
      <c r="D173" s="8"/>
      <c r="E173" s="8"/>
      <c r="F173" s="8"/>
      <c r="G173" s="8"/>
      <c r="H173" s="8"/>
      <c r="I173" s="8"/>
      <c r="J173" s="8"/>
      <c r="K173" s="8"/>
      <c r="L173" s="8"/>
      <c r="M173" s="8"/>
      <c r="N173" s="8"/>
      <c r="O173" s="8"/>
      <c r="P173" s="8"/>
      <c r="Q173" s="8"/>
      <c r="R173" s="8"/>
      <c r="S173" s="8"/>
      <c r="T173" s="8"/>
      <c r="U173" s="8"/>
      <c r="V173" s="52"/>
      <c r="W173" s="8"/>
      <c r="X173" s="5"/>
    </row>
    <row r="174" spans="1:24" ht="15.6" x14ac:dyDescent="0.3">
      <c r="A174" s="24"/>
      <c r="B174" s="25" t="s">
        <v>57</v>
      </c>
      <c r="C174" s="25"/>
      <c r="D174" s="25"/>
      <c r="E174" s="25"/>
      <c r="F174" s="25"/>
      <c r="G174" s="25"/>
      <c r="H174" s="25"/>
      <c r="I174" s="25"/>
      <c r="J174" s="25"/>
      <c r="K174" s="25"/>
      <c r="L174" s="25"/>
      <c r="M174" s="25"/>
      <c r="N174" s="25"/>
      <c r="O174" s="25"/>
      <c r="P174" s="25"/>
      <c r="Q174" s="25"/>
      <c r="R174" s="25"/>
      <c r="S174" s="25"/>
      <c r="T174" s="25"/>
      <c r="U174" s="25"/>
      <c r="V174" s="53">
        <f>V72</f>
        <v>1422788</v>
      </c>
      <c r="W174" s="25"/>
      <c r="X174" s="5"/>
    </row>
    <row r="175" spans="1:24" ht="15.6" x14ac:dyDescent="0.3">
      <c r="A175" s="24"/>
      <c r="B175" s="25" t="s">
        <v>58</v>
      </c>
      <c r="C175" s="25"/>
      <c r="D175" s="25"/>
      <c r="E175" s="25"/>
      <c r="F175" s="25"/>
      <c r="G175" s="25"/>
      <c r="H175" s="25"/>
      <c r="I175" s="25"/>
      <c r="J175" s="25"/>
      <c r="K175" s="25"/>
      <c r="L175" s="25"/>
      <c r="M175" s="25"/>
      <c r="N175" s="25"/>
      <c r="O175" s="25"/>
      <c r="P175" s="25"/>
      <c r="Q175" s="25"/>
      <c r="R175" s="25"/>
      <c r="S175" s="25"/>
      <c r="T175" s="25"/>
      <c r="U175" s="25"/>
      <c r="V175" s="53">
        <f>V85</f>
        <v>1422788</v>
      </c>
      <c r="W175" s="25"/>
      <c r="X175" s="5"/>
    </row>
    <row r="176" spans="1:24" ht="16.2" thickBot="1" x14ac:dyDescent="0.35">
      <c r="A176" s="24"/>
      <c r="B176" s="25"/>
      <c r="C176" s="25"/>
      <c r="D176" s="25"/>
      <c r="E176" s="25"/>
      <c r="F176" s="25"/>
      <c r="G176" s="25"/>
      <c r="H176" s="25"/>
      <c r="I176" s="25"/>
      <c r="J176" s="25"/>
      <c r="K176" s="25"/>
      <c r="L176" s="25"/>
      <c r="M176" s="25"/>
      <c r="N176" s="25"/>
      <c r="O176" s="25"/>
      <c r="P176" s="25"/>
      <c r="Q176" s="25"/>
      <c r="R176" s="25"/>
      <c r="S176" s="25"/>
      <c r="T176" s="25"/>
      <c r="U176" s="25"/>
      <c r="V176" s="61"/>
      <c r="W176" s="25"/>
      <c r="X176" s="5"/>
    </row>
    <row r="177" spans="1:24" ht="15.6" x14ac:dyDescent="0.3">
      <c r="A177" s="2"/>
      <c r="B177" s="4"/>
      <c r="C177" s="4"/>
      <c r="D177" s="4"/>
      <c r="E177" s="4"/>
      <c r="F177" s="4"/>
      <c r="G177" s="4"/>
      <c r="H177" s="4"/>
      <c r="I177" s="4"/>
      <c r="J177" s="4"/>
      <c r="K177" s="4"/>
      <c r="L177" s="4"/>
      <c r="M177" s="4"/>
      <c r="N177" s="4"/>
      <c r="O177" s="4"/>
      <c r="P177" s="4"/>
      <c r="Q177" s="4"/>
      <c r="R177" s="4"/>
      <c r="S177" s="4"/>
      <c r="T177" s="4"/>
      <c r="U177" s="4"/>
      <c r="V177" s="50"/>
      <c r="W177" s="4"/>
      <c r="X177" s="5"/>
    </row>
    <row r="178" spans="1:24" ht="15.6" x14ac:dyDescent="0.3">
      <c r="A178" s="6"/>
      <c r="B178" s="119" t="s">
        <v>59</v>
      </c>
      <c r="C178" s="117"/>
      <c r="D178" s="117"/>
      <c r="E178" s="117"/>
      <c r="F178" s="117"/>
      <c r="G178" s="117"/>
      <c r="H178" s="120"/>
      <c r="I178" s="120"/>
      <c r="J178" s="120"/>
      <c r="K178" s="120"/>
      <c r="L178" s="120"/>
      <c r="M178" s="120"/>
      <c r="N178" s="120"/>
      <c r="O178" s="120"/>
      <c r="P178" s="120"/>
      <c r="Q178" s="120"/>
      <c r="R178" s="120"/>
      <c r="S178" s="120" t="s">
        <v>102</v>
      </c>
      <c r="T178" s="120" t="s">
        <v>179</v>
      </c>
      <c r="U178" s="111"/>
      <c r="V178" s="121" t="s">
        <v>117</v>
      </c>
      <c r="W178" s="10"/>
      <c r="X178" s="5"/>
    </row>
    <row r="179" spans="1:24" ht="15.6" x14ac:dyDescent="0.3">
      <c r="A179" s="24"/>
      <c r="B179" s="25" t="s">
        <v>60</v>
      </c>
      <c r="C179" s="25"/>
      <c r="D179" s="25"/>
      <c r="E179" s="25"/>
      <c r="F179" s="25"/>
      <c r="G179" s="25"/>
      <c r="H179" s="25"/>
      <c r="I179" s="25"/>
      <c r="J179" s="25"/>
      <c r="K179" s="25"/>
      <c r="L179" s="25"/>
      <c r="M179" s="25"/>
      <c r="N179" s="25"/>
      <c r="O179" s="25"/>
      <c r="P179" s="25"/>
      <c r="Q179" s="25"/>
      <c r="R179" s="25"/>
      <c r="S179" s="53">
        <f>+V34*0.16</f>
        <v>240030.4</v>
      </c>
      <c r="T179" s="40"/>
      <c r="U179" s="25"/>
      <c r="V179" s="53"/>
      <c r="W179" s="25"/>
      <c r="X179" s="5"/>
    </row>
    <row r="180" spans="1:24" ht="15.6" x14ac:dyDescent="0.3">
      <c r="A180" s="24"/>
      <c r="B180" s="25" t="s">
        <v>61</v>
      </c>
      <c r="C180" s="25"/>
      <c r="D180" s="25"/>
      <c r="E180" s="25"/>
      <c r="F180" s="25"/>
      <c r="G180" s="25"/>
      <c r="H180" s="25"/>
      <c r="I180" s="25"/>
      <c r="J180" s="25"/>
      <c r="K180" s="25"/>
      <c r="L180" s="25"/>
      <c r="M180" s="25"/>
      <c r="N180" s="25"/>
      <c r="O180" s="25"/>
      <c r="P180" s="25"/>
      <c r="Q180" s="25"/>
      <c r="R180" s="25"/>
      <c r="S180" s="53">
        <f>+'March 07'!S182</f>
        <v>8836</v>
      </c>
      <c r="T180" s="53">
        <f>+'March 07'!T182</f>
        <v>5578</v>
      </c>
      <c r="U180" s="25"/>
      <c r="V180" s="53">
        <f>S180+T180</f>
        <v>14414</v>
      </c>
      <c r="W180" s="25"/>
      <c r="X180" s="5"/>
    </row>
    <row r="181" spans="1:24" ht="15.6" x14ac:dyDescent="0.3">
      <c r="A181" s="24"/>
      <c r="B181" s="25" t="s">
        <v>62</v>
      </c>
      <c r="C181" s="25"/>
      <c r="D181" s="25"/>
      <c r="E181" s="25"/>
      <c r="F181" s="25"/>
      <c r="G181" s="25"/>
      <c r="H181" s="25"/>
      <c r="I181" s="25"/>
      <c r="J181" s="25"/>
      <c r="K181" s="25"/>
      <c r="L181" s="25"/>
      <c r="M181" s="25"/>
      <c r="N181" s="25"/>
      <c r="O181" s="25"/>
      <c r="P181" s="25"/>
      <c r="Q181" s="25"/>
      <c r="R181" s="25"/>
      <c r="S181" s="34">
        <v>8266</v>
      </c>
      <c r="T181" s="34">
        <v>877</v>
      </c>
      <c r="U181" s="25"/>
      <c r="V181" s="53">
        <f>S181+T181</f>
        <v>9143</v>
      </c>
      <c r="W181" s="25"/>
      <c r="X181" s="5"/>
    </row>
    <row r="182" spans="1:24" ht="15.6" x14ac:dyDescent="0.3">
      <c r="A182" s="24"/>
      <c r="B182" s="25" t="s">
        <v>63</v>
      </c>
      <c r="C182" s="25"/>
      <c r="D182" s="25"/>
      <c r="E182" s="25"/>
      <c r="F182" s="25"/>
      <c r="G182" s="25"/>
      <c r="H182" s="25"/>
      <c r="I182" s="25"/>
      <c r="J182" s="25"/>
      <c r="K182" s="25"/>
      <c r="L182" s="25"/>
      <c r="M182" s="25"/>
      <c r="N182" s="25"/>
      <c r="O182" s="25"/>
      <c r="P182" s="25"/>
      <c r="Q182" s="25"/>
      <c r="R182" s="25"/>
      <c r="S182" s="53">
        <f>S180+S181</f>
        <v>17102</v>
      </c>
      <c r="T182" s="53">
        <f>T181+T180</f>
        <v>6455</v>
      </c>
      <c r="U182" s="25"/>
      <c r="V182" s="53">
        <f>S182+T182</f>
        <v>23557</v>
      </c>
      <c r="W182" s="25"/>
      <c r="X182" s="5"/>
    </row>
    <row r="183" spans="1:24" ht="15.6" x14ac:dyDescent="0.3">
      <c r="A183" s="24"/>
      <c r="B183" s="25" t="s">
        <v>64</v>
      </c>
      <c r="C183" s="25"/>
      <c r="D183" s="25"/>
      <c r="E183" s="25"/>
      <c r="F183" s="25"/>
      <c r="G183" s="25"/>
      <c r="H183" s="25"/>
      <c r="I183" s="25"/>
      <c r="J183" s="25"/>
      <c r="K183" s="25"/>
      <c r="L183" s="25"/>
      <c r="M183" s="25"/>
      <c r="N183" s="25"/>
      <c r="O183" s="25"/>
      <c r="P183" s="25"/>
      <c r="Q183" s="25"/>
      <c r="R183" s="25"/>
      <c r="S183" s="53">
        <f>S179-S182-T182</f>
        <v>216473.4</v>
      </c>
      <c r="T183" s="40"/>
      <c r="U183" s="25"/>
      <c r="V183" s="53"/>
      <c r="W183" s="25"/>
      <c r="X183" s="5"/>
    </row>
    <row r="184" spans="1:24" ht="16.2" thickBot="1" x14ac:dyDescent="0.35">
      <c r="A184" s="24"/>
      <c r="B184" s="25"/>
      <c r="C184" s="25"/>
      <c r="D184" s="25"/>
      <c r="E184" s="25"/>
      <c r="F184" s="25"/>
      <c r="G184" s="25"/>
      <c r="H184" s="25"/>
      <c r="I184" s="25"/>
      <c r="J184" s="25"/>
      <c r="K184" s="25"/>
      <c r="L184" s="25"/>
      <c r="M184" s="25"/>
      <c r="N184" s="25"/>
      <c r="O184" s="25"/>
      <c r="P184" s="25"/>
      <c r="Q184" s="25"/>
      <c r="R184" s="25"/>
      <c r="S184" s="25"/>
      <c r="T184" s="25"/>
      <c r="U184" s="25"/>
      <c r="V184" s="61"/>
      <c r="W184" s="25"/>
      <c r="X184" s="5"/>
    </row>
    <row r="185" spans="1:24" ht="15.6" x14ac:dyDescent="0.3">
      <c r="A185" s="2"/>
      <c r="B185" s="4"/>
      <c r="C185" s="4"/>
      <c r="D185" s="4"/>
      <c r="E185" s="4"/>
      <c r="F185" s="4"/>
      <c r="G185" s="4"/>
      <c r="H185" s="4"/>
      <c r="I185" s="4"/>
      <c r="J185" s="4"/>
      <c r="K185" s="4"/>
      <c r="L185" s="4"/>
      <c r="M185" s="4"/>
      <c r="N185" s="4"/>
      <c r="O185" s="4"/>
      <c r="P185" s="4"/>
      <c r="Q185" s="4"/>
      <c r="R185" s="4"/>
      <c r="S185" s="4"/>
      <c r="T185" s="4"/>
      <c r="U185" s="4"/>
      <c r="V185" s="50"/>
      <c r="W185" s="4"/>
      <c r="X185" s="5"/>
    </row>
    <row r="186" spans="1:24" ht="15.6" x14ac:dyDescent="0.3">
      <c r="A186" s="6"/>
      <c r="B186" s="119" t="s">
        <v>65</v>
      </c>
      <c r="C186" s="8"/>
      <c r="D186" s="8"/>
      <c r="E186" s="8"/>
      <c r="F186" s="8"/>
      <c r="G186" s="8"/>
      <c r="H186" s="8"/>
      <c r="I186" s="8"/>
      <c r="J186" s="8"/>
      <c r="K186" s="8"/>
      <c r="L186" s="8"/>
      <c r="M186" s="8"/>
      <c r="N186" s="8"/>
      <c r="O186" s="8"/>
      <c r="P186" s="8"/>
      <c r="Q186" s="8"/>
      <c r="R186" s="8"/>
      <c r="S186" s="8"/>
      <c r="T186" s="8"/>
      <c r="U186" s="8"/>
      <c r="V186" s="65"/>
      <c r="W186" s="8"/>
      <c r="X186" s="5"/>
    </row>
    <row r="187" spans="1:24" ht="15.6" x14ac:dyDescent="0.3">
      <c r="A187" s="24"/>
      <c r="B187" s="25" t="s">
        <v>66</v>
      </c>
      <c r="C187" s="25"/>
      <c r="D187" s="25"/>
      <c r="E187" s="25"/>
      <c r="F187" s="25"/>
      <c r="G187" s="25"/>
      <c r="H187" s="25"/>
      <c r="I187" s="25"/>
      <c r="J187" s="25"/>
      <c r="K187" s="25"/>
      <c r="L187" s="25"/>
      <c r="M187" s="25"/>
      <c r="N187" s="25"/>
      <c r="O187" s="25"/>
      <c r="P187" s="25"/>
      <c r="Q187" s="25"/>
      <c r="R187" s="25"/>
      <c r="S187" s="25"/>
      <c r="T187" s="25"/>
      <c r="U187" s="25"/>
      <c r="V187" s="59">
        <f>(V100+V102+V103+V104+V105)/-(V106+V107)</f>
        <v>1.4289221155991967</v>
      </c>
      <c r="W187" s="25" t="s">
        <v>118</v>
      </c>
      <c r="X187" s="5"/>
    </row>
    <row r="188" spans="1:24" ht="15.6" x14ac:dyDescent="0.3">
      <c r="A188" s="24"/>
      <c r="B188" s="25" t="s">
        <v>67</v>
      </c>
      <c r="C188" s="25"/>
      <c r="D188" s="25"/>
      <c r="E188" s="25"/>
      <c r="F188" s="25"/>
      <c r="G188" s="25"/>
      <c r="H188" s="25"/>
      <c r="I188" s="25"/>
      <c r="J188" s="25"/>
      <c r="K188" s="25"/>
      <c r="L188" s="25"/>
      <c r="M188" s="25"/>
      <c r="N188" s="25"/>
      <c r="O188" s="25"/>
      <c r="P188" s="25"/>
      <c r="Q188" s="25"/>
      <c r="R188" s="25"/>
      <c r="S188" s="25"/>
      <c r="T188" s="25"/>
      <c r="U188" s="25"/>
      <c r="V188" s="66">
        <v>1.34</v>
      </c>
      <c r="W188" s="25" t="s">
        <v>118</v>
      </c>
      <c r="X188" s="5"/>
    </row>
    <row r="189" spans="1:24" ht="15.6" x14ac:dyDescent="0.3">
      <c r="A189" s="24"/>
      <c r="B189" s="25" t="s">
        <v>68</v>
      </c>
      <c r="C189" s="25"/>
      <c r="D189" s="25"/>
      <c r="E189" s="25"/>
      <c r="F189" s="25"/>
      <c r="G189" s="25"/>
      <c r="H189" s="25"/>
      <c r="I189" s="25"/>
      <c r="J189" s="25"/>
      <c r="K189" s="25"/>
      <c r="L189" s="25"/>
      <c r="M189" s="25"/>
      <c r="N189" s="25"/>
      <c r="O189" s="25"/>
      <c r="P189" s="25"/>
      <c r="Q189" s="25"/>
      <c r="R189" s="25"/>
      <c r="S189" s="25"/>
      <c r="T189" s="25"/>
      <c r="U189" s="25"/>
      <c r="V189" s="59">
        <f>(V100+V102+V103+V104+V105+V106+V107)/-(V109+V110)</f>
        <v>4.7281672816728166</v>
      </c>
      <c r="W189" s="25" t="s">
        <v>118</v>
      </c>
      <c r="X189" s="5"/>
    </row>
    <row r="190" spans="1:24" ht="15.6" x14ac:dyDescent="0.3">
      <c r="A190" s="24"/>
      <c r="B190" s="25" t="s">
        <v>69</v>
      </c>
      <c r="C190" s="25"/>
      <c r="D190" s="25"/>
      <c r="E190" s="25"/>
      <c r="F190" s="25"/>
      <c r="G190" s="25"/>
      <c r="H190" s="25"/>
      <c r="I190" s="25"/>
      <c r="J190" s="25"/>
      <c r="K190" s="25"/>
      <c r="L190" s="25"/>
      <c r="M190" s="25"/>
      <c r="N190" s="25"/>
      <c r="O190" s="25"/>
      <c r="P190" s="25"/>
      <c r="Q190" s="25"/>
      <c r="R190" s="25"/>
      <c r="S190" s="25"/>
      <c r="T190" s="25"/>
      <c r="U190" s="25"/>
      <c r="V190" s="66">
        <v>3.85</v>
      </c>
      <c r="W190" s="25" t="s">
        <v>118</v>
      </c>
      <c r="X190" s="5"/>
    </row>
    <row r="191" spans="1:24" ht="15.6" x14ac:dyDescent="0.3">
      <c r="A191" s="24"/>
      <c r="B191" s="25" t="s">
        <v>201</v>
      </c>
      <c r="C191" s="25"/>
      <c r="D191" s="25"/>
      <c r="E191" s="25"/>
      <c r="F191" s="25"/>
      <c r="G191" s="25"/>
      <c r="H191" s="25"/>
      <c r="I191" s="25"/>
      <c r="J191" s="25"/>
      <c r="K191" s="25"/>
      <c r="L191" s="25"/>
      <c r="M191" s="25"/>
      <c r="N191" s="25"/>
      <c r="O191" s="25"/>
      <c r="P191" s="25"/>
      <c r="Q191" s="25"/>
      <c r="R191" s="25"/>
      <c r="S191" s="25"/>
      <c r="T191" s="25"/>
      <c r="U191" s="25"/>
      <c r="V191" s="59">
        <f>(V100+V102+V103+V104+V105+V106+V107+V109+V110)/-(V111+V112)</f>
        <v>6.001980198019802</v>
      </c>
      <c r="W191" s="25" t="s">
        <v>118</v>
      </c>
      <c r="X191" s="5"/>
    </row>
    <row r="192" spans="1:24" ht="15.6" x14ac:dyDescent="0.3">
      <c r="A192" s="24"/>
      <c r="B192" s="25" t="s">
        <v>202</v>
      </c>
      <c r="C192" s="25"/>
      <c r="D192" s="25"/>
      <c r="E192" s="25"/>
      <c r="F192" s="25"/>
      <c r="G192" s="25"/>
      <c r="H192" s="25"/>
      <c r="I192" s="25"/>
      <c r="J192" s="25"/>
      <c r="K192" s="25"/>
      <c r="L192" s="25"/>
      <c r="M192" s="25"/>
      <c r="N192" s="25"/>
      <c r="O192" s="25"/>
      <c r="P192" s="25"/>
      <c r="Q192" s="25"/>
      <c r="R192" s="25"/>
      <c r="S192" s="25"/>
      <c r="T192" s="25"/>
      <c r="U192" s="25"/>
      <c r="V192" s="66">
        <v>4.59</v>
      </c>
      <c r="W192" s="25" t="s">
        <v>118</v>
      </c>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5"/>
    </row>
    <row r="195" spans="1:24" ht="15.6" x14ac:dyDescent="0.3">
      <c r="A195" s="6"/>
      <c r="B195" s="8"/>
      <c r="C195" s="8"/>
      <c r="D195" s="8"/>
      <c r="E195" s="8"/>
      <c r="F195" s="8"/>
      <c r="G195" s="8"/>
      <c r="H195" s="8"/>
      <c r="I195" s="8"/>
      <c r="J195" s="8"/>
      <c r="K195" s="8"/>
      <c r="L195" s="8"/>
      <c r="M195" s="8"/>
      <c r="N195" s="8"/>
      <c r="O195" s="8"/>
      <c r="P195" s="8"/>
      <c r="Q195" s="8"/>
      <c r="R195" s="8"/>
      <c r="S195" s="8"/>
      <c r="T195" s="8"/>
      <c r="U195" s="8"/>
      <c r="V195" s="8"/>
      <c r="W195" s="8"/>
      <c r="X195" s="5"/>
    </row>
    <row r="196" spans="1:24" ht="18" thickBot="1" x14ac:dyDescent="0.35">
      <c r="A196" s="101"/>
      <c r="B196" s="102" t="str">
        <f>B137</f>
        <v>PM13 INVESTOR REPORT QUARTER ENDING JUNE 2007</v>
      </c>
      <c r="C196" s="165"/>
      <c r="D196" s="165"/>
      <c r="E196" s="165"/>
      <c r="F196" s="165"/>
      <c r="G196" s="165"/>
      <c r="H196" s="165"/>
      <c r="I196" s="165"/>
      <c r="J196" s="165"/>
      <c r="K196" s="165"/>
      <c r="L196" s="165"/>
      <c r="M196" s="165"/>
      <c r="N196" s="165"/>
      <c r="O196" s="165"/>
      <c r="P196" s="165"/>
      <c r="Q196" s="165"/>
      <c r="R196" s="165"/>
      <c r="S196" s="165"/>
      <c r="T196" s="165"/>
      <c r="U196" s="165"/>
      <c r="V196" s="165"/>
      <c r="W196" s="166"/>
      <c r="X196" s="5"/>
    </row>
    <row r="197" spans="1:24" ht="15.6" x14ac:dyDescent="0.3">
      <c r="A197" s="67"/>
      <c r="B197" s="60" t="s">
        <v>70</v>
      </c>
      <c r="C197" s="68"/>
      <c r="D197" s="68"/>
      <c r="E197" s="68"/>
      <c r="F197" s="68"/>
      <c r="G197" s="69"/>
      <c r="H197" s="69"/>
      <c r="I197" s="69"/>
      <c r="J197" s="69"/>
      <c r="K197" s="69"/>
      <c r="L197" s="69"/>
      <c r="M197" s="69"/>
      <c r="N197" s="69"/>
      <c r="O197" s="69"/>
      <c r="P197" s="69"/>
      <c r="Q197" s="69"/>
      <c r="R197" s="69"/>
      <c r="S197" s="69"/>
      <c r="T197" s="70">
        <v>39262</v>
      </c>
      <c r="U197" s="4"/>
      <c r="V197" s="4"/>
      <c r="W197" s="4"/>
      <c r="X197" s="5"/>
    </row>
    <row r="198" spans="1:24" ht="15.6" x14ac:dyDescent="0.3">
      <c r="A198" s="71"/>
      <c r="B198" s="72"/>
      <c r="C198" s="73"/>
      <c r="D198" s="73"/>
      <c r="E198" s="73"/>
      <c r="F198" s="73"/>
      <c r="G198" s="74"/>
      <c r="H198" s="74"/>
      <c r="I198" s="74"/>
      <c r="J198" s="74"/>
      <c r="K198" s="74"/>
      <c r="L198" s="74"/>
      <c r="M198" s="74"/>
      <c r="N198" s="74"/>
      <c r="O198" s="74"/>
      <c r="P198" s="74"/>
      <c r="Q198" s="74"/>
      <c r="R198" s="74"/>
      <c r="S198" s="74"/>
      <c r="T198" s="74"/>
      <c r="U198" s="8"/>
      <c r="V198" s="8"/>
      <c r="W198" s="8"/>
      <c r="X198" s="5"/>
    </row>
    <row r="199" spans="1:24" ht="15.6" x14ac:dyDescent="0.3">
      <c r="A199" s="75"/>
      <c r="B199" s="76" t="s">
        <v>71</v>
      </c>
      <c r="C199" s="77"/>
      <c r="D199" s="77"/>
      <c r="E199" s="77"/>
      <c r="F199" s="77"/>
      <c r="G199" s="64"/>
      <c r="H199" s="64"/>
      <c r="I199" s="64"/>
      <c r="J199" s="64"/>
      <c r="K199" s="64"/>
      <c r="L199" s="64"/>
      <c r="M199" s="64"/>
      <c r="N199" s="64"/>
      <c r="O199" s="64"/>
      <c r="P199" s="64"/>
      <c r="Q199" s="64"/>
      <c r="R199" s="64"/>
      <c r="S199" s="64"/>
      <c r="T199" s="78">
        <v>5.4539999999999998E-2</v>
      </c>
      <c r="U199" s="25"/>
      <c r="V199" s="25"/>
      <c r="W199" s="25"/>
      <c r="X199" s="5"/>
    </row>
    <row r="200" spans="1:24" ht="15.6" x14ac:dyDescent="0.3">
      <c r="A200" s="75"/>
      <c r="B200" s="76" t="s">
        <v>154</v>
      </c>
      <c r="C200" s="77"/>
      <c r="D200" s="77"/>
      <c r="E200" s="77"/>
      <c r="F200" s="77"/>
      <c r="G200" s="64"/>
      <c r="H200" s="64"/>
      <c r="I200" s="64"/>
      <c r="J200" s="64"/>
      <c r="K200" s="64"/>
      <c r="L200" s="64"/>
      <c r="M200" s="64"/>
      <c r="N200" s="64"/>
      <c r="O200" s="64"/>
      <c r="P200" s="64"/>
      <c r="Q200" s="64"/>
      <c r="R200" s="64"/>
      <c r="S200" s="64"/>
      <c r="T200" s="39">
        <f>'Dec 06'!T199</f>
        <v>5.238600504269459E-2</v>
      </c>
      <c r="U200" s="25"/>
      <c r="V200" s="25"/>
      <c r="W200" s="25"/>
      <c r="X200" s="5"/>
    </row>
    <row r="201" spans="1:24" ht="15.6" x14ac:dyDescent="0.3">
      <c r="A201" s="75"/>
      <c r="B201" s="76" t="s">
        <v>72</v>
      </c>
      <c r="C201" s="77"/>
      <c r="D201" s="77"/>
      <c r="E201" s="77"/>
      <c r="F201" s="77"/>
      <c r="G201" s="64"/>
      <c r="H201" s="64"/>
      <c r="I201" s="64"/>
      <c r="J201" s="64"/>
      <c r="K201" s="64"/>
      <c r="L201" s="64"/>
      <c r="M201" s="64"/>
      <c r="N201" s="64"/>
      <c r="O201" s="64"/>
      <c r="P201" s="64"/>
      <c r="Q201" s="64"/>
      <c r="R201" s="64"/>
      <c r="S201" s="64"/>
      <c r="T201" s="78">
        <f>+T199-T200</f>
        <v>2.1539949573054079E-3</v>
      </c>
      <c r="U201" s="25"/>
      <c r="V201" s="25"/>
      <c r="W201" s="25"/>
      <c r="X201" s="5"/>
    </row>
    <row r="202" spans="1:24" ht="15.6" x14ac:dyDescent="0.3">
      <c r="A202" s="75"/>
      <c r="B202" s="76" t="s">
        <v>73</v>
      </c>
      <c r="C202" s="77"/>
      <c r="D202" s="77"/>
      <c r="E202" s="77"/>
      <c r="F202" s="77"/>
      <c r="G202" s="64"/>
      <c r="H202" s="64"/>
      <c r="I202" s="64"/>
      <c r="J202" s="64"/>
      <c r="K202" s="64"/>
      <c r="L202" s="64"/>
      <c r="M202" s="64"/>
      <c r="N202" s="64"/>
      <c r="O202" s="64"/>
      <c r="P202" s="64"/>
      <c r="Q202" s="64"/>
      <c r="R202" s="64"/>
      <c r="S202" s="64"/>
      <c r="T202" s="78">
        <v>5.5899999999999998E-2</v>
      </c>
      <c r="U202" s="25"/>
      <c r="V202" s="25"/>
      <c r="W202" s="25"/>
      <c r="X202" s="5"/>
    </row>
    <row r="203" spans="1:24" ht="15.6" x14ac:dyDescent="0.3">
      <c r="A203" s="75"/>
      <c r="B203" s="76" t="s">
        <v>222</v>
      </c>
      <c r="C203" s="77"/>
      <c r="D203" s="77"/>
      <c r="E203" s="77"/>
      <c r="F203" s="77"/>
      <c r="G203" s="64"/>
      <c r="H203" s="64"/>
      <c r="I203" s="64"/>
      <c r="J203" s="64"/>
      <c r="K203" s="64"/>
      <c r="L203" s="64"/>
      <c r="M203" s="64"/>
      <c r="N203" s="64"/>
      <c r="O203" s="64"/>
      <c r="P203" s="64"/>
      <c r="Q203" s="64"/>
      <c r="R203" s="64"/>
      <c r="S203" s="64"/>
      <c r="T203" s="78">
        <f>V43</f>
        <v>5.6903636839445867E-2</v>
      </c>
      <c r="U203" s="25"/>
      <c r="V203" s="25"/>
      <c r="W203" s="25"/>
      <c r="X203" s="5"/>
    </row>
    <row r="204" spans="1:24" ht="15.6" x14ac:dyDescent="0.3">
      <c r="A204" s="75"/>
      <c r="B204" s="76" t="s">
        <v>74</v>
      </c>
      <c r="C204" s="77"/>
      <c r="D204" s="77"/>
      <c r="E204" s="77"/>
      <c r="F204" s="77"/>
      <c r="G204" s="64"/>
      <c r="H204" s="64"/>
      <c r="I204" s="64"/>
      <c r="J204" s="64"/>
      <c r="K204" s="64"/>
      <c r="L204" s="64"/>
      <c r="M204" s="64"/>
      <c r="N204" s="64"/>
      <c r="O204" s="64"/>
      <c r="P204" s="64"/>
      <c r="Q204" s="64"/>
      <c r="R204" s="64"/>
      <c r="S204" s="64"/>
      <c r="T204" s="78">
        <f>T202-T203</f>
        <v>-1.0036368394458692E-3</v>
      </c>
      <c r="U204" s="25"/>
      <c r="V204" s="25"/>
      <c r="W204" s="25"/>
      <c r="X204" s="5"/>
    </row>
    <row r="205" spans="1:24" ht="15.6" x14ac:dyDescent="0.3">
      <c r="A205" s="75"/>
      <c r="B205" s="76" t="s">
        <v>274</v>
      </c>
      <c r="C205" s="77"/>
      <c r="D205" s="77"/>
      <c r="E205" s="77"/>
      <c r="F205" s="77"/>
      <c r="G205" s="64"/>
      <c r="H205" s="64"/>
      <c r="I205" s="64"/>
      <c r="J205" s="64"/>
      <c r="K205" s="64"/>
      <c r="L205" s="64"/>
      <c r="M205" s="64"/>
      <c r="N205" s="64"/>
      <c r="O205" s="64"/>
      <c r="P205" s="64"/>
      <c r="Q205" s="64"/>
      <c r="R205" s="64"/>
      <c r="S205" s="64"/>
      <c r="T205" s="78">
        <f>+V100/N72</f>
        <v>1.8063967697375411E-2</v>
      </c>
      <c r="U205" s="25"/>
      <c r="V205" s="25"/>
      <c r="W205" s="25"/>
      <c r="X205" s="5"/>
    </row>
    <row r="206" spans="1:24" ht="15.6" x14ac:dyDescent="0.3">
      <c r="A206" s="75"/>
      <c r="B206" s="76" t="s">
        <v>211</v>
      </c>
      <c r="C206" s="77"/>
      <c r="D206" s="77"/>
      <c r="E206" s="77"/>
      <c r="F206" s="77"/>
      <c r="G206" s="64"/>
      <c r="H206" s="64"/>
      <c r="I206" s="64"/>
      <c r="J206" s="64"/>
      <c r="K206" s="64"/>
      <c r="L206" s="64"/>
      <c r="M206" s="64"/>
      <c r="N206" s="64"/>
      <c r="O206" s="64"/>
      <c r="P206" s="64"/>
      <c r="Q206" s="64"/>
      <c r="R206" s="64"/>
      <c r="S206" s="64"/>
      <c r="T206" s="129">
        <v>50771</v>
      </c>
      <c r="U206" s="25"/>
      <c r="V206" s="25"/>
      <c r="W206" s="25"/>
      <c r="X206" s="5"/>
    </row>
    <row r="207" spans="1:24" ht="15.6" x14ac:dyDescent="0.3">
      <c r="A207" s="75"/>
      <c r="B207" s="76" t="s">
        <v>212</v>
      </c>
      <c r="C207" s="77"/>
      <c r="D207" s="77"/>
      <c r="E207" s="77"/>
      <c r="F207" s="77"/>
      <c r="G207" s="64"/>
      <c r="H207" s="64"/>
      <c r="I207" s="64"/>
      <c r="J207" s="64"/>
      <c r="K207" s="64"/>
      <c r="L207" s="64"/>
      <c r="M207" s="64"/>
      <c r="N207" s="64"/>
      <c r="O207" s="64"/>
      <c r="P207" s="64"/>
      <c r="Q207" s="64"/>
      <c r="R207" s="64"/>
      <c r="S207" s="64"/>
      <c r="T207" s="129">
        <v>50771</v>
      </c>
      <c r="U207" s="25"/>
      <c r="V207" s="25"/>
      <c r="W207" s="25"/>
      <c r="X207" s="5"/>
    </row>
    <row r="208" spans="1:24" ht="15.6" x14ac:dyDescent="0.3">
      <c r="A208" s="75"/>
      <c r="B208" s="76" t="s">
        <v>213</v>
      </c>
      <c r="C208" s="77"/>
      <c r="D208" s="77"/>
      <c r="E208" s="77"/>
      <c r="F208" s="77"/>
      <c r="G208" s="64"/>
      <c r="H208" s="64"/>
      <c r="I208" s="64"/>
      <c r="J208" s="64"/>
      <c r="K208" s="64"/>
      <c r="L208" s="64"/>
      <c r="M208" s="64"/>
      <c r="N208" s="64"/>
      <c r="O208" s="64"/>
      <c r="P208" s="64"/>
      <c r="Q208" s="64"/>
      <c r="R208" s="64"/>
      <c r="S208" s="64"/>
      <c r="T208" s="129">
        <v>50771</v>
      </c>
      <c r="U208" s="25"/>
      <c r="V208" s="25"/>
      <c r="W208" s="25"/>
      <c r="X208" s="5"/>
    </row>
    <row r="209" spans="1:24" ht="15.6" x14ac:dyDescent="0.3">
      <c r="A209" s="75"/>
      <c r="B209" s="76" t="s">
        <v>75</v>
      </c>
      <c r="C209" s="77"/>
      <c r="D209" s="77"/>
      <c r="E209" s="77"/>
      <c r="F209" s="77"/>
      <c r="G209" s="64"/>
      <c r="H209" s="64"/>
      <c r="I209" s="64"/>
      <c r="J209" s="64"/>
      <c r="K209" s="64"/>
      <c r="L209" s="64"/>
      <c r="M209" s="64"/>
      <c r="N209" s="64"/>
      <c r="O209" s="64"/>
      <c r="P209" s="64"/>
      <c r="Q209" s="64"/>
      <c r="R209" s="64"/>
      <c r="S209" s="64"/>
      <c r="T209" s="133">
        <v>20.66</v>
      </c>
      <c r="U209" s="25" t="s">
        <v>113</v>
      </c>
      <c r="V209" s="25"/>
      <c r="W209" s="25"/>
      <c r="X209" s="5"/>
    </row>
    <row r="210" spans="1:24" ht="15.6" x14ac:dyDescent="0.3">
      <c r="A210" s="75"/>
      <c r="B210" s="76" t="s">
        <v>76</v>
      </c>
      <c r="C210" s="77"/>
      <c r="D210" s="77"/>
      <c r="E210" s="77"/>
      <c r="F210" s="77"/>
      <c r="G210" s="64"/>
      <c r="H210" s="64"/>
      <c r="I210" s="64"/>
      <c r="J210" s="64"/>
      <c r="K210" s="64"/>
      <c r="L210" s="64"/>
      <c r="M210" s="64"/>
      <c r="N210" s="64"/>
      <c r="O210" s="64"/>
      <c r="P210" s="64"/>
      <c r="Q210" s="64"/>
      <c r="R210" s="64"/>
      <c r="S210" s="64"/>
      <c r="T210" s="133">
        <v>20.14</v>
      </c>
      <c r="U210" s="25" t="s">
        <v>113</v>
      </c>
      <c r="V210" s="25"/>
      <c r="W210" s="25"/>
      <c r="X210" s="5"/>
    </row>
    <row r="211" spans="1:24" ht="15.6" x14ac:dyDescent="0.3">
      <c r="A211" s="75"/>
      <c r="B211" s="76" t="s">
        <v>77</v>
      </c>
      <c r="C211" s="77"/>
      <c r="D211" s="77"/>
      <c r="E211" s="77"/>
      <c r="F211" s="77"/>
      <c r="G211" s="64"/>
      <c r="H211" s="64"/>
      <c r="I211" s="64"/>
      <c r="J211" s="64"/>
      <c r="K211" s="64"/>
      <c r="L211" s="64"/>
      <c r="M211" s="64"/>
      <c r="N211" s="64"/>
      <c r="O211" s="64"/>
      <c r="P211" s="64"/>
      <c r="Q211" s="64"/>
      <c r="R211" s="64"/>
      <c r="S211" s="64"/>
      <c r="T211" s="78">
        <f>+P69/N69</f>
        <v>2.6176883365279922E-2</v>
      </c>
      <c r="U211" s="25"/>
      <c r="V211" s="25"/>
      <c r="W211" s="25"/>
      <c r="X211" s="5"/>
    </row>
    <row r="212" spans="1:24" ht="15.6" x14ac:dyDescent="0.3">
      <c r="A212" s="75"/>
      <c r="B212" s="76" t="s">
        <v>78</v>
      </c>
      <c r="C212" s="77"/>
      <c r="D212" s="77"/>
      <c r="E212" s="77"/>
      <c r="F212" s="77"/>
      <c r="G212" s="64"/>
      <c r="H212" s="64"/>
      <c r="I212" s="64"/>
      <c r="J212" s="64"/>
      <c r="K212" s="64"/>
      <c r="L212" s="64"/>
      <c r="M212" s="64"/>
      <c r="N212" s="64"/>
      <c r="O212" s="64"/>
      <c r="P212" s="64"/>
      <c r="Q212" s="64"/>
      <c r="R212" s="64"/>
      <c r="S212" s="64"/>
      <c r="T212" s="78">
        <v>0.1024</v>
      </c>
      <c r="U212" s="25"/>
      <c r="V212" s="25"/>
      <c r="W212" s="25"/>
      <c r="X212" s="5"/>
    </row>
    <row r="213" spans="1:24" ht="15.6" x14ac:dyDescent="0.3">
      <c r="A213" s="75"/>
      <c r="B213" s="76"/>
      <c r="C213" s="76"/>
      <c r="D213" s="76"/>
      <c r="E213" s="76"/>
      <c r="F213" s="76"/>
      <c r="G213" s="25"/>
      <c r="H213" s="25"/>
      <c r="I213" s="25"/>
      <c r="J213" s="25"/>
      <c r="K213" s="25"/>
      <c r="L213" s="25"/>
      <c r="M213" s="25"/>
      <c r="N213" s="25"/>
      <c r="O213" s="25"/>
      <c r="P213" s="25"/>
      <c r="Q213" s="25"/>
      <c r="R213" s="25"/>
      <c r="S213" s="25"/>
      <c r="T213" s="61"/>
      <c r="U213" s="25"/>
      <c r="V213" s="79"/>
      <c r="W213" s="25"/>
      <c r="X213" s="5"/>
    </row>
    <row r="214" spans="1:24" ht="15.6" x14ac:dyDescent="0.3">
      <c r="A214" s="80"/>
      <c r="B214" s="14" t="s">
        <v>79</v>
      </c>
      <c r="C214" s="81"/>
      <c r="D214" s="81"/>
      <c r="E214" s="81"/>
      <c r="F214" s="82"/>
      <c r="G214" s="81"/>
      <c r="H214" s="17"/>
      <c r="I214" s="17"/>
      <c r="J214" s="17"/>
      <c r="K214" s="17"/>
      <c r="L214" s="17"/>
      <c r="M214" s="17"/>
      <c r="N214" s="17"/>
      <c r="O214" s="17"/>
      <c r="P214" s="17"/>
      <c r="Q214" s="17"/>
      <c r="R214" s="17"/>
      <c r="S214" s="17" t="s">
        <v>103</v>
      </c>
      <c r="T214" s="83" t="s">
        <v>110</v>
      </c>
      <c r="U214" s="8"/>
      <c r="V214" s="8"/>
      <c r="W214" s="8"/>
      <c r="X214" s="5"/>
    </row>
    <row r="215" spans="1:24" ht="15.6" x14ac:dyDescent="0.3">
      <c r="A215" s="84"/>
      <c r="B215" s="76" t="s">
        <v>80</v>
      </c>
      <c r="C215" s="54"/>
      <c r="D215" s="54"/>
      <c r="E215" s="54"/>
      <c r="F215" s="25"/>
      <c r="G215" s="25"/>
      <c r="H215" s="30"/>
      <c r="I215" s="30"/>
      <c r="J215" s="30"/>
      <c r="K215" s="30"/>
      <c r="L215" s="30"/>
      <c r="M215" s="30"/>
      <c r="N215" s="30"/>
      <c r="O215" s="30"/>
      <c r="P215" s="30"/>
      <c r="Q215" s="30"/>
      <c r="R215" s="30"/>
      <c r="S215" s="30">
        <v>0</v>
      </c>
      <c r="T215" s="85">
        <v>0</v>
      </c>
      <c r="U215" s="25"/>
      <c r="V215" s="79"/>
      <c r="W215" s="86"/>
      <c r="X215" s="5"/>
    </row>
    <row r="216" spans="1:24" ht="15.6" x14ac:dyDescent="0.3">
      <c r="A216" s="84"/>
      <c r="B216" s="76" t="s">
        <v>148</v>
      </c>
      <c r="C216" s="54"/>
      <c r="D216" s="54"/>
      <c r="E216" s="54"/>
      <c r="F216" s="25"/>
      <c r="G216" s="25"/>
      <c r="H216" s="30"/>
      <c r="I216" s="30"/>
      <c r="J216" s="30"/>
      <c r="K216" s="30"/>
      <c r="L216" s="30"/>
      <c r="M216" s="30"/>
      <c r="N216" s="30"/>
      <c r="O216" s="30"/>
      <c r="P216" s="30"/>
      <c r="Q216" s="30"/>
      <c r="R216" s="30"/>
      <c r="S216" s="152">
        <f>+R256</f>
        <v>19</v>
      </c>
      <c r="T216" s="85">
        <f>+T256</f>
        <v>2320</v>
      </c>
      <c r="U216" s="25"/>
      <c r="V216" s="79"/>
      <c r="W216" s="86"/>
      <c r="X216" s="5"/>
    </row>
    <row r="217" spans="1:24" ht="15.6" x14ac:dyDescent="0.3">
      <c r="A217" s="84"/>
      <c r="B217" s="76" t="s">
        <v>81</v>
      </c>
      <c r="C217" s="54"/>
      <c r="D217" s="54"/>
      <c r="E217" s="54"/>
      <c r="F217" s="25"/>
      <c r="G217" s="25"/>
      <c r="H217" s="30"/>
      <c r="I217" s="30"/>
      <c r="J217" s="30"/>
      <c r="K217" s="30"/>
      <c r="L217" s="30"/>
      <c r="M217" s="30"/>
      <c r="N217" s="30"/>
      <c r="O217" s="30"/>
      <c r="P217" s="30"/>
      <c r="Q217" s="30"/>
      <c r="R217" s="30"/>
      <c r="S217" s="30">
        <v>0</v>
      </c>
      <c r="T217" s="85">
        <v>0</v>
      </c>
      <c r="U217" s="25"/>
      <c r="V217" s="79"/>
      <c r="W217" s="86"/>
      <c r="X217" s="5"/>
    </row>
    <row r="218" spans="1:24" ht="15.6" x14ac:dyDescent="0.3">
      <c r="A218" s="84"/>
      <c r="B218" s="122" t="s">
        <v>82</v>
      </c>
      <c r="C218" s="54"/>
      <c r="D218" s="54"/>
      <c r="E218" s="54"/>
      <c r="F218" s="25"/>
      <c r="G218" s="25"/>
      <c r="H218" s="25"/>
      <c r="I218" s="25"/>
      <c r="J218" s="25"/>
      <c r="K218" s="25"/>
      <c r="L218" s="25"/>
      <c r="M218" s="25"/>
      <c r="N218" s="25"/>
      <c r="O218" s="25"/>
      <c r="P218" s="25"/>
      <c r="Q218" s="25"/>
      <c r="R218" s="25"/>
      <c r="S218" s="25"/>
      <c r="T218" s="85">
        <v>0</v>
      </c>
      <c r="U218" s="25"/>
      <c r="V218" s="79"/>
      <c r="W218" s="86"/>
      <c r="X218" s="5"/>
    </row>
    <row r="219" spans="1:24" ht="15.6" x14ac:dyDescent="0.3">
      <c r="A219" s="84"/>
      <c r="B219" s="122" t="s">
        <v>275</v>
      </c>
      <c r="C219" s="54"/>
      <c r="D219" s="54"/>
      <c r="E219" s="54"/>
      <c r="F219" s="25"/>
      <c r="G219" s="25"/>
      <c r="H219" s="25"/>
      <c r="I219" s="25"/>
      <c r="J219" s="25"/>
      <c r="K219" s="25"/>
      <c r="L219" s="25"/>
      <c r="M219" s="25"/>
      <c r="N219" s="25"/>
      <c r="O219" s="25"/>
      <c r="P219" s="25"/>
      <c r="Q219" s="25"/>
      <c r="R219" s="25"/>
      <c r="S219" s="25"/>
      <c r="T219" s="85">
        <f>+N82</f>
        <v>0</v>
      </c>
      <c r="U219" s="25"/>
      <c r="V219" s="79"/>
      <c r="W219" s="86"/>
      <c r="X219" s="5"/>
    </row>
    <row r="220" spans="1:24" ht="15.6" x14ac:dyDescent="0.3">
      <c r="A220" s="87"/>
      <c r="B220" s="122" t="s">
        <v>83</v>
      </c>
      <c r="C220" s="76"/>
      <c r="D220" s="76"/>
      <c r="E220" s="76"/>
      <c r="F220" s="76"/>
      <c r="G220" s="25"/>
      <c r="H220" s="25"/>
      <c r="I220" s="25"/>
      <c r="J220" s="25"/>
      <c r="K220" s="25"/>
      <c r="L220" s="25"/>
      <c r="M220" s="25"/>
      <c r="N220" s="25"/>
      <c r="O220" s="25"/>
      <c r="P220" s="25"/>
      <c r="Q220" s="25"/>
      <c r="R220" s="25"/>
      <c r="S220" s="25"/>
      <c r="T220" s="85"/>
      <c r="U220" s="25"/>
      <c r="V220" s="79"/>
      <c r="W220" s="88"/>
      <c r="X220" s="5"/>
    </row>
    <row r="221" spans="1:24" ht="15.6" x14ac:dyDescent="0.3">
      <c r="A221" s="87"/>
      <c r="B221" s="131" t="s">
        <v>84</v>
      </c>
      <c r="C221" s="76"/>
      <c r="D221" s="76"/>
      <c r="E221" s="76"/>
      <c r="F221" s="76"/>
      <c r="G221" s="25"/>
      <c r="H221" s="25"/>
      <c r="I221" s="25"/>
      <c r="J221" s="25"/>
      <c r="K221" s="25"/>
      <c r="L221" s="25"/>
      <c r="M221" s="25"/>
      <c r="N221" s="25"/>
      <c r="O221" s="25"/>
      <c r="P221" s="25"/>
      <c r="Q221" s="25"/>
      <c r="R221" s="25"/>
      <c r="S221" s="30"/>
      <c r="T221" s="85">
        <f>V166</f>
        <v>4</v>
      </c>
      <c r="U221" s="25"/>
      <c r="V221" s="79"/>
      <c r="W221" s="88"/>
      <c r="X221" s="5"/>
    </row>
    <row r="222" spans="1:24" ht="15.6" x14ac:dyDescent="0.3">
      <c r="A222" s="84"/>
      <c r="B222" s="76" t="s">
        <v>85</v>
      </c>
      <c r="C222" s="54"/>
      <c r="D222" s="54"/>
      <c r="E222" s="54"/>
      <c r="F222" s="54"/>
      <c r="G222" s="25"/>
      <c r="H222" s="25"/>
      <c r="I222" s="25"/>
      <c r="J222" s="25"/>
      <c r="K222" s="25"/>
      <c r="L222" s="25"/>
      <c r="M222" s="25"/>
      <c r="N222" s="25"/>
      <c r="O222" s="25"/>
      <c r="P222" s="25"/>
      <c r="Q222" s="25"/>
      <c r="R222" s="25"/>
      <c r="S222" s="30"/>
      <c r="T222" s="85">
        <f>+'March 07'!T222+T221</f>
        <v>4</v>
      </c>
      <c r="U222" s="25"/>
      <c r="V222" s="79"/>
      <c r="W222" s="88"/>
      <c r="X222" s="5"/>
    </row>
    <row r="223" spans="1:24" ht="15.6" x14ac:dyDescent="0.3">
      <c r="A223" s="87"/>
      <c r="B223" s="122" t="s">
        <v>297</v>
      </c>
      <c r="C223" s="76"/>
      <c r="D223" s="76"/>
      <c r="E223" s="76"/>
      <c r="F223" s="76"/>
      <c r="G223" s="25"/>
      <c r="H223" s="25"/>
      <c r="I223" s="25"/>
      <c r="J223" s="25"/>
      <c r="K223" s="25"/>
      <c r="L223" s="25"/>
      <c r="M223" s="25"/>
      <c r="N223" s="25"/>
      <c r="O223" s="25"/>
      <c r="P223" s="25"/>
      <c r="Q223" s="25"/>
      <c r="R223" s="25"/>
      <c r="S223" s="30"/>
      <c r="T223" s="85"/>
      <c r="U223" s="25"/>
      <c r="V223" s="79"/>
      <c r="W223" s="88"/>
      <c r="X223" s="5"/>
    </row>
    <row r="224" spans="1:24" ht="15.6" x14ac:dyDescent="0.3">
      <c r="A224" s="87"/>
      <c r="B224" s="76" t="s">
        <v>295</v>
      </c>
      <c r="C224" s="76"/>
      <c r="D224" s="76"/>
      <c r="E224" s="76"/>
      <c r="F224" s="76"/>
      <c r="G224" s="25"/>
      <c r="H224" s="25"/>
      <c r="I224" s="25"/>
      <c r="J224" s="25"/>
      <c r="K224" s="25"/>
      <c r="L224" s="25"/>
      <c r="M224" s="25"/>
      <c r="N224" s="25"/>
      <c r="O224" s="25"/>
      <c r="P224" s="25"/>
      <c r="Q224" s="25"/>
      <c r="R224" s="25"/>
      <c r="S224" s="30">
        <v>0</v>
      </c>
      <c r="T224" s="85">
        <v>0</v>
      </c>
      <c r="U224" s="25"/>
      <c r="V224" s="79"/>
      <c r="W224" s="88"/>
      <c r="X224" s="5"/>
    </row>
    <row r="225" spans="1:25" ht="15.6" x14ac:dyDescent="0.3">
      <c r="A225" s="84"/>
      <c r="B225" s="76" t="s">
        <v>87</v>
      </c>
      <c r="C225" s="89"/>
      <c r="D225" s="89"/>
      <c r="E225" s="89"/>
      <c r="F225" s="90"/>
      <c r="G225" s="25"/>
      <c r="H225" s="25"/>
      <c r="I225" s="25"/>
      <c r="J225" s="25"/>
      <c r="K225" s="25"/>
      <c r="L225" s="25"/>
      <c r="M225" s="25"/>
      <c r="N225" s="25"/>
      <c r="O225" s="25"/>
      <c r="P225" s="25"/>
      <c r="Q225" s="25"/>
      <c r="R225" s="25"/>
      <c r="S225" s="25"/>
      <c r="T225" s="62">
        <v>0</v>
      </c>
      <c r="U225" s="25"/>
      <c r="V225" s="79"/>
      <c r="W225" s="88"/>
      <c r="X225" s="5"/>
    </row>
    <row r="226" spans="1:25" ht="15.6" x14ac:dyDescent="0.3">
      <c r="A226" s="84"/>
      <c r="B226" s="76" t="s">
        <v>88</v>
      </c>
      <c r="C226" s="89"/>
      <c r="D226" s="89"/>
      <c r="E226" s="89"/>
      <c r="F226" s="90"/>
      <c r="G226" s="25"/>
      <c r="H226" s="25"/>
      <c r="I226" s="25"/>
      <c r="J226" s="25"/>
      <c r="K226" s="25"/>
      <c r="L226" s="25"/>
      <c r="M226" s="25"/>
      <c r="N226" s="25"/>
      <c r="O226" s="25"/>
      <c r="P226" s="25"/>
      <c r="Q226" s="25"/>
      <c r="R226" s="25"/>
      <c r="S226" s="25"/>
      <c r="T226" s="62">
        <v>0</v>
      </c>
      <c r="U226" s="25"/>
      <c r="V226" s="79"/>
      <c r="W226" s="88"/>
      <c r="X226" s="5"/>
    </row>
    <row r="227" spans="1:25" ht="15.6" x14ac:dyDescent="0.3">
      <c r="A227" s="84"/>
      <c r="B227" s="122" t="s">
        <v>220</v>
      </c>
      <c r="C227" s="89"/>
      <c r="D227" s="89"/>
      <c r="E227" s="89"/>
      <c r="F227" s="90"/>
      <c r="G227" s="25"/>
      <c r="H227" s="25"/>
      <c r="I227" s="25"/>
      <c r="J227" s="25"/>
      <c r="K227" s="25"/>
      <c r="L227" s="25"/>
      <c r="M227" s="25"/>
      <c r="N227" s="25"/>
      <c r="O227" s="25"/>
      <c r="P227" s="25"/>
      <c r="Q227" s="25"/>
      <c r="R227" s="25"/>
      <c r="S227" s="25"/>
      <c r="T227" s="91"/>
      <c r="U227" s="25"/>
      <c r="V227" s="79"/>
      <c r="W227" s="88"/>
      <c r="X227" s="5"/>
    </row>
    <row r="228" spans="1:25" ht="15.6" x14ac:dyDescent="0.3">
      <c r="A228" s="84"/>
      <c r="B228" s="76" t="s">
        <v>295</v>
      </c>
      <c r="C228" s="89"/>
      <c r="D228" s="89"/>
      <c r="E228" s="89"/>
      <c r="F228" s="90"/>
      <c r="G228" s="25"/>
      <c r="H228" s="25"/>
      <c r="I228" s="25"/>
      <c r="J228" s="25"/>
      <c r="K228" s="25"/>
      <c r="L228" s="25"/>
      <c r="M228" s="25"/>
      <c r="N228" s="25"/>
      <c r="O228" s="25"/>
      <c r="P228" s="25"/>
      <c r="Q228" s="25"/>
      <c r="R228" s="25"/>
      <c r="S228" s="30">
        <v>2</v>
      </c>
      <c r="T228" s="85">
        <v>259</v>
      </c>
      <c r="U228" s="25"/>
      <c r="V228" s="79"/>
      <c r="W228" s="88"/>
      <c r="X228" s="5"/>
    </row>
    <row r="229" spans="1:25" ht="15.6" x14ac:dyDescent="0.3">
      <c r="A229" s="84"/>
      <c r="B229" s="76" t="s">
        <v>221</v>
      </c>
      <c r="C229" s="89"/>
      <c r="D229" s="89"/>
      <c r="E229" s="89"/>
      <c r="F229" s="90"/>
      <c r="G229" s="25"/>
      <c r="H229" s="25"/>
      <c r="I229" s="25"/>
      <c r="J229" s="25"/>
      <c r="K229" s="25"/>
      <c r="L229" s="25"/>
      <c r="M229" s="25"/>
      <c r="N229" s="25"/>
      <c r="O229" s="25"/>
      <c r="P229" s="25"/>
      <c r="Q229" s="25"/>
      <c r="R229" s="25"/>
      <c r="S229" s="25"/>
      <c r="T229" s="62">
        <v>11.44</v>
      </c>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7.399999999999999" x14ac:dyDescent="0.3">
      <c r="A232" s="84"/>
      <c r="B232" s="149" t="s">
        <v>171</v>
      </c>
      <c r="C232" s="89"/>
      <c r="D232" s="89"/>
      <c r="E232" s="89"/>
      <c r="F232" s="90"/>
      <c r="G232" s="25"/>
      <c r="H232" s="25"/>
      <c r="I232" s="25"/>
      <c r="J232" s="25"/>
      <c r="K232" s="25"/>
      <c r="L232" s="25"/>
      <c r="M232" s="25"/>
      <c r="N232" s="25"/>
      <c r="O232" s="25"/>
      <c r="P232" s="150" t="s">
        <v>170</v>
      </c>
      <c r="Q232" s="25"/>
      <c r="R232" s="25"/>
      <c r="S232" s="25"/>
      <c r="T232" s="91"/>
      <c r="U232" s="25"/>
      <c r="V232" s="79"/>
      <c r="W232" s="88"/>
      <c r="X232" s="5"/>
    </row>
    <row r="233" spans="1:25" ht="15.6" x14ac:dyDescent="0.3">
      <c r="A233" s="84"/>
      <c r="B233" s="76"/>
      <c r="C233" s="89"/>
      <c r="D233" s="89"/>
      <c r="E233" s="89"/>
      <c r="F233" s="90"/>
      <c r="G233" s="25"/>
      <c r="H233" s="25"/>
      <c r="I233" s="25"/>
      <c r="J233" s="25"/>
      <c r="K233" s="25"/>
      <c r="L233" s="25"/>
      <c r="M233" s="25"/>
      <c r="N233" s="25"/>
      <c r="O233" s="25"/>
      <c r="P233" s="25"/>
      <c r="Q233" s="25"/>
      <c r="R233" s="25"/>
      <c r="S233" s="25"/>
      <c r="T233" s="91"/>
      <c r="U233" s="25"/>
      <c r="V233" s="79"/>
      <c r="W233" s="88"/>
      <c r="X233" s="5"/>
    </row>
    <row r="234" spans="1:25" ht="15.6" x14ac:dyDescent="0.3">
      <c r="A234" s="6"/>
      <c r="B234" s="14" t="s">
        <v>165</v>
      </c>
      <c r="C234" s="81"/>
      <c r="D234" s="81"/>
      <c r="E234" s="81"/>
      <c r="F234" s="82"/>
      <c r="G234" s="81"/>
      <c r="H234" s="17"/>
      <c r="I234" s="17"/>
      <c r="J234" s="17"/>
      <c r="K234" s="17"/>
      <c r="L234" s="17"/>
      <c r="M234" s="17"/>
      <c r="N234" s="17"/>
      <c r="O234" s="17"/>
      <c r="P234" s="17"/>
      <c r="Q234" s="17"/>
      <c r="R234" s="83" t="s">
        <v>103</v>
      </c>
      <c r="S234" s="17" t="s">
        <v>104</v>
      </c>
      <c r="T234" s="83" t="s">
        <v>111</v>
      </c>
      <c r="U234" s="17" t="s">
        <v>104</v>
      </c>
      <c r="V234" s="8"/>
      <c r="W234" s="92"/>
      <c r="X234" s="5"/>
    </row>
    <row r="235" spans="1:25" ht="15.6" x14ac:dyDescent="0.3">
      <c r="A235" s="24"/>
      <c r="B235" s="54" t="s">
        <v>89</v>
      </c>
      <c r="C235" s="93"/>
      <c r="D235" s="93"/>
      <c r="E235" s="93"/>
      <c r="F235" s="25"/>
      <c r="G235" s="93"/>
      <c r="H235" s="93"/>
      <c r="I235" s="93"/>
      <c r="J235" s="93"/>
      <c r="K235" s="93"/>
      <c r="L235" s="93"/>
      <c r="M235" s="93"/>
      <c r="N235" s="93"/>
      <c r="O235" s="93"/>
      <c r="P235" s="93"/>
      <c r="Q235" s="93"/>
      <c r="R235" s="54">
        <v>11344</v>
      </c>
      <c r="S235" s="94">
        <f t="shared" ref="S235:S242" si="1">R235/$R$244</f>
        <v>0.9967489675775415</v>
      </c>
      <c r="T235" s="53">
        <v>1415039</v>
      </c>
      <c r="U235" s="132">
        <f t="shared" ref="U235:U242" si="2">T235/$T$244</f>
        <v>0.99617802020179269</v>
      </c>
      <c r="V235" s="79"/>
      <c r="W235" s="88"/>
      <c r="X235" s="5"/>
    </row>
    <row r="236" spans="1:25" ht="15.6" x14ac:dyDescent="0.3">
      <c r="A236" s="24"/>
      <c r="B236" s="54" t="s">
        <v>90</v>
      </c>
      <c r="C236" s="93"/>
      <c r="D236" s="93"/>
      <c r="E236" s="93"/>
      <c r="F236" s="25"/>
      <c r="G236" s="94"/>
      <c r="H236" s="93"/>
      <c r="I236" s="93"/>
      <c r="J236" s="93"/>
      <c r="K236" s="93"/>
      <c r="L236" s="93"/>
      <c r="M236" s="93"/>
      <c r="N236" s="93"/>
      <c r="O236" s="93"/>
      <c r="P236" s="93"/>
      <c r="Q236" s="93"/>
      <c r="R236" s="54">
        <v>28</v>
      </c>
      <c r="S236" s="94">
        <f t="shared" si="1"/>
        <v>2.4602407521307442E-3</v>
      </c>
      <c r="T236" s="53">
        <v>4582</v>
      </c>
      <c r="U236" s="132">
        <f t="shared" si="2"/>
        <v>3.2256974461937898E-3</v>
      </c>
      <c r="V236" s="79"/>
      <c r="W236" s="88"/>
      <c r="X236" s="5"/>
      <c r="Y236" s="109"/>
    </row>
    <row r="237" spans="1:25" ht="15.6" x14ac:dyDescent="0.3">
      <c r="A237" s="24"/>
      <c r="B237" s="54" t="s">
        <v>91</v>
      </c>
      <c r="C237" s="93"/>
      <c r="D237" s="93"/>
      <c r="E237" s="93"/>
      <c r="F237" s="25"/>
      <c r="G237" s="94"/>
      <c r="H237" s="93"/>
      <c r="I237" s="93"/>
      <c r="J237" s="93"/>
      <c r="K237" s="93"/>
      <c r="L237" s="93"/>
      <c r="M237" s="93"/>
      <c r="N237" s="93"/>
      <c r="O237" s="93"/>
      <c r="P237" s="93"/>
      <c r="Q237" s="93"/>
      <c r="R237" s="54">
        <v>0</v>
      </c>
      <c r="S237" s="94">
        <f t="shared" si="1"/>
        <v>0</v>
      </c>
      <c r="T237" s="53">
        <v>0</v>
      </c>
      <c r="U237" s="132">
        <f t="shared" si="2"/>
        <v>0</v>
      </c>
      <c r="V237" s="79"/>
      <c r="W237" s="88"/>
      <c r="X237" s="5"/>
    </row>
    <row r="238" spans="1:25" ht="15.6" x14ac:dyDescent="0.3">
      <c r="A238" s="24"/>
      <c r="B238" s="54" t="s">
        <v>159</v>
      </c>
      <c r="C238" s="93"/>
      <c r="D238" s="93"/>
      <c r="E238" s="93"/>
      <c r="F238" s="25"/>
      <c r="G238" s="94"/>
      <c r="H238" s="93"/>
      <c r="I238" s="93"/>
      <c r="J238" s="93"/>
      <c r="K238" s="93"/>
      <c r="L238" s="93"/>
      <c r="M238" s="93"/>
      <c r="N238" s="93"/>
      <c r="O238" s="93"/>
      <c r="P238" s="93"/>
      <c r="Q238" s="93"/>
      <c r="R238" s="54">
        <v>0</v>
      </c>
      <c r="S238" s="94">
        <f t="shared" si="1"/>
        <v>0</v>
      </c>
      <c r="T238" s="53">
        <v>0</v>
      </c>
      <c r="U238" s="132">
        <f t="shared" si="2"/>
        <v>0</v>
      </c>
      <c r="V238" s="79"/>
      <c r="W238" s="88"/>
      <c r="X238" s="5"/>
      <c r="Y238" s="109"/>
    </row>
    <row r="239" spans="1:25" ht="15.6" x14ac:dyDescent="0.3">
      <c r="A239" s="24"/>
      <c r="B239" s="54" t="s">
        <v>160</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row>
    <row r="240" spans="1:25" ht="15.6" x14ac:dyDescent="0.3">
      <c r="A240" s="24"/>
      <c r="B240" s="54" t="s">
        <v>161</v>
      </c>
      <c r="C240" s="93"/>
      <c r="D240" s="93"/>
      <c r="E240" s="93"/>
      <c r="F240" s="25"/>
      <c r="G240" s="94"/>
      <c r="H240" s="93"/>
      <c r="I240" s="93"/>
      <c r="J240" s="93"/>
      <c r="K240" s="93"/>
      <c r="L240" s="93"/>
      <c r="M240" s="93"/>
      <c r="N240" s="93"/>
      <c r="O240" s="93"/>
      <c r="P240" s="93"/>
      <c r="Q240" s="93"/>
      <c r="R240" s="54">
        <v>3</v>
      </c>
      <c r="S240" s="94">
        <f t="shared" si="1"/>
        <v>2.6359722344257972E-4</v>
      </c>
      <c r="T240" s="53">
        <v>269</v>
      </c>
      <c r="U240" s="132">
        <f t="shared" si="2"/>
        <v>1.8937420624751843E-4</v>
      </c>
      <c r="V240" s="79"/>
      <c r="W240" s="88"/>
      <c r="X240" s="5"/>
      <c r="Y240" s="109"/>
    </row>
    <row r="241" spans="1:25" ht="15.6" x14ac:dyDescent="0.3">
      <c r="A241" s="24"/>
      <c r="B241" s="54" t="s">
        <v>162</v>
      </c>
      <c r="C241" s="93"/>
      <c r="D241" s="93"/>
      <c r="E241" s="93"/>
      <c r="F241" s="25"/>
      <c r="G241" s="94"/>
      <c r="H241" s="93"/>
      <c r="I241" s="93"/>
      <c r="J241" s="93"/>
      <c r="K241" s="93"/>
      <c r="L241" s="93"/>
      <c r="M241" s="93"/>
      <c r="N241" s="93"/>
      <c r="O241" s="93"/>
      <c r="P241" s="93"/>
      <c r="Q241" s="93"/>
      <c r="R241" s="54">
        <v>6</v>
      </c>
      <c r="S241" s="94">
        <f t="shared" si="1"/>
        <v>5.2719444688515945E-4</v>
      </c>
      <c r="T241" s="53">
        <v>578</v>
      </c>
      <c r="U241" s="132">
        <f t="shared" si="2"/>
        <v>4.0690814576604332E-4</v>
      </c>
      <c r="V241" s="79"/>
      <c r="W241" s="88"/>
      <c r="X241" s="5"/>
    </row>
    <row r="242" spans="1:25" ht="15.6" x14ac:dyDescent="0.3">
      <c r="A242" s="24"/>
      <c r="B242" s="54" t="s">
        <v>163</v>
      </c>
      <c r="C242" s="93"/>
      <c r="D242" s="93"/>
      <c r="E242" s="93"/>
      <c r="F242" s="25"/>
      <c r="G242" s="94"/>
      <c r="H242" s="93"/>
      <c r="I242" s="93"/>
      <c r="J242" s="93"/>
      <c r="K242" s="93"/>
      <c r="L242" s="93"/>
      <c r="M242" s="93"/>
      <c r="N242" s="93"/>
      <c r="O242" s="93"/>
      <c r="P242" s="93"/>
      <c r="Q242" s="93"/>
      <c r="R242" s="54">
        <v>0</v>
      </c>
      <c r="S242" s="94">
        <f t="shared" si="1"/>
        <v>0</v>
      </c>
      <c r="T242" s="53">
        <v>0</v>
      </c>
      <c r="U242" s="132">
        <f t="shared" si="2"/>
        <v>0</v>
      </c>
      <c r="V242" s="79"/>
      <c r="W242" s="88"/>
      <c r="X242" s="5"/>
      <c r="Y242" s="109"/>
    </row>
    <row r="243" spans="1:25" ht="15.6" x14ac:dyDescent="0.3">
      <c r="A243" s="24"/>
      <c r="B243" s="54"/>
      <c r="C243" s="93"/>
      <c r="D243" s="93"/>
      <c r="E243" s="93"/>
      <c r="F243" s="25"/>
      <c r="G243" s="94"/>
      <c r="H243" s="93"/>
      <c r="I243" s="93"/>
      <c r="J243" s="93"/>
      <c r="K243" s="93"/>
      <c r="L243" s="93"/>
      <c r="M243" s="93"/>
      <c r="N243" s="93"/>
      <c r="O243" s="93"/>
      <c r="P243" s="93"/>
      <c r="Q243" s="93"/>
      <c r="R243" s="54"/>
      <c r="S243" s="94"/>
      <c r="T243" s="53"/>
      <c r="U243" s="132"/>
      <c r="V243" s="79"/>
      <c r="W243" s="88"/>
      <c r="X243" s="5"/>
    </row>
    <row r="244" spans="1:25" ht="15.6" x14ac:dyDescent="0.3">
      <c r="A244" s="24"/>
      <c r="B244" s="25" t="s">
        <v>117</v>
      </c>
      <c r="C244" s="25"/>
      <c r="D244" s="25"/>
      <c r="E244" s="25"/>
      <c r="F244" s="25"/>
      <c r="G244" s="25"/>
      <c r="H244" s="95"/>
      <c r="I244" s="95"/>
      <c r="J244" s="95"/>
      <c r="K244" s="95"/>
      <c r="L244" s="95"/>
      <c r="M244" s="95"/>
      <c r="N244" s="95"/>
      <c r="O244" s="95"/>
      <c r="P244" s="95"/>
      <c r="Q244" s="95"/>
      <c r="R244" s="34">
        <f>SUM(R235:R243)</f>
        <v>11381</v>
      </c>
      <c r="S244" s="132">
        <f>SUM(S235:S243)</f>
        <v>1</v>
      </c>
      <c r="T244" s="53">
        <f>SUM(T235:T243)</f>
        <v>1420468</v>
      </c>
      <c r="U244" s="132">
        <f>SUM(U235:U243)</f>
        <v>1</v>
      </c>
      <c r="V244" s="25"/>
      <c r="W244" s="25"/>
      <c r="X244" s="5"/>
    </row>
    <row r="245" spans="1:25" ht="15.6" x14ac:dyDescent="0.3">
      <c r="A245" s="24"/>
      <c r="B245" s="25"/>
      <c r="C245" s="25"/>
      <c r="D245" s="25"/>
      <c r="E245" s="25"/>
      <c r="F245" s="25"/>
      <c r="G245" s="25"/>
      <c r="H245" s="95"/>
      <c r="I245" s="95"/>
      <c r="J245" s="95"/>
      <c r="K245" s="95"/>
      <c r="L245" s="95"/>
      <c r="M245" s="95"/>
      <c r="N245" s="95"/>
      <c r="O245" s="95"/>
      <c r="P245" s="95"/>
      <c r="Q245" s="95"/>
      <c r="R245" s="34"/>
      <c r="S245" s="132"/>
      <c r="T245" s="53"/>
      <c r="U245" s="132"/>
      <c r="V245" s="25"/>
      <c r="W245" s="25"/>
      <c r="X245" s="5"/>
    </row>
    <row r="246" spans="1:25" ht="15.6" x14ac:dyDescent="0.3">
      <c r="A246" s="141"/>
      <c r="B246" s="14" t="s">
        <v>279</v>
      </c>
      <c r="C246" s="81"/>
      <c r="D246" s="81"/>
      <c r="E246" s="81"/>
      <c r="F246" s="82"/>
      <c r="G246" s="81"/>
      <c r="H246" s="17"/>
      <c r="I246" s="17"/>
      <c r="J246" s="17"/>
      <c r="K246" s="17"/>
      <c r="L246" s="17"/>
      <c r="M246" s="17"/>
      <c r="N246" s="17"/>
      <c r="O246" s="17"/>
      <c r="P246" s="17"/>
      <c r="Q246" s="17"/>
      <c r="R246" s="83" t="s">
        <v>103</v>
      </c>
      <c r="S246" s="17" t="s">
        <v>104</v>
      </c>
      <c r="T246" s="83" t="s">
        <v>111</v>
      </c>
      <c r="U246" s="17" t="s">
        <v>104</v>
      </c>
      <c r="V246" s="139"/>
      <c r="W246" s="140"/>
      <c r="X246" s="5"/>
    </row>
    <row r="247" spans="1:25" ht="15.6" x14ac:dyDescent="0.3">
      <c r="A247" s="24"/>
      <c r="B247" s="54" t="s">
        <v>89</v>
      </c>
      <c r="C247" s="93"/>
      <c r="D247" s="93"/>
      <c r="E247" s="93"/>
      <c r="F247" s="25"/>
      <c r="G247" s="93"/>
      <c r="H247" s="93"/>
      <c r="I247" s="93"/>
      <c r="J247" s="93"/>
      <c r="K247" s="93"/>
      <c r="L247" s="93"/>
      <c r="M247" s="93"/>
      <c r="N247" s="93"/>
      <c r="O247" s="93"/>
      <c r="P247" s="93"/>
      <c r="Q247" s="93"/>
      <c r="R247" s="54">
        <v>8</v>
      </c>
      <c r="S247" s="94">
        <f t="shared" ref="S247:S254" si="3">R247/$R$256</f>
        <v>0.42105263157894735</v>
      </c>
      <c r="T247" s="53">
        <v>1072</v>
      </c>
      <c r="U247" s="132">
        <f t="shared" ref="U247:U254" si="4">T247/$T$256</f>
        <v>0.46206896551724136</v>
      </c>
      <c r="V247" s="25"/>
      <c r="W247" s="25"/>
      <c r="X247" s="5"/>
    </row>
    <row r="248" spans="1:25" ht="15.6" x14ac:dyDescent="0.3">
      <c r="A248" s="24"/>
      <c r="B248" s="54" t="s">
        <v>90</v>
      </c>
      <c r="C248" s="93"/>
      <c r="D248" s="93"/>
      <c r="E248" s="93"/>
      <c r="F248" s="25"/>
      <c r="G248" s="94"/>
      <c r="H248" s="93"/>
      <c r="I248" s="93"/>
      <c r="J248" s="93"/>
      <c r="K248" s="93"/>
      <c r="L248" s="93"/>
      <c r="M248" s="93"/>
      <c r="N248" s="93"/>
      <c r="O248" s="93"/>
      <c r="P248" s="93"/>
      <c r="Q248" s="93"/>
      <c r="R248" s="54">
        <v>8</v>
      </c>
      <c r="S248" s="94">
        <f t="shared" si="3"/>
        <v>0.42105263157894735</v>
      </c>
      <c r="T248" s="53">
        <v>856</v>
      </c>
      <c r="U248" s="132">
        <f t="shared" si="4"/>
        <v>0.36896551724137933</v>
      </c>
      <c r="V248" s="25"/>
      <c r="W248" s="25"/>
      <c r="X248" s="5"/>
    </row>
    <row r="249" spans="1:25" ht="15.6" x14ac:dyDescent="0.3">
      <c r="A249" s="24"/>
      <c r="B249" s="54" t="s">
        <v>91</v>
      </c>
      <c r="C249" s="93"/>
      <c r="D249" s="93"/>
      <c r="E249" s="93"/>
      <c r="F249" s="25"/>
      <c r="G249" s="94"/>
      <c r="H249" s="93"/>
      <c r="I249" s="93"/>
      <c r="J249" s="93"/>
      <c r="K249" s="93"/>
      <c r="L249" s="93"/>
      <c r="M249" s="93"/>
      <c r="N249" s="93"/>
      <c r="O249" s="93"/>
      <c r="P249" s="93"/>
      <c r="Q249" s="93"/>
      <c r="R249" s="54">
        <v>2</v>
      </c>
      <c r="S249" s="94">
        <f t="shared" si="3"/>
        <v>0.10526315789473684</v>
      </c>
      <c r="T249" s="53">
        <v>276</v>
      </c>
      <c r="U249" s="132">
        <f t="shared" si="4"/>
        <v>0.11896551724137931</v>
      </c>
      <c r="V249" s="25"/>
      <c r="W249" s="25"/>
      <c r="X249" s="5"/>
    </row>
    <row r="250" spans="1:25" ht="15.6" x14ac:dyDescent="0.3">
      <c r="A250" s="24"/>
      <c r="B250" s="54" t="s">
        <v>159</v>
      </c>
      <c r="C250" s="93"/>
      <c r="D250" s="93"/>
      <c r="E250" s="93"/>
      <c r="F250" s="25"/>
      <c r="G250" s="94"/>
      <c r="H250" s="93"/>
      <c r="I250" s="93"/>
      <c r="J250" s="93"/>
      <c r="K250" s="93"/>
      <c r="L250" s="93"/>
      <c r="M250" s="93"/>
      <c r="N250" s="93"/>
      <c r="O250" s="93"/>
      <c r="P250" s="93"/>
      <c r="Q250" s="93"/>
      <c r="R250" s="54">
        <v>0</v>
      </c>
      <c r="S250" s="94">
        <f t="shared" si="3"/>
        <v>0</v>
      </c>
      <c r="T250" s="53">
        <v>0</v>
      </c>
      <c r="U250" s="132">
        <f t="shared" si="4"/>
        <v>0</v>
      </c>
      <c r="V250" s="25"/>
      <c r="W250" s="25"/>
      <c r="X250" s="5"/>
    </row>
    <row r="251" spans="1:25" ht="15.6" x14ac:dyDescent="0.3">
      <c r="A251" s="24"/>
      <c r="B251" s="54" t="s">
        <v>160</v>
      </c>
      <c r="C251" s="93"/>
      <c r="D251" s="93"/>
      <c r="E251" s="93"/>
      <c r="F251" s="25"/>
      <c r="G251" s="94"/>
      <c r="H251" s="93"/>
      <c r="I251" s="93"/>
      <c r="J251" s="93"/>
      <c r="K251" s="93"/>
      <c r="L251" s="93"/>
      <c r="M251" s="93"/>
      <c r="N251" s="93"/>
      <c r="O251" s="93"/>
      <c r="P251" s="93"/>
      <c r="Q251" s="93"/>
      <c r="R251" s="54">
        <v>0</v>
      </c>
      <c r="S251" s="94">
        <f t="shared" si="3"/>
        <v>0</v>
      </c>
      <c r="T251" s="53">
        <v>0</v>
      </c>
      <c r="U251" s="132">
        <f t="shared" si="4"/>
        <v>0</v>
      </c>
      <c r="V251" s="25"/>
      <c r="W251" s="25"/>
      <c r="X251" s="5"/>
    </row>
    <row r="252" spans="1:25" ht="15.6" x14ac:dyDescent="0.3">
      <c r="A252" s="24"/>
      <c r="B252" s="54" t="s">
        <v>161</v>
      </c>
      <c r="C252" s="93"/>
      <c r="D252" s="93"/>
      <c r="E252" s="93"/>
      <c r="F252" s="25"/>
      <c r="G252" s="94"/>
      <c r="H252" s="93"/>
      <c r="I252" s="93"/>
      <c r="J252" s="93"/>
      <c r="K252" s="93"/>
      <c r="L252" s="93"/>
      <c r="M252" s="93"/>
      <c r="N252" s="93"/>
      <c r="O252" s="93"/>
      <c r="P252" s="93"/>
      <c r="Q252" s="93"/>
      <c r="R252" s="54">
        <v>0</v>
      </c>
      <c r="S252" s="94">
        <f t="shared" si="3"/>
        <v>0</v>
      </c>
      <c r="T252" s="53">
        <v>0</v>
      </c>
      <c r="U252" s="132">
        <f t="shared" si="4"/>
        <v>0</v>
      </c>
      <c r="V252" s="25"/>
      <c r="W252" s="25"/>
      <c r="X252" s="5"/>
    </row>
    <row r="253" spans="1:25" ht="15.6" x14ac:dyDescent="0.3">
      <c r="A253" s="24"/>
      <c r="B253" s="54" t="s">
        <v>162</v>
      </c>
      <c r="C253" s="93"/>
      <c r="D253" s="93"/>
      <c r="E253" s="93"/>
      <c r="F253" s="25"/>
      <c r="G253" s="94"/>
      <c r="H253" s="93"/>
      <c r="I253" s="93"/>
      <c r="J253" s="93"/>
      <c r="K253" s="93"/>
      <c r="L253" s="93"/>
      <c r="M253" s="93"/>
      <c r="N253" s="93"/>
      <c r="O253" s="93"/>
      <c r="P253" s="93"/>
      <c r="Q253" s="93"/>
      <c r="R253" s="54">
        <v>1</v>
      </c>
      <c r="S253" s="94">
        <f t="shared" si="3"/>
        <v>5.2631578947368418E-2</v>
      </c>
      <c r="T253" s="53">
        <v>116</v>
      </c>
      <c r="U253" s="132">
        <f t="shared" si="4"/>
        <v>0.05</v>
      </c>
      <c r="V253" s="25"/>
      <c r="W253" s="25"/>
      <c r="X253" s="5"/>
    </row>
    <row r="254" spans="1:25" ht="15.6" x14ac:dyDescent="0.3">
      <c r="A254" s="24"/>
      <c r="B254" s="54" t="s">
        <v>163</v>
      </c>
      <c r="C254" s="93"/>
      <c r="D254" s="93"/>
      <c r="E254" s="93"/>
      <c r="F254" s="25"/>
      <c r="G254" s="94"/>
      <c r="H254" s="93"/>
      <c r="I254" s="93"/>
      <c r="J254" s="93"/>
      <c r="K254" s="93"/>
      <c r="L254" s="93"/>
      <c r="M254" s="93"/>
      <c r="N254" s="93"/>
      <c r="O254" s="93"/>
      <c r="P254" s="93"/>
      <c r="Q254" s="93"/>
      <c r="R254" s="54">
        <v>0</v>
      </c>
      <c r="S254" s="94">
        <f t="shared" si="3"/>
        <v>0</v>
      </c>
      <c r="T254" s="53">
        <v>0</v>
      </c>
      <c r="U254" s="132">
        <f t="shared" si="4"/>
        <v>0</v>
      </c>
      <c r="V254" s="25"/>
      <c r="W254" s="25"/>
      <c r="X254" s="5"/>
    </row>
    <row r="255" spans="1:25" ht="15.6" x14ac:dyDescent="0.3">
      <c r="A255" s="24"/>
      <c r="B255" s="54"/>
      <c r="C255" s="93"/>
      <c r="D255" s="93"/>
      <c r="E255" s="93"/>
      <c r="F255" s="25"/>
      <c r="G255" s="94"/>
      <c r="H255" s="93"/>
      <c r="I255" s="93"/>
      <c r="J255" s="93"/>
      <c r="K255" s="93"/>
      <c r="L255" s="93"/>
      <c r="M255" s="93"/>
      <c r="N255" s="93"/>
      <c r="O255" s="93"/>
      <c r="P255" s="93"/>
      <c r="Q255" s="93"/>
      <c r="R255" s="54"/>
      <c r="S255" s="94"/>
      <c r="T255" s="53"/>
      <c r="U255" s="132"/>
      <c r="V255" s="25"/>
      <c r="W255" s="25"/>
      <c r="X255" s="5"/>
    </row>
    <row r="256" spans="1:25" ht="15.6" x14ac:dyDescent="0.3">
      <c r="A256" s="24"/>
      <c r="B256" s="25" t="s">
        <v>117</v>
      </c>
      <c r="C256" s="25"/>
      <c r="D256" s="25"/>
      <c r="E256" s="25"/>
      <c r="F256" s="25"/>
      <c r="G256" s="25"/>
      <c r="H256" s="95"/>
      <c r="I256" s="95"/>
      <c r="J256" s="95"/>
      <c r="K256" s="95"/>
      <c r="L256" s="95"/>
      <c r="M256" s="95"/>
      <c r="N256" s="95"/>
      <c r="O256" s="95"/>
      <c r="P256" s="95"/>
      <c r="Q256" s="95"/>
      <c r="R256" s="34">
        <f>SUM(R247:R255)</f>
        <v>19</v>
      </c>
      <c r="S256" s="132">
        <f>SUM(S247:S255)</f>
        <v>1</v>
      </c>
      <c r="T256" s="53">
        <f>SUM(T247:T255)</f>
        <v>2320</v>
      </c>
      <c r="U256" s="132">
        <f>SUM(U247:U255)</f>
        <v>1</v>
      </c>
      <c r="V256" s="25"/>
      <c r="W256" s="25"/>
      <c r="X256" s="5"/>
    </row>
    <row r="257" spans="1:24" ht="15.6" x14ac:dyDescent="0.3">
      <c r="A257" s="24"/>
      <c r="B257" s="25"/>
      <c r="C257" s="25"/>
      <c r="D257" s="25"/>
      <c r="E257" s="25"/>
      <c r="F257" s="25"/>
      <c r="G257" s="25"/>
      <c r="H257" s="95"/>
      <c r="I257" s="95"/>
      <c r="J257" s="95"/>
      <c r="K257" s="95"/>
      <c r="L257" s="95"/>
      <c r="M257" s="95"/>
      <c r="N257" s="95"/>
      <c r="O257" s="95"/>
      <c r="P257" s="95"/>
      <c r="Q257" s="95"/>
      <c r="R257" s="34"/>
      <c r="S257" s="132"/>
      <c r="T257" s="53"/>
      <c r="U257" s="132"/>
      <c r="V257" s="25"/>
      <c r="W257" s="25"/>
      <c r="X257" s="5"/>
    </row>
    <row r="258" spans="1:24" ht="15.6" x14ac:dyDescent="0.3">
      <c r="A258" s="141"/>
      <c r="B258" s="14" t="s">
        <v>166</v>
      </c>
      <c r="C258" s="139"/>
      <c r="D258" s="139"/>
      <c r="E258" s="139"/>
      <c r="F258" s="139"/>
      <c r="G258" s="139"/>
      <c r="H258" s="145"/>
      <c r="I258" s="145"/>
      <c r="J258" s="145"/>
      <c r="K258" s="145"/>
      <c r="L258" s="145"/>
      <c r="M258" s="145"/>
      <c r="N258" s="145"/>
      <c r="O258" s="145"/>
      <c r="P258" s="145"/>
      <c r="Q258" s="145"/>
      <c r="R258" s="83" t="s">
        <v>103</v>
      </c>
      <c r="S258" s="17" t="s">
        <v>104</v>
      </c>
      <c r="T258" s="83" t="s">
        <v>111</v>
      </c>
      <c r="U258" s="17" t="s">
        <v>104</v>
      </c>
      <c r="V258" s="139"/>
      <c r="W258" s="140"/>
      <c r="X258" s="5"/>
    </row>
    <row r="259" spans="1:24" ht="15.6" x14ac:dyDescent="0.3">
      <c r="A259" s="24"/>
      <c r="B259" s="54" t="s">
        <v>89</v>
      </c>
      <c r="C259" s="25"/>
      <c r="D259" s="25"/>
      <c r="E259" s="25"/>
      <c r="F259" s="25"/>
      <c r="G259" s="25"/>
      <c r="H259" s="95"/>
      <c r="I259" s="95"/>
      <c r="J259" s="95"/>
      <c r="K259" s="95"/>
      <c r="L259" s="95"/>
      <c r="M259" s="95"/>
      <c r="N259" s="95"/>
      <c r="O259" s="95"/>
      <c r="P259" s="95"/>
      <c r="Q259" s="95"/>
      <c r="R259" s="54">
        <v>0</v>
      </c>
      <c r="S259" s="94">
        <v>0</v>
      </c>
      <c r="T259" s="53">
        <v>0</v>
      </c>
      <c r="U259" s="132">
        <v>0</v>
      </c>
      <c r="V259" s="25"/>
      <c r="W259" s="25"/>
      <c r="X259" s="5"/>
    </row>
    <row r="260" spans="1:24" ht="15.6" x14ac:dyDescent="0.3">
      <c r="A260" s="24"/>
      <c r="B260" s="54" t="s">
        <v>90</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91</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159</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160</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161</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t="s">
        <v>162</v>
      </c>
      <c r="C265" s="25"/>
      <c r="D265" s="25"/>
      <c r="E265" s="25"/>
      <c r="F265" s="25"/>
      <c r="G265" s="25"/>
      <c r="H265" s="95"/>
      <c r="I265" s="95"/>
      <c r="J265" s="95"/>
      <c r="K265" s="95"/>
      <c r="L265" s="95"/>
      <c r="M265" s="95"/>
      <c r="N265" s="95"/>
      <c r="O265" s="95"/>
      <c r="P265" s="95"/>
      <c r="Q265" s="95"/>
      <c r="R265" s="54">
        <v>0</v>
      </c>
      <c r="S265" s="94">
        <v>0</v>
      </c>
      <c r="T265" s="53">
        <v>0</v>
      </c>
      <c r="U265" s="132">
        <v>0</v>
      </c>
      <c r="V265" s="25"/>
      <c r="W265" s="25"/>
      <c r="X265" s="5"/>
    </row>
    <row r="266" spans="1:24" ht="15.6" x14ac:dyDescent="0.3">
      <c r="A266" s="24"/>
      <c r="B266" s="54" t="s">
        <v>163</v>
      </c>
      <c r="C266" s="25"/>
      <c r="D266" s="25"/>
      <c r="E266" s="25"/>
      <c r="F266" s="25"/>
      <c r="G266" s="25"/>
      <c r="H266" s="95"/>
      <c r="I266" s="95"/>
      <c r="J266" s="95"/>
      <c r="K266" s="95"/>
      <c r="L266" s="95"/>
      <c r="M266" s="95"/>
      <c r="N266" s="95"/>
      <c r="O266" s="95"/>
      <c r="P266" s="95"/>
      <c r="Q266" s="95"/>
      <c r="R266" s="54">
        <v>0</v>
      </c>
      <c r="S266" s="94">
        <v>0</v>
      </c>
      <c r="T266" s="53">
        <v>0</v>
      </c>
      <c r="U266" s="132">
        <v>0</v>
      </c>
      <c r="V266" s="25"/>
      <c r="W266" s="25"/>
      <c r="X266" s="5"/>
    </row>
    <row r="267" spans="1:24" ht="15.6" x14ac:dyDescent="0.3">
      <c r="A267" s="24"/>
      <c r="B267" s="54"/>
      <c r="C267" s="25"/>
      <c r="D267" s="25"/>
      <c r="E267" s="25"/>
      <c r="F267" s="25"/>
      <c r="G267" s="25"/>
      <c r="H267" s="95"/>
      <c r="I267" s="95"/>
      <c r="J267" s="95"/>
      <c r="K267" s="95"/>
      <c r="L267" s="95"/>
      <c r="M267" s="95"/>
      <c r="N267" s="95"/>
      <c r="O267" s="95"/>
      <c r="P267" s="95"/>
      <c r="Q267" s="95"/>
      <c r="R267" s="54"/>
      <c r="S267" s="94"/>
      <c r="T267" s="53"/>
      <c r="U267" s="132"/>
      <c r="V267" s="25"/>
      <c r="W267" s="25"/>
      <c r="X267" s="5"/>
    </row>
    <row r="268" spans="1:24" ht="15.6" x14ac:dyDescent="0.3">
      <c r="A268" s="24"/>
      <c r="B268" s="25" t="s">
        <v>117</v>
      </c>
      <c r="C268" s="25"/>
      <c r="D268" s="25"/>
      <c r="E268" s="25"/>
      <c r="F268" s="25"/>
      <c r="G268" s="25"/>
      <c r="H268" s="95"/>
      <c r="I268" s="95"/>
      <c r="J268" s="95"/>
      <c r="K268" s="95"/>
      <c r="L268" s="95"/>
      <c r="M268" s="95"/>
      <c r="N268" s="95"/>
      <c r="O268" s="95"/>
      <c r="P268" s="95"/>
      <c r="Q268" s="95"/>
      <c r="R268" s="34">
        <f>SUM(R259:R266)</f>
        <v>0</v>
      </c>
      <c r="S268" s="94">
        <f>SUM(S259:S266)</f>
        <v>0</v>
      </c>
      <c r="T268" s="53">
        <f>SUM(T259:T266)</f>
        <v>0</v>
      </c>
      <c r="U268" s="132">
        <f>SUM(U259:U266)</f>
        <v>0</v>
      </c>
      <c r="V268" s="25"/>
      <c r="W268" s="25"/>
      <c r="X268" s="5"/>
    </row>
    <row r="269" spans="1:24" ht="15.6" x14ac:dyDescent="0.3">
      <c r="A269" s="24"/>
      <c r="B269" s="25"/>
      <c r="C269" s="25"/>
      <c r="D269" s="25"/>
      <c r="E269" s="25"/>
      <c r="F269" s="25"/>
      <c r="G269" s="25"/>
      <c r="H269" s="95"/>
      <c r="I269" s="95"/>
      <c r="J269" s="95"/>
      <c r="K269" s="95"/>
      <c r="L269" s="95"/>
      <c r="M269" s="95"/>
      <c r="N269" s="95"/>
      <c r="O269" s="95"/>
      <c r="P269" s="95"/>
      <c r="Q269" s="95"/>
      <c r="R269" s="34"/>
      <c r="S269" s="132"/>
      <c r="T269" s="53"/>
      <c r="U269" s="132"/>
      <c r="V269" s="25"/>
      <c r="W269" s="25"/>
      <c r="X269" s="5"/>
    </row>
    <row r="270" spans="1:24" ht="15.6" x14ac:dyDescent="0.3">
      <c r="A270" s="24"/>
      <c r="B270" s="142" t="s">
        <v>167</v>
      </c>
      <c r="C270" s="25"/>
      <c r="D270" s="25"/>
      <c r="E270" s="25"/>
      <c r="F270" s="25"/>
      <c r="G270" s="25"/>
      <c r="H270" s="95"/>
      <c r="I270" s="95"/>
      <c r="J270" s="95"/>
      <c r="K270" s="95"/>
      <c r="L270" s="95"/>
      <c r="M270" s="95"/>
      <c r="N270" s="95"/>
      <c r="O270" s="95"/>
      <c r="P270" s="95"/>
      <c r="Q270" s="95"/>
      <c r="R270" s="161">
        <f>R268+R256+R244</f>
        <v>11400</v>
      </c>
      <c r="S270" s="143"/>
      <c r="T270" s="144">
        <f>+T268+T256+T244</f>
        <v>1422788</v>
      </c>
      <c r="U270" s="143"/>
      <c r="V270" s="25"/>
      <c r="W270" s="25"/>
      <c r="X270" s="5"/>
    </row>
    <row r="271" spans="1:24" ht="15.6" x14ac:dyDescent="0.3">
      <c r="A271" s="24"/>
      <c r="B271" s="25"/>
      <c r="C271" s="25"/>
      <c r="D271" s="25"/>
      <c r="E271" s="25"/>
      <c r="F271" s="25"/>
      <c r="G271" s="25"/>
      <c r="H271" s="95"/>
      <c r="I271" s="95"/>
      <c r="J271" s="95"/>
      <c r="K271" s="95"/>
      <c r="L271" s="95"/>
      <c r="M271" s="95"/>
      <c r="N271" s="95"/>
      <c r="O271" s="95"/>
      <c r="P271" s="95"/>
      <c r="Q271" s="95"/>
      <c r="R271" s="95"/>
      <c r="S271" s="95"/>
      <c r="T271" s="53"/>
      <c r="U271" s="95"/>
      <c r="V271" s="25"/>
      <c r="W271" s="25"/>
      <c r="X271" s="5"/>
    </row>
    <row r="272" spans="1:24" ht="15.6" x14ac:dyDescent="0.3">
      <c r="A272" s="6"/>
      <c r="B272" s="8"/>
      <c r="C272" s="8"/>
      <c r="D272" s="8"/>
      <c r="E272" s="8"/>
      <c r="F272" s="8"/>
      <c r="G272" s="8"/>
      <c r="H272" s="96"/>
      <c r="I272" s="96"/>
      <c r="J272" s="96"/>
      <c r="K272" s="96"/>
      <c r="L272" s="96"/>
      <c r="M272" s="96"/>
      <c r="N272" s="96"/>
      <c r="O272" s="96"/>
      <c r="P272" s="96"/>
      <c r="Q272" s="96"/>
      <c r="R272" s="96"/>
      <c r="S272" s="96"/>
      <c r="T272" s="97"/>
      <c r="U272" s="96"/>
      <c r="V272" s="8"/>
      <c r="W272" s="8"/>
      <c r="X272" s="5"/>
    </row>
    <row r="273" spans="1:24" ht="15.6" x14ac:dyDescent="0.3">
      <c r="A273" s="167"/>
      <c r="B273" s="14" t="s">
        <v>92</v>
      </c>
      <c r="C273" s="15"/>
      <c r="D273" s="15"/>
      <c r="E273" s="15"/>
      <c r="F273" s="17" t="s">
        <v>98</v>
      </c>
      <c r="G273" s="15"/>
      <c r="H273" s="14" t="s">
        <v>100</v>
      </c>
      <c r="I273" s="14"/>
      <c r="J273" s="14"/>
      <c r="K273" s="162"/>
      <c r="L273" s="162"/>
      <c r="M273" s="162"/>
      <c r="N273" s="162"/>
      <c r="O273" s="162"/>
      <c r="P273" s="162"/>
      <c r="Q273" s="162"/>
      <c r="R273" s="162"/>
      <c r="S273" s="162"/>
      <c r="T273" s="162"/>
      <c r="U273" s="162"/>
      <c r="V273" s="162"/>
      <c r="W273" s="162"/>
      <c r="X273" s="5"/>
    </row>
    <row r="274" spans="1:24" ht="15.6" x14ac:dyDescent="0.3">
      <c r="A274" s="167"/>
      <c r="B274" s="13" t="s">
        <v>93</v>
      </c>
      <c r="C274" s="8"/>
      <c r="D274" s="8"/>
      <c r="E274" s="8"/>
      <c r="F274" s="130" t="s">
        <v>151</v>
      </c>
      <c r="G274" s="8"/>
      <c r="H274" s="13" t="s">
        <v>155</v>
      </c>
      <c r="I274" s="13"/>
      <c r="J274" s="13"/>
      <c r="K274" s="162"/>
      <c r="L274" s="162"/>
      <c r="M274" s="162"/>
      <c r="N274" s="162"/>
      <c r="O274" s="162"/>
      <c r="P274" s="162"/>
      <c r="Q274" s="162"/>
      <c r="R274" s="162"/>
      <c r="S274" s="162"/>
      <c r="T274" s="162"/>
      <c r="U274" s="162"/>
      <c r="V274" s="162"/>
      <c r="W274" s="162"/>
      <c r="X274" s="5"/>
    </row>
    <row r="275" spans="1:24" ht="15.6" x14ac:dyDescent="0.3">
      <c r="A275" s="167"/>
      <c r="B275" s="13" t="s">
        <v>281</v>
      </c>
      <c r="C275" s="13"/>
      <c r="D275" s="13"/>
      <c r="E275" s="13"/>
      <c r="F275" s="130" t="s">
        <v>282</v>
      </c>
      <c r="G275" s="13"/>
      <c r="H275" s="13" t="s">
        <v>283</v>
      </c>
      <c r="I275" s="162"/>
      <c r="J275" s="13"/>
      <c r="K275" s="162"/>
      <c r="L275" s="162"/>
      <c r="M275" s="162"/>
      <c r="N275" s="162"/>
      <c r="O275" s="162"/>
      <c r="P275" s="162"/>
      <c r="Q275" s="162"/>
      <c r="R275" s="162"/>
      <c r="S275" s="162"/>
      <c r="T275" s="162"/>
      <c r="U275" s="162"/>
      <c r="V275" s="162"/>
      <c r="W275" s="162"/>
      <c r="X275" s="5"/>
    </row>
    <row r="276" spans="1:24" ht="15.6" x14ac:dyDescent="0.3">
      <c r="A276" s="167"/>
      <c r="B276" s="13" t="s">
        <v>94</v>
      </c>
      <c r="C276" s="13"/>
      <c r="D276" s="13"/>
      <c r="E276" s="13"/>
      <c r="F276" s="130" t="s">
        <v>150</v>
      </c>
      <c r="G276" s="13"/>
      <c r="H276" s="13" t="s">
        <v>156</v>
      </c>
      <c r="I276" s="13"/>
      <c r="J276" s="13"/>
      <c r="K276" s="162"/>
      <c r="L276" s="162"/>
      <c r="M276" s="162"/>
      <c r="N276" s="162"/>
      <c r="O276" s="162"/>
      <c r="P276" s="162"/>
      <c r="Q276" s="162"/>
      <c r="R276" s="162"/>
      <c r="S276" s="162"/>
      <c r="T276" s="162"/>
      <c r="U276" s="162"/>
      <c r="V276" s="162"/>
      <c r="W276" s="162"/>
      <c r="X276" s="5"/>
    </row>
    <row r="277" spans="1:24" ht="15.6" x14ac:dyDescent="0.3">
      <c r="A277" s="167"/>
      <c r="B277" s="13"/>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ht="15.6" x14ac:dyDescent="0.3">
      <c r="A278" s="167"/>
      <c r="B278" s="13"/>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ht="18" thickBot="1" x14ac:dyDescent="0.35">
      <c r="A279" s="167"/>
      <c r="B279" s="49" t="str">
        <f>B196</f>
        <v>PM13 INVESTOR REPORT QUARTER ENDING JUNE 2007</v>
      </c>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x14ac:dyDescent="0.25">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row>
  </sheetData>
  <phoneticPr fontId="0" type="noConversion"/>
  <hyperlinks>
    <hyperlink ref="P232" r:id="rId1" xr:uid="{00000000-0004-0000-0200-000000000000}"/>
    <hyperlink ref="I9" r:id="rId2" xr:uid="{00000000-0004-0000-0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7" max="14" man="1"/>
    <brk id="196" max="14" man="1"/>
  </rowBreak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2D2926"/>
  </sheetPr>
  <dimension ref="A1:Z294"/>
  <sheetViews>
    <sheetView showGridLines="0" showOutlineSymbols="0" topLeftCell="A16"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0.64290000000000003</v>
      </c>
      <c r="T16" s="224" t="s">
        <v>143</v>
      </c>
      <c r="U16" s="223">
        <v>0.35709999999999997</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41751</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395"/>
      <c r="B22" s="396"/>
      <c r="C22" s="397"/>
      <c r="D22" s="397" t="s">
        <v>180</v>
      </c>
      <c r="E22" s="397"/>
      <c r="F22" s="397" t="s">
        <v>181</v>
      </c>
      <c r="G22" s="397"/>
      <c r="H22" s="397" t="s">
        <v>182</v>
      </c>
      <c r="I22" s="397"/>
      <c r="J22" s="397" t="s">
        <v>223</v>
      </c>
      <c r="K22" s="397"/>
      <c r="L22" s="397" t="s">
        <v>183</v>
      </c>
      <c r="M22" s="397"/>
      <c r="N22" s="397" t="s">
        <v>184</v>
      </c>
      <c r="O22" s="397"/>
      <c r="P22" s="397" t="s">
        <v>224</v>
      </c>
      <c r="Q22" s="397"/>
      <c r="R22" s="397" t="s">
        <v>185</v>
      </c>
      <c r="S22" s="398"/>
      <c r="T22" s="398"/>
      <c r="U22" s="399"/>
      <c r="V22" s="399"/>
      <c r="W22" s="396"/>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323</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321</v>
      </c>
      <c r="E27" s="389"/>
      <c r="F27" s="389" t="s">
        <v>168</v>
      </c>
      <c r="G27" s="389"/>
      <c r="H27" s="389" t="s">
        <v>168</v>
      </c>
      <c r="I27" s="389"/>
      <c r="J27" s="389" t="s">
        <v>168</v>
      </c>
      <c r="K27" s="389"/>
      <c r="L27" s="389" t="s">
        <v>324</v>
      </c>
      <c r="M27" s="389"/>
      <c r="N27" s="389" t="s">
        <v>324</v>
      </c>
      <c r="O27" s="389"/>
      <c r="P27" s="389" t="s">
        <v>325</v>
      </c>
      <c r="Q27" s="389"/>
      <c r="R27" s="389" t="s">
        <v>325</v>
      </c>
      <c r="S27" s="273"/>
      <c r="T27" s="280"/>
      <c r="U27" s="274"/>
      <c r="V27" s="274"/>
      <c r="W27" s="275"/>
      <c r="X27" s="5"/>
    </row>
    <row r="28" spans="1:24" ht="15.6" x14ac:dyDescent="0.3">
      <c r="A28" s="271"/>
      <c r="B28" s="279" t="s">
        <v>195</v>
      </c>
      <c r="C28" s="273"/>
      <c r="D28" s="389" t="s">
        <v>319</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889499.1</v>
      </c>
      <c r="E32" s="282"/>
      <c r="F32" s="283">
        <f>F31*F38</f>
        <v>74125.125</v>
      </c>
      <c r="G32" s="283"/>
      <c r="H32" s="288">
        <f>H31*H38</f>
        <v>186795.315</v>
      </c>
      <c r="I32" s="288"/>
      <c r="J32" s="287">
        <f>J31*J38</f>
        <v>207549.78999999998</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881383.20000000007</v>
      </c>
      <c r="E33" s="286"/>
      <c r="F33" s="289">
        <f>F37*F31</f>
        <v>73448.799999999988</v>
      </c>
      <c r="G33" s="289"/>
      <c r="H33" s="292">
        <f>H31*H37</f>
        <v>185090.976</v>
      </c>
      <c r="I33" s="292"/>
      <c r="J33" s="291">
        <f>J37*J31</f>
        <v>205656.08000000002</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473137.61727679998</v>
      </c>
      <c r="E35" s="282"/>
      <c r="F35" s="283">
        <f>F34*F38</f>
        <v>74125.125</v>
      </c>
      <c r="G35" s="283"/>
      <c r="H35" s="283">
        <f>H34*H38</f>
        <v>125365.74840900001</v>
      </c>
      <c r="I35" s="283"/>
      <c r="J35" s="283">
        <f>J34*J38</f>
        <v>110398.69829799999</v>
      </c>
      <c r="K35" s="283"/>
      <c r="L35" s="283">
        <f>L34*L38</f>
        <v>56000</v>
      </c>
      <c r="M35" s="283"/>
      <c r="N35" s="283">
        <f>N34*N38</f>
        <v>56376</v>
      </c>
      <c r="O35" s="283"/>
      <c r="P35" s="283">
        <f>P34*P38</f>
        <v>13000</v>
      </c>
      <c r="Q35" s="283"/>
      <c r="R35" s="283">
        <f>R34*R38</f>
        <v>54363</v>
      </c>
      <c r="S35" s="283"/>
      <c r="T35" s="283"/>
      <c r="U35" s="284"/>
      <c r="V35" s="283">
        <f>SUM(C35:R35)+1</f>
        <v>962767.18898380001</v>
      </c>
      <c r="W35" s="285"/>
      <c r="X35" s="5"/>
    </row>
    <row r="36" spans="1:24" ht="15.6" x14ac:dyDescent="0.3">
      <c r="A36" s="276"/>
      <c r="B36" s="279" t="s">
        <v>304</v>
      </c>
      <c r="C36" s="286"/>
      <c r="D36" s="289">
        <f>D34*D37</f>
        <v>468820.65103360004</v>
      </c>
      <c r="E36" s="286"/>
      <c r="F36" s="289">
        <f>F34*F37</f>
        <v>73448.799999999988</v>
      </c>
      <c r="G36" s="289"/>
      <c r="H36" s="289">
        <f>H34*H37</f>
        <v>124221.89887359999</v>
      </c>
      <c r="I36" s="289"/>
      <c r="J36" s="289">
        <f>J34*J37</f>
        <v>109391.406896</v>
      </c>
      <c r="K36" s="289"/>
      <c r="L36" s="289">
        <v>56000</v>
      </c>
      <c r="M36" s="289"/>
      <c r="N36" s="289">
        <v>56376</v>
      </c>
      <c r="O36" s="289"/>
      <c r="P36" s="289">
        <v>13000</v>
      </c>
      <c r="Q36" s="289"/>
      <c r="R36" s="289">
        <v>54363</v>
      </c>
      <c r="S36" s="314"/>
      <c r="T36" s="314"/>
      <c r="U36" s="284"/>
      <c r="V36" s="289">
        <f>SUM(C36:R36)</f>
        <v>955621.7568032</v>
      </c>
      <c r="W36" s="285"/>
      <c r="X36" s="5"/>
    </row>
    <row r="37" spans="1:24" ht="15.6" x14ac:dyDescent="0.3">
      <c r="A37" s="271"/>
      <c r="B37" s="297" t="s">
        <v>133</v>
      </c>
      <c r="C37" s="298"/>
      <c r="D37" s="299">
        <v>0.58758880000000002</v>
      </c>
      <c r="E37" s="300"/>
      <c r="F37" s="299">
        <v>0.58759039999999996</v>
      </c>
      <c r="G37" s="301"/>
      <c r="H37" s="299">
        <v>0.58759039999999996</v>
      </c>
      <c r="I37" s="301"/>
      <c r="J37" s="299">
        <v>0.58758880000000002</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0.59299939999999995</v>
      </c>
      <c r="E38" s="300"/>
      <c r="F38" s="299">
        <v>0.593001</v>
      </c>
      <c r="G38" s="301"/>
      <c r="H38" s="299">
        <v>0.593001</v>
      </c>
      <c r="I38" s="301"/>
      <c r="J38" s="299">
        <v>0.59299939999999995</v>
      </c>
      <c r="K38" s="301"/>
      <c r="L38" s="299">
        <v>1</v>
      </c>
      <c r="M38" s="299"/>
      <c r="N38" s="299">
        <v>1</v>
      </c>
      <c r="O38" s="299"/>
      <c r="P38" s="299">
        <v>1</v>
      </c>
      <c r="Q38" s="299"/>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3.9500000000000004E-3</v>
      </c>
      <c r="E40" s="272"/>
      <c r="F40" s="308">
        <v>7.5938000000000004E-3</v>
      </c>
      <c r="G40" s="307"/>
      <c r="H40" s="308">
        <v>5.2199999999999998E-3</v>
      </c>
      <c r="I40" s="308"/>
      <c r="J40" s="308">
        <v>4.189E-3</v>
      </c>
      <c r="K40" s="307"/>
      <c r="L40" s="308">
        <v>9.1938000000000002E-3</v>
      </c>
      <c r="M40" s="307"/>
      <c r="N40" s="308">
        <v>6.62E-3</v>
      </c>
      <c r="O40" s="307"/>
      <c r="P40" s="308">
        <v>1.31938E-2</v>
      </c>
      <c r="Q40" s="307"/>
      <c r="R40" s="308">
        <v>1.0619999999999999E-2</v>
      </c>
      <c r="S40" s="307"/>
      <c r="T40" s="308"/>
      <c r="U40" s="274"/>
      <c r="V40" s="280"/>
      <c r="W40" s="275"/>
      <c r="X40" s="5"/>
    </row>
    <row r="41" spans="1:24" ht="15.6" x14ac:dyDescent="0.3">
      <c r="A41" s="271"/>
      <c r="B41" s="272" t="s">
        <v>13</v>
      </c>
      <c r="C41" s="272"/>
      <c r="D41" s="308">
        <v>4.0660000000000002E-3</v>
      </c>
      <c r="E41" s="272"/>
      <c r="F41" s="308">
        <v>7.5950000000000002E-3</v>
      </c>
      <c r="G41" s="307"/>
      <c r="H41" s="308">
        <v>4.6699999999999997E-3</v>
      </c>
      <c r="I41" s="308"/>
      <c r="J41" s="308">
        <v>4.2360000000000002E-3</v>
      </c>
      <c r="K41" s="307"/>
      <c r="L41" s="308">
        <v>9.195E-3</v>
      </c>
      <c r="M41" s="307"/>
      <c r="N41" s="308">
        <v>6.0699999999999999E-3</v>
      </c>
      <c r="O41" s="307"/>
      <c r="P41" s="308">
        <v>1.3195E-2</v>
      </c>
      <c r="Q41" s="307"/>
      <c r="R41" s="308">
        <v>1.0070000000000001E-2</v>
      </c>
      <c r="S41" s="307"/>
      <c r="T41" s="308"/>
      <c r="U41" s="274"/>
      <c r="V41" s="307" t="s">
        <v>196</v>
      </c>
      <c r="W41" s="275"/>
      <c r="X41" s="5"/>
    </row>
    <row r="42" spans="1:24" ht="15.6" x14ac:dyDescent="0.3">
      <c r="A42" s="271"/>
      <c r="B42" s="272" t="s">
        <v>300</v>
      </c>
      <c r="C42" s="272"/>
      <c r="D42" s="280" t="s">
        <v>327</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v>7.9558000000000007E-3</v>
      </c>
      <c r="E43" s="308"/>
      <c r="F43" s="308">
        <f>+F40</f>
        <v>7.5938000000000004E-3</v>
      </c>
      <c r="G43" s="308"/>
      <c r="H43" s="308">
        <v>7.8378000000000007E-3</v>
      </c>
      <c r="I43" s="308"/>
      <c r="J43" s="308">
        <v>7.6737999999999997E-3</v>
      </c>
      <c r="K43" s="308"/>
      <c r="L43" s="308">
        <f>+L40</f>
        <v>9.1938000000000002E-3</v>
      </c>
      <c r="M43" s="308"/>
      <c r="N43" s="308">
        <v>9.3737999999999998E-3</v>
      </c>
      <c r="O43" s="308"/>
      <c r="P43" s="308">
        <f>+P40</f>
        <v>1.31938E-2</v>
      </c>
      <c r="Q43" s="307"/>
      <c r="R43" s="308">
        <v>1.35938E-2</v>
      </c>
      <c r="S43" s="280"/>
      <c r="T43" s="280"/>
      <c r="U43" s="274"/>
      <c r="V43" s="307">
        <f>SUMPRODUCT(D43:R43,D35:R35)/V35</f>
        <v>8.4243399802561118E-3</v>
      </c>
      <c r="W43" s="275"/>
      <c r="X43" s="5"/>
    </row>
    <row r="44" spans="1:24" ht="15.6" x14ac:dyDescent="0.3">
      <c r="A44" s="271"/>
      <c r="B44" s="272" t="s">
        <v>302</v>
      </c>
      <c r="C44" s="309"/>
      <c r="D44" s="308">
        <v>7.9570000000000005E-3</v>
      </c>
      <c r="E44" s="308"/>
      <c r="F44" s="308">
        <f>+F41</f>
        <v>7.5950000000000002E-3</v>
      </c>
      <c r="G44" s="308"/>
      <c r="H44" s="308">
        <v>7.8390000000000005E-3</v>
      </c>
      <c r="I44" s="308"/>
      <c r="J44" s="308">
        <v>7.6750000000000004E-3</v>
      </c>
      <c r="K44" s="308"/>
      <c r="L44" s="308">
        <f>+L41</f>
        <v>9.195E-3</v>
      </c>
      <c r="M44" s="308"/>
      <c r="N44" s="308">
        <v>9.3749999999999997E-3</v>
      </c>
      <c r="O44" s="308"/>
      <c r="P44" s="308">
        <f>+P41</f>
        <v>1.3195E-2</v>
      </c>
      <c r="Q44" s="307"/>
      <c r="R44" s="308">
        <v>1.3594999999999999E-2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328</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0.231657423011387</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41744</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92</v>
      </c>
      <c r="S57" s="318"/>
      <c r="T57" s="319">
        <v>41562</v>
      </c>
      <c r="U57" s="320"/>
      <c r="V57" s="319">
        <v>41653</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90</v>
      </c>
      <c r="S58" s="272"/>
      <c r="T58" s="319">
        <v>41654</v>
      </c>
      <c r="U58" s="320"/>
      <c r="V58" s="319">
        <v>41743</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41730</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340</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962767</v>
      </c>
      <c r="O68" s="324"/>
      <c r="P68" s="324">
        <f>7145+74+303</f>
        <v>7522</v>
      </c>
      <c r="Q68" s="324"/>
      <c r="R68" s="324">
        <f>74+303</f>
        <v>377</v>
      </c>
      <c r="S68" s="324"/>
      <c r="T68" s="324">
        <v>0</v>
      </c>
      <c r="U68" s="324"/>
      <c r="V68" s="325">
        <f>+N68-P68+R68-T68</f>
        <v>955622</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962767</v>
      </c>
      <c r="O71" s="324"/>
      <c r="P71" s="324">
        <f>SUM(P68:P70)</f>
        <v>7522</v>
      </c>
      <c r="Q71" s="324"/>
      <c r="R71" s="324">
        <f>SUM(R68:R70)</f>
        <v>377</v>
      </c>
      <c r="S71" s="324"/>
      <c r="T71" s="324">
        <f>SUM(T68:T70)</f>
        <v>0</v>
      </c>
      <c r="U71" s="324"/>
      <c r="V71" s="324">
        <f>SUM(V68:V70)</f>
        <v>955622</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962767</v>
      </c>
      <c r="O84" s="328"/>
      <c r="P84" s="328"/>
      <c r="Q84" s="328"/>
      <c r="R84" s="328"/>
      <c r="S84" s="328"/>
      <c r="T84" s="328"/>
      <c r="U84" s="328"/>
      <c r="V84" s="328">
        <f>SUM(V71:V83)</f>
        <v>955622</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+T199</f>
        <v>41729</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7522-381</f>
        <v>7141</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4080+2818-659-866</f>
        <v>5373</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103+173</f>
        <v>276</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39</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400</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7141</v>
      </c>
      <c r="U96" s="272"/>
      <c r="V96" s="324">
        <f>SUM(V88:V95)</f>
        <v>6088</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0</v>
      </c>
      <c r="U97" s="272"/>
      <c r="V97" s="324">
        <v>0</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209</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7141</v>
      </c>
      <c r="U100" s="272"/>
      <c r="V100" s="324">
        <f>V96+V98+V97+V99</f>
        <v>6297</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331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343" t="s">
        <v>332</v>
      </c>
      <c r="C104" s="272"/>
      <c r="D104" s="272"/>
      <c r="E104" s="272"/>
      <c r="F104" s="272"/>
      <c r="G104" s="272"/>
      <c r="H104" s="272"/>
      <c r="I104" s="272"/>
      <c r="J104" s="272"/>
      <c r="K104" s="272"/>
      <c r="L104" s="272"/>
      <c r="M104" s="272"/>
      <c r="N104" s="272"/>
      <c r="O104" s="272"/>
      <c r="P104" s="272"/>
      <c r="Q104" s="272"/>
      <c r="R104" s="272"/>
      <c r="S104" s="272"/>
      <c r="T104" s="272"/>
      <c r="U104" s="272"/>
      <c r="V104" s="325">
        <f>-360-211-12</f>
        <v>-583</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0</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-1518+139</f>
        <v>-1379</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-139</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-2</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-130</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-127</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-182</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-42</v>
      </c>
      <c r="W112" s="275"/>
      <c r="X112" s="5"/>
      <c r="Y112" s="109"/>
    </row>
    <row r="113" spans="1:25" ht="15.6" x14ac:dyDescent="0.3">
      <c r="A113" s="392">
        <v>7</v>
      </c>
      <c r="B113" s="343" t="s">
        <v>333</v>
      </c>
      <c r="C113" s="343"/>
      <c r="D113" s="343"/>
      <c r="E113" s="343"/>
      <c r="F113" s="343"/>
      <c r="G113" s="272"/>
      <c r="H113" s="272"/>
      <c r="I113" s="272"/>
      <c r="J113" s="272"/>
      <c r="K113" s="272"/>
      <c r="L113" s="272"/>
      <c r="M113" s="272"/>
      <c r="N113" s="272"/>
      <c r="O113" s="272"/>
      <c r="P113" s="272"/>
      <c r="Q113" s="272"/>
      <c r="R113" s="272"/>
      <c r="S113" s="272"/>
      <c r="T113" s="272"/>
      <c r="U113" s="272"/>
      <c r="V113" s="325">
        <v>0</v>
      </c>
      <c r="W113" s="275"/>
      <c r="X113" s="5"/>
      <c r="Y113" s="109"/>
    </row>
    <row r="114" spans="1:25" ht="15.6" x14ac:dyDescent="0.3">
      <c r="A114" s="338">
        <f t="shared" ref="A114:A121" si="0">+A113+1</f>
        <v>8</v>
      </c>
      <c r="B114" s="272" t="s">
        <v>35</v>
      </c>
      <c r="C114" s="272"/>
      <c r="D114" s="272"/>
      <c r="E114" s="272"/>
      <c r="F114" s="272"/>
      <c r="G114" s="272"/>
      <c r="H114" s="272"/>
      <c r="I114" s="272"/>
      <c r="J114" s="272"/>
      <c r="K114" s="272"/>
      <c r="L114" s="272"/>
      <c r="M114" s="272"/>
      <c r="N114" s="272"/>
      <c r="O114" s="272"/>
      <c r="P114" s="272"/>
      <c r="Q114" s="272"/>
      <c r="R114" s="272"/>
      <c r="S114" s="272"/>
      <c r="T114" s="272"/>
      <c r="U114" s="272"/>
      <c r="V114" s="325">
        <v>-10</v>
      </c>
      <c r="W114" s="275"/>
      <c r="X114" s="5"/>
    </row>
    <row r="115" spans="1:25" ht="15.6" x14ac:dyDescent="0.3">
      <c r="A115" s="338">
        <f t="shared" si="0"/>
        <v>9</v>
      </c>
      <c r="B115" s="272" t="s">
        <v>45</v>
      </c>
      <c r="C115" s="272"/>
      <c r="D115" s="272"/>
      <c r="E115" s="272"/>
      <c r="F115" s="272"/>
      <c r="G115" s="272"/>
      <c r="H115" s="272"/>
      <c r="I115" s="272"/>
      <c r="J115" s="272"/>
      <c r="K115" s="272"/>
      <c r="L115" s="272"/>
      <c r="M115" s="272"/>
      <c r="N115" s="272"/>
      <c r="O115" s="272"/>
      <c r="P115" s="272"/>
      <c r="Q115" s="272"/>
      <c r="R115" s="272"/>
      <c r="S115" s="272"/>
      <c r="T115" s="324">
        <f>-V115</f>
        <v>381</v>
      </c>
      <c r="U115" s="272"/>
      <c r="V115" s="325">
        <v>-381</v>
      </c>
      <c r="W115" s="275"/>
      <c r="X115" s="5"/>
    </row>
    <row r="116" spans="1:25" ht="15.6" x14ac:dyDescent="0.3">
      <c r="A116" s="338">
        <f t="shared" si="0"/>
        <v>10</v>
      </c>
      <c r="B116" s="272" t="s">
        <v>128</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5" ht="15.6" x14ac:dyDescent="0.3">
      <c r="A117" s="338">
        <f t="shared" si="0"/>
        <v>11</v>
      </c>
      <c r="B117" s="272" t="s">
        <v>271</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5" ht="15.6" x14ac:dyDescent="0.3">
      <c r="A118" s="338">
        <f t="shared" si="0"/>
        <v>12</v>
      </c>
      <c r="B118" s="272" t="s">
        <v>36</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5" ht="15.6" x14ac:dyDescent="0.3">
      <c r="A119" s="338">
        <f t="shared" si="0"/>
        <v>13</v>
      </c>
      <c r="B119" s="272" t="s">
        <v>270</v>
      </c>
      <c r="C119" s="272"/>
      <c r="D119" s="272"/>
      <c r="E119" s="272"/>
      <c r="F119" s="272"/>
      <c r="G119" s="272"/>
      <c r="H119" s="272"/>
      <c r="I119" s="272"/>
      <c r="J119" s="272"/>
      <c r="K119" s="272"/>
      <c r="L119" s="272"/>
      <c r="M119" s="272"/>
      <c r="N119" s="272"/>
      <c r="O119" s="272"/>
      <c r="P119" s="272"/>
      <c r="Q119" s="272"/>
      <c r="R119" s="272"/>
      <c r="S119" s="272"/>
      <c r="T119" s="272"/>
      <c r="U119" s="272"/>
      <c r="V119" s="325">
        <v>0</v>
      </c>
      <c r="W119" s="275"/>
      <c r="X119" s="5"/>
    </row>
    <row r="120" spans="1:25" ht="15.6" x14ac:dyDescent="0.3">
      <c r="A120" s="338">
        <f t="shared" si="0"/>
        <v>14</v>
      </c>
      <c r="B120" s="272" t="s">
        <v>152</v>
      </c>
      <c r="C120" s="272"/>
      <c r="D120" s="272"/>
      <c r="E120" s="272"/>
      <c r="F120" s="272"/>
      <c r="G120" s="272"/>
      <c r="H120" s="272"/>
      <c r="I120" s="272"/>
      <c r="J120" s="272"/>
      <c r="K120" s="272"/>
      <c r="L120" s="272"/>
      <c r="M120" s="272"/>
      <c r="N120" s="272"/>
      <c r="O120" s="272"/>
      <c r="P120" s="272"/>
      <c r="Q120" s="272"/>
      <c r="R120" s="272"/>
      <c r="S120" s="272"/>
      <c r="T120" s="272"/>
      <c r="U120" s="272"/>
      <c r="V120" s="325">
        <v>-360</v>
      </c>
      <c r="W120" s="275"/>
      <c r="X120" s="5"/>
    </row>
    <row r="121" spans="1:25" ht="15.6" x14ac:dyDescent="0.3">
      <c r="A121" s="338">
        <f t="shared" si="0"/>
        <v>15</v>
      </c>
      <c r="B121" s="272" t="s">
        <v>129</v>
      </c>
      <c r="C121" s="272"/>
      <c r="D121" s="272"/>
      <c r="E121" s="272"/>
      <c r="F121" s="272"/>
      <c r="G121" s="272"/>
      <c r="H121" s="272"/>
      <c r="I121" s="272"/>
      <c r="J121" s="272"/>
      <c r="K121" s="272"/>
      <c r="L121" s="272"/>
      <c r="M121" s="272"/>
      <c r="N121" s="272"/>
      <c r="O121" s="272"/>
      <c r="P121" s="272"/>
      <c r="Q121" s="272"/>
      <c r="R121" s="272"/>
      <c r="S121" s="272"/>
      <c r="T121" s="272"/>
      <c r="U121" s="272"/>
      <c r="V121" s="325">
        <f>-V100-SUM(V102:V120)</f>
        <v>-2960</v>
      </c>
      <c r="W121" s="275"/>
      <c r="X121" s="5"/>
    </row>
    <row r="122" spans="1:25" ht="15.6" x14ac:dyDescent="0.3">
      <c r="A122" s="271"/>
      <c r="B122" s="335" t="s">
        <v>37</v>
      </c>
      <c r="C122" s="298"/>
      <c r="D122" s="298"/>
      <c r="E122" s="298"/>
      <c r="F122" s="298"/>
      <c r="G122" s="298"/>
      <c r="H122" s="298"/>
      <c r="I122" s="298"/>
      <c r="J122" s="298"/>
      <c r="K122" s="298"/>
      <c r="L122" s="298"/>
      <c r="M122" s="298"/>
      <c r="N122" s="298"/>
      <c r="O122" s="298"/>
      <c r="P122" s="298"/>
      <c r="Q122" s="298"/>
      <c r="R122" s="298"/>
      <c r="S122" s="298"/>
      <c r="T122" s="298"/>
      <c r="U122" s="298"/>
      <c r="V122" s="339"/>
      <c r="W122" s="304"/>
      <c r="X122" s="5"/>
    </row>
    <row r="123" spans="1:25" ht="15.6" x14ac:dyDescent="0.3">
      <c r="A123" s="338"/>
      <c r="B123" s="272" t="s">
        <v>176</v>
      </c>
      <c r="C123" s="272"/>
      <c r="D123" s="272"/>
      <c r="E123" s="272"/>
      <c r="F123" s="272"/>
      <c r="G123" s="272"/>
      <c r="H123" s="272"/>
      <c r="I123" s="272"/>
      <c r="J123" s="272"/>
      <c r="K123" s="272"/>
      <c r="L123" s="272"/>
      <c r="M123" s="272"/>
      <c r="N123" s="272"/>
      <c r="O123" s="272"/>
      <c r="P123" s="272"/>
      <c r="Q123" s="272"/>
      <c r="R123" s="272"/>
      <c r="S123" s="272"/>
      <c r="T123" s="324">
        <f>-T183</f>
        <v>0</v>
      </c>
      <c r="U123" s="324"/>
      <c r="V123" s="325"/>
      <c r="W123" s="275"/>
      <c r="X123" s="5"/>
    </row>
    <row r="124" spans="1:25" ht="15.6" x14ac:dyDescent="0.3">
      <c r="A124" s="338"/>
      <c r="B124" s="272" t="s">
        <v>177</v>
      </c>
      <c r="C124" s="272"/>
      <c r="D124" s="272"/>
      <c r="E124" s="272"/>
      <c r="F124" s="272"/>
      <c r="G124" s="272"/>
      <c r="H124" s="272"/>
      <c r="I124" s="272"/>
      <c r="J124" s="272"/>
      <c r="K124" s="272"/>
      <c r="L124" s="272"/>
      <c r="M124" s="272"/>
      <c r="N124" s="272"/>
      <c r="O124" s="272"/>
      <c r="P124" s="272"/>
      <c r="Q124" s="272"/>
      <c r="R124" s="272"/>
      <c r="S124" s="272"/>
      <c r="T124" s="324">
        <v>0</v>
      </c>
      <c r="U124" s="324"/>
      <c r="V124" s="325"/>
      <c r="W124" s="275"/>
      <c r="X124" s="5"/>
    </row>
    <row r="125" spans="1:25" ht="15.6" x14ac:dyDescent="0.3">
      <c r="A125" s="338"/>
      <c r="B125" s="272" t="s">
        <v>38</v>
      </c>
      <c r="C125" s="272"/>
      <c r="D125" s="272"/>
      <c r="E125" s="272"/>
      <c r="F125" s="272"/>
      <c r="G125" s="272"/>
      <c r="H125" s="272"/>
      <c r="I125" s="272"/>
      <c r="J125" s="272"/>
      <c r="K125" s="272"/>
      <c r="L125" s="272"/>
      <c r="M125" s="272"/>
      <c r="N125" s="272"/>
      <c r="O125" s="272"/>
      <c r="P125" s="272"/>
      <c r="Q125" s="272"/>
      <c r="R125" s="272"/>
      <c r="S125" s="272"/>
      <c r="T125" s="324">
        <f>-S183</f>
        <v>-377</v>
      </c>
      <c r="U125" s="324"/>
      <c r="V125" s="325"/>
      <c r="W125" s="275"/>
      <c r="X125" s="5"/>
    </row>
    <row r="126" spans="1:25" ht="15.6" x14ac:dyDescent="0.3">
      <c r="A126" s="338"/>
      <c r="B126" s="272" t="s">
        <v>200</v>
      </c>
      <c r="C126" s="272"/>
      <c r="D126" s="272"/>
      <c r="E126" s="272"/>
      <c r="F126" s="272"/>
      <c r="G126" s="272"/>
      <c r="H126" s="272"/>
      <c r="I126" s="272"/>
      <c r="J126" s="272"/>
      <c r="K126" s="272"/>
      <c r="L126" s="272"/>
      <c r="M126" s="272"/>
      <c r="N126" s="272"/>
      <c r="O126" s="272"/>
      <c r="P126" s="272"/>
      <c r="Q126" s="272"/>
      <c r="R126" s="272"/>
      <c r="S126" s="272"/>
      <c r="T126" s="324">
        <v>-4317</v>
      </c>
      <c r="U126" s="324"/>
      <c r="V126" s="325"/>
      <c r="W126" s="275"/>
      <c r="X126" s="5"/>
    </row>
    <row r="127" spans="1:25" ht="15.6" x14ac:dyDescent="0.3">
      <c r="A127" s="338"/>
      <c r="B127" s="272" t="s">
        <v>198</v>
      </c>
      <c r="C127" s="272"/>
      <c r="D127" s="272"/>
      <c r="E127" s="272"/>
      <c r="F127" s="272"/>
      <c r="G127" s="272"/>
      <c r="H127" s="272"/>
      <c r="I127" s="272"/>
      <c r="J127" s="272"/>
      <c r="K127" s="272"/>
      <c r="L127" s="272"/>
      <c r="M127" s="272"/>
      <c r="N127" s="272"/>
      <c r="O127" s="272"/>
      <c r="P127" s="272"/>
      <c r="Q127" s="272"/>
      <c r="R127" s="272"/>
      <c r="S127" s="272"/>
      <c r="T127" s="324">
        <v>-676</v>
      </c>
      <c r="U127" s="324"/>
      <c r="V127" s="325"/>
      <c r="W127" s="275"/>
      <c r="X127" s="5"/>
    </row>
    <row r="128" spans="1:25" ht="15.6" x14ac:dyDescent="0.3">
      <c r="A128" s="338"/>
      <c r="B128" s="272" t="s">
        <v>197</v>
      </c>
      <c r="C128" s="272"/>
      <c r="D128" s="272"/>
      <c r="E128" s="272"/>
      <c r="F128" s="272"/>
      <c r="G128" s="272"/>
      <c r="H128" s="272"/>
      <c r="I128" s="272"/>
      <c r="J128" s="272"/>
      <c r="K128" s="272"/>
      <c r="L128" s="272"/>
      <c r="M128" s="272"/>
      <c r="N128" s="272"/>
      <c r="O128" s="272"/>
      <c r="P128" s="272"/>
      <c r="Q128" s="272"/>
      <c r="R128" s="272"/>
      <c r="S128" s="272"/>
      <c r="T128" s="324">
        <v>-1144</v>
      </c>
      <c r="U128" s="324"/>
      <c r="V128" s="325"/>
      <c r="W128" s="275"/>
      <c r="X128" s="5"/>
    </row>
    <row r="129" spans="1:24" ht="15.6" x14ac:dyDescent="0.3">
      <c r="A129" s="338"/>
      <c r="B129" s="272" t="s">
        <v>232</v>
      </c>
      <c r="C129" s="272"/>
      <c r="D129" s="272"/>
      <c r="E129" s="272"/>
      <c r="F129" s="272"/>
      <c r="G129" s="272"/>
      <c r="H129" s="272"/>
      <c r="I129" s="272"/>
      <c r="J129" s="272"/>
      <c r="K129" s="272"/>
      <c r="L129" s="272"/>
      <c r="M129" s="272"/>
      <c r="N129" s="272"/>
      <c r="O129" s="272"/>
      <c r="P129" s="272"/>
      <c r="Q129" s="272"/>
      <c r="R129" s="272"/>
      <c r="S129" s="272"/>
      <c r="T129" s="324">
        <v>-1008</v>
      </c>
      <c r="U129" s="324"/>
      <c r="V129" s="325"/>
      <c r="W129" s="275"/>
      <c r="X129" s="5"/>
    </row>
    <row r="130" spans="1:24" ht="15.6" x14ac:dyDescent="0.3">
      <c r="A130" s="338"/>
      <c r="B130" s="272" t="s">
        <v>192</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191</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233</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190</v>
      </c>
      <c r="C133" s="272"/>
      <c r="D133" s="272"/>
      <c r="E133" s="272"/>
      <c r="F133" s="272"/>
      <c r="G133" s="272"/>
      <c r="H133" s="272"/>
      <c r="I133" s="272"/>
      <c r="J133" s="272"/>
      <c r="K133" s="272"/>
      <c r="L133" s="272"/>
      <c r="M133" s="272"/>
      <c r="N133" s="272"/>
      <c r="O133" s="272"/>
      <c r="P133" s="272"/>
      <c r="Q133" s="272"/>
      <c r="R133" s="272"/>
      <c r="S133" s="272"/>
      <c r="T133" s="324">
        <v>0</v>
      </c>
      <c r="U133" s="324"/>
      <c r="V133" s="325"/>
      <c r="W133" s="275"/>
      <c r="X133" s="5"/>
    </row>
    <row r="134" spans="1:24" ht="15.6" x14ac:dyDescent="0.3">
      <c r="A134" s="338"/>
      <c r="B134" s="272" t="s">
        <v>39</v>
      </c>
      <c r="C134" s="272"/>
      <c r="D134" s="272"/>
      <c r="E134" s="272"/>
      <c r="F134" s="272"/>
      <c r="G134" s="272"/>
      <c r="H134" s="272"/>
      <c r="I134" s="272"/>
      <c r="J134" s="272"/>
      <c r="K134" s="272"/>
      <c r="L134" s="272"/>
      <c r="M134" s="272"/>
      <c r="N134" s="272"/>
      <c r="O134" s="272"/>
      <c r="P134" s="272"/>
      <c r="Q134" s="272"/>
      <c r="R134" s="272"/>
      <c r="S134" s="272"/>
      <c r="T134" s="324">
        <f>SUM(T123:T133)</f>
        <v>-7522</v>
      </c>
      <c r="U134" s="324"/>
      <c r="V134" s="324">
        <f>SUM(V101:V131)</f>
        <v>-6297</v>
      </c>
      <c r="W134" s="275"/>
      <c r="X134" s="5"/>
    </row>
    <row r="135" spans="1:24" ht="15.6" x14ac:dyDescent="0.3">
      <c r="A135" s="338"/>
      <c r="B135" s="272" t="s">
        <v>40</v>
      </c>
      <c r="C135" s="272"/>
      <c r="D135" s="272"/>
      <c r="E135" s="272"/>
      <c r="F135" s="272"/>
      <c r="G135" s="272"/>
      <c r="H135" s="272"/>
      <c r="I135" s="272"/>
      <c r="J135" s="272"/>
      <c r="K135" s="272"/>
      <c r="L135" s="272"/>
      <c r="M135" s="272"/>
      <c r="N135" s="272"/>
      <c r="O135" s="272"/>
      <c r="P135" s="272"/>
      <c r="Q135" s="272"/>
      <c r="R135" s="272"/>
      <c r="S135" s="272"/>
      <c r="T135" s="324">
        <f>T100+T134+T115</f>
        <v>0</v>
      </c>
      <c r="U135" s="324"/>
      <c r="V135" s="324">
        <f>V100+V134</f>
        <v>0</v>
      </c>
      <c r="W135" s="275"/>
      <c r="X135" s="5"/>
    </row>
    <row r="136" spans="1:24" ht="15.6" x14ac:dyDescent="0.3">
      <c r="A136" s="242"/>
      <c r="B136" s="268"/>
      <c r="C136" s="268"/>
      <c r="D136" s="268"/>
      <c r="E136" s="268"/>
      <c r="F136" s="268"/>
      <c r="G136" s="268"/>
      <c r="H136" s="268"/>
      <c r="I136" s="268"/>
      <c r="J136" s="268"/>
      <c r="K136" s="268"/>
      <c r="L136" s="268"/>
      <c r="M136" s="268"/>
      <c r="N136" s="268"/>
      <c r="O136" s="268"/>
      <c r="P136" s="268"/>
      <c r="Q136" s="268"/>
      <c r="R136" s="268"/>
      <c r="S136" s="268"/>
      <c r="T136" s="332"/>
      <c r="U136" s="332"/>
      <c r="V136" s="332"/>
      <c r="W136" s="268"/>
      <c r="X136" s="5"/>
    </row>
    <row r="137" spans="1:24" ht="15.6" x14ac:dyDescent="0.3">
      <c r="A137" s="242"/>
      <c r="B137" s="220"/>
      <c r="C137" s="220"/>
      <c r="D137" s="220"/>
      <c r="E137" s="220"/>
      <c r="F137" s="220"/>
      <c r="G137" s="220"/>
      <c r="H137" s="220"/>
      <c r="I137" s="220"/>
      <c r="J137" s="220"/>
      <c r="K137" s="220"/>
      <c r="L137" s="220"/>
      <c r="M137" s="220"/>
      <c r="N137" s="220"/>
      <c r="O137" s="220"/>
      <c r="P137" s="220"/>
      <c r="Q137" s="220"/>
      <c r="R137" s="220"/>
      <c r="S137" s="220"/>
      <c r="T137" s="220"/>
      <c r="U137" s="220"/>
      <c r="V137" s="243"/>
      <c r="W137" s="220"/>
      <c r="X137" s="5"/>
    </row>
    <row r="138" spans="1:24" ht="18" thickBot="1" x14ac:dyDescent="0.35">
      <c r="A138" s="244"/>
      <c r="B138" s="234" t="str">
        <f>B64</f>
        <v>PM13 INVESTOR REPORT QUARTER ENDING MARCH 2014</v>
      </c>
      <c r="C138" s="235"/>
      <c r="D138" s="235"/>
      <c r="E138" s="235"/>
      <c r="F138" s="235"/>
      <c r="G138" s="235"/>
      <c r="H138" s="235"/>
      <c r="I138" s="235"/>
      <c r="J138" s="235"/>
      <c r="K138" s="235"/>
      <c r="L138" s="235"/>
      <c r="M138" s="235"/>
      <c r="N138" s="235"/>
      <c r="O138" s="235"/>
      <c r="P138" s="235"/>
      <c r="Q138" s="235"/>
      <c r="R138" s="235"/>
      <c r="S138" s="235"/>
      <c r="T138" s="235"/>
      <c r="U138" s="235"/>
      <c r="V138" s="245"/>
      <c r="W138" s="237"/>
      <c r="X138" s="5"/>
    </row>
    <row r="139" spans="1:24" ht="15.6" x14ac:dyDescent="0.3">
      <c r="A139" s="246"/>
      <c r="B139" s="388" t="s">
        <v>41</v>
      </c>
      <c r="C139" s="247"/>
      <c r="D139" s="247"/>
      <c r="E139" s="247"/>
      <c r="F139" s="247"/>
      <c r="G139" s="247"/>
      <c r="H139" s="247"/>
      <c r="I139" s="247"/>
      <c r="J139" s="247"/>
      <c r="K139" s="247"/>
      <c r="L139" s="247"/>
      <c r="M139" s="247"/>
      <c r="N139" s="247"/>
      <c r="O139" s="247"/>
      <c r="P139" s="247"/>
      <c r="Q139" s="247"/>
      <c r="R139" s="247"/>
      <c r="S139" s="247"/>
      <c r="T139" s="247"/>
      <c r="U139" s="247"/>
      <c r="V139" s="248"/>
      <c r="W139" s="247"/>
      <c r="X139" s="5"/>
    </row>
    <row r="140" spans="1:24" ht="15.6" x14ac:dyDescent="0.3">
      <c r="A140" s="175"/>
      <c r="B140" s="186"/>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175"/>
      <c r="B141" s="203" t="s">
        <v>42</v>
      </c>
      <c r="C141" s="177"/>
      <c r="D141" s="177"/>
      <c r="E141" s="177"/>
      <c r="F141" s="177"/>
      <c r="G141" s="177"/>
      <c r="H141" s="177"/>
      <c r="I141" s="177"/>
      <c r="J141" s="177"/>
      <c r="K141" s="177"/>
      <c r="L141" s="177"/>
      <c r="M141" s="177"/>
      <c r="N141" s="177"/>
      <c r="O141" s="177"/>
      <c r="P141" s="177"/>
      <c r="Q141" s="177"/>
      <c r="R141" s="177"/>
      <c r="S141" s="177"/>
      <c r="T141" s="177"/>
      <c r="U141" s="177"/>
      <c r="V141" s="196"/>
      <c r="W141" s="177"/>
      <c r="X141" s="5"/>
    </row>
    <row r="142" spans="1:24" ht="15.6" x14ac:dyDescent="0.3">
      <c r="A142" s="271"/>
      <c r="B142" s="272" t="s">
        <v>43</v>
      </c>
      <c r="C142" s="272"/>
      <c r="D142" s="272"/>
      <c r="E142" s="272"/>
      <c r="F142" s="272"/>
      <c r="G142" s="272"/>
      <c r="H142" s="272"/>
      <c r="I142" s="272"/>
      <c r="J142" s="272"/>
      <c r="K142" s="272"/>
      <c r="L142" s="272"/>
      <c r="M142" s="272"/>
      <c r="N142" s="272"/>
      <c r="O142" s="272"/>
      <c r="P142" s="272"/>
      <c r="Q142" s="272"/>
      <c r="R142" s="272"/>
      <c r="S142" s="272"/>
      <c r="T142" s="272"/>
      <c r="U142" s="272"/>
      <c r="V142" s="325">
        <f>+V34*0.019</f>
        <v>28503.61</v>
      </c>
      <c r="W142" s="275"/>
      <c r="X142" s="5"/>
    </row>
    <row r="143" spans="1:24" ht="15.6" x14ac:dyDescent="0.3">
      <c r="A143" s="271"/>
      <c r="B143" s="272" t="s">
        <v>44</v>
      </c>
      <c r="C143" s="272"/>
      <c r="D143" s="272"/>
      <c r="E143" s="272"/>
      <c r="F143" s="272"/>
      <c r="G143" s="272"/>
      <c r="H143" s="272"/>
      <c r="I143" s="272"/>
      <c r="J143" s="272"/>
      <c r="K143" s="272"/>
      <c r="L143" s="272"/>
      <c r="M143" s="272"/>
      <c r="N143" s="272"/>
      <c r="O143" s="272"/>
      <c r="P143" s="272"/>
      <c r="Q143" s="272"/>
      <c r="R143" s="272"/>
      <c r="S143" s="272"/>
      <c r="T143" s="272"/>
      <c r="U143" s="272"/>
      <c r="V143" s="325">
        <v>28504</v>
      </c>
      <c r="W143" s="275"/>
      <c r="X143" s="5"/>
    </row>
    <row r="144" spans="1:24" ht="15.6" x14ac:dyDescent="0.3">
      <c r="A144" s="271"/>
      <c r="B144" s="272" t="s">
        <v>139</v>
      </c>
      <c r="C144" s="272"/>
      <c r="D144" s="272"/>
      <c r="E144" s="272"/>
      <c r="F144" s="272"/>
      <c r="G144" s="272"/>
      <c r="H144" s="272"/>
      <c r="I144" s="272"/>
      <c r="J144" s="272"/>
      <c r="K144" s="272"/>
      <c r="L144" s="272"/>
      <c r="M144" s="272"/>
      <c r="N144" s="272"/>
      <c r="O144" s="272"/>
      <c r="P144" s="272"/>
      <c r="Q144" s="272"/>
      <c r="R144" s="272"/>
      <c r="S144" s="272"/>
      <c r="T144" s="272"/>
      <c r="U144" s="272"/>
      <c r="V144" s="325"/>
      <c r="W144" s="275"/>
      <c r="X144" s="5"/>
    </row>
    <row r="145" spans="1:25" ht="15.6" x14ac:dyDescent="0.3">
      <c r="A145" s="271"/>
      <c r="B145" s="272" t="s">
        <v>126</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127</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178</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45</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132</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row>
    <row r="150" spans="1:25" ht="15.6" x14ac:dyDescent="0.3">
      <c r="A150" s="271"/>
      <c r="B150" s="272" t="s">
        <v>267</v>
      </c>
      <c r="C150" s="272"/>
      <c r="D150" s="272"/>
      <c r="E150" s="272"/>
      <c r="F150" s="272"/>
      <c r="G150" s="272"/>
      <c r="H150" s="272"/>
      <c r="I150" s="272"/>
      <c r="J150" s="272"/>
      <c r="K150" s="272"/>
      <c r="L150" s="272"/>
      <c r="M150" s="272"/>
      <c r="N150" s="272"/>
      <c r="O150" s="272"/>
      <c r="P150" s="272"/>
      <c r="Q150" s="272"/>
      <c r="R150" s="272"/>
      <c r="S150" s="272"/>
      <c r="T150" s="272"/>
      <c r="U150" s="272"/>
      <c r="V150" s="325">
        <v>0</v>
      </c>
      <c r="W150" s="275"/>
      <c r="X150" s="5"/>
      <c r="Y150" s="109"/>
    </row>
    <row r="151" spans="1:25" ht="15.6" x14ac:dyDescent="0.3">
      <c r="A151" s="271"/>
      <c r="B151" s="272" t="s">
        <v>46</v>
      </c>
      <c r="C151" s="272"/>
      <c r="D151" s="272"/>
      <c r="E151" s="272"/>
      <c r="F151" s="272"/>
      <c r="G151" s="272"/>
      <c r="H151" s="272"/>
      <c r="I151" s="272"/>
      <c r="J151" s="272"/>
      <c r="K151" s="272"/>
      <c r="L151" s="272"/>
      <c r="M151" s="272"/>
      <c r="N151" s="272"/>
      <c r="O151" s="272"/>
      <c r="P151" s="272"/>
      <c r="Q151" s="272"/>
      <c r="R151" s="272"/>
      <c r="S151" s="272"/>
      <c r="T151" s="272"/>
      <c r="U151" s="272"/>
      <c r="V151" s="325">
        <f>SUM(V143:V150)</f>
        <v>28504</v>
      </c>
      <c r="W151" s="275"/>
      <c r="X151" s="5"/>
    </row>
    <row r="152" spans="1:25" ht="15.6" x14ac:dyDescent="0.3">
      <c r="A152" s="271"/>
      <c r="B152" s="298"/>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335" t="s">
        <v>268</v>
      </c>
      <c r="C153" s="298"/>
      <c r="D153" s="298"/>
      <c r="E153" s="298"/>
      <c r="F153" s="298"/>
      <c r="G153" s="298"/>
      <c r="H153" s="298"/>
      <c r="I153" s="298"/>
      <c r="J153" s="298"/>
      <c r="K153" s="298"/>
      <c r="L153" s="298"/>
      <c r="M153" s="298"/>
      <c r="N153" s="298"/>
      <c r="O153" s="298"/>
      <c r="P153" s="298"/>
      <c r="Q153" s="298"/>
      <c r="R153" s="298"/>
      <c r="S153" s="298"/>
      <c r="T153" s="298"/>
      <c r="U153" s="298"/>
      <c r="V153" s="337"/>
      <c r="W153" s="304"/>
      <c r="X153" s="5"/>
    </row>
    <row r="154" spans="1:25" ht="15.6" x14ac:dyDescent="0.3">
      <c r="A154" s="271"/>
      <c r="B154" s="272" t="s">
        <v>158</v>
      </c>
      <c r="C154" s="272"/>
      <c r="D154" s="272"/>
      <c r="E154" s="272"/>
      <c r="F154" s="272"/>
      <c r="G154" s="272"/>
      <c r="H154" s="272"/>
      <c r="I154" s="272"/>
      <c r="J154" s="272"/>
      <c r="K154" s="272"/>
      <c r="L154" s="272"/>
      <c r="M154" s="272"/>
      <c r="N154" s="272"/>
      <c r="O154" s="272"/>
      <c r="P154" s="272"/>
      <c r="Q154" s="272"/>
      <c r="R154" s="272"/>
      <c r="S154" s="272"/>
      <c r="T154" s="272"/>
      <c r="U154" s="272"/>
      <c r="V154" s="325">
        <v>15000</v>
      </c>
      <c r="W154" s="275"/>
      <c r="X154" s="5"/>
    </row>
    <row r="155" spans="1:25" ht="15.6" x14ac:dyDescent="0.3">
      <c r="A155" s="271"/>
      <c r="B155" s="272" t="s">
        <v>175</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72" t="s">
        <v>341</v>
      </c>
      <c r="C156" s="272"/>
      <c r="D156" s="272"/>
      <c r="E156" s="272"/>
      <c r="F156" s="272"/>
      <c r="G156" s="272"/>
      <c r="H156" s="272"/>
      <c r="I156" s="272"/>
      <c r="J156" s="272"/>
      <c r="K156" s="272"/>
      <c r="L156" s="272"/>
      <c r="M156" s="272"/>
      <c r="N156" s="272"/>
      <c r="O156" s="272"/>
      <c r="P156" s="272"/>
      <c r="Q156" s="272"/>
      <c r="R156" s="272"/>
      <c r="S156" s="272"/>
      <c r="T156" s="272"/>
      <c r="U156" s="272"/>
      <c r="V156" s="325">
        <v>0</v>
      </c>
      <c r="W156" s="275"/>
      <c r="X156" s="5"/>
    </row>
    <row r="157" spans="1:25" ht="15.6" x14ac:dyDescent="0.3">
      <c r="A157" s="271"/>
      <c r="B157" s="298"/>
      <c r="C157" s="298"/>
      <c r="D157" s="298"/>
      <c r="E157" s="298"/>
      <c r="F157" s="298"/>
      <c r="G157" s="298"/>
      <c r="H157" s="298"/>
      <c r="I157" s="298"/>
      <c r="J157" s="298"/>
      <c r="K157" s="298"/>
      <c r="L157" s="298"/>
      <c r="M157" s="298"/>
      <c r="N157" s="298"/>
      <c r="O157" s="298"/>
      <c r="P157" s="298"/>
      <c r="Q157" s="298"/>
      <c r="R157" s="298"/>
      <c r="S157" s="298"/>
      <c r="T157" s="298"/>
      <c r="U157" s="298"/>
      <c r="V157" s="337"/>
      <c r="W157" s="304"/>
      <c r="X157" s="5"/>
    </row>
    <row r="158" spans="1:25" ht="15.6" x14ac:dyDescent="0.3">
      <c r="A158" s="175"/>
      <c r="B158" s="321"/>
      <c r="C158" s="321"/>
      <c r="D158" s="321"/>
      <c r="E158" s="321"/>
      <c r="F158" s="321"/>
      <c r="G158" s="321"/>
      <c r="H158" s="321"/>
      <c r="I158" s="321"/>
      <c r="J158" s="321"/>
      <c r="K158" s="321"/>
      <c r="L158" s="321"/>
      <c r="M158" s="321"/>
      <c r="N158" s="321"/>
      <c r="O158" s="321"/>
      <c r="P158" s="321"/>
      <c r="Q158" s="321"/>
      <c r="R158" s="321"/>
      <c r="S158" s="321"/>
      <c r="T158" s="321"/>
      <c r="U158" s="321"/>
      <c r="V158" s="340"/>
      <c r="W158" s="321"/>
      <c r="X158" s="5"/>
    </row>
    <row r="159" spans="1:25" ht="15.6" x14ac:dyDescent="0.3">
      <c r="A159" s="175"/>
      <c r="B159" s="203" t="s">
        <v>24</v>
      </c>
      <c r="C159" s="177"/>
      <c r="D159" s="177"/>
      <c r="E159" s="177"/>
      <c r="F159" s="177"/>
      <c r="G159" s="177"/>
      <c r="H159" s="177"/>
      <c r="I159" s="177"/>
      <c r="J159" s="177"/>
      <c r="K159" s="177"/>
      <c r="L159" s="177"/>
      <c r="M159" s="177"/>
      <c r="N159" s="177"/>
      <c r="O159" s="177"/>
      <c r="P159" s="177"/>
      <c r="Q159" s="177"/>
      <c r="R159" s="177"/>
      <c r="S159" s="177"/>
      <c r="T159" s="177"/>
      <c r="U159" s="177"/>
      <c r="V159" s="196"/>
      <c r="W159" s="177"/>
      <c r="X159" s="5"/>
    </row>
    <row r="160" spans="1:25" ht="15.6" x14ac:dyDescent="0.3">
      <c r="A160" s="271"/>
      <c r="B160" s="272" t="s">
        <v>47</v>
      </c>
      <c r="C160" s="272"/>
      <c r="D160" s="272"/>
      <c r="E160" s="272"/>
      <c r="F160" s="272"/>
      <c r="G160" s="272"/>
      <c r="H160" s="272"/>
      <c r="I160" s="272"/>
      <c r="J160" s="272"/>
      <c r="K160" s="272"/>
      <c r="L160" s="272"/>
      <c r="M160" s="272"/>
      <c r="N160" s="272"/>
      <c r="O160" s="272"/>
      <c r="P160" s="272"/>
      <c r="Q160" s="272"/>
      <c r="R160" s="272"/>
      <c r="S160" s="272"/>
      <c r="T160" s="272"/>
      <c r="U160" s="272"/>
      <c r="V160" s="341" t="s">
        <v>121</v>
      </c>
      <c r="W160" s="275"/>
      <c r="X160" s="5"/>
    </row>
    <row r="161" spans="1:24" ht="15.6" x14ac:dyDescent="0.3">
      <c r="A161" s="271"/>
      <c r="B161" s="272" t="s">
        <v>48</v>
      </c>
      <c r="C161" s="274"/>
      <c r="D161" s="274"/>
      <c r="E161" s="274"/>
      <c r="F161" s="274"/>
      <c r="G161" s="274"/>
      <c r="H161" s="274"/>
      <c r="I161" s="274"/>
      <c r="J161" s="274"/>
      <c r="K161" s="274"/>
      <c r="L161" s="274"/>
      <c r="M161" s="274"/>
      <c r="N161" s="274"/>
      <c r="O161" s="274"/>
      <c r="P161" s="274"/>
      <c r="Q161" s="274"/>
      <c r="R161" s="274"/>
      <c r="S161" s="274"/>
      <c r="T161" s="274"/>
      <c r="U161" s="274"/>
      <c r="V161" s="341" t="s">
        <v>121</v>
      </c>
      <c r="W161" s="275"/>
      <c r="X161" s="5"/>
    </row>
    <row r="162" spans="1:24" ht="15.6" x14ac:dyDescent="0.3">
      <c r="A162" s="271"/>
      <c r="B162" s="272" t="s">
        <v>49</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271"/>
      <c r="B163" s="272" t="s">
        <v>50</v>
      </c>
      <c r="C163" s="272"/>
      <c r="D163" s="272"/>
      <c r="E163" s="272"/>
      <c r="F163" s="272"/>
      <c r="G163" s="272"/>
      <c r="H163" s="272"/>
      <c r="I163" s="272"/>
      <c r="J163" s="272"/>
      <c r="K163" s="272"/>
      <c r="L163" s="272"/>
      <c r="M163" s="272"/>
      <c r="N163" s="272"/>
      <c r="O163" s="272"/>
      <c r="P163" s="272"/>
      <c r="Q163" s="272"/>
      <c r="R163" s="272"/>
      <c r="S163" s="272"/>
      <c r="T163" s="272"/>
      <c r="U163" s="272"/>
      <c r="V163" s="341" t="s">
        <v>121</v>
      </c>
      <c r="W163" s="275"/>
      <c r="X163" s="5"/>
    </row>
    <row r="164" spans="1:24" ht="15.6" x14ac:dyDescent="0.3">
      <c r="A164" s="175"/>
      <c r="B164" s="321"/>
      <c r="C164" s="321"/>
      <c r="D164" s="321"/>
      <c r="E164" s="321"/>
      <c r="F164" s="321"/>
      <c r="G164" s="321"/>
      <c r="H164" s="321"/>
      <c r="I164" s="321"/>
      <c r="J164" s="321"/>
      <c r="K164" s="321"/>
      <c r="L164" s="321"/>
      <c r="M164" s="321"/>
      <c r="N164" s="321"/>
      <c r="O164" s="321"/>
      <c r="P164" s="321"/>
      <c r="Q164" s="321"/>
      <c r="R164" s="321"/>
      <c r="S164" s="321"/>
      <c r="T164" s="321"/>
      <c r="U164" s="321"/>
      <c r="V164" s="340"/>
      <c r="W164" s="321"/>
      <c r="X164" s="5"/>
    </row>
    <row r="165" spans="1:24" ht="15.6" x14ac:dyDescent="0.3">
      <c r="A165" s="175"/>
      <c r="B165" s="203" t="s">
        <v>51</v>
      </c>
      <c r="C165" s="177"/>
      <c r="D165" s="177"/>
      <c r="E165" s="177"/>
      <c r="F165" s="177"/>
      <c r="G165" s="177"/>
      <c r="H165" s="177"/>
      <c r="I165" s="177"/>
      <c r="J165" s="177"/>
      <c r="K165" s="177"/>
      <c r="L165" s="177"/>
      <c r="M165" s="177"/>
      <c r="N165" s="177"/>
      <c r="O165" s="177"/>
      <c r="P165" s="177"/>
      <c r="Q165" s="177"/>
      <c r="R165" s="177"/>
      <c r="S165" s="177"/>
      <c r="T165" s="177"/>
      <c r="U165" s="177"/>
      <c r="V165" s="204"/>
      <c r="W165" s="177"/>
      <c r="X165" s="5"/>
    </row>
    <row r="166" spans="1:24" ht="15.6" x14ac:dyDescent="0.3">
      <c r="A166" s="342"/>
      <c r="B166" s="343" t="s">
        <v>52</v>
      </c>
      <c r="C166" s="343"/>
      <c r="D166" s="343"/>
      <c r="E166" s="343"/>
      <c r="F166" s="343"/>
      <c r="G166" s="343"/>
      <c r="H166" s="343"/>
      <c r="I166" s="343"/>
      <c r="J166" s="343"/>
      <c r="K166" s="343"/>
      <c r="L166" s="343"/>
      <c r="M166" s="343"/>
      <c r="N166" s="343"/>
      <c r="O166" s="343"/>
      <c r="P166" s="343"/>
      <c r="Q166" s="343"/>
      <c r="R166" s="343"/>
      <c r="S166" s="343"/>
      <c r="T166" s="343"/>
      <c r="U166" s="343"/>
      <c r="V166" s="344">
        <v>0</v>
      </c>
      <c r="W166" s="345"/>
      <c r="X166" s="5"/>
    </row>
    <row r="167" spans="1:24" ht="15.6" x14ac:dyDescent="0.3">
      <c r="A167" s="342"/>
      <c r="B167" s="343" t="s">
        <v>53</v>
      </c>
      <c r="C167" s="343"/>
      <c r="D167" s="343"/>
      <c r="E167" s="343"/>
      <c r="F167" s="343"/>
      <c r="G167" s="343"/>
      <c r="H167" s="343"/>
      <c r="I167" s="343"/>
      <c r="J167" s="343"/>
      <c r="K167" s="343"/>
      <c r="L167" s="343"/>
      <c r="M167" s="343"/>
      <c r="N167" s="343"/>
      <c r="O167" s="343"/>
      <c r="P167" s="343"/>
      <c r="Q167" s="343"/>
      <c r="R167" s="343"/>
      <c r="S167" s="343"/>
      <c r="T167" s="343"/>
      <c r="U167" s="343"/>
      <c r="V167" s="344">
        <v>381</v>
      </c>
      <c r="W167" s="345"/>
      <c r="X167" s="5"/>
    </row>
    <row r="168" spans="1:24" ht="15.6" x14ac:dyDescent="0.3">
      <c r="A168" s="342"/>
      <c r="B168" s="343" t="s">
        <v>54</v>
      </c>
      <c r="C168" s="343"/>
      <c r="D168" s="343"/>
      <c r="E168" s="343"/>
      <c r="F168" s="343"/>
      <c r="G168" s="343"/>
      <c r="H168" s="343"/>
      <c r="I168" s="343"/>
      <c r="J168" s="343"/>
      <c r="K168" s="343"/>
      <c r="L168" s="343"/>
      <c r="M168" s="343"/>
      <c r="N168" s="343"/>
      <c r="O168" s="343"/>
      <c r="P168" s="343"/>
      <c r="Q168" s="343"/>
      <c r="R168" s="343"/>
      <c r="S168" s="343"/>
      <c r="T168" s="343"/>
      <c r="U168" s="343"/>
      <c r="V168" s="344">
        <f>V167+V166</f>
        <v>381</v>
      </c>
      <c r="W168" s="345"/>
      <c r="X168" s="5"/>
    </row>
    <row r="169" spans="1:24" ht="15.6" x14ac:dyDescent="0.3">
      <c r="A169" s="342"/>
      <c r="B169" s="272" t="s">
        <v>318</v>
      </c>
      <c r="C169" s="343"/>
      <c r="D169" s="343"/>
      <c r="E169" s="343"/>
      <c r="F169" s="343"/>
      <c r="G169" s="343"/>
      <c r="H169" s="343"/>
      <c r="I169" s="343"/>
      <c r="J169" s="343"/>
      <c r="K169" s="343"/>
      <c r="L169" s="343"/>
      <c r="M169" s="343"/>
      <c r="N169" s="343"/>
      <c r="O169" s="343"/>
      <c r="P169" s="343"/>
      <c r="Q169" s="343"/>
      <c r="R169" s="343"/>
      <c r="S169" s="343"/>
      <c r="T169" s="343"/>
      <c r="U169" s="343"/>
      <c r="V169" s="344">
        <f>V115</f>
        <v>-381</v>
      </c>
      <c r="W169" s="345"/>
      <c r="X169" s="5"/>
    </row>
    <row r="170" spans="1:24" ht="15.6" x14ac:dyDescent="0.3">
      <c r="A170" s="342"/>
      <c r="B170" s="343" t="s">
        <v>55</v>
      </c>
      <c r="C170" s="343"/>
      <c r="D170" s="343"/>
      <c r="E170" s="343"/>
      <c r="F170" s="343"/>
      <c r="G170" s="343"/>
      <c r="H170" s="343"/>
      <c r="I170" s="343"/>
      <c r="J170" s="343"/>
      <c r="K170" s="343"/>
      <c r="L170" s="343"/>
      <c r="M170" s="343"/>
      <c r="N170" s="343"/>
      <c r="O170" s="343"/>
      <c r="P170" s="343"/>
      <c r="Q170" s="343"/>
      <c r="R170" s="343"/>
      <c r="S170" s="343"/>
      <c r="T170" s="343"/>
      <c r="U170" s="343"/>
      <c r="V170" s="344">
        <f>V168+V169</f>
        <v>0</v>
      </c>
      <c r="W170" s="345"/>
      <c r="X170" s="5"/>
    </row>
    <row r="171" spans="1:24" ht="15.6" x14ac:dyDescent="0.3">
      <c r="A171" s="342"/>
      <c r="B171" s="343" t="s">
        <v>288</v>
      </c>
      <c r="C171" s="343"/>
      <c r="D171" s="343"/>
      <c r="E171" s="343"/>
      <c r="F171" s="343"/>
      <c r="G171" s="343"/>
      <c r="H171" s="343"/>
      <c r="I171" s="343"/>
      <c r="J171" s="343"/>
      <c r="K171" s="343"/>
      <c r="L171" s="343"/>
      <c r="M171" s="343"/>
      <c r="N171" s="343"/>
      <c r="O171" s="343"/>
      <c r="P171" s="343"/>
      <c r="Q171" s="343"/>
      <c r="R171" s="343"/>
      <c r="S171" s="343"/>
      <c r="T171" s="343"/>
      <c r="U171" s="343"/>
      <c r="V171" s="344">
        <v>0</v>
      </c>
      <c r="W171" s="345"/>
      <c r="X171" s="5"/>
    </row>
    <row r="172" spans="1:24" ht="16.2" thickBot="1" x14ac:dyDescent="0.35">
      <c r="A172" s="175"/>
      <c r="B172" s="321"/>
      <c r="C172" s="321"/>
      <c r="D172" s="321"/>
      <c r="E172" s="321"/>
      <c r="F172" s="321"/>
      <c r="G172" s="321"/>
      <c r="H172" s="321"/>
      <c r="I172" s="321"/>
      <c r="J172" s="321"/>
      <c r="K172" s="321"/>
      <c r="L172" s="321"/>
      <c r="M172" s="321"/>
      <c r="N172" s="321"/>
      <c r="O172" s="321"/>
      <c r="P172" s="321"/>
      <c r="Q172" s="321"/>
      <c r="R172" s="321"/>
      <c r="S172" s="321"/>
      <c r="T172" s="321"/>
      <c r="U172" s="321"/>
      <c r="V172" s="340"/>
      <c r="W172" s="321"/>
      <c r="X172" s="5"/>
    </row>
    <row r="173" spans="1:24"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74"/>
      <c r="U173" s="174"/>
      <c r="V173" s="195"/>
      <c r="W173" s="174"/>
      <c r="X173" s="5"/>
    </row>
    <row r="174" spans="1:24" ht="15.6" x14ac:dyDescent="0.3">
      <c r="A174" s="175"/>
      <c r="B174" s="203" t="s">
        <v>56</v>
      </c>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175"/>
      <c r="B175" s="186"/>
      <c r="C175" s="177"/>
      <c r="D175" s="177"/>
      <c r="E175" s="177"/>
      <c r="F175" s="177"/>
      <c r="G175" s="177"/>
      <c r="H175" s="177"/>
      <c r="I175" s="177"/>
      <c r="J175" s="177"/>
      <c r="K175" s="177"/>
      <c r="L175" s="177"/>
      <c r="M175" s="177"/>
      <c r="N175" s="177"/>
      <c r="O175" s="177"/>
      <c r="P175" s="177"/>
      <c r="Q175" s="177"/>
      <c r="R175" s="177"/>
      <c r="S175" s="177"/>
      <c r="T175" s="177"/>
      <c r="U175" s="177"/>
      <c r="V175" s="196"/>
      <c r="W175" s="177"/>
      <c r="X175" s="5"/>
    </row>
    <row r="176" spans="1:24" ht="15.6" x14ac:dyDescent="0.3">
      <c r="A176" s="271"/>
      <c r="B176" s="272" t="s">
        <v>57</v>
      </c>
      <c r="C176" s="272"/>
      <c r="D176" s="272"/>
      <c r="E176" s="272"/>
      <c r="F176" s="272"/>
      <c r="G176" s="272"/>
      <c r="H176" s="272"/>
      <c r="I176" s="272"/>
      <c r="J176" s="272"/>
      <c r="K176" s="272"/>
      <c r="L176" s="272"/>
      <c r="M176" s="272"/>
      <c r="N176" s="272"/>
      <c r="O176" s="272"/>
      <c r="P176" s="272"/>
      <c r="Q176" s="272"/>
      <c r="R176" s="272"/>
      <c r="S176" s="272"/>
      <c r="T176" s="272"/>
      <c r="U176" s="272"/>
      <c r="V176" s="325">
        <f>V71</f>
        <v>955622</v>
      </c>
      <c r="W176" s="275"/>
      <c r="X176" s="5"/>
    </row>
    <row r="177" spans="1:24" ht="15.6" x14ac:dyDescent="0.3">
      <c r="A177" s="271"/>
      <c r="B177" s="272" t="s">
        <v>58</v>
      </c>
      <c r="C177" s="272"/>
      <c r="D177" s="272"/>
      <c r="E177" s="272"/>
      <c r="F177" s="272"/>
      <c r="G177" s="272"/>
      <c r="H177" s="272"/>
      <c r="I177" s="272"/>
      <c r="J177" s="272"/>
      <c r="K177" s="272"/>
      <c r="L177" s="272"/>
      <c r="M177" s="272"/>
      <c r="N177" s="272"/>
      <c r="O177" s="272"/>
      <c r="P177" s="272"/>
      <c r="Q177" s="272"/>
      <c r="R177" s="272"/>
      <c r="S177" s="272"/>
      <c r="T177" s="272"/>
      <c r="U177" s="272"/>
      <c r="V177" s="325">
        <f>V84</f>
        <v>955622</v>
      </c>
      <c r="W177" s="275"/>
      <c r="X177" s="5"/>
    </row>
    <row r="178" spans="1:24" ht="16.2" thickBot="1" x14ac:dyDescent="0.35">
      <c r="A178" s="175"/>
      <c r="B178" s="321"/>
      <c r="C178" s="321"/>
      <c r="D178" s="321"/>
      <c r="E178" s="321"/>
      <c r="F178" s="321"/>
      <c r="G178" s="321"/>
      <c r="H178" s="321"/>
      <c r="I178" s="321"/>
      <c r="J178" s="321"/>
      <c r="K178" s="321"/>
      <c r="L178" s="321"/>
      <c r="M178" s="321"/>
      <c r="N178" s="321"/>
      <c r="O178" s="321"/>
      <c r="P178" s="321"/>
      <c r="Q178" s="321"/>
      <c r="R178" s="321"/>
      <c r="S178" s="321"/>
      <c r="T178" s="321"/>
      <c r="U178" s="321"/>
      <c r="V178" s="340"/>
      <c r="W178" s="321"/>
      <c r="X178" s="5"/>
    </row>
    <row r="179" spans="1:24" ht="15.6" x14ac:dyDescent="0.3">
      <c r="A179" s="173"/>
      <c r="B179" s="174"/>
      <c r="C179" s="174"/>
      <c r="D179" s="174"/>
      <c r="E179" s="174"/>
      <c r="F179" s="174"/>
      <c r="G179" s="174"/>
      <c r="H179" s="174"/>
      <c r="I179" s="174"/>
      <c r="J179" s="174"/>
      <c r="K179" s="174"/>
      <c r="L179" s="174"/>
      <c r="M179" s="174"/>
      <c r="N179" s="174"/>
      <c r="O179" s="174"/>
      <c r="P179" s="174"/>
      <c r="Q179" s="174"/>
      <c r="R179" s="174"/>
      <c r="S179" s="174"/>
      <c r="T179" s="174"/>
      <c r="U179" s="174"/>
      <c r="V179" s="195"/>
      <c r="W179" s="174"/>
      <c r="X179" s="5"/>
    </row>
    <row r="180" spans="1:24" ht="15.6" x14ac:dyDescent="0.3">
      <c r="A180" s="175"/>
      <c r="B180" s="203" t="s">
        <v>59</v>
      </c>
      <c r="C180" s="200"/>
      <c r="D180" s="200"/>
      <c r="E180" s="200"/>
      <c r="F180" s="200"/>
      <c r="G180" s="200"/>
      <c r="H180" s="205"/>
      <c r="I180" s="205"/>
      <c r="J180" s="205"/>
      <c r="K180" s="205"/>
      <c r="L180" s="205"/>
      <c r="M180" s="205"/>
      <c r="N180" s="205"/>
      <c r="O180" s="205"/>
      <c r="P180" s="205"/>
      <c r="Q180" s="205"/>
      <c r="R180" s="205"/>
      <c r="S180" s="205" t="s">
        <v>102</v>
      </c>
      <c r="T180" s="205" t="s">
        <v>179</v>
      </c>
      <c r="U180" s="179"/>
      <c r="V180" s="206" t="s">
        <v>117</v>
      </c>
      <c r="W180" s="207"/>
      <c r="X180" s="5"/>
    </row>
    <row r="181" spans="1:24" ht="15.6" x14ac:dyDescent="0.3">
      <c r="A181" s="271"/>
      <c r="B181" s="272" t="s">
        <v>60</v>
      </c>
      <c r="C181" s="272"/>
      <c r="D181" s="272"/>
      <c r="E181" s="272"/>
      <c r="F181" s="272"/>
      <c r="G181" s="272"/>
      <c r="H181" s="272"/>
      <c r="I181" s="272"/>
      <c r="J181" s="272"/>
      <c r="K181" s="272"/>
      <c r="L181" s="272"/>
      <c r="M181" s="272"/>
      <c r="N181" s="272"/>
      <c r="O181" s="272"/>
      <c r="P181" s="272"/>
      <c r="Q181" s="272"/>
      <c r="R181" s="272"/>
      <c r="S181" s="325">
        <f>+V34*0.16</f>
        <v>240030.4</v>
      </c>
      <c r="T181" s="311"/>
      <c r="U181" s="272"/>
      <c r="V181" s="325"/>
      <c r="W181" s="275"/>
      <c r="X181" s="5"/>
    </row>
    <row r="182" spans="1:24" ht="15.6" x14ac:dyDescent="0.3">
      <c r="A182" s="271"/>
      <c r="B182" s="272" t="s">
        <v>61</v>
      </c>
      <c r="C182" s="272"/>
      <c r="D182" s="272"/>
      <c r="E182" s="272"/>
      <c r="F182" s="272"/>
      <c r="G182" s="272"/>
      <c r="H182" s="272"/>
      <c r="I182" s="272"/>
      <c r="J182" s="272"/>
      <c r="K182" s="272"/>
      <c r="L182" s="272"/>
      <c r="M182" s="272"/>
      <c r="N182" s="272"/>
      <c r="O182" s="272"/>
      <c r="P182" s="272"/>
      <c r="Q182" s="272"/>
      <c r="R182" s="272"/>
      <c r="S182" s="325">
        <f>+'Dec 13'!S184</f>
        <v>48268</v>
      </c>
      <c r="T182" s="325">
        <f>+'Dec 13'!T184</f>
        <v>9733</v>
      </c>
      <c r="U182" s="272"/>
      <c r="V182" s="325">
        <f>S182+T182</f>
        <v>58001</v>
      </c>
      <c r="W182" s="275"/>
      <c r="X182" s="5"/>
    </row>
    <row r="183" spans="1:24" ht="15.6" x14ac:dyDescent="0.3">
      <c r="A183" s="271"/>
      <c r="B183" s="272" t="s">
        <v>62</v>
      </c>
      <c r="C183" s="272"/>
      <c r="D183" s="272"/>
      <c r="E183" s="272"/>
      <c r="F183" s="272"/>
      <c r="G183" s="272"/>
      <c r="H183" s="272"/>
      <c r="I183" s="272"/>
      <c r="J183" s="272"/>
      <c r="K183" s="272"/>
      <c r="L183" s="272"/>
      <c r="M183" s="272"/>
      <c r="N183" s="272"/>
      <c r="O183" s="272"/>
      <c r="P183" s="272"/>
      <c r="Q183" s="272"/>
      <c r="R183" s="272"/>
      <c r="S183" s="324">
        <f>303+74</f>
        <v>377</v>
      </c>
      <c r="T183" s="324">
        <v>0</v>
      </c>
      <c r="U183" s="272"/>
      <c r="V183" s="325">
        <f>S183+T183</f>
        <v>377</v>
      </c>
      <c r="W183" s="275"/>
      <c r="X183" s="5"/>
    </row>
    <row r="184" spans="1:24" ht="15.6" x14ac:dyDescent="0.3">
      <c r="A184" s="271"/>
      <c r="B184" s="272" t="s">
        <v>63</v>
      </c>
      <c r="C184" s="272"/>
      <c r="D184" s="272"/>
      <c r="E184" s="272"/>
      <c r="F184" s="272"/>
      <c r="G184" s="272"/>
      <c r="H184" s="272"/>
      <c r="I184" s="272"/>
      <c r="J184" s="272"/>
      <c r="K184" s="272"/>
      <c r="L184" s="272"/>
      <c r="M184" s="272"/>
      <c r="N184" s="272"/>
      <c r="O184" s="272"/>
      <c r="P184" s="272"/>
      <c r="Q184" s="272"/>
      <c r="R184" s="272"/>
      <c r="S184" s="325">
        <f>+S182+S183</f>
        <v>48645</v>
      </c>
      <c r="T184" s="325">
        <f>T183+T182</f>
        <v>9733</v>
      </c>
      <c r="U184" s="272"/>
      <c r="V184" s="325">
        <f>S184+T184</f>
        <v>58378</v>
      </c>
      <c r="W184" s="275"/>
      <c r="X184" s="5"/>
    </row>
    <row r="185" spans="1:24" ht="15.6" x14ac:dyDescent="0.3">
      <c r="A185" s="271"/>
      <c r="B185" s="272" t="s">
        <v>64</v>
      </c>
      <c r="C185" s="272"/>
      <c r="D185" s="272"/>
      <c r="E185" s="272"/>
      <c r="F185" s="272"/>
      <c r="G185" s="272"/>
      <c r="H185" s="272"/>
      <c r="I185" s="272"/>
      <c r="J185" s="272"/>
      <c r="K185" s="272"/>
      <c r="L185" s="272"/>
      <c r="M185" s="272"/>
      <c r="N185" s="272"/>
      <c r="O185" s="272"/>
      <c r="P185" s="272"/>
      <c r="Q185" s="272"/>
      <c r="R185" s="272"/>
      <c r="S185" s="325">
        <f>S181-S184-T184</f>
        <v>181652.4</v>
      </c>
      <c r="T185" s="311"/>
      <c r="U185" s="272"/>
      <c r="V185" s="325"/>
      <c r="W185" s="275"/>
      <c r="X185" s="5"/>
    </row>
    <row r="186" spans="1:24" ht="16.2" thickBot="1" x14ac:dyDescent="0.35">
      <c r="A186" s="175"/>
      <c r="B186" s="321"/>
      <c r="C186" s="321"/>
      <c r="D186" s="321"/>
      <c r="E186" s="321"/>
      <c r="F186" s="321"/>
      <c r="G186" s="321"/>
      <c r="H186" s="321"/>
      <c r="I186" s="321"/>
      <c r="J186" s="321"/>
      <c r="K186" s="321"/>
      <c r="L186" s="321"/>
      <c r="M186" s="321"/>
      <c r="N186" s="321"/>
      <c r="O186" s="321"/>
      <c r="P186" s="321"/>
      <c r="Q186" s="321"/>
      <c r="R186" s="321"/>
      <c r="S186" s="321"/>
      <c r="T186" s="321"/>
      <c r="U186" s="321"/>
      <c r="V186" s="340"/>
      <c r="W186" s="321"/>
      <c r="X186" s="5"/>
    </row>
    <row r="187" spans="1:24" ht="15.6" x14ac:dyDescent="0.3">
      <c r="A187" s="173"/>
      <c r="B187" s="174"/>
      <c r="C187" s="174"/>
      <c r="D187" s="174"/>
      <c r="E187" s="174"/>
      <c r="F187" s="174"/>
      <c r="G187" s="174"/>
      <c r="H187" s="174"/>
      <c r="I187" s="174"/>
      <c r="J187" s="174"/>
      <c r="K187" s="174"/>
      <c r="L187" s="174"/>
      <c r="M187" s="174"/>
      <c r="N187" s="174"/>
      <c r="O187" s="174"/>
      <c r="P187" s="174"/>
      <c r="Q187" s="174"/>
      <c r="R187" s="174"/>
      <c r="S187" s="174"/>
      <c r="T187" s="174"/>
      <c r="U187" s="174"/>
      <c r="V187" s="195"/>
      <c r="W187" s="174"/>
      <c r="X187" s="5"/>
    </row>
    <row r="188" spans="1:24" ht="15.6" x14ac:dyDescent="0.3">
      <c r="A188" s="175"/>
      <c r="B188" s="203" t="s">
        <v>65</v>
      </c>
      <c r="C188" s="177"/>
      <c r="D188" s="177"/>
      <c r="E188" s="177"/>
      <c r="F188" s="177"/>
      <c r="G188" s="177"/>
      <c r="H188" s="177"/>
      <c r="I188" s="177"/>
      <c r="J188" s="177"/>
      <c r="K188" s="177"/>
      <c r="L188" s="177"/>
      <c r="M188" s="177"/>
      <c r="N188" s="177"/>
      <c r="O188" s="177"/>
      <c r="P188" s="177"/>
      <c r="Q188" s="177"/>
      <c r="R188" s="177"/>
      <c r="S188" s="177"/>
      <c r="T188" s="177"/>
      <c r="U188" s="177"/>
      <c r="V188" s="208"/>
      <c r="W188" s="177"/>
      <c r="X188" s="5"/>
    </row>
    <row r="189" spans="1:24" ht="15.6" x14ac:dyDescent="0.3">
      <c r="A189" s="271"/>
      <c r="B189" s="272" t="s">
        <v>66</v>
      </c>
      <c r="C189" s="272"/>
      <c r="D189" s="272"/>
      <c r="E189" s="272"/>
      <c r="F189" s="272"/>
      <c r="G189" s="272"/>
      <c r="H189" s="272"/>
      <c r="I189" s="272"/>
      <c r="J189" s="272"/>
      <c r="K189" s="272"/>
      <c r="L189" s="272"/>
      <c r="M189" s="272"/>
      <c r="N189" s="272"/>
      <c r="O189" s="272"/>
      <c r="P189" s="272"/>
      <c r="Q189" s="272"/>
      <c r="R189" s="272"/>
      <c r="S189" s="272"/>
      <c r="T189" s="272"/>
      <c r="U189" s="272"/>
      <c r="V189" s="341">
        <f>(V100+V102+V103+V104+V105)/-(V106+V107)</f>
        <v>3.7628458498023716</v>
      </c>
      <c r="W189" s="275" t="s">
        <v>118</v>
      </c>
      <c r="X189" s="5"/>
    </row>
    <row r="190" spans="1:24" ht="15.6" x14ac:dyDescent="0.3">
      <c r="A190" s="271"/>
      <c r="B190" s="272" t="s">
        <v>67</v>
      </c>
      <c r="C190" s="272"/>
      <c r="D190" s="272"/>
      <c r="E190" s="272"/>
      <c r="F190" s="272"/>
      <c r="G190" s="272"/>
      <c r="H190" s="272"/>
      <c r="I190" s="272"/>
      <c r="J190" s="272"/>
      <c r="K190" s="272"/>
      <c r="L190" s="272"/>
      <c r="M190" s="272"/>
      <c r="N190" s="272"/>
      <c r="O190" s="272"/>
      <c r="P190" s="272"/>
      <c r="Q190" s="272"/>
      <c r="R190" s="272"/>
      <c r="S190" s="272"/>
      <c r="T190" s="272"/>
      <c r="U190" s="272"/>
      <c r="V190" s="346">
        <v>1.72</v>
      </c>
      <c r="W190" s="275" t="s">
        <v>118</v>
      </c>
      <c r="X190" s="5"/>
    </row>
    <row r="191" spans="1:24" ht="15.6" x14ac:dyDescent="0.3">
      <c r="A191" s="271"/>
      <c r="B191" s="272" t="s">
        <v>68</v>
      </c>
      <c r="C191" s="272"/>
      <c r="D191" s="272"/>
      <c r="E191" s="272"/>
      <c r="F191" s="272"/>
      <c r="G191" s="272"/>
      <c r="H191" s="272"/>
      <c r="I191" s="272"/>
      <c r="J191" s="272"/>
      <c r="K191" s="272"/>
      <c r="L191" s="272"/>
      <c r="M191" s="272"/>
      <c r="N191" s="272"/>
      <c r="O191" s="272"/>
      <c r="P191" s="272"/>
      <c r="Q191" s="272"/>
      <c r="R191" s="272"/>
      <c r="S191" s="272"/>
      <c r="T191" s="272"/>
      <c r="U191" s="272"/>
      <c r="V191" s="341">
        <f>(V100+V102+V103+V104+V105+V106+V107)/-(V109+V110)</f>
        <v>16.319066147859921</v>
      </c>
      <c r="W191" s="275" t="s">
        <v>118</v>
      </c>
      <c r="X191" s="5"/>
    </row>
    <row r="192" spans="1:24" ht="15.6" x14ac:dyDescent="0.3">
      <c r="A192" s="271"/>
      <c r="B192" s="272" t="s">
        <v>69</v>
      </c>
      <c r="C192" s="272"/>
      <c r="D192" s="272"/>
      <c r="E192" s="272"/>
      <c r="F192" s="272"/>
      <c r="G192" s="272"/>
      <c r="H192" s="272"/>
      <c r="I192" s="272"/>
      <c r="J192" s="272"/>
      <c r="K192" s="272"/>
      <c r="L192" s="272"/>
      <c r="M192" s="272"/>
      <c r="N192" s="272"/>
      <c r="O192" s="272"/>
      <c r="P192" s="272"/>
      <c r="Q192" s="272"/>
      <c r="R192" s="272"/>
      <c r="S192" s="272"/>
      <c r="T192" s="272"/>
      <c r="U192" s="272"/>
      <c r="V192" s="346">
        <v>6.64</v>
      </c>
      <c r="W192" s="275" t="s">
        <v>118</v>
      </c>
      <c r="X192" s="5"/>
    </row>
    <row r="193" spans="1:24" ht="15.6" x14ac:dyDescent="0.3">
      <c r="A193" s="271"/>
      <c r="B193" s="272" t="s">
        <v>201</v>
      </c>
      <c r="C193" s="272"/>
      <c r="D193" s="272"/>
      <c r="E193" s="272"/>
      <c r="F193" s="272"/>
      <c r="G193" s="272"/>
      <c r="H193" s="272"/>
      <c r="I193" s="272"/>
      <c r="J193" s="272"/>
      <c r="K193" s="272"/>
      <c r="L193" s="272"/>
      <c r="M193" s="272"/>
      <c r="N193" s="272"/>
      <c r="O193" s="272"/>
      <c r="P193" s="272"/>
      <c r="Q193" s="272"/>
      <c r="R193" s="272"/>
      <c r="S193" s="272"/>
      <c r="T193" s="272"/>
      <c r="U193" s="272"/>
      <c r="V193" s="341">
        <f>(V100+V102+V103+V104+V105+V106+V107+V109+V110)/-(V111+V112)</f>
        <v>17.575892857142858</v>
      </c>
      <c r="W193" s="275" t="s">
        <v>118</v>
      </c>
      <c r="X193" s="5"/>
    </row>
    <row r="194" spans="1:24" ht="15.6" x14ac:dyDescent="0.3">
      <c r="A194" s="271"/>
      <c r="B194" s="272" t="s">
        <v>202</v>
      </c>
      <c r="C194" s="272"/>
      <c r="D194" s="272"/>
      <c r="E194" s="272"/>
      <c r="F194" s="272"/>
      <c r="G194" s="272"/>
      <c r="H194" s="272"/>
      <c r="I194" s="272"/>
      <c r="J194" s="272"/>
      <c r="K194" s="272"/>
      <c r="L194" s="272"/>
      <c r="M194" s="272"/>
      <c r="N194" s="272"/>
      <c r="O194" s="272"/>
      <c r="P194" s="272"/>
      <c r="Q194" s="272"/>
      <c r="R194" s="272"/>
      <c r="S194" s="272"/>
      <c r="T194" s="272"/>
      <c r="U194" s="272"/>
      <c r="V194" s="346">
        <v>8.49</v>
      </c>
      <c r="W194" s="275" t="s">
        <v>118</v>
      </c>
      <c r="X194" s="5"/>
    </row>
    <row r="195" spans="1:24" ht="15.6" x14ac:dyDescent="0.3">
      <c r="A195" s="271"/>
      <c r="B195" s="298"/>
      <c r="C195" s="298"/>
      <c r="D195" s="298"/>
      <c r="E195" s="298"/>
      <c r="F195" s="298"/>
      <c r="G195" s="298"/>
      <c r="H195" s="298"/>
      <c r="I195" s="298"/>
      <c r="J195" s="298"/>
      <c r="K195" s="298"/>
      <c r="L195" s="298"/>
      <c r="M195" s="298"/>
      <c r="N195" s="298"/>
      <c r="O195" s="298"/>
      <c r="P195" s="298"/>
      <c r="Q195" s="298"/>
      <c r="R195" s="298"/>
      <c r="S195" s="298"/>
      <c r="T195" s="298"/>
      <c r="U195" s="298"/>
      <c r="V195" s="298"/>
      <c r="W195" s="304"/>
      <c r="X195" s="5"/>
    </row>
    <row r="196" spans="1:24" ht="15.6" x14ac:dyDescent="0.3">
      <c r="A196" s="175"/>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5"/>
    </row>
    <row r="197" spans="1:24" ht="15.6" x14ac:dyDescent="0.3">
      <c r="A197" s="175"/>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5"/>
    </row>
    <row r="198" spans="1:24" ht="18" thickBot="1" x14ac:dyDescent="0.35">
      <c r="A198" s="194"/>
      <c r="B198" s="234" t="str">
        <f>B138</f>
        <v>PM13 INVESTOR REPORT QUARTER ENDING MARCH 2014</v>
      </c>
      <c r="C198" s="209"/>
      <c r="D198" s="209"/>
      <c r="E198" s="209"/>
      <c r="F198" s="209"/>
      <c r="G198" s="209"/>
      <c r="H198" s="209"/>
      <c r="I198" s="209"/>
      <c r="J198" s="209"/>
      <c r="K198" s="209"/>
      <c r="L198" s="209"/>
      <c r="M198" s="209"/>
      <c r="N198" s="209"/>
      <c r="O198" s="209"/>
      <c r="P198" s="209"/>
      <c r="Q198" s="209"/>
      <c r="R198" s="209"/>
      <c r="S198" s="209"/>
      <c r="T198" s="209"/>
      <c r="U198" s="209"/>
      <c r="V198" s="209"/>
      <c r="W198" s="210"/>
      <c r="X198" s="5"/>
    </row>
    <row r="199" spans="1:24" ht="15.6" x14ac:dyDescent="0.3">
      <c r="A199" s="246"/>
      <c r="B199" s="388" t="s">
        <v>70</v>
      </c>
      <c r="C199" s="249"/>
      <c r="D199" s="249"/>
      <c r="E199" s="249"/>
      <c r="F199" s="249"/>
      <c r="G199" s="250"/>
      <c r="H199" s="250"/>
      <c r="I199" s="250"/>
      <c r="J199" s="250"/>
      <c r="K199" s="250"/>
      <c r="L199" s="250"/>
      <c r="M199" s="250"/>
      <c r="N199" s="250"/>
      <c r="O199" s="250"/>
      <c r="P199" s="250"/>
      <c r="Q199" s="250"/>
      <c r="R199" s="250"/>
      <c r="S199" s="250"/>
      <c r="T199" s="250">
        <v>41729</v>
      </c>
      <c r="U199" s="247"/>
      <c r="V199" s="247"/>
      <c r="W199" s="247"/>
      <c r="X199" s="5"/>
    </row>
    <row r="200" spans="1:24" ht="15.6" x14ac:dyDescent="0.3">
      <c r="A200" s="211"/>
      <c r="B200" s="212"/>
      <c r="C200" s="213"/>
      <c r="D200" s="213"/>
      <c r="E200" s="213"/>
      <c r="F200" s="213"/>
      <c r="G200" s="214"/>
      <c r="H200" s="214"/>
      <c r="I200" s="214"/>
      <c r="J200" s="214"/>
      <c r="K200" s="214"/>
      <c r="L200" s="214"/>
      <c r="M200" s="214"/>
      <c r="N200" s="214"/>
      <c r="O200" s="214"/>
      <c r="P200" s="214"/>
      <c r="Q200" s="214"/>
      <c r="R200" s="214"/>
      <c r="S200" s="214"/>
      <c r="T200" s="214"/>
      <c r="U200" s="177"/>
      <c r="V200" s="177"/>
      <c r="W200" s="177"/>
      <c r="X200" s="5"/>
    </row>
    <row r="201" spans="1:24" ht="15.6" x14ac:dyDescent="0.3">
      <c r="A201" s="349"/>
      <c r="B201" s="272" t="s">
        <v>71</v>
      </c>
      <c r="C201" s="350"/>
      <c r="D201" s="350"/>
      <c r="E201" s="350"/>
      <c r="F201" s="350"/>
      <c r="G201" s="316"/>
      <c r="H201" s="316"/>
      <c r="I201" s="316"/>
      <c r="J201" s="316"/>
      <c r="K201" s="316"/>
      <c r="L201" s="316"/>
      <c r="M201" s="316"/>
      <c r="N201" s="316"/>
      <c r="O201" s="316"/>
      <c r="P201" s="316"/>
      <c r="Q201" s="316"/>
      <c r="R201" s="316"/>
      <c r="S201" s="316"/>
      <c r="T201" s="307">
        <v>5.4539999999999998E-2</v>
      </c>
      <c r="U201" s="272"/>
      <c r="V201" s="272"/>
      <c r="W201" s="275"/>
      <c r="X201" s="5"/>
    </row>
    <row r="202" spans="1:24" ht="15.6" x14ac:dyDescent="0.3">
      <c r="A202" s="349"/>
      <c r="B202" s="272" t="s">
        <v>154</v>
      </c>
      <c r="C202" s="350"/>
      <c r="D202" s="350"/>
      <c r="E202" s="350"/>
      <c r="F202" s="350"/>
      <c r="G202" s="316"/>
      <c r="H202" s="316"/>
      <c r="I202" s="316"/>
      <c r="J202" s="316"/>
      <c r="K202" s="316"/>
      <c r="L202" s="316"/>
      <c r="M202" s="316"/>
      <c r="N202" s="316"/>
      <c r="O202" s="316"/>
      <c r="P202" s="316"/>
      <c r="Q202" s="316"/>
      <c r="R202" s="316"/>
      <c r="S202" s="316"/>
      <c r="T202" s="307">
        <f>'Dec 06'!T199</f>
        <v>5.238600504269459E-2</v>
      </c>
      <c r="U202" s="272"/>
      <c r="V202" s="272"/>
      <c r="W202" s="275"/>
      <c r="X202" s="5"/>
    </row>
    <row r="203" spans="1:24" ht="15.6" x14ac:dyDescent="0.3">
      <c r="A203" s="349"/>
      <c r="B203" s="272" t="s">
        <v>72</v>
      </c>
      <c r="C203" s="350"/>
      <c r="D203" s="350"/>
      <c r="E203" s="350"/>
      <c r="F203" s="350"/>
      <c r="G203" s="316"/>
      <c r="H203" s="316"/>
      <c r="I203" s="316"/>
      <c r="J203" s="316"/>
      <c r="K203" s="316"/>
      <c r="L203" s="316"/>
      <c r="M203" s="316"/>
      <c r="N203" s="316"/>
      <c r="O203" s="316"/>
      <c r="P203" s="316"/>
      <c r="Q203" s="316"/>
      <c r="R203" s="316"/>
      <c r="S203" s="316"/>
      <c r="T203" s="307">
        <f>+T201-T202</f>
        <v>2.1539949573054079E-3</v>
      </c>
      <c r="U203" s="272"/>
      <c r="V203" s="272"/>
      <c r="W203" s="275"/>
      <c r="X203" s="5"/>
    </row>
    <row r="204" spans="1:24" ht="15.6" x14ac:dyDescent="0.3">
      <c r="A204" s="349"/>
      <c r="B204" s="272" t="s">
        <v>73</v>
      </c>
      <c r="C204" s="350"/>
      <c r="D204" s="350"/>
      <c r="E204" s="350"/>
      <c r="F204" s="350"/>
      <c r="G204" s="316"/>
      <c r="H204" s="316"/>
      <c r="I204" s="316"/>
      <c r="J204" s="316"/>
      <c r="K204" s="316"/>
      <c r="L204" s="316"/>
      <c r="M204" s="316"/>
      <c r="N204" s="316"/>
      <c r="O204" s="316"/>
      <c r="P204" s="316"/>
      <c r="Q204" s="316"/>
      <c r="R204" s="316"/>
      <c r="S204" s="316"/>
      <c r="T204" s="307">
        <v>2.274E-2</v>
      </c>
      <c r="U204" s="272"/>
      <c r="V204" s="272"/>
      <c r="W204" s="275"/>
      <c r="X204" s="5"/>
    </row>
    <row r="205" spans="1:24" ht="15.6" x14ac:dyDescent="0.3">
      <c r="A205" s="349"/>
      <c r="B205" s="272" t="s">
        <v>222</v>
      </c>
      <c r="C205" s="350"/>
      <c r="D205" s="350"/>
      <c r="E205" s="350"/>
      <c r="F205" s="350"/>
      <c r="G205" s="316"/>
      <c r="H205" s="316"/>
      <c r="I205" s="316"/>
      <c r="J205" s="316"/>
      <c r="K205" s="316"/>
      <c r="L205" s="316"/>
      <c r="M205" s="316"/>
      <c r="N205" s="316"/>
      <c r="O205" s="316"/>
      <c r="P205" s="316"/>
      <c r="Q205" s="316"/>
      <c r="R205" s="316"/>
      <c r="S205" s="316"/>
      <c r="T205" s="307">
        <f>V43</f>
        <v>8.4243399802561118E-3</v>
      </c>
      <c r="U205" s="272"/>
      <c r="V205" s="272"/>
      <c r="W205" s="275"/>
      <c r="X205" s="5"/>
    </row>
    <row r="206" spans="1:24" ht="15.6" x14ac:dyDescent="0.3">
      <c r="A206" s="349"/>
      <c r="B206" s="272" t="s">
        <v>74</v>
      </c>
      <c r="C206" s="350"/>
      <c r="D206" s="350"/>
      <c r="E206" s="350"/>
      <c r="F206" s="350"/>
      <c r="G206" s="316"/>
      <c r="H206" s="316"/>
      <c r="I206" s="316"/>
      <c r="J206" s="316"/>
      <c r="K206" s="316"/>
      <c r="L206" s="316"/>
      <c r="M206" s="316"/>
      <c r="N206" s="316"/>
      <c r="O206" s="316"/>
      <c r="P206" s="316"/>
      <c r="Q206" s="316"/>
      <c r="R206" s="316"/>
      <c r="S206" s="316"/>
      <c r="T206" s="307">
        <f>T204-T205</f>
        <v>1.4315660019743888E-2</v>
      </c>
      <c r="U206" s="272"/>
      <c r="V206" s="272"/>
      <c r="W206" s="275"/>
      <c r="X206" s="5"/>
    </row>
    <row r="207" spans="1:24" ht="15.6" x14ac:dyDescent="0.3">
      <c r="A207" s="349"/>
      <c r="B207" s="272" t="s">
        <v>274</v>
      </c>
      <c r="C207" s="350"/>
      <c r="D207" s="350"/>
      <c r="E207" s="350"/>
      <c r="F207" s="350"/>
      <c r="G207" s="316"/>
      <c r="H207" s="316"/>
      <c r="I207" s="316"/>
      <c r="J207" s="316"/>
      <c r="K207" s="316"/>
      <c r="L207" s="316"/>
      <c r="M207" s="316"/>
      <c r="N207" s="316"/>
      <c r="O207" s="316"/>
      <c r="P207" s="316"/>
      <c r="Q207" s="316"/>
      <c r="R207" s="316"/>
      <c r="S207" s="316"/>
      <c r="T207" s="307">
        <f>+V100/N71</f>
        <v>6.540523304184709E-3</v>
      </c>
      <c r="U207" s="272"/>
      <c r="V207" s="272"/>
      <c r="W207" s="275"/>
      <c r="X207" s="5"/>
    </row>
    <row r="208" spans="1:24" ht="15.6" x14ac:dyDescent="0.3">
      <c r="A208" s="349"/>
      <c r="B208" s="272" t="s">
        <v>211</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212</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213</v>
      </c>
      <c r="C210" s="350"/>
      <c r="D210" s="350"/>
      <c r="E210" s="350"/>
      <c r="F210" s="350"/>
      <c r="G210" s="316"/>
      <c r="H210" s="316"/>
      <c r="I210" s="316"/>
      <c r="J210" s="316"/>
      <c r="K210" s="316"/>
      <c r="L210" s="316"/>
      <c r="M210" s="316"/>
      <c r="N210" s="316"/>
      <c r="O210" s="316"/>
      <c r="P210" s="316"/>
      <c r="Q210" s="316"/>
      <c r="R210" s="316"/>
      <c r="S210" s="316"/>
      <c r="T210" s="351">
        <v>50771</v>
      </c>
      <c r="U210" s="272"/>
      <c r="V210" s="272"/>
      <c r="W210" s="275"/>
      <c r="X210" s="5"/>
    </row>
    <row r="211" spans="1:24" ht="15.6" x14ac:dyDescent="0.3">
      <c r="A211" s="349"/>
      <c r="B211" s="272" t="s">
        <v>75</v>
      </c>
      <c r="C211" s="350"/>
      <c r="D211" s="350"/>
      <c r="E211" s="350"/>
      <c r="F211" s="350"/>
      <c r="G211" s="316"/>
      <c r="H211" s="316"/>
      <c r="I211" s="316"/>
      <c r="J211" s="316"/>
      <c r="K211" s="316"/>
      <c r="L211" s="316"/>
      <c r="M211" s="316"/>
      <c r="N211" s="316"/>
      <c r="O211" s="316"/>
      <c r="P211" s="316"/>
      <c r="Q211" s="316"/>
      <c r="R211" s="316"/>
      <c r="S211" s="316"/>
      <c r="T211" s="313">
        <v>20.66</v>
      </c>
      <c r="U211" s="272" t="s">
        <v>113</v>
      </c>
      <c r="V211" s="272"/>
      <c r="W211" s="275"/>
      <c r="X211" s="5"/>
    </row>
    <row r="212" spans="1:24" ht="15.6" x14ac:dyDescent="0.3">
      <c r="A212" s="349"/>
      <c r="B212" s="272" t="s">
        <v>76</v>
      </c>
      <c r="C212" s="350"/>
      <c r="D212" s="350"/>
      <c r="E212" s="350"/>
      <c r="F212" s="350"/>
      <c r="G212" s="316"/>
      <c r="H212" s="316"/>
      <c r="I212" s="316"/>
      <c r="J212" s="316"/>
      <c r="K212" s="316"/>
      <c r="L212" s="316"/>
      <c r="M212" s="316"/>
      <c r="N212" s="316"/>
      <c r="O212" s="316"/>
      <c r="P212" s="316"/>
      <c r="Q212" s="316"/>
      <c r="R212" s="316"/>
      <c r="S212" s="316"/>
      <c r="T212" s="313">
        <v>13.74</v>
      </c>
      <c r="U212" s="272" t="s">
        <v>113</v>
      </c>
      <c r="V212" s="272"/>
      <c r="W212" s="275"/>
      <c r="X212" s="5"/>
    </row>
    <row r="213" spans="1:24" ht="15.6" x14ac:dyDescent="0.3">
      <c r="A213" s="349"/>
      <c r="B213" s="272" t="s">
        <v>77</v>
      </c>
      <c r="C213" s="350"/>
      <c r="D213" s="350"/>
      <c r="E213" s="350"/>
      <c r="F213" s="350"/>
      <c r="G213" s="316"/>
      <c r="H213" s="316"/>
      <c r="I213" s="316"/>
      <c r="J213" s="316"/>
      <c r="K213" s="316"/>
      <c r="L213" s="316"/>
      <c r="M213" s="316"/>
      <c r="N213" s="316"/>
      <c r="O213" s="316"/>
      <c r="P213" s="316"/>
      <c r="Q213" s="316"/>
      <c r="R213" s="316"/>
      <c r="S213" s="316"/>
      <c r="T213" s="307">
        <f>P68/N68</f>
        <v>7.8128976169727464E-3</v>
      </c>
      <c r="U213" s="272"/>
      <c r="V213" s="272"/>
      <c r="W213" s="275"/>
      <c r="X213" s="5"/>
    </row>
    <row r="214" spans="1:24" ht="15.6" x14ac:dyDescent="0.3">
      <c r="A214" s="349"/>
      <c r="B214" s="272" t="s">
        <v>78</v>
      </c>
      <c r="C214" s="350"/>
      <c r="D214" s="350"/>
      <c r="E214" s="350"/>
      <c r="F214" s="350"/>
      <c r="G214" s="316"/>
      <c r="H214" s="316"/>
      <c r="I214" s="316"/>
      <c r="J214" s="316"/>
      <c r="K214" s="316"/>
      <c r="L214" s="316"/>
      <c r="M214" s="316"/>
      <c r="N214" s="316"/>
      <c r="O214" s="316"/>
      <c r="P214" s="316"/>
      <c r="Q214" s="316"/>
      <c r="R214" s="316"/>
      <c r="S214" s="316"/>
      <c r="T214" s="307">
        <v>6.7799999999999999E-2</v>
      </c>
      <c r="U214" s="272"/>
      <c r="V214" s="272"/>
      <c r="W214" s="275"/>
      <c r="X214" s="5"/>
    </row>
    <row r="215" spans="1:24" ht="15.6" x14ac:dyDescent="0.3">
      <c r="A215" s="211"/>
      <c r="B215" s="347"/>
      <c r="C215" s="347"/>
      <c r="D215" s="347"/>
      <c r="E215" s="347"/>
      <c r="F215" s="347"/>
      <c r="G215" s="321"/>
      <c r="H215" s="321"/>
      <c r="I215" s="321"/>
      <c r="J215" s="321"/>
      <c r="K215" s="321"/>
      <c r="L215" s="321"/>
      <c r="M215" s="321"/>
      <c r="N215" s="321"/>
      <c r="O215" s="321"/>
      <c r="P215" s="321"/>
      <c r="Q215" s="321"/>
      <c r="R215" s="321"/>
      <c r="S215" s="321"/>
      <c r="T215" s="340"/>
      <c r="U215" s="321"/>
      <c r="V215" s="348"/>
      <c r="W215" s="321"/>
      <c r="X215" s="5"/>
    </row>
    <row r="216" spans="1:24" ht="15.6" x14ac:dyDescent="0.3">
      <c r="A216" s="215"/>
      <c r="B216" s="219" t="s">
        <v>79</v>
      </c>
      <c r="C216" s="224"/>
      <c r="D216" s="224"/>
      <c r="E216" s="224"/>
      <c r="F216" s="251"/>
      <c r="G216" s="224"/>
      <c r="H216" s="224"/>
      <c r="I216" s="224"/>
      <c r="J216" s="224"/>
      <c r="K216" s="224"/>
      <c r="L216" s="224"/>
      <c r="M216" s="224"/>
      <c r="N216" s="224"/>
      <c r="O216" s="224"/>
      <c r="P216" s="224"/>
      <c r="Q216" s="224"/>
      <c r="R216" s="224"/>
      <c r="S216" s="224" t="s">
        <v>103</v>
      </c>
      <c r="T216" s="251" t="s">
        <v>110</v>
      </c>
      <c r="U216" s="220"/>
      <c r="V216" s="220"/>
      <c r="W216" s="220"/>
      <c r="X216" s="5"/>
    </row>
    <row r="217" spans="1:24" ht="15.6" x14ac:dyDescent="0.3">
      <c r="A217" s="356"/>
      <c r="B217" s="272" t="s">
        <v>80</v>
      </c>
      <c r="C217" s="324"/>
      <c r="D217" s="324"/>
      <c r="E217" s="324"/>
      <c r="F217" s="272"/>
      <c r="G217" s="272"/>
      <c r="H217" s="280"/>
      <c r="I217" s="280"/>
      <c r="J217" s="280"/>
      <c r="K217" s="280"/>
      <c r="L217" s="280"/>
      <c r="M217" s="280"/>
      <c r="N217" s="280"/>
      <c r="O217" s="280"/>
      <c r="P217" s="280"/>
      <c r="Q217" s="280"/>
      <c r="R217" s="280"/>
      <c r="S217" s="280">
        <v>0</v>
      </c>
      <c r="T217" s="357">
        <v>0</v>
      </c>
      <c r="U217" s="272"/>
      <c r="V217" s="358"/>
      <c r="W217" s="359"/>
      <c r="X217" s="5"/>
    </row>
    <row r="218" spans="1:24" ht="15.6" x14ac:dyDescent="0.3">
      <c r="A218" s="356"/>
      <c r="B218" s="272" t="s">
        <v>148</v>
      </c>
      <c r="C218" s="324"/>
      <c r="D218" s="324"/>
      <c r="E218" s="324"/>
      <c r="F218" s="272"/>
      <c r="G218" s="272"/>
      <c r="H218" s="280"/>
      <c r="I218" s="280"/>
      <c r="J218" s="280"/>
      <c r="K218" s="280"/>
      <c r="L218" s="280"/>
      <c r="M218" s="280"/>
      <c r="N218" s="280"/>
      <c r="O218" s="280"/>
      <c r="P218" s="280"/>
      <c r="Q218" s="280"/>
      <c r="R218" s="280"/>
      <c r="S218" s="360">
        <f>+R270</f>
        <v>174</v>
      </c>
      <c r="T218" s="357">
        <f>+T270</f>
        <v>26376</v>
      </c>
      <c r="U218" s="272"/>
      <c r="V218" s="358"/>
      <c r="W218" s="359"/>
      <c r="X218" s="5"/>
    </row>
    <row r="219" spans="1:24" ht="15.6" x14ac:dyDescent="0.3">
      <c r="A219" s="356"/>
      <c r="B219" s="272" t="s">
        <v>81</v>
      </c>
      <c r="C219" s="324"/>
      <c r="D219" s="324"/>
      <c r="E219" s="324"/>
      <c r="F219" s="272"/>
      <c r="G219" s="272"/>
      <c r="H219" s="280"/>
      <c r="I219" s="280"/>
      <c r="J219" s="280"/>
      <c r="K219" s="280"/>
      <c r="L219" s="280"/>
      <c r="M219" s="280"/>
      <c r="N219" s="280"/>
      <c r="O219" s="280"/>
      <c r="P219" s="280"/>
      <c r="Q219" s="280"/>
      <c r="R219" s="280"/>
      <c r="S219" s="360">
        <f>+R282</f>
        <v>2</v>
      </c>
      <c r="T219" s="357">
        <f>+T282</f>
        <v>485</v>
      </c>
      <c r="U219" s="272"/>
      <c r="V219" s="358"/>
      <c r="W219" s="359"/>
      <c r="X219" s="5"/>
    </row>
    <row r="220" spans="1:24" ht="15.6" x14ac:dyDescent="0.3">
      <c r="A220" s="356"/>
      <c r="B220" s="297" t="s">
        <v>82</v>
      </c>
      <c r="C220" s="361"/>
      <c r="D220" s="361"/>
      <c r="E220" s="361"/>
      <c r="F220" s="298"/>
      <c r="G220" s="298"/>
      <c r="H220" s="298"/>
      <c r="I220" s="298"/>
      <c r="J220" s="298"/>
      <c r="K220" s="298"/>
      <c r="L220" s="298"/>
      <c r="M220" s="298"/>
      <c r="N220" s="298"/>
      <c r="O220" s="298"/>
      <c r="P220" s="298"/>
      <c r="Q220" s="298"/>
      <c r="R220" s="298"/>
      <c r="S220" s="298"/>
      <c r="T220" s="357">
        <v>0</v>
      </c>
      <c r="U220" s="298"/>
      <c r="V220" s="362"/>
      <c r="W220" s="363"/>
      <c r="X220" s="5"/>
    </row>
    <row r="221" spans="1:24" ht="15.6" x14ac:dyDescent="0.3">
      <c r="A221" s="356"/>
      <c r="B221" s="297" t="s">
        <v>275</v>
      </c>
      <c r="C221" s="361"/>
      <c r="D221" s="361"/>
      <c r="E221" s="361"/>
      <c r="F221" s="298"/>
      <c r="G221" s="298"/>
      <c r="H221" s="298"/>
      <c r="I221" s="298"/>
      <c r="J221" s="298"/>
      <c r="K221" s="298"/>
      <c r="L221" s="298"/>
      <c r="M221" s="298"/>
      <c r="N221" s="298"/>
      <c r="O221" s="298"/>
      <c r="P221" s="298"/>
      <c r="Q221" s="298"/>
      <c r="R221" s="298"/>
      <c r="S221" s="298"/>
      <c r="T221" s="357">
        <f>+N81</f>
        <v>0</v>
      </c>
      <c r="U221" s="298"/>
      <c r="V221" s="362"/>
      <c r="W221" s="363"/>
      <c r="X221" s="5"/>
    </row>
    <row r="222" spans="1:24" ht="15.6" x14ac:dyDescent="0.3">
      <c r="A222" s="364"/>
      <c r="B222" s="297" t="s">
        <v>83</v>
      </c>
      <c r="C222" s="365"/>
      <c r="D222" s="365"/>
      <c r="E222" s="365"/>
      <c r="F222" s="365"/>
      <c r="G222" s="298"/>
      <c r="H222" s="298"/>
      <c r="I222" s="298"/>
      <c r="J222" s="298"/>
      <c r="K222" s="298"/>
      <c r="L222" s="298"/>
      <c r="M222" s="298"/>
      <c r="N222" s="298"/>
      <c r="O222" s="298"/>
      <c r="P222" s="298"/>
      <c r="Q222" s="298"/>
      <c r="R222" s="298"/>
      <c r="S222" s="298"/>
      <c r="T222" s="366"/>
      <c r="U222" s="298"/>
      <c r="V222" s="362"/>
      <c r="W222" s="367"/>
      <c r="X222" s="5"/>
    </row>
    <row r="223" spans="1:24" ht="15.6" x14ac:dyDescent="0.3">
      <c r="A223" s="364"/>
      <c r="B223" s="272" t="s">
        <v>84</v>
      </c>
      <c r="C223" s="272"/>
      <c r="D223" s="272"/>
      <c r="E223" s="272"/>
      <c r="F223" s="272"/>
      <c r="G223" s="272"/>
      <c r="H223" s="272"/>
      <c r="I223" s="272"/>
      <c r="J223" s="272"/>
      <c r="K223" s="272"/>
      <c r="L223" s="272"/>
      <c r="M223" s="272"/>
      <c r="N223" s="272"/>
      <c r="O223" s="272"/>
      <c r="P223" s="272"/>
      <c r="Q223" s="272"/>
      <c r="R223" s="272"/>
      <c r="S223" s="280"/>
      <c r="T223" s="357">
        <f>V167</f>
        <v>381</v>
      </c>
      <c r="U223" s="272"/>
      <c r="V223" s="362"/>
      <c r="W223" s="367"/>
      <c r="X223" s="5"/>
    </row>
    <row r="224" spans="1:24" ht="15.6" x14ac:dyDescent="0.3">
      <c r="A224" s="356"/>
      <c r="B224" s="272" t="s">
        <v>85</v>
      </c>
      <c r="C224" s="324"/>
      <c r="D224" s="324"/>
      <c r="E224" s="324"/>
      <c r="F224" s="324"/>
      <c r="G224" s="272"/>
      <c r="H224" s="272"/>
      <c r="I224" s="272"/>
      <c r="J224" s="272"/>
      <c r="K224" s="272"/>
      <c r="L224" s="272"/>
      <c r="M224" s="272"/>
      <c r="N224" s="272"/>
      <c r="O224" s="272"/>
      <c r="P224" s="272"/>
      <c r="Q224" s="272"/>
      <c r="R224" s="272"/>
      <c r="S224" s="280"/>
      <c r="T224" s="357">
        <f>'Dec 13'!T224+T223</f>
        <v>5591</v>
      </c>
      <c r="U224" s="272"/>
      <c r="V224" s="362"/>
      <c r="W224" s="367"/>
      <c r="X224" s="5"/>
    </row>
    <row r="225" spans="1:25" ht="15.6" x14ac:dyDescent="0.3">
      <c r="A225" s="364"/>
      <c r="B225" s="297" t="s">
        <v>297</v>
      </c>
      <c r="C225" s="365"/>
      <c r="D225" s="365"/>
      <c r="E225" s="365"/>
      <c r="F225" s="365"/>
      <c r="G225" s="298"/>
      <c r="H225" s="298"/>
      <c r="I225" s="298"/>
      <c r="J225" s="298"/>
      <c r="K225" s="298"/>
      <c r="L225" s="298"/>
      <c r="M225" s="298"/>
      <c r="N225" s="298"/>
      <c r="O225" s="298"/>
      <c r="P225" s="298"/>
      <c r="Q225" s="298"/>
      <c r="R225" s="298"/>
      <c r="S225" s="302"/>
      <c r="T225" s="366"/>
      <c r="U225" s="298"/>
      <c r="V225" s="362"/>
      <c r="W225" s="367"/>
      <c r="X225" s="5"/>
    </row>
    <row r="226" spans="1:25" ht="15.6" x14ac:dyDescent="0.3">
      <c r="A226" s="364"/>
      <c r="B226" s="272" t="s">
        <v>295</v>
      </c>
      <c r="C226" s="365"/>
      <c r="D226" s="365"/>
      <c r="E226" s="365"/>
      <c r="F226" s="365"/>
      <c r="G226" s="298"/>
      <c r="H226" s="298"/>
      <c r="I226" s="298"/>
      <c r="J226" s="298"/>
      <c r="K226" s="298"/>
      <c r="L226" s="298"/>
      <c r="M226" s="298"/>
      <c r="N226" s="298"/>
      <c r="O226" s="298"/>
      <c r="P226" s="298"/>
      <c r="Q226" s="298"/>
      <c r="R226" s="298"/>
      <c r="S226" s="280">
        <v>0</v>
      </c>
      <c r="T226" s="357">
        <v>0</v>
      </c>
      <c r="U226" s="298"/>
      <c r="V226" s="362"/>
      <c r="W226" s="367"/>
      <c r="X226" s="5"/>
    </row>
    <row r="227" spans="1:25" ht="15.6" x14ac:dyDescent="0.3">
      <c r="A227" s="356"/>
      <c r="B227" s="272" t="s">
        <v>87</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72" t="s">
        <v>88</v>
      </c>
      <c r="C228" s="370"/>
      <c r="D228" s="370"/>
      <c r="E228" s="370"/>
      <c r="F228" s="371"/>
      <c r="G228" s="298"/>
      <c r="H228" s="298"/>
      <c r="I228" s="298"/>
      <c r="J228" s="298"/>
      <c r="K228" s="298"/>
      <c r="L228" s="298"/>
      <c r="M228" s="298"/>
      <c r="N228" s="298"/>
      <c r="O228" s="298"/>
      <c r="P228" s="298"/>
      <c r="Q228" s="298"/>
      <c r="R228" s="298"/>
      <c r="S228" s="272"/>
      <c r="T228" s="372">
        <v>0</v>
      </c>
      <c r="U228" s="298"/>
      <c r="V228" s="362"/>
      <c r="W228" s="367"/>
      <c r="X228" s="5"/>
    </row>
    <row r="229" spans="1:25" ht="15.6" x14ac:dyDescent="0.3">
      <c r="A229" s="356"/>
      <c r="B229" s="297" t="s">
        <v>220</v>
      </c>
      <c r="C229" s="370"/>
      <c r="D229" s="370"/>
      <c r="E229" s="370"/>
      <c r="F229" s="371"/>
      <c r="G229" s="298"/>
      <c r="H229" s="298"/>
      <c r="I229" s="298"/>
      <c r="J229" s="298"/>
      <c r="K229" s="298"/>
      <c r="L229" s="298"/>
      <c r="M229" s="298"/>
      <c r="N229" s="298"/>
      <c r="O229" s="298"/>
      <c r="P229" s="298"/>
      <c r="Q229" s="298"/>
      <c r="R229" s="298"/>
      <c r="S229" s="272"/>
      <c r="T229" s="373"/>
      <c r="U229" s="298"/>
      <c r="V229" s="362"/>
      <c r="W229" s="367"/>
      <c r="X229" s="5"/>
    </row>
    <row r="230" spans="1:25" ht="15.6" x14ac:dyDescent="0.3">
      <c r="A230" s="356"/>
      <c r="B230" s="272" t="s">
        <v>295</v>
      </c>
      <c r="C230" s="370"/>
      <c r="D230" s="370"/>
      <c r="E230" s="370"/>
      <c r="F230" s="371"/>
      <c r="G230" s="298"/>
      <c r="H230" s="298"/>
      <c r="I230" s="298"/>
      <c r="J230" s="298"/>
      <c r="K230" s="298"/>
      <c r="L230" s="298"/>
      <c r="M230" s="298"/>
      <c r="N230" s="298"/>
      <c r="O230" s="298"/>
      <c r="P230" s="298"/>
      <c r="Q230" s="298"/>
      <c r="R230" s="298"/>
      <c r="S230" s="280">
        <v>11</v>
      </c>
      <c r="T230" s="357">
        <v>988</v>
      </c>
      <c r="U230" s="298"/>
      <c r="V230" s="362"/>
      <c r="W230" s="367"/>
      <c r="X230" s="5"/>
    </row>
    <row r="231" spans="1:25" ht="15.6" x14ac:dyDescent="0.3">
      <c r="A231" s="356"/>
      <c r="B231" s="272" t="s">
        <v>221</v>
      </c>
      <c r="C231" s="370"/>
      <c r="D231" s="370"/>
      <c r="E231" s="370"/>
      <c r="F231" s="371"/>
      <c r="G231" s="298"/>
      <c r="H231" s="298"/>
      <c r="I231" s="298"/>
      <c r="J231" s="298"/>
      <c r="K231" s="298"/>
      <c r="L231" s="298"/>
      <c r="M231" s="298"/>
      <c r="N231" s="298"/>
      <c r="O231" s="298"/>
      <c r="P231" s="298"/>
      <c r="Q231" s="298"/>
      <c r="R231" s="298"/>
      <c r="S231" s="272"/>
      <c r="T231" s="372">
        <v>2.11</v>
      </c>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5.6" x14ac:dyDescent="0.3">
      <c r="A233" s="356"/>
      <c r="B233" s="365"/>
      <c r="C233" s="370"/>
      <c r="D233" s="370"/>
      <c r="E233" s="370"/>
      <c r="F233" s="371"/>
      <c r="G233" s="298"/>
      <c r="H233" s="298"/>
      <c r="I233" s="298"/>
      <c r="J233" s="298"/>
      <c r="K233" s="298"/>
      <c r="L233" s="298"/>
      <c r="M233" s="298"/>
      <c r="N233" s="298"/>
      <c r="O233" s="298"/>
      <c r="P233" s="298"/>
      <c r="Q233" s="298"/>
      <c r="R233" s="298"/>
      <c r="S233" s="298"/>
      <c r="T233" s="374"/>
      <c r="U233" s="298"/>
      <c r="V233" s="362"/>
      <c r="W233" s="367"/>
      <c r="X233" s="5"/>
    </row>
    <row r="234" spans="1:25" ht="17.399999999999999" x14ac:dyDescent="0.3">
      <c r="A234" s="356"/>
      <c r="B234" s="375" t="s">
        <v>171</v>
      </c>
      <c r="C234" s="370"/>
      <c r="D234" s="370"/>
      <c r="E234" s="370"/>
      <c r="F234" s="371"/>
      <c r="G234" s="298"/>
      <c r="H234" s="298"/>
      <c r="I234" s="298"/>
      <c r="J234" s="298"/>
      <c r="K234" s="298"/>
      <c r="L234" s="298"/>
      <c r="M234" s="298"/>
      <c r="N234" s="298"/>
      <c r="O234" s="298"/>
      <c r="P234" s="376" t="s">
        <v>170</v>
      </c>
      <c r="Q234" s="298"/>
      <c r="R234" s="298"/>
      <c r="S234" s="298"/>
      <c r="T234" s="374"/>
      <c r="U234" s="298"/>
      <c r="V234" s="362"/>
      <c r="W234" s="367"/>
      <c r="X234" s="5"/>
    </row>
    <row r="235" spans="1:25" ht="15.6" x14ac:dyDescent="0.3">
      <c r="A235" s="215"/>
      <c r="B235" s="347"/>
      <c r="C235" s="352"/>
      <c r="D235" s="352"/>
      <c r="E235" s="352"/>
      <c r="F235" s="353"/>
      <c r="G235" s="321"/>
      <c r="H235" s="321"/>
      <c r="I235" s="321"/>
      <c r="J235" s="321"/>
      <c r="K235" s="321"/>
      <c r="L235" s="321"/>
      <c r="M235" s="321"/>
      <c r="N235" s="321"/>
      <c r="O235" s="321"/>
      <c r="P235" s="321"/>
      <c r="Q235" s="321"/>
      <c r="R235" s="321"/>
      <c r="S235" s="321"/>
      <c r="T235" s="354"/>
      <c r="U235" s="321"/>
      <c r="V235" s="348"/>
      <c r="W235" s="355"/>
      <c r="X235" s="5"/>
    </row>
    <row r="236" spans="1:25" ht="15.6" x14ac:dyDescent="0.3">
      <c r="A236" s="239"/>
      <c r="B236" s="253" t="s">
        <v>310</v>
      </c>
      <c r="C236" s="254"/>
      <c r="D236" s="254"/>
      <c r="E236" s="254"/>
      <c r="F236" s="255"/>
      <c r="G236" s="254"/>
      <c r="H236" s="254"/>
      <c r="I236" s="254"/>
      <c r="J236" s="254"/>
      <c r="K236" s="254"/>
      <c r="L236" s="254"/>
      <c r="M236" s="254"/>
      <c r="N236" s="254"/>
      <c r="O236" s="254"/>
      <c r="P236" s="254"/>
      <c r="Q236" s="254"/>
      <c r="R236" s="255" t="s">
        <v>103</v>
      </c>
      <c r="S236" s="254" t="s">
        <v>104</v>
      </c>
      <c r="T236" s="255" t="s">
        <v>111</v>
      </c>
      <c r="U236" s="254" t="s">
        <v>104</v>
      </c>
      <c r="V236" s="240"/>
      <c r="W236" s="253"/>
      <c r="X236" s="5"/>
    </row>
    <row r="237" spans="1:25" ht="15.6" x14ac:dyDescent="0.3">
      <c r="A237" s="192"/>
      <c r="B237" s="231" t="s">
        <v>89</v>
      </c>
      <c r="C237" s="260"/>
      <c r="D237" s="260"/>
      <c r="E237" s="260"/>
      <c r="F237" s="229"/>
      <c r="G237" s="260"/>
      <c r="H237" s="260"/>
      <c r="I237" s="260"/>
      <c r="J237" s="260"/>
      <c r="K237" s="260"/>
      <c r="L237" s="260"/>
      <c r="M237" s="260"/>
      <c r="N237" s="260"/>
      <c r="O237" s="260"/>
      <c r="P237" s="260"/>
      <c r="Q237" s="260"/>
      <c r="R237" s="324">
        <f t="shared" ref="R237:R244" si="1">+R249+R261+R273</f>
        <v>7392</v>
      </c>
      <c r="S237" s="381">
        <f t="shared" ref="S237:S244" si="2">R237/$R$246</f>
        <v>0.99208159978526367</v>
      </c>
      <c r="T237" s="325">
        <f t="shared" ref="T237:T244" si="3">+T249+T261+T273</f>
        <v>948456</v>
      </c>
      <c r="U237" s="381">
        <f t="shared" ref="U237:U244" si="4">T237/$T$246</f>
        <v>0.99250121910127642</v>
      </c>
      <c r="V237" s="252"/>
      <c r="W237" s="230"/>
      <c r="X237" s="5"/>
    </row>
    <row r="238" spans="1:25" ht="15.6" x14ac:dyDescent="0.3">
      <c r="A238" s="271"/>
      <c r="B238" s="324" t="s">
        <v>90</v>
      </c>
      <c r="C238" s="380"/>
      <c r="D238" s="380"/>
      <c r="E238" s="380"/>
      <c r="F238" s="272"/>
      <c r="G238" s="381"/>
      <c r="H238" s="380"/>
      <c r="I238" s="380"/>
      <c r="J238" s="380"/>
      <c r="K238" s="380"/>
      <c r="L238" s="380"/>
      <c r="M238" s="380"/>
      <c r="N238" s="380"/>
      <c r="O238" s="380"/>
      <c r="P238" s="380"/>
      <c r="Q238" s="380"/>
      <c r="R238" s="324">
        <f t="shared" si="1"/>
        <v>21</v>
      </c>
      <c r="S238" s="381">
        <f t="shared" si="2"/>
        <v>2.81841363575359E-3</v>
      </c>
      <c r="T238" s="325">
        <f t="shared" si="3"/>
        <v>2247</v>
      </c>
      <c r="U238" s="381">
        <f t="shared" si="4"/>
        <v>2.3513481271883654E-3</v>
      </c>
      <c r="V238" s="358"/>
      <c r="W238" s="382"/>
      <c r="X238" s="5"/>
      <c r="Y238" s="109"/>
    </row>
    <row r="239" spans="1:25" ht="15.6" x14ac:dyDescent="0.3">
      <c r="A239" s="271"/>
      <c r="B239" s="324" t="s">
        <v>91</v>
      </c>
      <c r="C239" s="380"/>
      <c r="D239" s="380"/>
      <c r="E239" s="380"/>
      <c r="F239" s="272"/>
      <c r="G239" s="381"/>
      <c r="H239" s="380"/>
      <c r="I239" s="380"/>
      <c r="J239" s="380"/>
      <c r="K239" s="380"/>
      <c r="L239" s="380"/>
      <c r="M239" s="380"/>
      <c r="N239" s="380"/>
      <c r="O239" s="380"/>
      <c r="P239" s="380"/>
      <c r="Q239" s="380"/>
      <c r="R239" s="324">
        <f t="shared" si="1"/>
        <v>2</v>
      </c>
      <c r="S239" s="381">
        <f t="shared" si="2"/>
        <v>2.6842034626224669E-4</v>
      </c>
      <c r="T239" s="325">
        <f t="shared" si="3"/>
        <v>200</v>
      </c>
      <c r="U239" s="381">
        <f t="shared" si="4"/>
        <v>2.0928777278045085E-4</v>
      </c>
      <c r="V239" s="358"/>
      <c r="W239" s="382"/>
      <c r="X239" s="5"/>
    </row>
    <row r="240" spans="1:25" ht="15.6" x14ac:dyDescent="0.3">
      <c r="A240" s="271"/>
      <c r="B240" s="324" t="s">
        <v>159</v>
      </c>
      <c r="C240" s="380"/>
      <c r="D240" s="380"/>
      <c r="E240" s="380"/>
      <c r="F240" s="272"/>
      <c r="G240" s="381"/>
      <c r="H240" s="380"/>
      <c r="I240" s="380"/>
      <c r="J240" s="380"/>
      <c r="K240" s="380"/>
      <c r="L240" s="380"/>
      <c r="M240" s="380"/>
      <c r="N240" s="380"/>
      <c r="O240" s="380"/>
      <c r="P240" s="380"/>
      <c r="Q240" s="380"/>
      <c r="R240" s="324">
        <f t="shared" si="1"/>
        <v>1</v>
      </c>
      <c r="S240" s="381">
        <f t="shared" si="2"/>
        <v>1.3421017313112335E-4</v>
      </c>
      <c r="T240" s="325">
        <f t="shared" si="3"/>
        <v>118</v>
      </c>
      <c r="U240" s="381">
        <f t="shared" si="4"/>
        <v>1.2347978594046599E-4</v>
      </c>
      <c r="V240" s="358"/>
      <c r="W240" s="382"/>
      <c r="X240" s="5"/>
      <c r="Y240" s="109"/>
    </row>
    <row r="241" spans="1:25" ht="15.6" x14ac:dyDescent="0.3">
      <c r="A241" s="271"/>
      <c r="B241" s="324" t="s">
        <v>160</v>
      </c>
      <c r="C241" s="380"/>
      <c r="D241" s="380"/>
      <c r="E241" s="380"/>
      <c r="F241" s="272"/>
      <c r="G241" s="381"/>
      <c r="H241" s="380"/>
      <c r="I241" s="380"/>
      <c r="J241" s="380"/>
      <c r="K241" s="380"/>
      <c r="L241" s="380"/>
      <c r="M241" s="380"/>
      <c r="N241" s="380"/>
      <c r="O241" s="380"/>
      <c r="P241" s="380"/>
      <c r="Q241" s="380"/>
      <c r="R241" s="324">
        <f t="shared" si="1"/>
        <v>1</v>
      </c>
      <c r="S241" s="381">
        <f t="shared" si="2"/>
        <v>1.3421017313112335E-4</v>
      </c>
      <c r="T241" s="325">
        <f t="shared" si="3"/>
        <v>39</v>
      </c>
      <c r="U241" s="381">
        <f t="shared" si="4"/>
        <v>4.0811115692187912E-5</v>
      </c>
      <c r="V241" s="358"/>
      <c r="W241" s="382"/>
      <c r="X241" s="5"/>
    </row>
    <row r="242" spans="1:25" ht="15.6" x14ac:dyDescent="0.3">
      <c r="A242" s="271"/>
      <c r="B242" s="324" t="s">
        <v>161</v>
      </c>
      <c r="C242" s="380"/>
      <c r="D242" s="380"/>
      <c r="E242" s="380"/>
      <c r="F242" s="272"/>
      <c r="G242" s="381"/>
      <c r="H242" s="380"/>
      <c r="I242" s="380"/>
      <c r="J242" s="380"/>
      <c r="K242" s="380"/>
      <c r="L242" s="380"/>
      <c r="M242" s="380"/>
      <c r="N242" s="380"/>
      <c r="O242" s="380"/>
      <c r="P242" s="380"/>
      <c r="Q242" s="380"/>
      <c r="R242" s="324">
        <f t="shared" si="1"/>
        <v>0</v>
      </c>
      <c r="S242" s="381">
        <f t="shared" si="2"/>
        <v>0</v>
      </c>
      <c r="T242" s="325">
        <f t="shared" si="3"/>
        <v>0</v>
      </c>
      <c r="U242" s="381">
        <f t="shared" si="4"/>
        <v>0</v>
      </c>
      <c r="V242" s="358"/>
      <c r="W242" s="382"/>
      <c r="X242" s="5"/>
      <c r="Y242" s="109"/>
    </row>
    <row r="243" spans="1:25" ht="15.6" x14ac:dyDescent="0.3">
      <c r="A243" s="271"/>
      <c r="B243" s="324" t="s">
        <v>162</v>
      </c>
      <c r="C243" s="380"/>
      <c r="D243" s="380"/>
      <c r="E243" s="380"/>
      <c r="F243" s="272"/>
      <c r="G243" s="381"/>
      <c r="H243" s="380"/>
      <c r="I243" s="380"/>
      <c r="J243" s="380"/>
      <c r="K243" s="380"/>
      <c r="L243" s="380"/>
      <c r="M243" s="380"/>
      <c r="N243" s="380"/>
      <c r="O243" s="380"/>
      <c r="P243" s="380"/>
      <c r="Q243" s="380"/>
      <c r="R243" s="324">
        <f t="shared" si="1"/>
        <v>4</v>
      </c>
      <c r="S243" s="381">
        <f t="shared" si="2"/>
        <v>5.3684069252449339E-4</v>
      </c>
      <c r="T243" s="325">
        <f t="shared" si="3"/>
        <v>414</v>
      </c>
      <c r="U243" s="381">
        <f t="shared" si="4"/>
        <v>4.3322568965553323E-4</v>
      </c>
      <c r="V243" s="358"/>
      <c r="W243" s="382"/>
      <c r="X243" s="5"/>
    </row>
    <row r="244" spans="1:25" ht="15.6" x14ac:dyDescent="0.3">
      <c r="A244" s="271"/>
      <c r="B244" s="324" t="s">
        <v>163</v>
      </c>
      <c r="C244" s="380"/>
      <c r="D244" s="380"/>
      <c r="E244" s="380"/>
      <c r="F244" s="272"/>
      <c r="G244" s="381"/>
      <c r="H244" s="380"/>
      <c r="I244" s="380"/>
      <c r="J244" s="380"/>
      <c r="K244" s="380"/>
      <c r="L244" s="380"/>
      <c r="M244" s="380"/>
      <c r="N244" s="380"/>
      <c r="O244" s="380"/>
      <c r="P244" s="380"/>
      <c r="Q244" s="380"/>
      <c r="R244" s="324">
        <f t="shared" si="1"/>
        <v>30</v>
      </c>
      <c r="S244" s="381">
        <f t="shared" si="2"/>
        <v>4.0263051939336998E-3</v>
      </c>
      <c r="T244" s="325">
        <f t="shared" si="3"/>
        <v>4148</v>
      </c>
      <c r="U244" s="381">
        <f t="shared" si="4"/>
        <v>4.340628407466551E-3</v>
      </c>
      <c r="V244" s="358"/>
      <c r="W244" s="382"/>
      <c r="X244" s="5"/>
      <c r="Y244" s="109"/>
    </row>
    <row r="245" spans="1:25" ht="15.6" x14ac:dyDescent="0.3">
      <c r="A245" s="271"/>
      <c r="B245" s="324"/>
      <c r="C245" s="380"/>
      <c r="D245" s="380"/>
      <c r="E245" s="380"/>
      <c r="F245" s="272"/>
      <c r="G245" s="381"/>
      <c r="H245" s="380"/>
      <c r="I245" s="380"/>
      <c r="J245" s="380"/>
      <c r="K245" s="380"/>
      <c r="L245" s="380"/>
      <c r="M245" s="380"/>
      <c r="N245" s="380"/>
      <c r="O245" s="380"/>
      <c r="P245" s="380"/>
      <c r="Q245" s="380"/>
      <c r="R245" s="324"/>
      <c r="S245" s="381"/>
      <c r="T245" s="325"/>
      <c r="U245" s="381"/>
      <c r="V245" s="358"/>
      <c r="W245" s="382"/>
      <c r="X245" s="5"/>
    </row>
    <row r="246" spans="1:25" ht="15.6" x14ac:dyDescent="0.3">
      <c r="A246" s="271"/>
      <c r="B246" s="272" t="s">
        <v>117</v>
      </c>
      <c r="C246" s="272"/>
      <c r="D246" s="272"/>
      <c r="E246" s="272"/>
      <c r="F246" s="272"/>
      <c r="G246" s="272"/>
      <c r="H246" s="383"/>
      <c r="I246" s="383"/>
      <c r="J246" s="383"/>
      <c r="K246" s="383"/>
      <c r="L246" s="383"/>
      <c r="M246" s="383"/>
      <c r="N246" s="383"/>
      <c r="O246" s="383"/>
      <c r="P246" s="383"/>
      <c r="Q246" s="383"/>
      <c r="R246" s="324">
        <f>SUM(R237:R245)</f>
        <v>7451</v>
      </c>
      <c r="S246" s="381">
        <f>SUM(S237:S245)</f>
        <v>0.99999999999999989</v>
      </c>
      <c r="T246" s="325">
        <f>SUM(T237:T245)</f>
        <v>955622</v>
      </c>
      <c r="U246" s="381">
        <f>SUM(U237:U245)</f>
        <v>1</v>
      </c>
      <c r="V246" s="272"/>
      <c r="W246" s="275"/>
      <c r="X246" s="5"/>
    </row>
    <row r="247" spans="1:25" ht="15.6" x14ac:dyDescent="0.3">
      <c r="A247" s="215"/>
      <c r="B247" s="347"/>
      <c r="C247" s="352"/>
      <c r="D247" s="352"/>
      <c r="E247" s="352"/>
      <c r="F247" s="353"/>
      <c r="G247" s="321"/>
      <c r="H247" s="321"/>
      <c r="I247" s="321"/>
      <c r="J247" s="321"/>
      <c r="K247" s="321"/>
      <c r="L247" s="321"/>
      <c r="M247" s="321"/>
      <c r="N247" s="321"/>
      <c r="O247" s="321"/>
      <c r="P247" s="321"/>
      <c r="Q247" s="321"/>
      <c r="R247" s="321"/>
      <c r="S247" s="321"/>
      <c r="T247" s="354"/>
      <c r="U247" s="321"/>
      <c r="V247" s="348"/>
      <c r="W247" s="355"/>
      <c r="X247" s="5"/>
    </row>
    <row r="248" spans="1:25" ht="15.6" x14ac:dyDescent="0.3">
      <c r="A248" s="239"/>
      <c r="B248" s="253" t="s">
        <v>165</v>
      </c>
      <c r="C248" s="254"/>
      <c r="D248" s="254"/>
      <c r="E248" s="254"/>
      <c r="F248" s="255"/>
      <c r="G248" s="254"/>
      <c r="H248" s="254"/>
      <c r="I248" s="254"/>
      <c r="J248" s="254"/>
      <c r="K248" s="254"/>
      <c r="L248" s="254"/>
      <c r="M248" s="254"/>
      <c r="N248" s="254"/>
      <c r="O248" s="254"/>
      <c r="P248" s="254"/>
      <c r="Q248" s="254"/>
      <c r="R248" s="255" t="s">
        <v>103</v>
      </c>
      <c r="S248" s="254" t="s">
        <v>104</v>
      </c>
      <c r="T248" s="255" t="s">
        <v>111</v>
      </c>
      <c r="U248" s="254" t="s">
        <v>104</v>
      </c>
      <c r="V248" s="240"/>
      <c r="W248" s="253"/>
      <c r="X248" s="5"/>
    </row>
    <row r="249" spans="1:25" ht="15.6" x14ac:dyDescent="0.3">
      <c r="A249" s="192"/>
      <c r="B249" s="231" t="s">
        <v>89</v>
      </c>
      <c r="C249" s="260"/>
      <c r="D249" s="260"/>
      <c r="E249" s="260"/>
      <c r="F249" s="229"/>
      <c r="G249" s="260"/>
      <c r="H249" s="260"/>
      <c r="I249" s="260"/>
      <c r="J249" s="260"/>
      <c r="K249" s="260"/>
      <c r="L249" s="260"/>
      <c r="M249" s="260"/>
      <c r="N249" s="260"/>
      <c r="O249" s="260"/>
      <c r="P249" s="260"/>
      <c r="Q249" s="260"/>
      <c r="R249" s="231">
        <v>7260</v>
      </c>
      <c r="S249" s="261">
        <f t="shared" ref="S249:S256" si="5">R249/$R$258</f>
        <v>0.99793814432989691</v>
      </c>
      <c r="T249" s="238">
        <v>927111</v>
      </c>
      <c r="U249" s="261">
        <f t="shared" ref="U249:U256" si="6">T249/$T$258</f>
        <v>0.99822343961471249</v>
      </c>
      <c r="V249" s="252"/>
      <c r="W249" s="230"/>
      <c r="X249" s="5"/>
    </row>
    <row r="250" spans="1:25" ht="15.6" x14ac:dyDescent="0.3">
      <c r="A250" s="271"/>
      <c r="B250" s="324" t="s">
        <v>90</v>
      </c>
      <c r="C250" s="380"/>
      <c r="D250" s="380"/>
      <c r="E250" s="380"/>
      <c r="F250" s="272"/>
      <c r="G250" s="381"/>
      <c r="H250" s="380"/>
      <c r="I250" s="380"/>
      <c r="J250" s="380"/>
      <c r="K250" s="380"/>
      <c r="L250" s="380"/>
      <c r="M250" s="380"/>
      <c r="N250" s="380"/>
      <c r="O250" s="380"/>
      <c r="P250" s="380"/>
      <c r="Q250" s="380"/>
      <c r="R250" s="324">
        <v>12</v>
      </c>
      <c r="S250" s="381">
        <f t="shared" si="5"/>
        <v>1.6494845360824743E-3</v>
      </c>
      <c r="T250" s="325">
        <v>1365</v>
      </c>
      <c r="U250" s="381">
        <f t="shared" si="6"/>
        <v>1.4696999551014739E-3</v>
      </c>
      <c r="V250" s="358"/>
      <c r="W250" s="382"/>
      <c r="X250" s="5"/>
      <c r="Y250" s="109"/>
    </row>
    <row r="251" spans="1:25" ht="15.6" x14ac:dyDescent="0.3">
      <c r="A251" s="271"/>
      <c r="B251" s="324" t="s">
        <v>91</v>
      </c>
      <c r="C251" s="380"/>
      <c r="D251" s="380"/>
      <c r="E251" s="380"/>
      <c r="F251" s="272"/>
      <c r="G251" s="381"/>
      <c r="H251" s="380"/>
      <c r="I251" s="380"/>
      <c r="J251" s="380"/>
      <c r="K251" s="380"/>
      <c r="L251" s="380"/>
      <c r="M251" s="380"/>
      <c r="N251" s="380"/>
      <c r="O251" s="380"/>
      <c r="P251" s="380"/>
      <c r="Q251" s="380"/>
      <c r="R251" s="324">
        <v>1</v>
      </c>
      <c r="S251" s="381">
        <f t="shared" si="5"/>
        <v>1.3745704467353951E-4</v>
      </c>
      <c r="T251" s="325">
        <v>40</v>
      </c>
      <c r="U251" s="381">
        <f t="shared" si="6"/>
        <v>4.3068130552424145E-5</v>
      </c>
      <c r="V251" s="358"/>
      <c r="W251" s="382"/>
      <c r="X251" s="5"/>
    </row>
    <row r="252" spans="1:25" ht="15.6" x14ac:dyDescent="0.3">
      <c r="A252" s="271"/>
      <c r="B252" s="324" t="s">
        <v>159</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c r="Y252" s="109"/>
    </row>
    <row r="253" spans="1:25" ht="15.6" x14ac:dyDescent="0.3">
      <c r="A253" s="271"/>
      <c r="B253" s="324" t="s">
        <v>160</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row>
    <row r="254" spans="1:25" ht="15.6" x14ac:dyDescent="0.3">
      <c r="A254" s="271"/>
      <c r="B254" s="324" t="s">
        <v>161</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c r="Y254" s="109"/>
    </row>
    <row r="255" spans="1:25" ht="15.6" x14ac:dyDescent="0.3">
      <c r="A255" s="271"/>
      <c r="B255" s="324" t="s">
        <v>162</v>
      </c>
      <c r="C255" s="380"/>
      <c r="D255" s="380"/>
      <c r="E255" s="380"/>
      <c r="F255" s="272"/>
      <c r="G255" s="381"/>
      <c r="H255" s="380"/>
      <c r="I255" s="380"/>
      <c r="J255" s="380"/>
      <c r="K255" s="380"/>
      <c r="L255" s="380"/>
      <c r="M255" s="380"/>
      <c r="N255" s="380"/>
      <c r="O255" s="380"/>
      <c r="P255" s="380"/>
      <c r="Q255" s="380"/>
      <c r="R255" s="324">
        <v>0</v>
      </c>
      <c r="S255" s="381">
        <f t="shared" si="5"/>
        <v>0</v>
      </c>
      <c r="T255" s="325">
        <v>0</v>
      </c>
      <c r="U255" s="381">
        <f t="shared" si="6"/>
        <v>0</v>
      </c>
      <c r="V255" s="358"/>
      <c r="W255" s="382"/>
      <c r="X255" s="5"/>
    </row>
    <row r="256" spans="1:25" ht="15.6" x14ac:dyDescent="0.3">
      <c r="A256" s="271"/>
      <c r="B256" s="324" t="s">
        <v>163</v>
      </c>
      <c r="C256" s="380"/>
      <c r="D256" s="380"/>
      <c r="E256" s="380"/>
      <c r="F256" s="272"/>
      <c r="G256" s="381"/>
      <c r="H256" s="380"/>
      <c r="I256" s="380"/>
      <c r="J256" s="380"/>
      <c r="K256" s="380"/>
      <c r="L256" s="380"/>
      <c r="M256" s="380"/>
      <c r="N256" s="380"/>
      <c r="O256" s="380"/>
      <c r="P256" s="380"/>
      <c r="Q256" s="380"/>
      <c r="R256" s="324">
        <v>2</v>
      </c>
      <c r="S256" s="381">
        <f t="shared" si="5"/>
        <v>2.7491408934707902E-4</v>
      </c>
      <c r="T256" s="325">
        <v>245</v>
      </c>
      <c r="U256" s="381">
        <f t="shared" si="6"/>
        <v>2.6379229963359788E-4</v>
      </c>
      <c r="V256" s="358"/>
      <c r="W256" s="382"/>
      <c r="X256" s="5"/>
      <c r="Y256" s="109"/>
    </row>
    <row r="257" spans="1:24" ht="15.6" x14ac:dyDescent="0.3">
      <c r="A257" s="271"/>
      <c r="B257" s="324"/>
      <c r="C257" s="380"/>
      <c r="D257" s="380"/>
      <c r="E257" s="380"/>
      <c r="F257" s="272"/>
      <c r="G257" s="381"/>
      <c r="H257" s="380"/>
      <c r="I257" s="380"/>
      <c r="J257" s="380"/>
      <c r="K257" s="380"/>
      <c r="L257" s="380"/>
      <c r="M257" s="380"/>
      <c r="N257" s="380"/>
      <c r="O257" s="380"/>
      <c r="P257" s="380"/>
      <c r="Q257" s="380"/>
      <c r="R257" s="324"/>
      <c r="S257" s="381"/>
      <c r="T257" s="325"/>
      <c r="U257" s="381"/>
      <c r="V257" s="358"/>
      <c r="W257" s="382"/>
      <c r="X257" s="5"/>
    </row>
    <row r="258" spans="1:24" ht="15.6" x14ac:dyDescent="0.3">
      <c r="A258" s="271"/>
      <c r="B258" s="272" t="s">
        <v>117</v>
      </c>
      <c r="C258" s="272"/>
      <c r="D258" s="272"/>
      <c r="E258" s="272"/>
      <c r="F258" s="272"/>
      <c r="G258" s="272"/>
      <c r="H258" s="383"/>
      <c r="I258" s="383"/>
      <c r="J258" s="383"/>
      <c r="K258" s="383"/>
      <c r="L258" s="383"/>
      <c r="M258" s="383"/>
      <c r="N258" s="383"/>
      <c r="O258" s="383"/>
      <c r="P258" s="383"/>
      <c r="Q258" s="383"/>
      <c r="R258" s="324">
        <f>SUM(R249:R257)</f>
        <v>7275</v>
      </c>
      <c r="S258" s="381">
        <f>SUM(S249:S257)</f>
        <v>1</v>
      </c>
      <c r="T258" s="325">
        <f>SUM(T249:T257)</f>
        <v>928761</v>
      </c>
      <c r="U258" s="381">
        <f>SUM(U249:U257)</f>
        <v>1</v>
      </c>
      <c r="V258" s="272"/>
      <c r="W258" s="275"/>
      <c r="X258" s="5"/>
    </row>
    <row r="259" spans="1:24" ht="15.6" x14ac:dyDescent="0.3">
      <c r="A259" s="175"/>
      <c r="B259" s="321"/>
      <c r="C259" s="321"/>
      <c r="D259" s="321"/>
      <c r="E259" s="321"/>
      <c r="F259" s="321"/>
      <c r="G259" s="321"/>
      <c r="H259" s="377"/>
      <c r="I259" s="377"/>
      <c r="J259" s="377"/>
      <c r="K259" s="377"/>
      <c r="L259" s="377"/>
      <c r="M259" s="377"/>
      <c r="N259" s="377"/>
      <c r="O259" s="377"/>
      <c r="P259" s="377"/>
      <c r="Q259" s="377"/>
      <c r="R259" s="322"/>
      <c r="S259" s="378"/>
      <c r="T259" s="379"/>
      <c r="U259" s="378"/>
      <c r="V259" s="321"/>
      <c r="W259" s="321"/>
      <c r="X259" s="5"/>
    </row>
    <row r="260" spans="1:24" ht="15.6" x14ac:dyDescent="0.3">
      <c r="A260" s="256"/>
      <c r="B260" s="253" t="s">
        <v>279</v>
      </c>
      <c r="C260" s="254"/>
      <c r="D260" s="254"/>
      <c r="E260" s="254"/>
      <c r="F260" s="255"/>
      <c r="G260" s="254"/>
      <c r="H260" s="254"/>
      <c r="I260" s="254"/>
      <c r="J260" s="254"/>
      <c r="K260" s="254"/>
      <c r="L260" s="254"/>
      <c r="M260" s="254"/>
      <c r="N260" s="254"/>
      <c r="O260" s="254"/>
      <c r="P260" s="254"/>
      <c r="Q260" s="254"/>
      <c r="R260" s="255" t="s">
        <v>103</v>
      </c>
      <c r="S260" s="254" t="s">
        <v>104</v>
      </c>
      <c r="T260" s="255" t="s">
        <v>111</v>
      </c>
      <c r="U260" s="254" t="s">
        <v>104</v>
      </c>
      <c r="V260" s="257"/>
      <c r="W260" s="258"/>
      <c r="X260" s="5"/>
    </row>
    <row r="261" spans="1:24" ht="15.6" x14ac:dyDescent="0.3">
      <c r="A261" s="192"/>
      <c r="B261" s="231" t="s">
        <v>89</v>
      </c>
      <c r="C261" s="260"/>
      <c r="D261" s="260"/>
      <c r="E261" s="260"/>
      <c r="F261" s="229"/>
      <c r="G261" s="260"/>
      <c r="H261" s="260"/>
      <c r="I261" s="260"/>
      <c r="J261" s="260"/>
      <c r="K261" s="260"/>
      <c r="L261" s="260"/>
      <c r="M261" s="260"/>
      <c r="N261" s="260"/>
      <c r="O261" s="260"/>
      <c r="P261" s="260"/>
      <c r="Q261" s="260"/>
      <c r="R261" s="231">
        <v>132</v>
      </c>
      <c r="S261" s="261">
        <f>R261/$R$270</f>
        <v>0.75862068965517238</v>
      </c>
      <c r="T261" s="238">
        <v>21345</v>
      </c>
      <c r="U261" s="261">
        <f t="shared" ref="U261:U268" si="7">T261/$T$270</f>
        <v>0.80925841674249321</v>
      </c>
      <c r="V261" s="229"/>
      <c r="W261" s="193"/>
      <c r="X261" s="5"/>
    </row>
    <row r="262" spans="1:24" ht="15.6" x14ac:dyDescent="0.3">
      <c r="A262" s="271"/>
      <c r="B262" s="324" t="s">
        <v>90</v>
      </c>
      <c r="C262" s="380"/>
      <c r="D262" s="380"/>
      <c r="E262" s="380"/>
      <c r="F262" s="272"/>
      <c r="G262" s="381"/>
      <c r="H262" s="380"/>
      <c r="I262" s="380"/>
      <c r="J262" s="380"/>
      <c r="K262" s="380"/>
      <c r="L262" s="380"/>
      <c r="M262" s="380"/>
      <c r="N262" s="380"/>
      <c r="O262" s="380"/>
      <c r="P262" s="380"/>
      <c r="Q262" s="380"/>
      <c r="R262" s="324">
        <v>9</v>
      </c>
      <c r="S262" s="381">
        <f t="shared" ref="S262:S267" si="8">R262/$R$270</f>
        <v>5.1724137931034482E-2</v>
      </c>
      <c r="T262" s="325">
        <v>882</v>
      </c>
      <c r="U262" s="381">
        <f t="shared" si="7"/>
        <v>3.3439490445859872E-2</v>
      </c>
      <c r="V262" s="272"/>
      <c r="W262" s="304"/>
      <c r="X262" s="5"/>
    </row>
    <row r="263" spans="1:24" ht="15.6" x14ac:dyDescent="0.3">
      <c r="A263" s="271"/>
      <c r="B263" s="324" t="s">
        <v>91</v>
      </c>
      <c r="C263" s="380"/>
      <c r="D263" s="380"/>
      <c r="E263" s="380"/>
      <c r="F263" s="272"/>
      <c r="G263" s="381"/>
      <c r="H263" s="380"/>
      <c r="I263" s="380"/>
      <c r="J263" s="380"/>
      <c r="K263" s="380"/>
      <c r="L263" s="380"/>
      <c r="M263" s="380"/>
      <c r="N263" s="380"/>
      <c r="O263" s="380"/>
      <c r="P263" s="380"/>
      <c r="Q263" s="380"/>
      <c r="R263" s="324">
        <v>1</v>
      </c>
      <c r="S263" s="381">
        <f t="shared" si="8"/>
        <v>5.7471264367816091E-3</v>
      </c>
      <c r="T263" s="325">
        <v>160</v>
      </c>
      <c r="U263" s="381">
        <f t="shared" si="7"/>
        <v>6.0661207158022442E-3</v>
      </c>
      <c r="V263" s="272"/>
      <c r="W263" s="304"/>
      <c r="X263" s="5"/>
    </row>
    <row r="264" spans="1:24" ht="15.6" x14ac:dyDescent="0.3">
      <c r="A264" s="271"/>
      <c r="B264" s="324" t="s">
        <v>159</v>
      </c>
      <c r="C264" s="380"/>
      <c r="D264" s="380"/>
      <c r="E264" s="380"/>
      <c r="F264" s="272"/>
      <c r="G264" s="381"/>
      <c r="H264" s="380"/>
      <c r="I264" s="380"/>
      <c r="J264" s="380"/>
      <c r="K264" s="380"/>
      <c r="L264" s="380"/>
      <c r="M264" s="380"/>
      <c r="N264" s="380"/>
      <c r="O264" s="380"/>
      <c r="P264" s="380"/>
      <c r="Q264" s="380"/>
      <c r="R264" s="324">
        <v>1</v>
      </c>
      <c r="S264" s="381">
        <f t="shared" si="8"/>
        <v>5.7471264367816091E-3</v>
      </c>
      <c r="T264" s="325">
        <v>118</v>
      </c>
      <c r="U264" s="381">
        <f t="shared" si="7"/>
        <v>4.4737640279041554E-3</v>
      </c>
      <c r="V264" s="272"/>
      <c r="W264" s="304"/>
      <c r="X264" s="5"/>
    </row>
    <row r="265" spans="1:24" ht="15.6" x14ac:dyDescent="0.3">
      <c r="A265" s="271"/>
      <c r="B265" s="324" t="s">
        <v>160</v>
      </c>
      <c r="C265" s="380"/>
      <c r="D265" s="380"/>
      <c r="E265" s="380"/>
      <c r="F265" s="272"/>
      <c r="G265" s="381"/>
      <c r="H265" s="380"/>
      <c r="I265" s="380"/>
      <c r="J265" s="380"/>
      <c r="K265" s="380"/>
      <c r="L265" s="380"/>
      <c r="M265" s="380"/>
      <c r="N265" s="380"/>
      <c r="O265" s="380"/>
      <c r="P265" s="380"/>
      <c r="Q265" s="380"/>
      <c r="R265" s="324">
        <v>0</v>
      </c>
      <c r="S265" s="381">
        <f t="shared" si="8"/>
        <v>0</v>
      </c>
      <c r="T265" s="325">
        <v>0</v>
      </c>
      <c r="U265" s="381">
        <f t="shared" si="7"/>
        <v>0</v>
      </c>
      <c r="V265" s="272"/>
      <c r="W265" s="304"/>
      <c r="X265" s="5"/>
    </row>
    <row r="266" spans="1:24" ht="15.6" x14ac:dyDescent="0.3">
      <c r="A266" s="271"/>
      <c r="B266" s="324" t="s">
        <v>161</v>
      </c>
      <c r="C266" s="380"/>
      <c r="D266" s="380"/>
      <c r="E266" s="380"/>
      <c r="F266" s="272"/>
      <c r="G266" s="381"/>
      <c r="H266" s="380"/>
      <c r="I266" s="380"/>
      <c r="J266" s="380"/>
      <c r="K266" s="380"/>
      <c r="L266" s="380"/>
      <c r="M266" s="380"/>
      <c r="N266" s="380"/>
      <c r="O266" s="380"/>
      <c r="P266" s="380"/>
      <c r="Q266" s="380"/>
      <c r="R266" s="324">
        <v>0</v>
      </c>
      <c r="S266" s="381">
        <f t="shared" si="8"/>
        <v>0</v>
      </c>
      <c r="T266" s="325">
        <v>0</v>
      </c>
      <c r="U266" s="381">
        <f t="shared" si="7"/>
        <v>0</v>
      </c>
      <c r="V266" s="272"/>
      <c r="W266" s="304"/>
      <c r="X266" s="5"/>
    </row>
    <row r="267" spans="1:24" ht="15.6" x14ac:dyDescent="0.3">
      <c r="A267" s="271"/>
      <c r="B267" s="324" t="s">
        <v>162</v>
      </c>
      <c r="C267" s="380"/>
      <c r="D267" s="380"/>
      <c r="E267" s="380"/>
      <c r="F267" s="272"/>
      <c r="G267" s="381"/>
      <c r="H267" s="380"/>
      <c r="I267" s="380"/>
      <c r="J267" s="380"/>
      <c r="K267" s="380"/>
      <c r="L267" s="380"/>
      <c r="M267" s="380"/>
      <c r="N267" s="380"/>
      <c r="O267" s="380"/>
      <c r="P267" s="380"/>
      <c r="Q267" s="380"/>
      <c r="R267" s="324">
        <v>4</v>
      </c>
      <c r="S267" s="381">
        <f t="shared" si="8"/>
        <v>2.2988505747126436E-2</v>
      </c>
      <c r="T267" s="325">
        <v>414</v>
      </c>
      <c r="U267" s="381">
        <f t="shared" si="7"/>
        <v>1.5696087352138309E-2</v>
      </c>
      <c r="V267" s="272"/>
      <c r="W267" s="304"/>
      <c r="X267" s="5"/>
    </row>
    <row r="268" spans="1:24" ht="15.6" x14ac:dyDescent="0.3">
      <c r="A268" s="271"/>
      <c r="B268" s="324" t="s">
        <v>163</v>
      </c>
      <c r="C268" s="380"/>
      <c r="D268" s="380"/>
      <c r="E268" s="380"/>
      <c r="F268" s="272"/>
      <c r="G268" s="381"/>
      <c r="H268" s="380"/>
      <c r="I268" s="380"/>
      <c r="J268" s="380"/>
      <c r="K268" s="380"/>
      <c r="L268" s="380"/>
      <c r="M268" s="380"/>
      <c r="N268" s="380"/>
      <c r="O268" s="380"/>
      <c r="P268" s="380"/>
      <c r="Q268" s="380"/>
      <c r="R268" s="324">
        <v>27</v>
      </c>
      <c r="S268" s="381">
        <f>R268/$R$270</f>
        <v>0.15517241379310345</v>
      </c>
      <c r="T268" s="325">
        <v>3457</v>
      </c>
      <c r="U268" s="381">
        <f t="shared" si="7"/>
        <v>0.13106612071580223</v>
      </c>
      <c r="V268" s="272"/>
      <c r="W268" s="304"/>
      <c r="X268" s="5"/>
    </row>
    <row r="269" spans="1:24" ht="15.6" x14ac:dyDescent="0.3">
      <c r="A269" s="271"/>
      <c r="B269" s="324"/>
      <c r="C269" s="380"/>
      <c r="D269" s="380"/>
      <c r="E269" s="380"/>
      <c r="F269" s="272"/>
      <c r="G269" s="381"/>
      <c r="H269" s="380"/>
      <c r="I269" s="380"/>
      <c r="J269" s="380"/>
      <c r="K269" s="380"/>
      <c r="L269" s="380"/>
      <c r="M269" s="380"/>
      <c r="N269" s="380"/>
      <c r="O269" s="380"/>
      <c r="P269" s="380"/>
      <c r="Q269" s="380"/>
      <c r="R269" s="324"/>
      <c r="S269" s="381"/>
      <c r="T269" s="325"/>
      <c r="U269" s="381"/>
      <c r="V269" s="272"/>
      <c r="W269" s="304"/>
      <c r="X269" s="5"/>
    </row>
    <row r="270" spans="1:24" ht="15.6" x14ac:dyDescent="0.3">
      <c r="A270" s="271"/>
      <c r="B270" s="272" t="s">
        <v>117</v>
      </c>
      <c r="C270" s="272"/>
      <c r="D270" s="272"/>
      <c r="E270" s="272"/>
      <c r="F270" s="272"/>
      <c r="G270" s="272"/>
      <c r="H270" s="383"/>
      <c r="I270" s="383"/>
      <c r="J270" s="383"/>
      <c r="K270" s="383"/>
      <c r="L270" s="383"/>
      <c r="M270" s="383"/>
      <c r="N270" s="383"/>
      <c r="O270" s="383"/>
      <c r="P270" s="383"/>
      <c r="Q270" s="383"/>
      <c r="R270" s="324">
        <f>SUM(R261:R269)</f>
        <v>174</v>
      </c>
      <c r="S270" s="381">
        <f>SUM(S261:S269)</f>
        <v>1</v>
      </c>
      <c r="T270" s="325">
        <f>SUM(T261:T269)</f>
        <v>26376</v>
      </c>
      <c r="U270" s="381">
        <f>SUM(U261:U269)</f>
        <v>1</v>
      </c>
      <c r="V270" s="272"/>
      <c r="W270" s="304"/>
      <c r="X270" s="5"/>
    </row>
    <row r="271" spans="1:24" ht="15.6" x14ac:dyDescent="0.3">
      <c r="A271" s="175"/>
      <c r="B271" s="321"/>
      <c r="C271" s="321"/>
      <c r="D271" s="321"/>
      <c r="E271" s="321"/>
      <c r="F271" s="321"/>
      <c r="G271" s="321"/>
      <c r="H271" s="377"/>
      <c r="I271" s="377"/>
      <c r="J271" s="377"/>
      <c r="K271" s="377"/>
      <c r="L271" s="377"/>
      <c r="M271" s="377"/>
      <c r="N271" s="377"/>
      <c r="O271" s="377"/>
      <c r="P271" s="377"/>
      <c r="Q271" s="377"/>
      <c r="R271" s="322"/>
      <c r="S271" s="378"/>
      <c r="T271" s="379"/>
      <c r="U271" s="378"/>
      <c r="V271" s="321"/>
      <c r="W271" s="321"/>
      <c r="X271" s="5"/>
    </row>
    <row r="272" spans="1:24" ht="15.6" x14ac:dyDescent="0.3">
      <c r="A272" s="256"/>
      <c r="B272" s="253" t="s">
        <v>166</v>
      </c>
      <c r="C272" s="257"/>
      <c r="D272" s="257"/>
      <c r="E272" s="257"/>
      <c r="F272" s="257"/>
      <c r="G272" s="257"/>
      <c r="H272" s="259"/>
      <c r="I272" s="259"/>
      <c r="J272" s="259"/>
      <c r="K272" s="259"/>
      <c r="L272" s="259"/>
      <c r="M272" s="259"/>
      <c r="N272" s="259"/>
      <c r="O272" s="259"/>
      <c r="P272" s="259"/>
      <c r="Q272" s="259"/>
      <c r="R272" s="255" t="s">
        <v>103</v>
      </c>
      <c r="S272" s="254" t="s">
        <v>104</v>
      </c>
      <c r="T272" s="255" t="s">
        <v>111</v>
      </c>
      <c r="U272" s="254" t="s">
        <v>104</v>
      </c>
      <c r="V272" s="257"/>
      <c r="W272" s="258"/>
      <c r="X272" s="5"/>
    </row>
    <row r="273" spans="1:24" ht="15.6" x14ac:dyDescent="0.3">
      <c r="A273" s="192"/>
      <c r="B273" s="231" t="s">
        <v>89</v>
      </c>
      <c r="C273" s="229"/>
      <c r="D273" s="229"/>
      <c r="E273" s="229"/>
      <c r="F273" s="229"/>
      <c r="G273" s="229"/>
      <c r="H273" s="262"/>
      <c r="I273" s="262"/>
      <c r="J273" s="262"/>
      <c r="K273" s="262"/>
      <c r="L273" s="262"/>
      <c r="M273" s="262"/>
      <c r="N273" s="262"/>
      <c r="O273" s="262"/>
      <c r="P273" s="262"/>
      <c r="Q273" s="262"/>
      <c r="R273" s="231">
        <v>0</v>
      </c>
      <c r="S273" s="261">
        <v>0</v>
      </c>
      <c r="T273" s="238">
        <v>0</v>
      </c>
      <c r="U273" s="261">
        <v>0</v>
      </c>
      <c r="V273" s="229"/>
      <c r="W273" s="229"/>
      <c r="X273" s="5"/>
    </row>
    <row r="274" spans="1:24" ht="15.6" x14ac:dyDescent="0.3">
      <c r="A274" s="271"/>
      <c r="B274" s="324" t="s">
        <v>90</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91</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159</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160</v>
      </c>
      <c r="C277" s="272"/>
      <c r="D277" s="272"/>
      <c r="E277" s="272"/>
      <c r="F277" s="272"/>
      <c r="G277" s="272"/>
      <c r="H277" s="383"/>
      <c r="I277" s="383"/>
      <c r="J277" s="383"/>
      <c r="K277" s="383"/>
      <c r="L277" s="383"/>
      <c r="M277" s="383"/>
      <c r="N277" s="383"/>
      <c r="O277" s="383"/>
      <c r="P277" s="383"/>
      <c r="Q277" s="383"/>
      <c r="R277" s="324">
        <v>1</v>
      </c>
      <c r="S277" s="381">
        <f>+R277/R282</f>
        <v>0.5</v>
      </c>
      <c r="T277" s="325">
        <v>39</v>
      </c>
      <c r="U277" s="381">
        <f>+T277/T282</f>
        <v>8.0412371134020624E-2</v>
      </c>
      <c r="V277" s="272"/>
      <c r="W277" s="275"/>
      <c r="X277" s="5"/>
    </row>
    <row r="278" spans="1:24" ht="15.6" x14ac:dyDescent="0.3">
      <c r="A278" s="271"/>
      <c r="B278" s="324" t="s">
        <v>161</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162</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t="s">
        <v>163</v>
      </c>
      <c r="C280" s="272"/>
      <c r="D280" s="272"/>
      <c r="E280" s="272"/>
      <c r="F280" s="272"/>
      <c r="G280" s="272"/>
      <c r="H280" s="383"/>
      <c r="I280" s="383"/>
      <c r="J280" s="383"/>
      <c r="K280" s="383"/>
      <c r="L280" s="383"/>
      <c r="M280" s="383"/>
      <c r="N280" s="383"/>
      <c r="O280" s="383"/>
      <c r="P280" s="383"/>
      <c r="Q280" s="383"/>
      <c r="R280" s="324">
        <v>1</v>
      </c>
      <c r="S280" s="381">
        <f>+R280/R282</f>
        <v>0.5</v>
      </c>
      <c r="T280" s="325">
        <v>446</v>
      </c>
      <c r="U280" s="381">
        <f>+T280/T282</f>
        <v>0.91958762886597933</v>
      </c>
      <c r="V280" s="272"/>
      <c r="W280" s="275"/>
      <c r="X280" s="5"/>
    </row>
    <row r="281" spans="1:24" ht="15.6" x14ac:dyDescent="0.3">
      <c r="A281" s="271"/>
      <c r="B281" s="324"/>
      <c r="C281" s="272"/>
      <c r="D281" s="272"/>
      <c r="E281" s="272"/>
      <c r="F281" s="272"/>
      <c r="G281" s="272"/>
      <c r="H281" s="383"/>
      <c r="I281" s="383"/>
      <c r="J281" s="383"/>
      <c r="K281" s="383"/>
      <c r="L281" s="383"/>
      <c r="M281" s="383"/>
      <c r="N281" s="383"/>
      <c r="O281" s="383"/>
      <c r="P281" s="383"/>
      <c r="Q281" s="383"/>
      <c r="R281" s="324"/>
      <c r="S281" s="381"/>
      <c r="T281" s="325"/>
      <c r="U281" s="381"/>
      <c r="V281" s="272"/>
      <c r="W281" s="275"/>
      <c r="X281" s="5"/>
    </row>
    <row r="282" spans="1:24" ht="15.6" x14ac:dyDescent="0.3">
      <c r="A282" s="271"/>
      <c r="B282" s="272" t="s">
        <v>117</v>
      </c>
      <c r="C282" s="272"/>
      <c r="D282" s="272"/>
      <c r="E282" s="272"/>
      <c r="F282" s="272"/>
      <c r="G282" s="272"/>
      <c r="H282" s="383"/>
      <c r="I282" s="383"/>
      <c r="J282" s="383"/>
      <c r="K282" s="383"/>
      <c r="L282" s="383"/>
      <c r="M282" s="383"/>
      <c r="N282" s="383"/>
      <c r="O282" s="383"/>
      <c r="P282" s="383"/>
      <c r="Q282" s="383"/>
      <c r="R282" s="324">
        <f>SUM(R273:R280)</f>
        <v>2</v>
      </c>
      <c r="S282" s="381">
        <f>SUM(S273:S280)</f>
        <v>1</v>
      </c>
      <c r="T282" s="325">
        <f>SUM(T273:T280)</f>
        <v>485</v>
      </c>
      <c r="U282" s="381">
        <f>SUM(U273:U280)</f>
        <v>1</v>
      </c>
      <c r="V282" s="272"/>
      <c r="W282" s="275"/>
      <c r="X282" s="5"/>
    </row>
    <row r="283" spans="1:24" ht="15.6" x14ac:dyDescent="0.3">
      <c r="A283" s="271"/>
      <c r="B283" s="272"/>
      <c r="C283" s="272"/>
      <c r="D283" s="272"/>
      <c r="E283" s="272"/>
      <c r="F283" s="272"/>
      <c r="G283" s="272"/>
      <c r="H283" s="383"/>
      <c r="I283" s="383"/>
      <c r="J283" s="383"/>
      <c r="K283" s="383"/>
      <c r="L283" s="383"/>
      <c r="M283" s="383"/>
      <c r="N283" s="383"/>
      <c r="O283" s="383"/>
      <c r="P283" s="383"/>
      <c r="Q283" s="383"/>
      <c r="R283" s="324"/>
      <c r="S283" s="381"/>
      <c r="T283" s="325"/>
      <c r="U283" s="381"/>
      <c r="V283" s="272"/>
      <c r="W283" s="275"/>
      <c r="X283" s="5"/>
    </row>
    <row r="284" spans="1:24" ht="15.6" x14ac:dyDescent="0.3">
      <c r="A284" s="271"/>
      <c r="B284" s="279" t="s">
        <v>167</v>
      </c>
      <c r="C284" s="272"/>
      <c r="D284" s="272"/>
      <c r="E284" s="272"/>
      <c r="F284" s="272"/>
      <c r="G284" s="272"/>
      <c r="H284" s="383"/>
      <c r="I284" s="383"/>
      <c r="J284" s="383"/>
      <c r="K284" s="383"/>
      <c r="L284" s="383"/>
      <c r="M284" s="383"/>
      <c r="N284" s="383"/>
      <c r="O284" s="383"/>
      <c r="P284" s="383"/>
      <c r="Q284" s="383"/>
      <c r="R284" s="390">
        <f>R282+R270+R258</f>
        <v>7451</v>
      </c>
      <c r="S284" s="381"/>
      <c r="T284" s="387">
        <f>+T282+T270+T258</f>
        <v>955622</v>
      </c>
      <c r="U284" s="381"/>
      <c r="V284" s="272"/>
      <c r="W284" s="275"/>
      <c r="X284" s="5"/>
    </row>
    <row r="285" spans="1:24" ht="15.6" x14ac:dyDescent="0.3">
      <c r="A285" s="175"/>
      <c r="B285" s="268"/>
      <c r="C285" s="268"/>
      <c r="D285" s="268"/>
      <c r="E285" s="268"/>
      <c r="F285" s="268"/>
      <c r="G285" s="268"/>
      <c r="H285" s="384"/>
      <c r="I285" s="384"/>
      <c r="J285" s="384"/>
      <c r="K285" s="384"/>
      <c r="L285" s="384"/>
      <c r="M285" s="384"/>
      <c r="N285" s="384"/>
      <c r="O285" s="384"/>
      <c r="P285" s="384"/>
      <c r="Q285" s="384"/>
      <c r="R285" s="384"/>
      <c r="S285" s="384"/>
      <c r="T285" s="385"/>
      <c r="U285" s="384"/>
      <c r="V285" s="268"/>
      <c r="W285" s="268"/>
      <c r="X285" s="5"/>
    </row>
    <row r="286" spans="1:24" ht="15.6" x14ac:dyDescent="0.3">
      <c r="A286" s="175"/>
      <c r="B286" s="220"/>
      <c r="C286" s="220"/>
      <c r="D286" s="220"/>
      <c r="E286" s="220"/>
      <c r="F286" s="220"/>
      <c r="G286" s="220"/>
      <c r="H286" s="263"/>
      <c r="I286" s="263"/>
      <c r="J286" s="263"/>
      <c r="K286" s="263"/>
      <c r="L286" s="263"/>
      <c r="M286" s="263"/>
      <c r="N286" s="263"/>
      <c r="O286" s="263"/>
      <c r="P286" s="263"/>
      <c r="Q286" s="263"/>
      <c r="R286" s="263"/>
      <c r="S286" s="263"/>
      <c r="T286" s="264"/>
      <c r="U286" s="263"/>
      <c r="V286" s="220"/>
      <c r="W286" s="220"/>
      <c r="X286" s="5"/>
    </row>
    <row r="287" spans="1:24" ht="15.6" x14ac:dyDescent="0.3">
      <c r="A287" s="216"/>
      <c r="B287" s="219" t="s">
        <v>92</v>
      </c>
      <c r="C287" s="220"/>
      <c r="D287" s="220"/>
      <c r="E287" s="220"/>
      <c r="F287" s="224" t="s">
        <v>98</v>
      </c>
      <c r="G287" s="220"/>
      <c r="H287" s="219" t="s">
        <v>100</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335</v>
      </c>
      <c r="C288" s="220"/>
      <c r="D288" s="220"/>
      <c r="E288" s="220"/>
      <c r="F288" s="265" t="s">
        <v>151</v>
      </c>
      <c r="G288" s="220"/>
      <c r="H288" s="219" t="s">
        <v>155</v>
      </c>
      <c r="I288" s="219"/>
      <c r="J288" s="219"/>
      <c r="K288" s="227"/>
      <c r="L288" s="227"/>
      <c r="M288" s="227"/>
      <c r="N288" s="227"/>
      <c r="O288" s="227"/>
      <c r="P288" s="227"/>
      <c r="Q288" s="227"/>
      <c r="R288" s="227"/>
      <c r="S288" s="227"/>
      <c r="T288" s="227"/>
      <c r="U288" s="227"/>
      <c r="V288" s="227"/>
      <c r="W288" s="227"/>
      <c r="X288" s="5"/>
    </row>
    <row r="289" spans="1:24" ht="15.6" x14ac:dyDescent="0.3">
      <c r="A289" s="216"/>
      <c r="B289" s="219" t="s">
        <v>336</v>
      </c>
      <c r="C289" s="219"/>
      <c r="D289" s="219"/>
      <c r="E289" s="219"/>
      <c r="F289" s="265" t="s">
        <v>282</v>
      </c>
      <c r="G289" s="219"/>
      <c r="H289" s="219" t="s">
        <v>283</v>
      </c>
      <c r="I289" s="227"/>
      <c r="J289" s="219"/>
      <c r="K289" s="227"/>
      <c r="L289" s="227"/>
      <c r="M289" s="227"/>
      <c r="N289" s="227"/>
      <c r="O289" s="227"/>
      <c r="P289" s="227"/>
      <c r="Q289" s="227"/>
      <c r="R289" s="227"/>
      <c r="S289" s="227"/>
      <c r="T289" s="227"/>
      <c r="U289" s="227"/>
      <c r="V289" s="227"/>
      <c r="W289" s="227"/>
      <c r="X289" s="5"/>
    </row>
    <row r="290" spans="1:24" ht="15.6" x14ac:dyDescent="0.3">
      <c r="A290" s="216"/>
      <c r="B290" s="219" t="s">
        <v>337</v>
      </c>
      <c r="C290" s="219"/>
      <c r="D290" s="219"/>
      <c r="E290" s="219"/>
      <c r="F290" s="265" t="s">
        <v>150</v>
      </c>
      <c r="G290" s="219"/>
      <c r="H290" s="219" t="s">
        <v>156</v>
      </c>
      <c r="I290" s="219"/>
      <c r="J290" s="219"/>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5.6" x14ac:dyDescent="0.3">
      <c r="A292" s="216"/>
      <c r="B292" s="219"/>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ht="18" thickBot="1" x14ac:dyDescent="0.35">
      <c r="A293" s="216"/>
      <c r="B293" s="267" t="str">
        <f>B198</f>
        <v>PM13 INVESTOR REPORT QUARTER ENDING MARCH 2014</v>
      </c>
      <c r="C293" s="219"/>
      <c r="D293" s="219"/>
      <c r="E293" s="219"/>
      <c r="F293" s="219"/>
      <c r="G293" s="266"/>
      <c r="H293" s="227"/>
      <c r="I293" s="227"/>
      <c r="J293" s="227"/>
      <c r="K293" s="227"/>
      <c r="L293" s="227"/>
      <c r="M293" s="227"/>
      <c r="N293" s="227"/>
      <c r="O293" s="227"/>
      <c r="P293" s="227"/>
      <c r="Q293" s="227"/>
      <c r="R293" s="227"/>
      <c r="S293" s="227"/>
      <c r="T293" s="227"/>
      <c r="U293" s="227"/>
      <c r="V293" s="227"/>
      <c r="W293" s="227"/>
      <c r="X293" s="5"/>
    </row>
    <row r="294" spans="1:24" x14ac:dyDescent="0.25">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row>
  </sheetData>
  <hyperlinks>
    <hyperlink ref="P234" r:id="rId1" xr:uid="{00000000-0004-0000-1D00-000000000000}"/>
    <hyperlink ref="I9" r:id="rId2" xr:uid="{00000000-0004-0000-1D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2" man="1"/>
    <brk id="138" max="22" man="1"/>
    <brk id="198" max="22" man="1"/>
  </rowBreak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89CB31"/>
  </sheetPr>
  <dimension ref="A1:Z294"/>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0.64449999999999996</v>
      </c>
      <c r="T16" s="224" t="s">
        <v>143</v>
      </c>
      <c r="U16" s="223">
        <v>0.35549999999999998</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41842</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395"/>
      <c r="B22" s="396"/>
      <c r="C22" s="397"/>
      <c r="D22" s="397" t="s">
        <v>180</v>
      </c>
      <c r="E22" s="397"/>
      <c r="F22" s="397" t="s">
        <v>181</v>
      </c>
      <c r="G22" s="397"/>
      <c r="H22" s="397" t="s">
        <v>182</v>
      </c>
      <c r="I22" s="397"/>
      <c r="J22" s="397" t="s">
        <v>223</v>
      </c>
      <c r="K22" s="397"/>
      <c r="L22" s="397" t="s">
        <v>183</v>
      </c>
      <c r="M22" s="397"/>
      <c r="N22" s="397" t="s">
        <v>184</v>
      </c>
      <c r="O22" s="397"/>
      <c r="P22" s="397" t="s">
        <v>224</v>
      </c>
      <c r="Q22" s="397"/>
      <c r="R22" s="397" t="s">
        <v>185</v>
      </c>
      <c r="S22" s="398"/>
      <c r="T22" s="398"/>
      <c r="U22" s="399"/>
      <c r="V22" s="399"/>
      <c r="W22" s="396"/>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323</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321</v>
      </c>
      <c r="E27" s="389"/>
      <c r="F27" s="389" t="s">
        <v>168</v>
      </c>
      <c r="G27" s="389"/>
      <c r="H27" s="389" t="s">
        <v>168</v>
      </c>
      <c r="I27" s="389"/>
      <c r="J27" s="389" t="s">
        <v>168</v>
      </c>
      <c r="K27" s="389"/>
      <c r="L27" s="389" t="s">
        <v>324</v>
      </c>
      <c r="M27" s="389"/>
      <c r="N27" s="389" t="s">
        <v>324</v>
      </c>
      <c r="O27" s="389"/>
      <c r="P27" s="389" t="s">
        <v>325</v>
      </c>
      <c r="Q27" s="389"/>
      <c r="R27" s="389" t="s">
        <v>325</v>
      </c>
      <c r="S27" s="273"/>
      <c r="T27" s="280"/>
      <c r="U27" s="274"/>
      <c r="V27" s="274"/>
      <c r="W27" s="275"/>
      <c r="X27" s="5"/>
    </row>
    <row r="28" spans="1:24" ht="15.6" x14ac:dyDescent="0.3">
      <c r="A28" s="271"/>
      <c r="B28" s="279" t="s">
        <v>195</v>
      </c>
      <c r="C28" s="273"/>
      <c r="D28" s="389" t="s">
        <v>319</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881383.20000000007</v>
      </c>
      <c r="E32" s="282"/>
      <c r="F32" s="283">
        <f>F31*F38</f>
        <v>73448.799999999988</v>
      </c>
      <c r="G32" s="283"/>
      <c r="H32" s="288">
        <f>H31*H38</f>
        <v>185090.976</v>
      </c>
      <c r="I32" s="288"/>
      <c r="J32" s="287">
        <f>J31*J38</f>
        <v>205656.08000000002</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871750.35000000009</v>
      </c>
      <c r="E33" s="286"/>
      <c r="F33" s="289">
        <f>F37*F31</f>
        <v>72646.075000000012</v>
      </c>
      <c r="G33" s="289"/>
      <c r="H33" s="292">
        <f>H31*H37</f>
        <v>183068.109</v>
      </c>
      <c r="I33" s="292"/>
      <c r="J33" s="291">
        <f>J37*J31</f>
        <v>203408.41500000001</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468820.65103360004</v>
      </c>
      <c r="E35" s="282"/>
      <c r="F35" s="283">
        <f>F34*F38</f>
        <v>73448.799999999988</v>
      </c>
      <c r="G35" s="283"/>
      <c r="H35" s="283">
        <f>H34*H38</f>
        <v>124221.89887359999</v>
      </c>
      <c r="I35" s="283"/>
      <c r="J35" s="283">
        <f>J34*J38</f>
        <v>109391.406896</v>
      </c>
      <c r="K35" s="283"/>
      <c r="L35" s="283">
        <f>L34*L38</f>
        <v>56000</v>
      </c>
      <c r="M35" s="283"/>
      <c r="N35" s="283">
        <f>N34*N38</f>
        <v>56376</v>
      </c>
      <c r="O35" s="283"/>
      <c r="P35" s="283">
        <f>P34*P38</f>
        <v>13000</v>
      </c>
      <c r="Q35" s="283"/>
      <c r="R35" s="283">
        <f>R34*R38</f>
        <v>54363</v>
      </c>
      <c r="S35" s="283"/>
      <c r="T35" s="283"/>
      <c r="U35" s="284"/>
      <c r="V35" s="283">
        <f>SUM(C35:R35)</f>
        <v>955621.7568032</v>
      </c>
      <c r="W35" s="285"/>
      <c r="X35" s="5"/>
    </row>
    <row r="36" spans="1:24" ht="15.6" x14ac:dyDescent="0.3">
      <c r="A36" s="276"/>
      <c r="B36" s="279" t="s">
        <v>304</v>
      </c>
      <c r="C36" s="286"/>
      <c r="D36" s="289">
        <f>D34*D37</f>
        <v>463696.79683680006</v>
      </c>
      <c r="E36" s="286"/>
      <c r="F36" s="289">
        <f>F34*F37</f>
        <v>72646.075000000012</v>
      </c>
      <c r="G36" s="289"/>
      <c r="H36" s="289">
        <f>H34*H37</f>
        <v>122864.27255740001</v>
      </c>
      <c r="I36" s="289"/>
      <c r="J36" s="289">
        <f>J34*J37</f>
        <v>108195.84177300001</v>
      </c>
      <c r="K36" s="289"/>
      <c r="L36" s="289">
        <v>56000</v>
      </c>
      <c r="M36" s="289"/>
      <c r="N36" s="289">
        <v>56376</v>
      </c>
      <c r="O36" s="289"/>
      <c r="P36" s="289">
        <v>13000</v>
      </c>
      <c r="Q36" s="289"/>
      <c r="R36" s="289">
        <v>54363</v>
      </c>
      <c r="S36" s="314"/>
      <c r="T36" s="314"/>
      <c r="U36" s="284"/>
      <c r="V36" s="289">
        <f>SUM(C36:R36)</f>
        <v>947141.98616720014</v>
      </c>
      <c r="W36" s="285"/>
      <c r="X36" s="5"/>
    </row>
    <row r="37" spans="1:24" ht="15.6" x14ac:dyDescent="0.3">
      <c r="A37" s="271"/>
      <c r="B37" s="297" t="s">
        <v>133</v>
      </c>
      <c r="C37" s="298"/>
      <c r="D37" s="299">
        <v>0.58116690000000004</v>
      </c>
      <c r="E37" s="300"/>
      <c r="F37" s="299">
        <v>0.58116860000000004</v>
      </c>
      <c r="G37" s="301"/>
      <c r="H37" s="299">
        <v>0.58116860000000004</v>
      </c>
      <c r="I37" s="301"/>
      <c r="J37" s="299">
        <v>0.58116690000000004</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0.58758880000000002</v>
      </c>
      <c r="E38" s="300"/>
      <c r="F38" s="299">
        <v>0.58759039999999996</v>
      </c>
      <c r="G38" s="301"/>
      <c r="H38" s="299">
        <v>0.58759039999999996</v>
      </c>
      <c r="I38" s="301"/>
      <c r="J38" s="299">
        <v>0.58758880000000002</v>
      </c>
      <c r="K38" s="301"/>
      <c r="L38" s="299">
        <v>1</v>
      </c>
      <c r="M38" s="299"/>
      <c r="N38" s="299">
        <v>1</v>
      </c>
      <c r="O38" s="299"/>
      <c r="P38" s="299">
        <v>1</v>
      </c>
      <c r="Q38" s="299"/>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3.9175E-3</v>
      </c>
      <c r="E40" s="272"/>
      <c r="F40" s="308">
        <v>7.6531000000000004E-3</v>
      </c>
      <c r="G40" s="307"/>
      <c r="H40" s="308">
        <v>5.6800000000000002E-3</v>
      </c>
      <c r="I40" s="308"/>
      <c r="J40" s="308">
        <v>4.0645000000000004E-3</v>
      </c>
      <c r="K40" s="307"/>
      <c r="L40" s="308">
        <v>9.2531000000000002E-3</v>
      </c>
      <c r="M40" s="307"/>
      <c r="N40" s="308">
        <v>7.0800000000000004E-3</v>
      </c>
      <c r="O40" s="307"/>
      <c r="P40" s="308">
        <v>1.32531E-2</v>
      </c>
      <c r="Q40" s="307"/>
      <c r="R40" s="308">
        <v>1.108E-2</v>
      </c>
      <c r="S40" s="307"/>
      <c r="T40" s="308"/>
      <c r="U40" s="274"/>
      <c r="V40" s="280"/>
      <c r="W40" s="275"/>
      <c r="X40" s="5"/>
    </row>
    <row r="41" spans="1:24" ht="15.6" x14ac:dyDescent="0.3">
      <c r="A41" s="271"/>
      <c r="B41" s="272" t="s">
        <v>13</v>
      </c>
      <c r="C41" s="272"/>
      <c r="D41" s="308">
        <v>3.9500000000000004E-3</v>
      </c>
      <c r="E41" s="272"/>
      <c r="F41" s="308">
        <v>7.5938000000000004E-3</v>
      </c>
      <c r="G41" s="307"/>
      <c r="H41" s="308">
        <v>5.2199999999999998E-3</v>
      </c>
      <c r="I41" s="308"/>
      <c r="J41" s="308">
        <v>4.189E-3</v>
      </c>
      <c r="K41" s="307"/>
      <c r="L41" s="308">
        <v>9.1938000000000002E-3</v>
      </c>
      <c r="M41" s="307"/>
      <c r="N41" s="308">
        <v>6.62E-3</v>
      </c>
      <c r="O41" s="307"/>
      <c r="P41" s="308">
        <v>1.31938E-2</v>
      </c>
      <c r="Q41" s="307"/>
      <c r="R41" s="308">
        <v>1.0619999999999999E-2</v>
      </c>
      <c r="S41" s="307"/>
      <c r="T41" s="308"/>
      <c r="U41" s="274"/>
      <c r="V41" s="307" t="s">
        <v>196</v>
      </c>
      <c r="W41" s="275"/>
      <c r="X41" s="5"/>
    </row>
    <row r="42" spans="1:24" ht="15.6" x14ac:dyDescent="0.3">
      <c r="A42" s="271"/>
      <c r="B42" s="272" t="s">
        <v>300</v>
      </c>
      <c r="C42" s="272"/>
      <c r="D42" s="280" t="s">
        <v>327</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v>8.0151000000000007E-3</v>
      </c>
      <c r="E43" s="308"/>
      <c r="F43" s="308">
        <f>+F40</f>
        <v>7.6531000000000004E-3</v>
      </c>
      <c r="G43" s="308"/>
      <c r="H43" s="308">
        <v>7.8971000000000006E-3</v>
      </c>
      <c r="I43" s="308"/>
      <c r="J43" s="308">
        <v>7.7330999999999997E-3</v>
      </c>
      <c r="K43" s="308"/>
      <c r="L43" s="308">
        <f>+L40</f>
        <v>9.2531000000000002E-3</v>
      </c>
      <c r="M43" s="308"/>
      <c r="N43" s="308">
        <v>9.4330999999999998E-3</v>
      </c>
      <c r="O43" s="308"/>
      <c r="P43" s="308">
        <f>+P40</f>
        <v>1.32531E-2</v>
      </c>
      <c r="Q43" s="307"/>
      <c r="R43" s="308">
        <v>1.36531E-2</v>
      </c>
      <c r="S43" s="280"/>
      <c r="T43" s="280"/>
      <c r="U43" s="274"/>
      <c r="V43" s="307">
        <f>SUMPRODUCT(D43:R43,D35:R35)/V35</f>
        <v>8.4878463898472954E-3</v>
      </c>
      <c r="W43" s="275"/>
      <c r="X43" s="5"/>
    </row>
    <row r="44" spans="1:24" ht="15.6" x14ac:dyDescent="0.3">
      <c r="A44" s="271"/>
      <c r="B44" s="272" t="s">
        <v>302</v>
      </c>
      <c r="C44" s="309"/>
      <c r="D44" s="308">
        <v>7.9558000000000007E-3</v>
      </c>
      <c r="E44" s="308"/>
      <c r="F44" s="308">
        <f>+F41</f>
        <v>7.5938000000000004E-3</v>
      </c>
      <c r="G44" s="308"/>
      <c r="H44" s="308">
        <v>7.8378000000000007E-3</v>
      </c>
      <c r="I44" s="308"/>
      <c r="J44" s="308">
        <v>7.6737999999999997E-3</v>
      </c>
      <c r="K44" s="308"/>
      <c r="L44" s="308">
        <f>+L41</f>
        <v>9.1938000000000002E-3</v>
      </c>
      <c r="M44" s="308"/>
      <c r="N44" s="308">
        <v>9.3737999999999998E-3</v>
      </c>
      <c r="O44" s="308"/>
      <c r="P44" s="308">
        <f>+P41</f>
        <v>1.31938E-2</v>
      </c>
      <c r="Q44" s="307"/>
      <c r="R44" s="308">
        <v>1.35938E-2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328</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0.23421722776674059</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41835</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90</v>
      </c>
      <c r="S57" s="318"/>
      <c r="T57" s="319">
        <v>41654</v>
      </c>
      <c r="U57" s="320"/>
      <c r="V57" s="319">
        <v>41743</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91</v>
      </c>
      <c r="S58" s="272"/>
      <c r="T58" s="319">
        <v>41744</v>
      </c>
      <c r="U58" s="320"/>
      <c r="V58" s="319">
        <v>41834</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41821</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342</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955622</v>
      </c>
      <c r="O68" s="324"/>
      <c r="P68" s="324">
        <f>8480+92+15</f>
        <v>8587</v>
      </c>
      <c r="Q68" s="324"/>
      <c r="R68" s="324">
        <f>92+15</f>
        <v>107</v>
      </c>
      <c r="S68" s="324"/>
      <c r="T68" s="324">
        <v>0</v>
      </c>
      <c r="U68" s="324"/>
      <c r="V68" s="325">
        <f>+N68-P68+R68-T68</f>
        <v>947142</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955622</v>
      </c>
      <c r="O71" s="324"/>
      <c r="P71" s="324">
        <f>SUM(P68:P70)</f>
        <v>8587</v>
      </c>
      <c r="Q71" s="324"/>
      <c r="R71" s="324">
        <f>SUM(R68:R70)</f>
        <v>107</v>
      </c>
      <c r="S71" s="324"/>
      <c r="T71" s="324">
        <f>SUM(T68:T70)</f>
        <v>0</v>
      </c>
      <c r="U71" s="324"/>
      <c r="V71" s="324">
        <f>SUM(V68:V70)</f>
        <v>947142</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955622</v>
      </c>
      <c r="O84" s="328"/>
      <c r="P84" s="328"/>
      <c r="Q84" s="328"/>
      <c r="R84" s="328"/>
      <c r="S84" s="328"/>
      <c r="T84" s="328"/>
      <c r="U84" s="328"/>
      <c r="V84" s="328">
        <f>SUM(V71:V83)</f>
        <v>947142</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+T199</f>
        <v>41820</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8587-240</f>
        <v>8347</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4046+2752-522-651</f>
        <v>5625</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64+25</f>
        <v>89</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39</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465</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8347</v>
      </c>
      <c r="U96" s="272"/>
      <c r="V96" s="324">
        <f>SUM(V88:V95)</f>
        <v>6218</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0</v>
      </c>
      <c r="U97" s="272"/>
      <c r="V97" s="324">
        <v>0</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-91</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8347</v>
      </c>
      <c r="U100" s="272"/>
      <c r="V100" s="324">
        <f>V96+V98+V97+V99</f>
        <v>6127</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331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343" t="s">
        <v>332</v>
      </c>
      <c r="C104" s="272"/>
      <c r="D104" s="272"/>
      <c r="E104" s="272"/>
      <c r="F104" s="272"/>
      <c r="G104" s="272"/>
      <c r="H104" s="272"/>
      <c r="I104" s="272"/>
      <c r="J104" s="272"/>
      <c r="K104" s="272"/>
      <c r="L104" s="272"/>
      <c r="M104" s="272"/>
      <c r="N104" s="272"/>
      <c r="O104" s="272"/>
      <c r="P104" s="272"/>
      <c r="Q104" s="272"/>
      <c r="R104" s="272"/>
      <c r="S104" s="272"/>
      <c r="T104" s="272"/>
      <c r="U104" s="272"/>
      <c r="V104" s="325">
        <f>-362-260-12</f>
        <v>-634</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0</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-1533+140</f>
        <v>-1393</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-140</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0</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-133</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-129</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-185</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-43</v>
      </c>
      <c r="W112" s="275"/>
      <c r="X112" s="5"/>
      <c r="Y112" s="109"/>
    </row>
    <row r="113" spans="1:25" ht="15.6" x14ac:dyDescent="0.3">
      <c r="A113" s="392">
        <v>7</v>
      </c>
      <c r="B113" s="343" t="s">
        <v>333</v>
      </c>
      <c r="C113" s="343"/>
      <c r="D113" s="343"/>
      <c r="E113" s="343"/>
      <c r="F113" s="343"/>
      <c r="G113" s="272"/>
      <c r="H113" s="272"/>
      <c r="I113" s="272"/>
      <c r="J113" s="272"/>
      <c r="K113" s="272"/>
      <c r="L113" s="272"/>
      <c r="M113" s="272"/>
      <c r="N113" s="272"/>
      <c r="O113" s="272"/>
      <c r="P113" s="272"/>
      <c r="Q113" s="272"/>
      <c r="R113" s="272"/>
      <c r="S113" s="272"/>
      <c r="T113" s="272"/>
      <c r="U113" s="272"/>
      <c r="V113" s="325">
        <v>0</v>
      </c>
      <c r="W113" s="275"/>
      <c r="X113" s="5"/>
      <c r="Y113" s="109"/>
    </row>
    <row r="114" spans="1:25" ht="15.6" x14ac:dyDescent="0.3">
      <c r="A114" s="338">
        <f t="shared" ref="A114:A121" si="0">+A113+1</f>
        <v>8</v>
      </c>
      <c r="B114" s="272" t="s">
        <v>35</v>
      </c>
      <c r="C114" s="272"/>
      <c r="D114" s="272"/>
      <c r="E114" s="272"/>
      <c r="F114" s="272"/>
      <c r="G114" s="272"/>
      <c r="H114" s="272"/>
      <c r="I114" s="272"/>
      <c r="J114" s="272"/>
      <c r="K114" s="272"/>
      <c r="L114" s="272"/>
      <c r="M114" s="272"/>
      <c r="N114" s="272"/>
      <c r="O114" s="272"/>
      <c r="P114" s="272"/>
      <c r="Q114" s="272"/>
      <c r="R114" s="272"/>
      <c r="S114" s="272"/>
      <c r="T114" s="272"/>
      <c r="U114" s="272"/>
      <c r="V114" s="325">
        <v>-10</v>
      </c>
      <c r="W114" s="275"/>
      <c r="X114" s="5"/>
    </row>
    <row r="115" spans="1:25" ht="15.6" x14ac:dyDescent="0.3">
      <c r="A115" s="338">
        <f t="shared" si="0"/>
        <v>9</v>
      </c>
      <c r="B115" s="272" t="s">
        <v>45</v>
      </c>
      <c r="C115" s="272"/>
      <c r="D115" s="272"/>
      <c r="E115" s="272"/>
      <c r="F115" s="272"/>
      <c r="G115" s="272"/>
      <c r="H115" s="272"/>
      <c r="I115" s="272"/>
      <c r="J115" s="272"/>
      <c r="K115" s="272"/>
      <c r="L115" s="272"/>
      <c r="M115" s="272"/>
      <c r="N115" s="272"/>
      <c r="O115" s="272"/>
      <c r="P115" s="272"/>
      <c r="Q115" s="272"/>
      <c r="R115" s="272"/>
      <c r="S115" s="272"/>
      <c r="T115" s="324">
        <f>-V115</f>
        <v>240</v>
      </c>
      <c r="U115" s="272"/>
      <c r="V115" s="325">
        <v>-240</v>
      </c>
      <c r="W115" s="275"/>
      <c r="X115" s="5"/>
    </row>
    <row r="116" spans="1:25" ht="15.6" x14ac:dyDescent="0.3">
      <c r="A116" s="338">
        <f t="shared" si="0"/>
        <v>10</v>
      </c>
      <c r="B116" s="272" t="s">
        <v>128</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5" ht="15.6" x14ac:dyDescent="0.3">
      <c r="A117" s="338">
        <f t="shared" si="0"/>
        <v>11</v>
      </c>
      <c r="B117" s="272" t="s">
        <v>271</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5" ht="15.6" x14ac:dyDescent="0.3">
      <c r="A118" s="338">
        <f t="shared" si="0"/>
        <v>12</v>
      </c>
      <c r="B118" s="272" t="s">
        <v>36</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5" ht="15.6" x14ac:dyDescent="0.3">
      <c r="A119" s="338">
        <f t="shared" si="0"/>
        <v>13</v>
      </c>
      <c r="B119" s="272" t="s">
        <v>270</v>
      </c>
      <c r="C119" s="272"/>
      <c r="D119" s="272"/>
      <c r="E119" s="272"/>
      <c r="F119" s="272"/>
      <c r="G119" s="272"/>
      <c r="H119" s="272"/>
      <c r="I119" s="272"/>
      <c r="J119" s="272"/>
      <c r="K119" s="272"/>
      <c r="L119" s="272"/>
      <c r="M119" s="272"/>
      <c r="N119" s="272"/>
      <c r="O119" s="272"/>
      <c r="P119" s="272"/>
      <c r="Q119" s="272"/>
      <c r="R119" s="272"/>
      <c r="S119" s="272"/>
      <c r="T119" s="272"/>
      <c r="U119" s="272"/>
      <c r="V119" s="325">
        <v>0</v>
      </c>
      <c r="W119" s="275"/>
      <c r="X119" s="5"/>
    </row>
    <row r="120" spans="1:25" ht="15.6" x14ac:dyDescent="0.3">
      <c r="A120" s="338">
        <f t="shared" si="0"/>
        <v>14</v>
      </c>
      <c r="B120" s="272" t="s">
        <v>152</v>
      </c>
      <c r="C120" s="272"/>
      <c r="D120" s="272"/>
      <c r="E120" s="272"/>
      <c r="F120" s="272"/>
      <c r="G120" s="272"/>
      <c r="H120" s="272"/>
      <c r="I120" s="272"/>
      <c r="J120" s="272"/>
      <c r="K120" s="272"/>
      <c r="L120" s="272"/>
      <c r="M120" s="272"/>
      <c r="N120" s="272"/>
      <c r="O120" s="272"/>
      <c r="P120" s="272"/>
      <c r="Q120" s="272"/>
      <c r="R120" s="272"/>
      <c r="S120" s="272"/>
      <c r="T120" s="272"/>
      <c r="U120" s="272"/>
      <c r="V120" s="325">
        <v>-361</v>
      </c>
      <c r="W120" s="275"/>
      <c r="X120" s="5"/>
    </row>
    <row r="121" spans="1:25" ht="15.6" x14ac:dyDescent="0.3">
      <c r="A121" s="338">
        <f t="shared" si="0"/>
        <v>15</v>
      </c>
      <c r="B121" s="272" t="s">
        <v>129</v>
      </c>
      <c r="C121" s="272"/>
      <c r="D121" s="272"/>
      <c r="E121" s="272"/>
      <c r="F121" s="272"/>
      <c r="G121" s="272"/>
      <c r="H121" s="272"/>
      <c r="I121" s="272"/>
      <c r="J121" s="272"/>
      <c r="K121" s="272"/>
      <c r="L121" s="272"/>
      <c r="M121" s="272"/>
      <c r="N121" s="272"/>
      <c r="O121" s="272"/>
      <c r="P121" s="272"/>
      <c r="Q121" s="272"/>
      <c r="R121" s="272"/>
      <c r="S121" s="272"/>
      <c r="T121" s="272"/>
      <c r="U121" s="272"/>
      <c r="V121" s="325">
        <f>-V100-SUM(V102:V120)</f>
        <v>-2857</v>
      </c>
      <c r="W121" s="275"/>
      <c r="X121" s="5"/>
    </row>
    <row r="122" spans="1:25" ht="15.6" x14ac:dyDescent="0.3">
      <c r="A122" s="271"/>
      <c r="B122" s="335" t="s">
        <v>37</v>
      </c>
      <c r="C122" s="298"/>
      <c r="D122" s="298"/>
      <c r="E122" s="298"/>
      <c r="F122" s="298"/>
      <c r="G122" s="298"/>
      <c r="H122" s="298"/>
      <c r="I122" s="298"/>
      <c r="J122" s="298"/>
      <c r="K122" s="298"/>
      <c r="L122" s="298"/>
      <c r="M122" s="298"/>
      <c r="N122" s="298"/>
      <c r="O122" s="298"/>
      <c r="P122" s="298"/>
      <c r="Q122" s="298"/>
      <c r="R122" s="298"/>
      <c r="S122" s="298"/>
      <c r="T122" s="298"/>
      <c r="U122" s="298"/>
      <c r="V122" s="339"/>
      <c r="W122" s="304"/>
      <c r="X122" s="5"/>
    </row>
    <row r="123" spans="1:25" ht="15.6" x14ac:dyDescent="0.3">
      <c r="A123" s="338"/>
      <c r="B123" s="272" t="s">
        <v>176</v>
      </c>
      <c r="C123" s="272"/>
      <c r="D123" s="272"/>
      <c r="E123" s="272"/>
      <c r="F123" s="272"/>
      <c r="G123" s="272"/>
      <c r="H123" s="272"/>
      <c r="I123" s="272"/>
      <c r="J123" s="272"/>
      <c r="K123" s="272"/>
      <c r="L123" s="272"/>
      <c r="M123" s="272"/>
      <c r="N123" s="272"/>
      <c r="O123" s="272"/>
      <c r="P123" s="272"/>
      <c r="Q123" s="272"/>
      <c r="R123" s="272"/>
      <c r="S123" s="272"/>
      <c r="T123" s="324">
        <f>-T183</f>
        <v>0</v>
      </c>
      <c r="U123" s="324"/>
      <c r="V123" s="325"/>
      <c r="W123" s="275"/>
      <c r="X123" s="5"/>
    </row>
    <row r="124" spans="1:25" ht="15.6" x14ac:dyDescent="0.3">
      <c r="A124" s="338"/>
      <c r="B124" s="272" t="s">
        <v>177</v>
      </c>
      <c r="C124" s="272"/>
      <c r="D124" s="272"/>
      <c r="E124" s="272"/>
      <c r="F124" s="272"/>
      <c r="G124" s="272"/>
      <c r="H124" s="272"/>
      <c r="I124" s="272"/>
      <c r="J124" s="272"/>
      <c r="K124" s="272"/>
      <c r="L124" s="272"/>
      <c r="M124" s="272"/>
      <c r="N124" s="272"/>
      <c r="O124" s="272"/>
      <c r="P124" s="272"/>
      <c r="Q124" s="272"/>
      <c r="R124" s="272"/>
      <c r="S124" s="272"/>
      <c r="T124" s="324">
        <v>-15</v>
      </c>
      <c r="U124" s="324"/>
      <c r="V124" s="325"/>
      <c r="W124" s="275"/>
      <c r="X124" s="5"/>
    </row>
    <row r="125" spans="1:25" ht="15.6" x14ac:dyDescent="0.3">
      <c r="A125" s="338"/>
      <c r="B125" s="272" t="s">
        <v>38</v>
      </c>
      <c r="C125" s="272"/>
      <c r="D125" s="272"/>
      <c r="E125" s="272"/>
      <c r="F125" s="272"/>
      <c r="G125" s="272"/>
      <c r="H125" s="272"/>
      <c r="I125" s="272"/>
      <c r="J125" s="272"/>
      <c r="K125" s="272"/>
      <c r="L125" s="272"/>
      <c r="M125" s="272"/>
      <c r="N125" s="272"/>
      <c r="O125" s="272"/>
      <c r="P125" s="272"/>
      <c r="Q125" s="272"/>
      <c r="R125" s="272"/>
      <c r="S125" s="272"/>
      <c r="T125" s="324">
        <f>-S183</f>
        <v>-92</v>
      </c>
      <c r="U125" s="324"/>
      <c r="V125" s="325"/>
      <c r="W125" s="275"/>
      <c r="X125" s="5"/>
    </row>
    <row r="126" spans="1:25" ht="15.6" x14ac:dyDescent="0.3">
      <c r="A126" s="338"/>
      <c r="B126" s="272" t="s">
        <v>200</v>
      </c>
      <c r="C126" s="272"/>
      <c r="D126" s="272"/>
      <c r="E126" s="272"/>
      <c r="F126" s="272"/>
      <c r="G126" s="272"/>
      <c r="H126" s="272"/>
      <c r="I126" s="272"/>
      <c r="J126" s="272"/>
      <c r="K126" s="272"/>
      <c r="L126" s="272"/>
      <c r="M126" s="272"/>
      <c r="N126" s="272"/>
      <c r="O126" s="272"/>
      <c r="P126" s="272"/>
      <c r="Q126" s="272"/>
      <c r="R126" s="272"/>
      <c r="S126" s="272"/>
      <c r="T126" s="324">
        <v>-5124</v>
      </c>
      <c r="U126" s="324"/>
      <c r="V126" s="325"/>
      <c r="W126" s="275"/>
      <c r="X126" s="5"/>
    </row>
    <row r="127" spans="1:25" ht="15.6" x14ac:dyDescent="0.3">
      <c r="A127" s="338"/>
      <c r="B127" s="272" t="s">
        <v>198</v>
      </c>
      <c r="C127" s="272"/>
      <c r="D127" s="272"/>
      <c r="E127" s="272"/>
      <c r="F127" s="272"/>
      <c r="G127" s="272"/>
      <c r="H127" s="272"/>
      <c r="I127" s="272"/>
      <c r="J127" s="272"/>
      <c r="K127" s="272"/>
      <c r="L127" s="272"/>
      <c r="M127" s="272"/>
      <c r="N127" s="272"/>
      <c r="O127" s="272"/>
      <c r="P127" s="272"/>
      <c r="Q127" s="272"/>
      <c r="R127" s="272"/>
      <c r="S127" s="272"/>
      <c r="T127" s="324">
        <v>-803</v>
      </c>
      <c r="U127" s="324"/>
      <c r="V127" s="325"/>
      <c r="W127" s="275"/>
      <c r="X127" s="5"/>
    </row>
    <row r="128" spans="1:25" ht="15.6" x14ac:dyDescent="0.3">
      <c r="A128" s="338"/>
      <c r="B128" s="272" t="s">
        <v>197</v>
      </c>
      <c r="C128" s="272"/>
      <c r="D128" s="272"/>
      <c r="E128" s="272"/>
      <c r="F128" s="272"/>
      <c r="G128" s="272"/>
      <c r="H128" s="272"/>
      <c r="I128" s="272"/>
      <c r="J128" s="272"/>
      <c r="K128" s="272"/>
      <c r="L128" s="272"/>
      <c r="M128" s="272"/>
      <c r="N128" s="272"/>
      <c r="O128" s="272"/>
      <c r="P128" s="272"/>
      <c r="Q128" s="272"/>
      <c r="R128" s="272"/>
      <c r="S128" s="272"/>
      <c r="T128" s="324">
        <v>-1358</v>
      </c>
      <c r="U128" s="324"/>
      <c r="V128" s="325"/>
      <c r="W128" s="275"/>
      <c r="X128" s="5"/>
    </row>
    <row r="129" spans="1:24" ht="15.6" x14ac:dyDescent="0.3">
      <c r="A129" s="338"/>
      <c r="B129" s="272" t="s">
        <v>232</v>
      </c>
      <c r="C129" s="272"/>
      <c r="D129" s="272"/>
      <c r="E129" s="272"/>
      <c r="F129" s="272"/>
      <c r="G129" s="272"/>
      <c r="H129" s="272"/>
      <c r="I129" s="272"/>
      <c r="J129" s="272"/>
      <c r="K129" s="272"/>
      <c r="L129" s="272"/>
      <c r="M129" s="272"/>
      <c r="N129" s="272"/>
      <c r="O129" s="272"/>
      <c r="P129" s="272"/>
      <c r="Q129" s="272"/>
      <c r="R129" s="272"/>
      <c r="S129" s="272"/>
      <c r="T129" s="324">
        <v>-1195</v>
      </c>
      <c r="U129" s="324"/>
      <c r="V129" s="325"/>
      <c r="W129" s="275"/>
      <c r="X129" s="5"/>
    </row>
    <row r="130" spans="1:24" ht="15.6" x14ac:dyDescent="0.3">
      <c r="A130" s="338"/>
      <c r="B130" s="272" t="s">
        <v>192</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191</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233</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190</v>
      </c>
      <c r="C133" s="272"/>
      <c r="D133" s="272"/>
      <c r="E133" s="272"/>
      <c r="F133" s="272"/>
      <c r="G133" s="272"/>
      <c r="H133" s="272"/>
      <c r="I133" s="272"/>
      <c r="J133" s="272"/>
      <c r="K133" s="272"/>
      <c r="L133" s="272"/>
      <c r="M133" s="272"/>
      <c r="N133" s="272"/>
      <c r="O133" s="272"/>
      <c r="P133" s="272"/>
      <c r="Q133" s="272"/>
      <c r="R133" s="272"/>
      <c r="S133" s="272"/>
      <c r="T133" s="324">
        <v>0</v>
      </c>
      <c r="U133" s="324"/>
      <c r="V133" s="325"/>
      <c r="W133" s="275"/>
      <c r="X133" s="5"/>
    </row>
    <row r="134" spans="1:24" ht="15.6" x14ac:dyDescent="0.3">
      <c r="A134" s="338"/>
      <c r="B134" s="272" t="s">
        <v>39</v>
      </c>
      <c r="C134" s="272"/>
      <c r="D134" s="272"/>
      <c r="E134" s="272"/>
      <c r="F134" s="272"/>
      <c r="G134" s="272"/>
      <c r="H134" s="272"/>
      <c r="I134" s="272"/>
      <c r="J134" s="272"/>
      <c r="K134" s="272"/>
      <c r="L134" s="272"/>
      <c r="M134" s="272"/>
      <c r="N134" s="272"/>
      <c r="O134" s="272"/>
      <c r="P134" s="272"/>
      <c r="Q134" s="272"/>
      <c r="R134" s="272"/>
      <c r="S134" s="272"/>
      <c r="T134" s="324">
        <f>SUM(T123:T133)</f>
        <v>-8587</v>
      </c>
      <c r="U134" s="324"/>
      <c r="V134" s="324">
        <f>SUM(V101:V131)</f>
        <v>-6127</v>
      </c>
      <c r="W134" s="275"/>
      <c r="X134" s="5"/>
    </row>
    <row r="135" spans="1:24" ht="15.6" x14ac:dyDescent="0.3">
      <c r="A135" s="338"/>
      <c r="B135" s="272" t="s">
        <v>40</v>
      </c>
      <c r="C135" s="272"/>
      <c r="D135" s="272"/>
      <c r="E135" s="272"/>
      <c r="F135" s="272"/>
      <c r="G135" s="272"/>
      <c r="H135" s="272"/>
      <c r="I135" s="272"/>
      <c r="J135" s="272"/>
      <c r="K135" s="272"/>
      <c r="L135" s="272"/>
      <c r="M135" s="272"/>
      <c r="N135" s="272"/>
      <c r="O135" s="272"/>
      <c r="P135" s="272"/>
      <c r="Q135" s="272"/>
      <c r="R135" s="272"/>
      <c r="S135" s="272"/>
      <c r="T135" s="324">
        <f>T100+T134+T115</f>
        <v>0</v>
      </c>
      <c r="U135" s="324"/>
      <c r="V135" s="324">
        <f>V100+V134</f>
        <v>0</v>
      </c>
      <c r="W135" s="275"/>
      <c r="X135" s="5"/>
    </row>
    <row r="136" spans="1:24" ht="15.6" x14ac:dyDescent="0.3">
      <c r="A136" s="242"/>
      <c r="B136" s="268"/>
      <c r="C136" s="268"/>
      <c r="D136" s="268"/>
      <c r="E136" s="268"/>
      <c r="F136" s="268"/>
      <c r="G136" s="268"/>
      <c r="H136" s="268"/>
      <c r="I136" s="268"/>
      <c r="J136" s="268"/>
      <c r="K136" s="268"/>
      <c r="L136" s="268"/>
      <c r="M136" s="268"/>
      <c r="N136" s="268"/>
      <c r="O136" s="268"/>
      <c r="P136" s="268"/>
      <c r="Q136" s="268"/>
      <c r="R136" s="268"/>
      <c r="S136" s="268"/>
      <c r="T136" s="332"/>
      <c r="U136" s="332"/>
      <c r="V136" s="332"/>
      <c r="W136" s="268"/>
      <c r="X136" s="5"/>
    </row>
    <row r="137" spans="1:24" ht="15.6" x14ac:dyDescent="0.3">
      <c r="A137" s="242"/>
      <c r="B137" s="220"/>
      <c r="C137" s="220"/>
      <c r="D137" s="220"/>
      <c r="E137" s="220"/>
      <c r="F137" s="220"/>
      <c r="G137" s="220"/>
      <c r="H137" s="220"/>
      <c r="I137" s="220"/>
      <c r="J137" s="220"/>
      <c r="K137" s="220"/>
      <c r="L137" s="220"/>
      <c r="M137" s="220"/>
      <c r="N137" s="220"/>
      <c r="O137" s="220"/>
      <c r="P137" s="220"/>
      <c r="Q137" s="220"/>
      <c r="R137" s="220"/>
      <c r="S137" s="220"/>
      <c r="T137" s="220"/>
      <c r="U137" s="220"/>
      <c r="V137" s="243"/>
      <c r="W137" s="220"/>
      <c r="X137" s="5"/>
    </row>
    <row r="138" spans="1:24" ht="18" thickBot="1" x14ac:dyDescent="0.35">
      <c r="A138" s="244"/>
      <c r="B138" s="234" t="str">
        <f>B64</f>
        <v>PM13 INVESTOR REPORT QUARTER ENDING JUNE 2014</v>
      </c>
      <c r="C138" s="235"/>
      <c r="D138" s="235"/>
      <c r="E138" s="235"/>
      <c r="F138" s="235"/>
      <c r="G138" s="235"/>
      <c r="H138" s="235"/>
      <c r="I138" s="235"/>
      <c r="J138" s="235"/>
      <c r="K138" s="235"/>
      <c r="L138" s="235"/>
      <c r="M138" s="235"/>
      <c r="N138" s="235"/>
      <c r="O138" s="235"/>
      <c r="P138" s="235"/>
      <c r="Q138" s="235"/>
      <c r="R138" s="235"/>
      <c r="S138" s="235"/>
      <c r="T138" s="235"/>
      <c r="U138" s="235"/>
      <c r="V138" s="245"/>
      <c r="W138" s="237"/>
      <c r="X138" s="5"/>
    </row>
    <row r="139" spans="1:24" ht="15.6" x14ac:dyDescent="0.3">
      <c r="A139" s="246"/>
      <c r="B139" s="388" t="s">
        <v>41</v>
      </c>
      <c r="C139" s="247"/>
      <c r="D139" s="247"/>
      <c r="E139" s="247"/>
      <c r="F139" s="247"/>
      <c r="G139" s="247"/>
      <c r="H139" s="247"/>
      <c r="I139" s="247"/>
      <c r="J139" s="247"/>
      <c r="K139" s="247"/>
      <c r="L139" s="247"/>
      <c r="M139" s="247"/>
      <c r="N139" s="247"/>
      <c r="O139" s="247"/>
      <c r="P139" s="247"/>
      <c r="Q139" s="247"/>
      <c r="R139" s="247"/>
      <c r="S139" s="247"/>
      <c r="T139" s="247"/>
      <c r="U139" s="247"/>
      <c r="V139" s="248"/>
      <c r="W139" s="247"/>
      <c r="X139" s="5"/>
    </row>
    <row r="140" spans="1:24" ht="15.6" x14ac:dyDescent="0.3">
      <c r="A140" s="175"/>
      <c r="B140" s="186"/>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175"/>
      <c r="B141" s="203" t="s">
        <v>42</v>
      </c>
      <c r="C141" s="177"/>
      <c r="D141" s="177"/>
      <c r="E141" s="177"/>
      <c r="F141" s="177"/>
      <c r="G141" s="177"/>
      <c r="H141" s="177"/>
      <c r="I141" s="177"/>
      <c r="J141" s="177"/>
      <c r="K141" s="177"/>
      <c r="L141" s="177"/>
      <c r="M141" s="177"/>
      <c r="N141" s="177"/>
      <c r="O141" s="177"/>
      <c r="P141" s="177"/>
      <c r="Q141" s="177"/>
      <c r="R141" s="177"/>
      <c r="S141" s="177"/>
      <c r="T141" s="177"/>
      <c r="U141" s="177"/>
      <c r="V141" s="196"/>
      <c r="W141" s="177"/>
      <c r="X141" s="5"/>
    </row>
    <row r="142" spans="1:24" ht="15.6" x14ac:dyDescent="0.3">
      <c r="A142" s="271"/>
      <c r="B142" s="272" t="s">
        <v>43</v>
      </c>
      <c r="C142" s="272"/>
      <c r="D142" s="272"/>
      <c r="E142" s="272"/>
      <c r="F142" s="272"/>
      <c r="G142" s="272"/>
      <c r="H142" s="272"/>
      <c r="I142" s="272"/>
      <c r="J142" s="272"/>
      <c r="K142" s="272"/>
      <c r="L142" s="272"/>
      <c r="M142" s="272"/>
      <c r="N142" s="272"/>
      <c r="O142" s="272"/>
      <c r="P142" s="272"/>
      <c r="Q142" s="272"/>
      <c r="R142" s="272"/>
      <c r="S142" s="272"/>
      <c r="T142" s="272"/>
      <c r="U142" s="272"/>
      <c r="V142" s="325">
        <f>+V34*0.019</f>
        <v>28503.61</v>
      </c>
      <c r="W142" s="275"/>
      <c r="X142" s="5"/>
    </row>
    <row r="143" spans="1:24" ht="15.6" x14ac:dyDescent="0.3">
      <c r="A143" s="271"/>
      <c r="B143" s="272" t="s">
        <v>44</v>
      </c>
      <c r="C143" s="272"/>
      <c r="D143" s="272"/>
      <c r="E143" s="272"/>
      <c r="F143" s="272"/>
      <c r="G143" s="272"/>
      <c r="H143" s="272"/>
      <c r="I143" s="272"/>
      <c r="J143" s="272"/>
      <c r="K143" s="272"/>
      <c r="L143" s="272"/>
      <c r="M143" s="272"/>
      <c r="N143" s="272"/>
      <c r="O143" s="272"/>
      <c r="P143" s="272"/>
      <c r="Q143" s="272"/>
      <c r="R143" s="272"/>
      <c r="S143" s="272"/>
      <c r="T143" s="272"/>
      <c r="U143" s="272"/>
      <c r="V143" s="325">
        <v>28504</v>
      </c>
      <c r="W143" s="275"/>
      <c r="X143" s="5"/>
    </row>
    <row r="144" spans="1:24" ht="15.6" x14ac:dyDescent="0.3">
      <c r="A144" s="271"/>
      <c r="B144" s="272" t="s">
        <v>139</v>
      </c>
      <c r="C144" s="272"/>
      <c r="D144" s="272"/>
      <c r="E144" s="272"/>
      <c r="F144" s="272"/>
      <c r="G144" s="272"/>
      <c r="H144" s="272"/>
      <c r="I144" s="272"/>
      <c r="J144" s="272"/>
      <c r="K144" s="272"/>
      <c r="L144" s="272"/>
      <c r="M144" s="272"/>
      <c r="N144" s="272"/>
      <c r="O144" s="272"/>
      <c r="P144" s="272"/>
      <c r="Q144" s="272"/>
      <c r="R144" s="272"/>
      <c r="S144" s="272"/>
      <c r="T144" s="272"/>
      <c r="U144" s="272"/>
      <c r="V144" s="325"/>
      <c r="W144" s="275"/>
      <c r="X144" s="5"/>
    </row>
    <row r="145" spans="1:25" ht="15.6" x14ac:dyDescent="0.3">
      <c r="A145" s="271"/>
      <c r="B145" s="272" t="s">
        <v>126</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127</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178</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45</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132</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row>
    <row r="150" spans="1:25" ht="15.6" x14ac:dyDescent="0.3">
      <c r="A150" s="271"/>
      <c r="B150" s="272" t="s">
        <v>267</v>
      </c>
      <c r="C150" s="272"/>
      <c r="D150" s="272"/>
      <c r="E150" s="272"/>
      <c r="F150" s="272"/>
      <c r="G150" s="272"/>
      <c r="H150" s="272"/>
      <c r="I150" s="272"/>
      <c r="J150" s="272"/>
      <c r="K150" s="272"/>
      <c r="L150" s="272"/>
      <c r="M150" s="272"/>
      <c r="N150" s="272"/>
      <c r="O150" s="272"/>
      <c r="P150" s="272"/>
      <c r="Q150" s="272"/>
      <c r="R150" s="272"/>
      <c r="S150" s="272"/>
      <c r="T150" s="272"/>
      <c r="U150" s="272"/>
      <c r="V150" s="325">
        <v>0</v>
      </c>
      <c r="W150" s="275"/>
      <c r="X150" s="5"/>
      <c r="Y150" s="109"/>
    </row>
    <row r="151" spans="1:25" ht="15.6" x14ac:dyDescent="0.3">
      <c r="A151" s="271"/>
      <c r="B151" s="272" t="s">
        <v>46</v>
      </c>
      <c r="C151" s="272"/>
      <c r="D151" s="272"/>
      <c r="E151" s="272"/>
      <c r="F151" s="272"/>
      <c r="G151" s="272"/>
      <c r="H151" s="272"/>
      <c r="I151" s="272"/>
      <c r="J151" s="272"/>
      <c r="K151" s="272"/>
      <c r="L151" s="272"/>
      <c r="M151" s="272"/>
      <c r="N151" s="272"/>
      <c r="O151" s="272"/>
      <c r="P151" s="272"/>
      <c r="Q151" s="272"/>
      <c r="R151" s="272"/>
      <c r="S151" s="272"/>
      <c r="T151" s="272"/>
      <c r="U151" s="272"/>
      <c r="V151" s="325">
        <f>SUM(V143:V150)</f>
        <v>28504</v>
      </c>
      <c r="W151" s="275"/>
      <c r="X151" s="5"/>
    </row>
    <row r="152" spans="1:25" ht="15.6" x14ac:dyDescent="0.3">
      <c r="A152" s="271"/>
      <c r="B152" s="298"/>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335" t="s">
        <v>268</v>
      </c>
      <c r="C153" s="298"/>
      <c r="D153" s="298"/>
      <c r="E153" s="298"/>
      <c r="F153" s="298"/>
      <c r="G153" s="298"/>
      <c r="H153" s="298"/>
      <c r="I153" s="298"/>
      <c r="J153" s="298"/>
      <c r="K153" s="298"/>
      <c r="L153" s="298"/>
      <c r="M153" s="298"/>
      <c r="N153" s="298"/>
      <c r="O153" s="298"/>
      <c r="P153" s="298"/>
      <c r="Q153" s="298"/>
      <c r="R153" s="298"/>
      <c r="S153" s="298"/>
      <c r="T153" s="298"/>
      <c r="U153" s="298"/>
      <c r="V153" s="337"/>
      <c r="W153" s="304"/>
      <c r="X153" s="5"/>
    </row>
    <row r="154" spans="1:25" ht="15.6" x14ac:dyDescent="0.3">
      <c r="A154" s="271"/>
      <c r="B154" s="272" t="s">
        <v>158</v>
      </c>
      <c r="C154" s="272"/>
      <c r="D154" s="272"/>
      <c r="E154" s="272"/>
      <c r="F154" s="272"/>
      <c r="G154" s="272"/>
      <c r="H154" s="272"/>
      <c r="I154" s="272"/>
      <c r="J154" s="272"/>
      <c r="K154" s="272"/>
      <c r="L154" s="272"/>
      <c r="M154" s="272"/>
      <c r="N154" s="272"/>
      <c r="O154" s="272"/>
      <c r="P154" s="272"/>
      <c r="Q154" s="272"/>
      <c r="R154" s="272"/>
      <c r="S154" s="272"/>
      <c r="T154" s="272"/>
      <c r="U154" s="272"/>
      <c r="V154" s="325">
        <v>15000</v>
      </c>
      <c r="W154" s="275"/>
      <c r="X154" s="5"/>
    </row>
    <row r="155" spans="1:25" ht="15.6" x14ac:dyDescent="0.3">
      <c r="A155" s="271"/>
      <c r="B155" s="272" t="s">
        <v>175</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72" t="s">
        <v>341</v>
      </c>
      <c r="C156" s="272"/>
      <c r="D156" s="272"/>
      <c r="E156" s="272"/>
      <c r="F156" s="272"/>
      <c r="G156" s="272"/>
      <c r="H156" s="272"/>
      <c r="I156" s="272"/>
      <c r="J156" s="272"/>
      <c r="K156" s="272"/>
      <c r="L156" s="272"/>
      <c r="M156" s="272"/>
      <c r="N156" s="272"/>
      <c r="O156" s="272"/>
      <c r="P156" s="272"/>
      <c r="Q156" s="272"/>
      <c r="R156" s="272"/>
      <c r="S156" s="272"/>
      <c r="T156" s="272"/>
      <c r="U156" s="272"/>
      <c r="V156" s="325">
        <v>0</v>
      </c>
      <c r="W156" s="275"/>
      <c r="X156" s="5"/>
    </row>
    <row r="157" spans="1:25" ht="15.6" x14ac:dyDescent="0.3">
      <c r="A157" s="271"/>
      <c r="B157" s="298"/>
      <c r="C157" s="298"/>
      <c r="D157" s="298"/>
      <c r="E157" s="298"/>
      <c r="F157" s="298"/>
      <c r="G157" s="298"/>
      <c r="H157" s="298"/>
      <c r="I157" s="298"/>
      <c r="J157" s="298"/>
      <c r="K157" s="298"/>
      <c r="L157" s="298"/>
      <c r="M157" s="298"/>
      <c r="N157" s="298"/>
      <c r="O157" s="298"/>
      <c r="P157" s="298"/>
      <c r="Q157" s="298"/>
      <c r="R157" s="298"/>
      <c r="S157" s="298"/>
      <c r="T157" s="298"/>
      <c r="U157" s="298"/>
      <c r="V157" s="337"/>
      <c r="W157" s="304"/>
      <c r="X157" s="5"/>
    </row>
    <row r="158" spans="1:25" ht="15.6" x14ac:dyDescent="0.3">
      <c r="A158" s="175"/>
      <c r="B158" s="321"/>
      <c r="C158" s="321"/>
      <c r="D158" s="321"/>
      <c r="E158" s="321"/>
      <c r="F158" s="321"/>
      <c r="G158" s="321"/>
      <c r="H158" s="321"/>
      <c r="I158" s="321"/>
      <c r="J158" s="321"/>
      <c r="K158" s="321"/>
      <c r="L158" s="321"/>
      <c r="M158" s="321"/>
      <c r="N158" s="321"/>
      <c r="O158" s="321"/>
      <c r="P158" s="321"/>
      <c r="Q158" s="321"/>
      <c r="R158" s="321"/>
      <c r="S158" s="321"/>
      <c r="T158" s="321"/>
      <c r="U158" s="321"/>
      <c r="V158" s="340"/>
      <c r="W158" s="321"/>
      <c r="X158" s="5"/>
    </row>
    <row r="159" spans="1:25" ht="15.6" x14ac:dyDescent="0.3">
      <c r="A159" s="175"/>
      <c r="B159" s="203" t="s">
        <v>24</v>
      </c>
      <c r="C159" s="177"/>
      <c r="D159" s="177"/>
      <c r="E159" s="177"/>
      <c r="F159" s="177"/>
      <c r="G159" s="177"/>
      <c r="H159" s="177"/>
      <c r="I159" s="177"/>
      <c r="J159" s="177"/>
      <c r="K159" s="177"/>
      <c r="L159" s="177"/>
      <c r="M159" s="177"/>
      <c r="N159" s="177"/>
      <c r="O159" s="177"/>
      <c r="P159" s="177"/>
      <c r="Q159" s="177"/>
      <c r="R159" s="177"/>
      <c r="S159" s="177"/>
      <c r="T159" s="177"/>
      <c r="U159" s="177"/>
      <c r="V159" s="196"/>
      <c r="W159" s="177"/>
      <c r="X159" s="5"/>
    </row>
    <row r="160" spans="1:25" ht="15.6" x14ac:dyDescent="0.3">
      <c r="A160" s="271"/>
      <c r="B160" s="272" t="s">
        <v>47</v>
      </c>
      <c r="C160" s="272"/>
      <c r="D160" s="272"/>
      <c r="E160" s="272"/>
      <c r="F160" s="272"/>
      <c r="G160" s="272"/>
      <c r="H160" s="272"/>
      <c r="I160" s="272"/>
      <c r="J160" s="272"/>
      <c r="K160" s="272"/>
      <c r="L160" s="272"/>
      <c r="M160" s="272"/>
      <c r="N160" s="272"/>
      <c r="O160" s="272"/>
      <c r="P160" s="272"/>
      <c r="Q160" s="272"/>
      <c r="R160" s="272"/>
      <c r="S160" s="272"/>
      <c r="T160" s="272"/>
      <c r="U160" s="272"/>
      <c r="V160" s="341" t="s">
        <v>121</v>
      </c>
      <c r="W160" s="275"/>
      <c r="X160" s="5"/>
    </row>
    <row r="161" spans="1:24" ht="15.6" x14ac:dyDescent="0.3">
      <c r="A161" s="271"/>
      <c r="B161" s="272" t="s">
        <v>48</v>
      </c>
      <c r="C161" s="274"/>
      <c r="D161" s="274"/>
      <c r="E161" s="274"/>
      <c r="F161" s="274"/>
      <c r="G161" s="274"/>
      <c r="H161" s="274"/>
      <c r="I161" s="274"/>
      <c r="J161" s="274"/>
      <c r="K161" s="274"/>
      <c r="L161" s="274"/>
      <c r="M161" s="274"/>
      <c r="N161" s="274"/>
      <c r="O161" s="274"/>
      <c r="P161" s="274"/>
      <c r="Q161" s="274"/>
      <c r="R161" s="274"/>
      <c r="S161" s="274"/>
      <c r="T161" s="274"/>
      <c r="U161" s="274"/>
      <c r="V161" s="341" t="s">
        <v>121</v>
      </c>
      <c r="W161" s="275"/>
      <c r="X161" s="5"/>
    </row>
    <row r="162" spans="1:24" ht="15.6" x14ac:dyDescent="0.3">
      <c r="A162" s="271"/>
      <c r="B162" s="272" t="s">
        <v>49</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271"/>
      <c r="B163" s="272" t="s">
        <v>50</v>
      </c>
      <c r="C163" s="272"/>
      <c r="D163" s="272"/>
      <c r="E163" s="272"/>
      <c r="F163" s="272"/>
      <c r="G163" s="272"/>
      <c r="H163" s="272"/>
      <c r="I163" s="272"/>
      <c r="J163" s="272"/>
      <c r="K163" s="272"/>
      <c r="L163" s="272"/>
      <c r="M163" s="272"/>
      <c r="N163" s="272"/>
      <c r="O163" s="272"/>
      <c r="P163" s="272"/>
      <c r="Q163" s="272"/>
      <c r="R163" s="272"/>
      <c r="S163" s="272"/>
      <c r="T163" s="272"/>
      <c r="U163" s="272"/>
      <c r="V163" s="341" t="s">
        <v>121</v>
      </c>
      <c r="W163" s="275"/>
      <c r="X163" s="5"/>
    </row>
    <row r="164" spans="1:24" ht="15.6" x14ac:dyDescent="0.3">
      <c r="A164" s="175"/>
      <c r="B164" s="321"/>
      <c r="C164" s="321"/>
      <c r="D164" s="321"/>
      <c r="E164" s="321"/>
      <c r="F164" s="321"/>
      <c r="G164" s="321"/>
      <c r="H164" s="321"/>
      <c r="I164" s="321"/>
      <c r="J164" s="321"/>
      <c r="K164" s="321"/>
      <c r="L164" s="321"/>
      <c r="M164" s="321"/>
      <c r="N164" s="321"/>
      <c r="O164" s="321"/>
      <c r="P164" s="321"/>
      <c r="Q164" s="321"/>
      <c r="R164" s="321"/>
      <c r="S164" s="321"/>
      <c r="T164" s="321"/>
      <c r="U164" s="321"/>
      <c r="V164" s="340"/>
      <c r="W164" s="321"/>
      <c r="X164" s="5"/>
    </row>
    <row r="165" spans="1:24" ht="15.6" x14ac:dyDescent="0.3">
      <c r="A165" s="175"/>
      <c r="B165" s="203" t="s">
        <v>51</v>
      </c>
      <c r="C165" s="177"/>
      <c r="D165" s="177"/>
      <c r="E165" s="177"/>
      <c r="F165" s="177"/>
      <c r="G165" s="177"/>
      <c r="H165" s="177"/>
      <c r="I165" s="177"/>
      <c r="J165" s="177"/>
      <c r="K165" s="177"/>
      <c r="L165" s="177"/>
      <c r="M165" s="177"/>
      <c r="N165" s="177"/>
      <c r="O165" s="177"/>
      <c r="P165" s="177"/>
      <c r="Q165" s="177"/>
      <c r="R165" s="177"/>
      <c r="S165" s="177"/>
      <c r="T165" s="177"/>
      <c r="U165" s="177"/>
      <c r="V165" s="204"/>
      <c r="W165" s="177"/>
      <c r="X165" s="5"/>
    </row>
    <row r="166" spans="1:24" ht="15.6" x14ac:dyDescent="0.3">
      <c r="A166" s="342"/>
      <c r="B166" s="343" t="s">
        <v>52</v>
      </c>
      <c r="C166" s="343"/>
      <c r="D166" s="343"/>
      <c r="E166" s="343"/>
      <c r="F166" s="343"/>
      <c r="G166" s="343"/>
      <c r="H166" s="343"/>
      <c r="I166" s="343"/>
      <c r="J166" s="343"/>
      <c r="K166" s="343"/>
      <c r="L166" s="343"/>
      <c r="M166" s="343"/>
      <c r="N166" s="343"/>
      <c r="O166" s="343"/>
      <c r="P166" s="343"/>
      <c r="Q166" s="343"/>
      <c r="R166" s="343"/>
      <c r="S166" s="343"/>
      <c r="T166" s="343"/>
      <c r="U166" s="343"/>
      <c r="V166" s="344">
        <v>0</v>
      </c>
      <c r="W166" s="345"/>
      <c r="X166" s="5"/>
    </row>
    <row r="167" spans="1:24" ht="15.6" x14ac:dyDescent="0.3">
      <c r="A167" s="342"/>
      <c r="B167" s="343" t="s">
        <v>53</v>
      </c>
      <c r="C167" s="343"/>
      <c r="D167" s="343"/>
      <c r="E167" s="343"/>
      <c r="F167" s="343"/>
      <c r="G167" s="343"/>
      <c r="H167" s="343"/>
      <c r="I167" s="343"/>
      <c r="J167" s="343"/>
      <c r="K167" s="343"/>
      <c r="L167" s="343"/>
      <c r="M167" s="343"/>
      <c r="N167" s="343"/>
      <c r="O167" s="343"/>
      <c r="P167" s="343"/>
      <c r="Q167" s="343"/>
      <c r="R167" s="343"/>
      <c r="S167" s="343"/>
      <c r="T167" s="343"/>
      <c r="U167" s="343"/>
      <c r="V167" s="344">
        <v>240</v>
      </c>
      <c r="W167" s="345"/>
      <c r="X167" s="5"/>
    </row>
    <row r="168" spans="1:24" ht="15.6" x14ac:dyDescent="0.3">
      <c r="A168" s="342"/>
      <c r="B168" s="343" t="s">
        <v>54</v>
      </c>
      <c r="C168" s="343"/>
      <c r="D168" s="343"/>
      <c r="E168" s="343"/>
      <c r="F168" s="343"/>
      <c r="G168" s="343"/>
      <c r="H168" s="343"/>
      <c r="I168" s="343"/>
      <c r="J168" s="343"/>
      <c r="K168" s="343"/>
      <c r="L168" s="343"/>
      <c r="M168" s="343"/>
      <c r="N168" s="343"/>
      <c r="O168" s="343"/>
      <c r="P168" s="343"/>
      <c r="Q168" s="343"/>
      <c r="R168" s="343"/>
      <c r="S168" s="343"/>
      <c r="T168" s="343"/>
      <c r="U168" s="343"/>
      <c r="V168" s="344">
        <f>V167+V166</f>
        <v>240</v>
      </c>
      <c r="W168" s="345"/>
      <c r="X168" s="5"/>
    </row>
    <row r="169" spans="1:24" ht="15.6" x14ac:dyDescent="0.3">
      <c r="A169" s="342"/>
      <c r="B169" s="272" t="s">
        <v>318</v>
      </c>
      <c r="C169" s="343"/>
      <c r="D169" s="343"/>
      <c r="E169" s="343"/>
      <c r="F169" s="343"/>
      <c r="G169" s="343"/>
      <c r="H169" s="343"/>
      <c r="I169" s="343"/>
      <c r="J169" s="343"/>
      <c r="K169" s="343"/>
      <c r="L169" s="343"/>
      <c r="M169" s="343"/>
      <c r="N169" s="343"/>
      <c r="O169" s="343"/>
      <c r="P169" s="343"/>
      <c r="Q169" s="343"/>
      <c r="R169" s="343"/>
      <c r="S169" s="343"/>
      <c r="T169" s="343"/>
      <c r="U169" s="343"/>
      <c r="V169" s="344">
        <f>V115</f>
        <v>-240</v>
      </c>
      <c r="W169" s="345"/>
      <c r="X169" s="5"/>
    </row>
    <row r="170" spans="1:24" ht="15.6" x14ac:dyDescent="0.3">
      <c r="A170" s="342"/>
      <c r="B170" s="343" t="s">
        <v>55</v>
      </c>
      <c r="C170" s="343"/>
      <c r="D170" s="343"/>
      <c r="E170" s="343"/>
      <c r="F170" s="343"/>
      <c r="G170" s="343"/>
      <c r="H170" s="343"/>
      <c r="I170" s="343"/>
      <c r="J170" s="343"/>
      <c r="K170" s="343"/>
      <c r="L170" s="343"/>
      <c r="M170" s="343"/>
      <c r="N170" s="343"/>
      <c r="O170" s="343"/>
      <c r="P170" s="343"/>
      <c r="Q170" s="343"/>
      <c r="R170" s="343"/>
      <c r="S170" s="343"/>
      <c r="T170" s="343"/>
      <c r="U170" s="343"/>
      <c r="V170" s="344">
        <f>V168+V169</f>
        <v>0</v>
      </c>
      <c r="W170" s="345"/>
      <c r="X170" s="5"/>
    </row>
    <row r="171" spans="1:24" ht="15.6" x14ac:dyDescent="0.3">
      <c r="A171" s="342"/>
      <c r="B171" s="343" t="s">
        <v>288</v>
      </c>
      <c r="C171" s="343"/>
      <c r="D171" s="343"/>
      <c r="E171" s="343"/>
      <c r="F171" s="343"/>
      <c r="G171" s="343"/>
      <c r="H171" s="343"/>
      <c r="I171" s="343"/>
      <c r="J171" s="343"/>
      <c r="K171" s="343"/>
      <c r="L171" s="343"/>
      <c r="M171" s="343"/>
      <c r="N171" s="343"/>
      <c r="O171" s="343"/>
      <c r="P171" s="343"/>
      <c r="Q171" s="343"/>
      <c r="R171" s="343"/>
      <c r="S171" s="343"/>
      <c r="T171" s="343"/>
      <c r="U171" s="343"/>
      <c r="V171" s="344">
        <f>-V99</f>
        <v>91</v>
      </c>
      <c r="W171" s="345"/>
      <c r="X171" s="5"/>
    </row>
    <row r="172" spans="1:24" ht="16.2" thickBot="1" x14ac:dyDescent="0.35">
      <c r="A172" s="175"/>
      <c r="B172" s="321"/>
      <c r="C172" s="321"/>
      <c r="D172" s="321"/>
      <c r="E172" s="321"/>
      <c r="F172" s="321"/>
      <c r="G172" s="321"/>
      <c r="H172" s="321"/>
      <c r="I172" s="321"/>
      <c r="J172" s="321"/>
      <c r="K172" s="321"/>
      <c r="L172" s="321"/>
      <c r="M172" s="321"/>
      <c r="N172" s="321"/>
      <c r="O172" s="321"/>
      <c r="P172" s="321"/>
      <c r="Q172" s="321"/>
      <c r="R172" s="321"/>
      <c r="S172" s="321"/>
      <c r="T172" s="321"/>
      <c r="U172" s="321"/>
      <c r="V172" s="340"/>
      <c r="W172" s="321"/>
      <c r="X172" s="5"/>
    </row>
    <row r="173" spans="1:24"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74"/>
      <c r="U173" s="174"/>
      <c r="V173" s="195"/>
      <c r="W173" s="174"/>
      <c r="X173" s="5"/>
    </row>
    <row r="174" spans="1:24" ht="15.6" x14ac:dyDescent="0.3">
      <c r="A174" s="175"/>
      <c r="B174" s="203" t="s">
        <v>56</v>
      </c>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175"/>
      <c r="B175" s="186"/>
      <c r="C175" s="177"/>
      <c r="D175" s="177"/>
      <c r="E175" s="177"/>
      <c r="F175" s="177"/>
      <c r="G175" s="177"/>
      <c r="H175" s="177"/>
      <c r="I175" s="177"/>
      <c r="J175" s="177"/>
      <c r="K175" s="177"/>
      <c r="L175" s="177"/>
      <c r="M175" s="177"/>
      <c r="N175" s="177"/>
      <c r="O175" s="177"/>
      <c r="P175" s="177"/>
      <c r="Q175" s="177"/>
      <c r="R175" s="177"/>
      <c r="S175" s="177"/>
      <c r="T175" s="177"/>
      <c r="U175" s="177"/>
      <c r="V175" s="196"/>
      <c r="W175" s="177"/>
      <c r="X175" s="5"/>
    </row>
    <row r="176" spans="1:24" ht="15.6" x14ac:dyDescent="0.3">
      <c r="A176" s="271"/>
      <c r="B176" s="272" t="s">
        <v>57</v>
      </c>
      <c r="C176" s="272"/>
      <c r="D176" s="272"/>
      <c r="E176" s="272"/>
      <c r="F176" s="272"/>
      <c r="G176" s="272"/>
      <c r="H176" s="272"/>
      <c r="I176" s="272"/>
      <c r="J176" s="272"/>
      <c r="K176" s="272"/>
      <c r="L176" s="272"/>
      <c r="M176" s="272"/>
      <c r="N176" s="272"/>
      <c r="O176" s="272"/>
      <c r="P176" s="272"/>
      <c r="Q176" s="272"/>
      <c r="R176" s="272"/>
      <c r="S176" s="272"/>
      <c r="T176" s="272"/>
      <c r="U176" s="272"/>
      <c r="V176" s="325">
        <f>V71</f>
        <v>947142</v>
      </c>
      <c r="W176" s="275"/>
      <c r="X176" s="5"/>
    </row>
    <row r="177" spans="1:24" ht="15.6" x14ac:dyDescent="0.3">
      <c r="A177" s="271"/>
      <c r="B177" s="272" t="s">
        <v>58</v>
      </c>
      <c r="C177" s="272"/>
      <c r="D177" s="272"/>
      <c r="E177" s="272"/>
      <c r="F177" s="272"/>
      <c r="G177" s="272"/>
      <c r="H177" s="272"/>
      <c r="I177" s="272"/>
      <c r="J177" s="272"/>
      <c r="K177" s="272"/>
      <c r="L177" s="272"/>
      <c r="M177" s="272"/>
      <c r="N177" s="272"/>
      <c r="O177" s="272"/>
      <c r="P177" s="272"/>
      <c r="Q177" s="272"/>
      <c r="R177" s="272"/>
      <c r="S177" s="272"/>
      <c r="T177" s="272"/>
      <c r="U177" s="272"/>
      <c r="V177" s="325">
        <f>V84</f>
        <v>947142</v>
      </c>
      <c r="W177" s="275"/>
      <c r="X177" s="5"/>
    </row>
    <row r="178" spans="1:24" ht="16.2" thickBot="1" x14ac:dyDescent="0.35">
      <c r="A178" s="175"/>
      <c r="B178" s="321"/>
      <c r="C178" s="321"/>
      <c r="D178" s="321"/>
      <c r="E178" s="321"/>
      <c r="F178" s="321"/>
      <c r="G178" s="321"/>
      <c r="H178" s="321"/>
      <c r="I178" s="321"/>
      <c r="J178" s="321"/>
      <c r="K178" s="321"/>
      <c r="L178" s="321"/>
      <c r="M178" s="321"/>
      <c r="N178" s="321"/>
      <c r="O178" s="321"/>
      <c r="P178" s="321"/>
      <c r="Q178" s="321"/>
      <c r="R178" s="321"/>
      <c r="S178" s="321"/>
      <c r="T178" s="321"/>
      <c r="U178" s="321"/>
      <c r="V178" s="340"/>
      <c r="W178" s="321"/>
      <c r="X178" s="5"/>
    </row>
    <row r="179" spans="1:24" ht="15.6" x14ac:dyDescent="0.3">
      <c r="A179" s="173"/>
      <c r="B179" s="174"/>
      <c r="C179" s="174"/>
      <c r="D179" s="174"/>
      <c r="E179" s="174"/>
      <c r="F179" s="174"/>
      <c r="G179" s="174"/>
      <c r="H179" s="174"/>
      <c r="I179" s="174"/>
      <c r="J179" s="174"/>
      <c r="K179" s="174"/>
      <c r="L179" s="174"/>
      <c r="M179" s="174"/>
      <c r="N179" s="174"/>
      <c r="O179" s="174"/>
      <c r="P179" s="174"/>
      <c r="Q179" s="174"/>
      <c r="R179" s="174"/>
      <c r="S179" s="174"/>
      <c r="T179" s="174"/>
      <c r="U179" s="174"/>
      <c r="V179" s="195"/>
      <c r="W179" s="174"/>
      <c r="X179" s="5"/>
    </row>
    <row r="180" spans="1:24" ht="15.6" x14ac:dyDescent="0.3">
      <c r="A180" s="175"/>
      <c r="B180" s="203" t="s">
        <v>59</v>
      </c>
      <c r="C180" s="200"/>
      <c r="D180" s="200"/>
      <c r="E180" s="200"/>
      <c r="F180" s="200"/>
      <c r="G180" s="200"/>
      <c r="H180" s="205"/>
      <c r="I180" s="205"/>
      <c r="J180" s="205"/>
      <c r="K180" s="205"/>
      <c r="L180" s="205"/>
      <c r="M180" s="205"/>
      <c r="N180" s="205"/>
      <c r="O180" s="205"/>
      <c r="P180" s="205"/>
      <c r="Q180" s="205"/>
      <c r="R180" s="205"/>
      <c r="S180" s="205" t="s">
        <v>102</v>
      </c>
      <c r="T180" s="205" t="s">
        <v>179</v>
      </c>
      <c r="U180" s="179"/>
      <c r="V180" s="206" t="s">
        <v>117</v>
      </c>
      <c r="W180" s="207"/>
      <c r="X180" s="5"/>
    </row>
    <row r="181" spans="1:24" ht="15.6" x14ac:dyDescent="0.3">
      <c r="A181" s="271"/>
      <c r="B181" s="272" t="s">
        <v>60</v>
      </c>
      <c r="C181" s="272"/>
      <c r="D181" s="272"/>
      <c r="E181" s="272"/>
      <c r="F181" s="272"/>
      <c r="G181" s="272"/>
      <c r="H181" s="272"/>
      <c r="I181" s="272"/>
      <c r="J181" s="272"/>
      <c r="K181" s="272"/>
      <c r="L181" s="272"/>
      <c r="M181" s="272"/>
      <c r="N181" s="272"/>
      <c r="O181" s="272"/>
      <c r="P181" s="272"/>
      <c r="Q181" s="272"/>
      <c r="R181" s="272"/>
      <c r="S181" s="325">
        <f>+V34*0.16</f>
        <v>240030.4</v>
      </c>
      <c r="T181" s="311"/>
      <c r="U181" s="272"/>
      <c r="V181" s="325"/>
      <c r="W181" s="275"/>
      <c r="X181" s="5"/>
    </row>
    <row r="182" spans="1:24" ht="15.6" x14ac:dyDescent="0.3">
      <c r="A182" s="271"/>
      <c r="B182" s="272" t="s">
        <v>61</v>
      </c>
      <c r="C182" s="272"/>
      <c r="D182" s="272"/>
      <c r="E182" s="272"/>
      <c r="F182" s="272"/>
      <c r="G182" s="272"/>
      <c r="H182" s="272"/>
      <c r="I182" s="272"/>
      <c r="J182" s="272"/>
      <c r="K182" s="272"/>
      <c r="L182" s="272"/>
      <c r="M182" s="272"/>
      <c r="N182" s="272"/>
      <c r="O182" s="272"/>
      <c r="P182" s="272"/>
      <c r="Q182" s="272"/>
      <c r="R182" s="272"/>
      <c r="S182" s="325">
        <f>+'March 14'!S184</f>
        <v>48645</v>
      </c>
      <c r="T182" s="325">
        <f>+'March 14'!T184</f>
        <v>9733</v>
      </c>
      <c r="U182" s="272"/>
      <c r="V182" s="325">
        <f>S182+T182</f>
        <v>58378</v>
      </c>
      <c r="W182" s="275"/>
      <c r="X182" s="5"/>
    </row>
    <row r="183" spans="1:24" ht="15.6" x14ac:dyDescent="0.3">
      <c r="A183" s="271"/>
      <c r="B183" s="272" t="s">
        <v>62</v>
      </c>
      <c r="C183" s="272"/>
      <c r="D183" s="272"/>
      <c r="E183" s="272"/>
      <c r="F183" s="272"/>
      <c r="G183" s="272"/>
      <c r="H183" s="272"/>
      <c r="I183" s="272"/>
      <c r="J183" s="272"/>
      <c r="K183" s="272"/>
      <c r="L183" s="272"/>
      <c r="M183" s="272"/>
      <c r="N183" s="272"/>
      <c r="O183" s="272"/>
      <c r="P183" s="272"/>
      <c r="Q183" s="272"/>
      <c r="R183" s="272"/>
      <c r="S183" s="324">
        <v>92</v>
      </c>
      <c r="T183" s="324">
        <v>0</v>
      </c>
      <c r="U183" s="272"/>
      <c r="V183" s="325">
        <f>S183+T183</f>
        <v>92</v>
      </c>
      <c r="W183" s="275"/>
      <c r="X183" s="5"/>
    </row>
    <row r="184" spans="1:24" ht="15.6" x14ac:dyDescent="0.3">
      <c r="A184" s="271"/>
      <c r="B184" s="272" t="s">
        <v>63</v>
      </c>
      <c r="C184" s="272"/>
      <c r="D184" s="272"/>
      <c r="E184" s="272"/>
      <c r="F184" s="272"/>
      <c r="G184" s="272"/>
      <c r="H184" s="272"/>
      <c r="I184" s="272"/>
      <c r="J184" s="272"/>
      <c r="K184" s="272"/>
      <c r="L184" s="272"/>
      <c r="M184" s="272"/>
      <c r="N184" s="272"/>
      <c r="O184" s="272"/>
      <c r="P184" s="272"/>
      <c r="Q184" s="272"/>
      <c r="R184" s="272"/>
      <c r="S184" s="325">
        <f>+S182+S183</f>
        <v>48737</v>
      </c>
      <c r="T184" s="325">
        <f>T183+T182</f>
        <v>9733</v>
      </c>
      <c r="U184" s="272"/>
      <c r="V184" s="325">
        <f>S184+T184</f>
        <v>58470</v>
      </c>
      <c r="W184" s="275"/>
      <c r="X184" s="5"/>
    </row>
    <row r="185" spans="1:24" ht="15.6" x14ac:dyDescent="0.3">
      <c r="A185" s="271"/>
      <c r="B185" s="272" t="s">
        <v>64</v>
      </c>
      <c r="C185" s="272"/>
      <c r="D185" s="272"/>
      <c r="E185" s="272"/>
      <c r="F185" s="272"/>
      <c r="G185" s="272"/>
      <c r="H185" s="272"/>
      <c r="I185" s="272"/>
      <c r="J185" s="272"/>
      <c r="K185" s="272"/>
      <c r="L185" s="272"/>
      <c r="M185" s="272"/>
      <c r="N185" s="272"/>
      <c r="O185" s="272"/>
      <c r="P185" s="272"/>
      <c r="Q185" s="272"/>
      <c r="R185" s="272"/>
      <c r="S185" s="325">
        <f>S181-S184-T184</f>
        <v>181560.4</v>
      </c>
      <c r="T185" s="311"/>
      <c r="U185" s="272"/>
      <c r="V185" s="325"/>
      <c r="W185" s="275"/>
      <c r="X185" s="5"/>
    </row>
    <row r="186" spans="1:24" ht="16.2" thickBot="1" x14ac:dyDescent="0.35">
      <c r="A186" s="175"/>
      <c r="B186" s="321"/>
      <c r="C186" s="321"/>
      <c r="D186" s="321"/>
      <c r="E186" s="321"/>
      <c r="F186" s="321"/>
      <c r="G186" s="321"/>
      <c r="H186" s="321"/>
      <c r="I186" s="321"/>
      <c r="J186" s="321"/>
      <c r="K186" s="321"/>
      <c r="L186" s="321"/>
      <c r="M186" s="321"/>
      <c r="N186" s="321"/>
      <c r="O186" s="321"/>
      <c r="P186" s="321"/>
      <c r="Q186" s="321"/>
      <c r="R186" s="321"/>
      <c r="S186" s="321"/>
      <c r="T186" s="321"/>
      <c r="U186" s="321"/>
      <c r="V186" s="340"/>
      <c r="W186" s="321"/>
      <c r="X186" s="5"/>
    </row>
    <row r="187" spans="1:24" ht="15.6" x14ac:dyDescent="0.3">
      <c r="A187" s="173"/>
      <c r="B187" s="174"/>
      <c r="C187" s="174"/>
      <c r="D187" s="174"/>
      <c r="E187" s="174"/>
      <c r="F187" s="174"/>
      <c r="G187" s="174"/>
      <c r="H187" s="174"/>
      <c r="I187" s="174"/>
      <c r="J187" s="174"/>
      <c r="K187" s="174"/>
      <c r="L187" s="174"/>
      <c r="M187" s="174"/>
      <c r="N187" s="174"/>
      <c r="O187" s="174"/>
      <c r="P187" s="174"/>
      <c r="Q187" s="174"/>
      <c r="R187" s="174"/>
      <c r="S187" s="174"/>
      <c r="T187" s="174"/>
      <c r="U187" s="174"/>
      <c r="V187" s="195"/>
      <c r="W187" s="174"/>
      <c r="X187" s="5"/>
    </row>
    <row r="188" spans="1:24" ht="15.6" x14ac:dyDescent="0.3">
      <c r="A188" s="175"/>
      <c r="B188" s="203" t="s">
        <v>65</v>
      </c>
      <c r="C188" s="177"/>
      <c r="D188" s="177"/>
      <c r="E188" s="177"/>
      <c r="F188" s="177"/>
      <c r="G188" s="177"/>
      <c r="H188" s="177"/>
      <c r="I188" s="177"/>
      <c r="J188" s="177"/>
      <c r="K188" s="177"/>
      <c r="L188" s="177"/>
      <c r="M188" s="177"/>
      <c r="N188" s="177"/>
      <c r="O188" s="177"/>
      <c r="P188" s="177"/>
      <c r="Q188" s="177"/>
      <c r="R188" s="177"/>
      <c r="S188" s="177"/>
      <c r="T188" s="177"/>
      <c r="U188" s="177"/>
      <c r="V188" s="208"/>
      <c r="W188" s="177"/>
      <c r="X188" s="5"/>
    </row>
    <row r="189" spans="1:24" ht="15.6" x14ac:dyDescent="0.3">
      <c r="A189" s="271"/>
      <c r="B189" s="272" t="s">
        <v>66</v>
      </c>
      <c r="C189" s="272"/>
      <c r="D189" s="272"/>
      <c r="E189" s="272"/>
      <c r="F189" s="272"/>
      <c r="G189" s="272"/>
      <c r="H189" s="272"/>
      <c r="I189" s="272"/>
      <c r="J189" s="272"/>
      <c r="K189" s="272"/>
      <c r="L189" s="272"/>
      <c r="M189" s="272"/>
      <c r="N189" s="272"/>
      <c r="O189" s="272"/>
      <c r="P189" s="272"/>
      <c r="Q189" s="272"/>
      <c r="R189" s="272"/>
      <c r="S189" s="272"/>
      <c r="T189" s="272"/>
      <c r="U189" s="272"/>
      <c r="V189" s="341">
        <f>(V100+V102+V103+V104+V105)/-(V106+V107)</f>
        <v>3.5818656229615136</v>
      </c>
      <c r="W189" s="275" t="s">
        <v>118</v>
      </c>
      <c r="X189" s="5"/>
    </row>
    <row r="190" spans="1:24" ht="15.6" x14ac:dyDescent="0.3">
      <c r="A190" s="271"/>
      <c r="B190" s="272" t="s">
        <v>67</v>
      </c>
      <c r="C190" s="272"/>
      <c r="D190" s="272"/>
      <c r="E190" s="272"/>
      <c r="F190" s="272"/>
      <c r="G190" s="272"/>
      <c r="H190" s="272"/>
      <c r="I190" s="272"/>
      <c r="J190" s="272"/>
      <c r="K190" s="272"/>
      <c r="L190" s="272"/>
      <c r="M190" s="272"/>
      <c r="N190" s="272"/>
      <c r="O190" s="272"/>
      <c r="P190" s="272"/>
      <c r="Q190" s="272"/>
      <c r="R190" s="272"/>
      <c r="S190" s="272"/>
      <c r="T190" s="272"/>
      <c r="U190" s="272"/>
      <c r="V190" s="346">
        <v>1.73</v>
      </c>
      <c r="W190" s="275" t="s">
        <v>118</v>
      </c>
      <c r="X190" s="5"/>
    </row>
    <row r="191" spans="1:24" ht="15.6" x14ac:dyDescent="0.3">
      <c r="A191" s="271"/>
      <c r="B191" s="272" t="s">
        <v>68</v>
      </c>
      <c r="C191" s="272"/>
      <c r="D191" s="272"/>
      <c r="E191" s="272"/>
      <c r="F191" s="272"/>
      <c r="G191" s="272"/>
      <c r="H191" s="272"/>
      <c r="I191" s="272"/>
      <c r="J191" s="272"/>
      <c r="K191" s="272"/>
      <c r="L191" s="272"/>
      <c r="M191" s="272"/>
      <c r="N191" s="272"/>
      <c r="O191" s="272"/>
      <c r="P191" s="272"/>
      <c r="Q191" s="272"/>
      <c r="R191" s="272"/>
      <c r="S191" s="272"/>
      <c r="T191" s="272"/>
      <c r="U191" s="272"/>
      <c r="V191" s="341">
        <f>(V100+V102+V103+V104+V105+V106+V107)/-(V109+V110)</f>
        <v>15.106870229007633</v>
      </c>
      <c r="W191" s="275" t="s">
        <v>118</v>
      </c>
      <c r="X191" s="5"/>
    </row>
    <row r="192" spans="1:24" ht="15.6" x14ac:dyDescent="0.3">
      <c r="A192" s="271"/>
      <c r="B192" s="272" t="s">
        <v>69</v>
      </c>
      <c r="C192" s="272"/>
      <c r="D192" s="272"/>
      <c r="E192" s="272"/>
      <c r="F192" s="272"/>
      <c r="G192" s="272"/>
      <c r="H192" s="272"/>
      <c r="I192" s="272"/>
      <c r="J192" s="272"/>
      <c r="K192" s="272"/>
      <c r="L192" s="272"/>
      <c r="M192" s="272"/>
      <c r="N192" s="272"/>
      <c r="O192" s="272"/>
      <c r="P192" s="272"/>
      <c r="Q192" s="272"/>
      <c r="R192" s="272"/>
      <c r="S192" s="272"/>
      <c r="T192" s="272"/>
      <c r="U192" s="272"/>
      <c r="V192" s="346">
        <v>6.74</v>
      </c>
      <c r="W192" s="275" t="s">
        <v>118</v>
      </c>
      <c r="X192" s="5"/>
    </row>
    <row r="193" spans="1:24" ht="15.6" x14ac:dyDescent="0.3">
      <c r="A193" s="271"/>
      <c r="B193" s="272" t="s">
        <v>201</v>
      </c>
      <c r="C193" s="272"/>
      <c r="D193" s="272"/>
      <c r="E193" s="272"/>
      <c r="F193" s="272"/>
      <c r="G193" s="272"/>
      <c r="H193" s="272"/>
      <c r="I193" s="272"/>
      <c r="J193" s="272"/>
      <c r="K193" s="272"/>
      <c r="L193" s="272"/>
      <c r="M193" s="272"/>
      <c r="N193" s="272"/>
      <c r="O193" s="272"/>
      <c r="P193" s="272"/>
      <c r="Q193" s="272"/>
      <c r="R193" s="272"/>
      <c r="S193" s="272"/>
      <c r="T193" s="272"/>
      <c r="U193" s="272"/>
      <c r="V193" s="341">
        <f>(V100+V102+V103+V104+V105+V106+V107+V109+V110)/-(V111+V112)</f>
        <v>16.210526315789473</v>
      </c>
      <c r="W193" s="275" t="s">
        <v>118</v>
      </c>
      <c r="X193" s="5"/>
    </row>
    <row r="194" spans="1:24" ht="15.6" x14ac:dyDescent="0.3">
      <c r="A194" s="271"/>
      <c r="B194" s="272" t="s">
        <v>202</v>
      </c>
      <c r="C194" s="272"/>
      <c r="D194" s="272"/>
      <c r="E194" s="272"/>
      <c r="F194" s="272"/>
      <c r="G194" s="272"/>
      <c r="H194" s="272"/>
      <c r="I194" s="272"/>
      <c r="J194" s="272"/>
      <c r="K194" s="272"/>
      <c r="L194" s="272"/>
      <c r="M194" s="272"/>
      <c r="N194" s="272"/>
      <c r="O194" s="272"/>
      <c r="P194" s="272"/>
      <c r="Q194" s="272"/>
      <c r="R194" s="272"/>
      <c r="S194" s="272"/>
      <c r="T194" s="272"/>
      <c r="U194" s="272"/>
      <c r="V194" s="346">
        <v>8.61</v>
      </c>
      <c r="W194" s="275" t="s">
        <v>118</v>
      </c>
      <c r="X194" s="5"/>
    </row>
    <row r="195" spans="1:24" ht="15.6" x14ac:dyDescent="0.3">
      <c r="A195" s="271"/>
      <c r="B195" s="298"/>
      <c r="C195" s="298"/>
      <c r="D195" s="298"/>
      <c r="E195" s="298"/>
      <c r="F195" s="298"/>
      <c r="G195" s="298"/>
      <c r="H195" s="298"/>
      <c r="I195" s="298"/>
      <c r="J195" s="298"/>
      <c r="K195" s="298"/>
      <c r="L195" s="298"/>
      <c r="M195" s="298"/>
      <c r="N195" s="298"/>
      <c r="O195" s="298"/>
      <c r="P195" s="298"/>
      <c r="Q195" s="298"/>
      <c r="R195" s="298"/>
      <c r="S195" s="298"/>
      <c r="T195" s="298"/>
      <c r="U195" s="298"/>
      <c r="V195" s="298"/>
      <c r="W195" s="304"/>
      <c r="X195" s="5"/>
    </row>
    <row r="196" spans="1:24" ht="15.6" x14ac:dyDescent="0.3">
      <c r="A196" s="175"/>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5"/>
    </row>
    <row r="197" spans="1:24" ht="15.6" x14ac:dyDescent="0.3">
      <c r="A197" s="175"/>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5"/>
    </row>
    <row r="198" spans="1:24" ht="18" thickBot="1" x14ac:dyDescent="0.35">
      <c r="A198" s="194"/>
      <c r="B198" s="234" t="str">
        <f>B138</f>
        <v>PM13 INVESTOR REPORT QUARTER ENDING JUNE 2014</v>
      </c>
      <c r="C198" s="209"/>
      <c r="D198" s="209"/>
      <c r="E198" s="209"/>
      <c r="F198" s="209"/>
      <c r="G198" s="209"/>
      <c r="H198" s="209"/>
      <c r="I198" s="209"/>
      <c r="J198" s="209"/>
      <c r="K198" s="209"/>
      <c r="L198" s="209"/>
      <c r="M198" s="209"/>
      <c r="N198" s="209"/>
      <c r="O198" s="209"/>
      <c r="P198" s="209"/>
      <c r="Q198" s="209"/>
      <c r="R198" s="209"/>
      <c r="S198" s="209"/>
      <c r="T198" s="209"/>
      <c r="U198" s="209"/>
      <c r="V198" s="209"/>
      <c r="W198" s="210"/>
      <c r="X198" s="5"/>
    </row>
    <row r="199" spans="1:24" ht="15.6" x14ac:dyDescent="0.3">
      <c r="A199" s="246"/>
      <c r="B199" s="388" t="s">
        <v>70</v>
      </c>
      <c r="C199" s="249"/>
      <c r="D199" s="249"/>
      <c r="E199" s="249"/>
      <c r="F199" s="249"/>
      <c r="G199" s="250"/>
      <c r="H199" s="250"/>
      <c r="I199" s="250"/>
      <c r="J199" s="250"/>
      <c r="K199" s="250"/>
      <c r="L199" s="250"/>
      <c r="M199" s="250"/>
      <c r="N199" s="250"/>
      <c r="O199" s="250"/>
      <c r="P199" s="250"/>
      <c r="Q199" s="250"/>
      <c r="R199" s="250"/>
      <c r="S199" s="250"/>
      <c r="T199" s="250">
        <v>41820</v>
      </c>
      <c r="U199" s="247"/>
      <c r="V199" s="247"/>
      <c r="W199" s="247"/>
      <c r="X199" s="5"/>
    </row>
    <row r="200" spans="1:24" ht="15.6" x14ac:dyDescent="0.3">
      <c r="A200" s="211"/>
      <c r="B200" s="212"/>
      <c r="C200" s="213"/>
      <c r="D200" s="213"/>
      <c r="E200" s="213"/>
      <c r="F200" s="213"/>
      <c r="G200" s="214"/>
      <c r="H200" s="214"/>
      <c r="I200" s="214"/>
      <c r="J200" s="214"/>
      <c r="K200" s="214"/>
      <c r="L200" s="214"/>
      <c r="M200" s="214"/>
      <c r="N200" s="214"/>
      <c r="O200" s="214"/>
      <c r="P200" s="214"/>
      <c r="Q200" s="214"/>
      <c r="R200" s="214"/>
      <c r="S200" s="214"/>
      <c r="T200" s="214"/>
      <c r="U200" s="177"/>
      <c r="V200" s="177"/>
      <c r="W200" s="177"/>
      <c r="X200" s="5"/>
    </row>
    <row r="201" spans="1:24" ht="15.6" x14ac:dyDescent="0.3">
      <c r="A201" s="349"/>
      <c r="B201" s="272" t="s">
        <v>71</v>
      </c>
      <c r="C201" s="350"/>
      <c r="D201" s="350"/>
      <c r="E201" s="350"/>
      <c r="F201" s="350"/>
      <c r="G201" s="316"/>
      <c r="H201" s="316"/>
      <c r="I201" s="316"/>
      <c r="J201" s="316"/>
      <c r="K201" s="316"/>
      <c r="L201" s="316"/>
      <c r="M201" s="316"/>
      <c r="N201" s="316"/>
      <c r="O201" s="316"/>
      <c r="P201" s="316"/>
      <c r="Q201" s="316"/>
      <c r="R201" s="316"/>
      <c r="S201" s="316"/>
      <c r="T201" s="307">
        <v>5.4539999999999998E-2</v>
      </c>
      <c r="U201" s="272"/>
      <c r="V201" s="272"/>
      <c r="W201" s="275"/>
      <c r="X201" s="5"/>
    </row>
    <row r="202" spans="1:24" ht="15.6" x14ac:dyDescent="0.3">
      <c r="A202" s="349"/>
      <c r="B202" s="272" t="s">
        <v>154</v>
      </c>
      <c r="C202" s="350"/>
      <c r="D202" s="350"/>
      <c r="E202" s="350"/>
      <c r="F202" s="350"/>
      <c r="G202" s="316"/>
      <c r="H202" s="316"/>
      <c r="I202" s="316"/>
      <c r="J202" s="316"/>
      <c r="K202" s="316"/>
      <c r="L202" s="316"/>
      <c r="M202" s="316"/>
      <c r="N202" s="316"/>
      <c r="O202" s="316"/>
      <c r="P202" s="316"/>
      <c r="Q202" s="316"/>
      <c r="R202" s="316"/>
      <c r="S202" s="316"/>
      <c r="T202" s="307">
        <f>'Dec 06'!T199</f>
        <v>5.238600504269459E-2</v>
      </c>
      <c r="U202" s="272"/>
      <c r="V202" s="272"/>
      <c r="W202" s="275"/>
      <c r="X202" s="5"/>
    </row>
    <row r="203" spans="1:24" ht="15.6" x14ac:dyDescent="0.3">
      <c r="A203" s="349"/>
      <c r="B203" s="272" t="s">
        <v>72</v>
      </c>
      <c r="C203" s="350"/>
      <c r="D203" s="350"/>
      <c r="E203" s="350"/>
      <c r="F203" s="350"/>
      <c r="G203" s="316"/>
      <c r="H203" s="316"/>
      <c r="I203" s="316"/>
      <c r="J203" s="316"/>
      <c r="K203" s="316"/>
      <c r="L203" s="316"/>
      <c r="M203" s="316"/>
      <c r="N203" s="316"/>
      <c r="O203" s="316"/>
      <c r="P203" s="316"/>
      <c r="Q203" s="316"/>
      <c r="R203" s="316"/>
      <c r="S203" s="316"/>
      <c r="T203" s="307">
        <f>+T201-T202</f>
        <v>2.1539949573054079E-3</v>
      </c>
      <c r="U203" s="272"/>
      <c r="V203" s="272"/>
      <c r="W203" s="275"/>
      <c r="X203" s="5"/>
    </row>
    <row r="204" spans="1:24" ht="15.6" x14ac:dyDescent="0.3">
      <c r="A204" s="349"/>
      <c r="B204" s="272" t="s">
        <v>73</v>
      </c>
      <c r="C204" s="350"/>
      <c r="D204" s="350"/>
      <c r="E204" s="350"/>
      <c r="F204" s="350"/>
      <c r="G204" s="316"/>
      <c r="H204" s="316"/>
      <c r="I204" s="316"/>
      <c r="J204" s="316"/>
      <c r="K204" s="316"/>
      <c r="L204" s="316"/>
      <c r="M204" s="316"/>
      <c r="N204" s="316"/>
      <c r="O204" s="316"/>
      <c r="P204" s="316"/>
      <c r="Q204" s="316"/>
      <c r="R204" s="316"/>
      <c r="S204" s="316"/>
      <c r="T204" s="307">
        <v>2.2769999999999999E-2</v>
      </c>
      <c r="U204" s="272"/>
      <c r="V204" s="272"/>
      <c r="W204" s="275"/>
      <c r="X204" s="5"/>
    </row>
    <row r="205" spans="1:24" ht="15.6" x14ac:dyDescent="0.3">
      <c r="A205" s="349"/>
      <c r="B205" s="272" t="s">
        <v>222</v>
      </c>
      <c r="C205" s="350"/>
      <c r="D205" s="350"/>
      <c r="E205" s="350"/>
      <c r="F205" s="350"/>
      <c r="G205" s="316"/>
      <c r="H205" s="316"/>
      <c r="I205" s="316"/>
      <c r="J205" s="316"/>
      <c r="K205" s="316"/>
      <c r="L205" s="316"/>
      <c r="M205" s="316"/>
      <c r="N205" s="316"/>
      <c r="O205" s="316"/>
      <c r="P205" s="316"/>
      <c r="Q205" s="316"/>
      <c r="R205" s="316"/>
      <c r="S205" s="316"/>
      <c r="T205" s="307">
        <f>V43</f>
        <v>8.4878463898472954E-3</v>
      </c>
      <c r="U205" s="272"/>
      <c r="V205" s="272"/>
      <c r="W205" s="275"/>
      <c r="X205" s="5"/>
    </row>
    <row r="206" spans="1:24" ht="15.6" x14ac:dyDescent="0.3">
      <c r="A206" s="349"/>
      <c r="B206" s="272" t="s">
        <v>74</v>
      </c>
      <c r="C206" s="350"/>
      <c r="D206" s="350"/>
      <c r="E206" s="350"/>
      <c r="F206" s="350"/>
      <c r="G206" s="316"/>
      <c r="H206" s="316"/>
      <c r="I206" s="316"/>
      <c r="J206" s="316"/>
      <c r="K206" s="316"/>
      <c r="L206" s="316"/>
      <c r="M206" s="316"/>
      <c r="N206" s="316"/>
      <c r="O206" s="316"/>
      <c r="P206" s="316"/>
      <c r="Q206" s="316"/>
      <c r="R206" s="316"/>
      <c r="S206" s="316"/>
      <c r="T206" s="307">
        <f>T204-T205</f>
        <v>1.4282153610152703E-2</v>
      </c>
      <c r="U206" s="272"/>
      <c r="V206" s="272"/>
      <c r="W206" s="275"/>
      <c r="X206" s="5"/>
    </row>
    <row r="207" spans="1:24" ht="15.6" x14ac:dyDescent="0.3">
      <c r="A207" s="349"/>
      <c r="B207" s="272" t="s">
        <v>274</v>
      </c>
      <c r="C207" s="350"/>
      <c r="D207" s="350"/>
      <c r="E207" s="350"/>
      <c r="F207" s="350"/>
      <c r="G207" s="316"/>
      <c r="H207" s="316"/>
      <c r="I207" s="316"/>
      <c r="J207" s="316"/>
      <c r="K207" s="316"/>
      <c r="L207" s="316"/>
      <c r="M207" s="316"/>
      <c r="N207" s="316"/>
      <c r="O207" s="316"/>
      <c r="P207" s="316"/>
      <c r="Q207" s="316"/>
      <c r="R207" s="316"/>
      <c r="S207" s="316"/>
      <c r="T207" s="307">
        <f>+V100/N71</f>
        <v>6.4115309191291117E-3</v>
      </c>
      <c r="U207" s="272"/>
      <c r="V207" s="272"/>
      <c r="W207" s="275"/>
      <c r="X207" s="5"/>
    </row>
    <row r="208" spans="1:24" ht="15.6" x14ac:dyDescent="0.3">
      <c r="A208" s="349"/>
      <c r="B208" s="272" t="s">
        <v>211</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212</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213</v>
      </c>
      <c r="C210" s="350"/>
      <c r="D210" s="350"/>
      <c r="E210" s="350"/>
      <c r="F210" s="350"/>
      <c r="G210" s="316"/>
      <c r="H210" s="316"/>
      <c r="I210" s="316"/>
      <c r="J210" s="316"/>
      <c r="K210" s="316"/>
      <c r="L210" s="316"/>
      <c r="M210" s="316"/>
      <c r="N210" s="316"/>
      <c r="O210" s="316"/>
      <c r="P210" s="316"/>
      <c r="Q210" s="316"/>
      <c r="R210" s="316"/>
      <c r="S210" s="316"/>
      <c r="T210" s="351">
        <v>50771</v>
      </c>
      <c r="U210" s="272"/>
      <c r="V210" s="272"/>
      <c r="W210" s="275"/>
      <c r="X210" s="5"/>
    </row>
    <row r="211" spans="1:24" ht="15.6" x14ac:dyDescent="0.3">
      <c r="A211" s="349"/>
      <c r="B211" s="272" t="s">
        <v>75</v>
      </c>
      <c r="C211" s="350"/>
      <c r="D211" s="350"/>
      <c r="E211" s="350"/>
      <c r="F211" s="350"/>
      <c r="G211" s="316"/>
      <c r="H211" s="316"/>
      <c r="I211" s="316"/>
      <c r="J211" s="316"/>
      <c r="K211" s="316"/>
      <c r="L211" s="316"/>
      <c r="M211" s="316"/>
      <c r="N211" s="316"/>
      <c r="O211" s="316"/>
      <c r="P211" s="316"/>
      <c r="Q211" s="316"/>
      <c r="R211" s="316"/>
      <c r="S211" s="316"/>
      <c r="T211" s="313">
        <v>20.66</v>
      </c>
      <c r="U211" s="272" t="s">
        <v>113</v>
      </c>
      <c r="V211" s="272"/>
      <c r="W211" s="275"/>
      <c r="X211" s="5"/>
    </row>
    <row r="212" spans="1:24" ht="15.6" x14ac:dyDescent="0.3">
      <c r="A212" s="349"/>
      <c r="B212" s="272" t="s">
        <v>76</v>
      </c>
      <c r="C212" s="350"/>
      <c r="D212" s="350"/>
      <c r="E212" s="350"/>
      <c r="F212" s="350"/>
      <c r="G212" s="316"/>
      <c r="H212" s="316"/>
      <c r="I212" s="316"/>
      <c r="J212" s="316"/>
      <c r="K212" s="316"/>
      <c r="L212" s="316"/>
      <c r="M212" s="316"/>
      <c r="N212" s="316"/>
      <c r="O212" s="316"/>
      <c r="P212" s="316"/>
      <c r="Q212" s="316"/>
      <c r="R212" s="316"/>
      <c r="S212" s="316"/>
      <c r="T212" s="313">
        <v>13.5</v>
      </c>
      <c r="U212" s="272" t="s">
        <v>113</v>
      </c>
      <c r="V212" s="272"/>
      <c r="W212" s="275"/>
      <c r="X212" s="5"/>
    </row>
    <row r="213" spans="1:24" ht="15.6" x14ac:dyDescent="0.3">
      <c r="A213" s="349"/>
      <c r="B213" s="272" t="s">
        <v>77</v>
      </c>
      <c r="C213" s="350"/>
      <c r="D213" s="350"/>
      <c r="E213" s="350"/>
      <c r="F213" s="350"/>
      <c r="G213" s="316"/>
      <c r="H213" s="316"/>
      <c r="I213" s="316"/>
      <c r="J213" s="316"/>
      <c r="K213" s="316"/>
      <c r="L213" s="316"/>
      <c r="M213" s="316"/>
      <c r="N213" s="316"/>
      <c r="O213" s="316"/>
      <c r="P213" s="316"/>
      <c r="Q213" s="316"/>
      <c r="R213" s="316"/>
      <c r="S213" s="316"/>
      <c r="T213" s="307">
        <f>P68/N68</f>
        <v>8.9857705243286574E-3</v>
      </c>
      <c r="U213" s="272"/>
      <c r="V213" s="272"/>
      <c r="W213" s="275"/>
      <c r="X213" s="5"/>
    </row>
    <row r="214" spans="1:24" ht="15.6" x14ac:dyDescent="0.3">
      <c r="A214" s="349"/>
      <c r="B214" s="272" t="s">
        <v>78</v>
      </c>
      <c r="C214" s="350"/>
      <c r="D214" s="350"/>
      <c r="E214" s="350"/>
      <c r="F214" s="350"/>
      <c r="G214" s="316"/>
      <c r="H214" s="316"/>
      <c r="I214" s="316"/>
      <c r="J214" s="316"/>
      <c r="K214" s="316"/>
      <c r="L214" s="316"/>
      <c r="M214" s="316"/>
      <c r="N214" s="316"/>
      <c r="O214" s="316"/>
      <c r="P214" s="316"/>
      <c r="Q214" s="316"/>
      <c r="R214" s="316"/>
      <c r="S214" s="316"/>
      <c r="T214" s="307">
        <v>6.6699999999999995E-2</v>
      </c>
      <c r="U214" s="272"/>
      <c r="V214" s="272"/>
      <c r="W214" s="275"/>
      <c r="X214" s="5"/>
    </row>
    <row r="215" spans="1:24" ht="15.6" x14ac:dyDescent="0.3">
      <c r="A215" s="211"/>
      <c r="B215" s="347"/>
      <c r="C215" s="347"/>
      <c r="D215" s="347"/>
      <c r="E215" s="347"/>
      <c r="F215" s="347"/>
      <c r="G215" s="321"/>
      <c r="H215" s="321"/>
      <c r="I215" s="321"/>
      <c r="J215" s="321"/>
      <c r="K215" s="321"/>
      <c r="L215" s="321"/>
      <c r="M215" s="321"/>
      <c r="N215" s="321"/>
      <c r="O215" s="321"/>
      <c r="P215" s="321"/>
      <c r="Q215" s="321"/>
      <c r="R215" s="321"/>
      <c r="S215" s="321"/>
      <c r="T215" s="340"/>
      <c r="U215" s="321"/>
      <c r="V215" s="348"/>
      <c r="W215" s="321"/>
      <c r="X215" s="5"/>
    </row>
    <row r="216" spans="1:24" ht="15.6" x14ac:dyDescent="0.3">
      <c r="A216" s="215"/>
      <c r="B216" s="219" t="s">
        <v>79</v>
      </c>
      <c r="C216" s="224"/>
      <c r="D216" s="224"/>
      <c r="E216" s="224"/>
      <c r="F216" s="251"/>
      <c r="G216" s="224"/>
      <c r="H216" s="224"/>
      <c r="I216" s="224"/>
      <c r="J216" s="224"/>
      <c r="K216" s="224"/>
      <c r="L216" s="224"/>
      <c r="M216" s="224"/>
      <c r="N216" s="224"/>
      <c r="O216" s="224"/>
      <c r="P216" s="224"/>
      <c r="Q216" s="224"/>
      <c r="R216" s="224"/>
      <c r="S216" s="224" t="s">
        <v>103</v>
      </c>
      <c r="T216" s="251" t="s">
        <v>110</v>
      </c>
      <c r="U216" s="220"/>
      <c r="V216" s="220"/>
      <c r="W216" s="220"/>
      <c r="X216" s="5"/>
    </row>
    <row r="217" spans="1:24" ht="15.6" x14ac:dyDescent="0.3">
      <c r="A217" s="356"/>
      <c r="B217" s="272" t="s">
        <v>80</v>
      </c>
      <c r="C217" s="324"/>
      <c r="D217" s="324"/>
      <c r="E217" s="324"/>
      <c r="F217" s="272"/>
      <c r="G217" s="272"/>
      <c r="H217" s="280"/>
      <c r="I217" s="280"/>
      <c r="J217" s="280"/>
      <c r="K217" s="280"/>
      <c r="L217" s="280"/>
      <c r="M217" s="280"/>
      <c r="N217" s="280"/>
      <c r="O217" s="280"/>
      <c r="P217" s="280"/>
      <c r="Q217" s="280"/>
      <c r="R217" s="280"/>
      <c r="S217" s="280">
        <v>1</v>
      </c>
      <c r="T217" s="357">
        <v>127</v>
      </c>
      <c r="U217" s="272"/>
      <c r="V217" s="358"/>
      <c r="W217" s="359"/>
      <c r="X217" s="5"/>
    </row>
    <row r="218" spans="1:24" ht="15.6" x14ac:dyDescent="0.3">
      <c r="A218" s="356"/>
      <c r="B218" s="272" t="s">
        <v>148</v>
      </c>
      <c r="C218" s="324"/>
      <c r="D218" s="324"/>
      <c r="E218" s="324"/>
      <c r="F218" s="272"/>
      <c r="G218" s="272"/>
      <c r="H218" s="280"/>
      <c r="I218" s="280"/>
      <c r="J218" s="280"/>
      <c r="K218" s="280"/>
      <c r="L218" s="280"/>
      <c r="M218" s="280"/>
      <c r="N218" s="280"/>
      <c r="O218" s="280"/>
      <c r="P218" s="280"/>
      <c r="Q218" s="280"/>
      <c r="R218" s="280"/>
      <c r="S218" s="360">
        <f>+R270</f>
        <v>180</v>
      </c>
      <c r="T218" s="357">
        <f>+T270</f>
        <v>26730</v>
      </c>
      <c r="U218" s="272"/>
      <c r="V218" s="358"/>
      <c r="W218" s="359"/>
      <c r="X218" s="5"/>
    </row>
    <row r="219" spans="1:24" ht="15.6" x14ac:dyDescent="0.3">
      <c r="A219" s="356"/>
      <c r="B219" s="272" t="s">
        <v>81</v>
      </c>
      <c r="C219" s="324"/>
      <c r="D219" s="324"/>
      <c r="E219" s="324"/>
      <c r="F219" s="272"/>
      <c r="G219" s="272"/>
      <c r="H219" s="280"/>
      <c r="I219" s="280"/>
      <c r="J219" s="280"/>
      <c r="K219" s="280"/>
      <c r="L219" s="280"/>
      <c r="M219" s="280"/>
      <c r="N219" s="280"/>
      <c r="O219" s="280"/>
      <c r="P219" s="280"/>
      <c r="Q219" s="280"/>
      <c r="R219" s="280"/>
      <c r="S219" s="360">
        <f>+R282</f>
        <v>1</v>
      </c>
      <c r="T219" s="357">
        <f>+T282</f>
        <v>446</v>
      </c>
      <c r="U219" s="272"/>
      <c r="V219" s="358"/>
      <c r="W219" s="359"/>
      <c r="X219" s="5"/>
    </row>
    <row r="220" spans="1:24" ht="15.6" x14ac:dyDescent="0.3">
      <c r="A220" s="356"/>
      <c r="B220" s="297" t="s">
        <v>82</v>
      </c>
      <c r="C220" s="361"/>
      <c r="D220" s="361"/>
      <c r="E220" s="361"/>
      <c r="F220" s="298"/>
      <c r="G220" s="298"/>
      <c r="H220" s="298"/>
      <c r="I220" s="298"/>
      <c r="J220" s="298"/>
      <c r="K220" s="298"/>
      <c r="L220" s="298"/>
      <c r="M220" s="298"/>
      <c r="N220" s="298"/>
      <c r="O220" s="298"/>
      <c r="P220" s="298"/>
      <c r="Q220" s="298"/>
      <c r="R220" s="298"/>
      <c r="S220" s="298"/>
      <c r="T220" s="357">
        <v>0</v>
      </c>
      <c r="U220" s="298"/>
      <c r="V220" s="362"/>
      <c r="W220" s="363"/>
      <c r="X220" s="5"/>
    </row>
    <row r="221" spans="1:24" ht="15.6" x14ac:dyDescent="0.3">
      <c r="A221" s="356"/>
      <c r="B221" s="297" t="s">
        <v>275</v>
      </c>
      <c r="C221" s="361"/>
      <c r="D221" s="361"/>
      <c r="E221" s="361"/>
      <c r="F221" s="298"/>
      <c r="G221" s="298"/>
      <c r="H221" s="298"/>
      <c r="I221" s="298"/>
      <c r="J221" s="298"/>
      <c r="K221" s="298"/>
      <c r="L221" s="298"/>
      <c r="M221" s="298"/>
      <c r="N221" s="298"/>
      <c r="O221" s="298"/>
      <c r="P221" s="298"/>
      <c r="Q221" s="298"/>
      <c r="R221" s="298"/>
      <c r="S221" s="298"/>
      <c r="T221" s="357">
        <f>+N81</f>
        <v>0</v>
      </c>
      <c r="U221" s="298"/>
      <c r="V221" s="362"/>
      <c r="W221" s="363"/>
      <c r="X221" s="5"/>
    </row>
    <row r="222" spans="1:24" ht="15.6" x14ac:dyDescent="0.3">
      <c r="A222" s="364"/>
      <c r="B222" s="297" t="s">
        <v>83</v>
      </c>
      <c r="C222" s="365"/>
      <c r="D222" s="365"/>
      <c r="E222" s="365"/>
      <c r="F222" s="365"/>
      <c r="G222" s="298"/>
      <c r="H222" s="298"/>
      <c r="I222" s="298"/>
      <c r="J222" s="298"/>
      <c r="K222" s="298"/>
      <c r="L222" s="298"/>
      <c r="M222" s="298"/>
      <c r="N222" s="298"/>
      <c r="O222" s="298"/>
      <c r="P222" s="298"/>
      <c r="Q222" s="298"/>
      <c r="R222" s="298"/>
      <c r="S222" s="298"/>
      <c r="T222" s="366"/>
      <c r="U222" s="298"/>
      <c r="V222" s="362"/>
      <c r="W222" s="367"/>
      <c r="X222" s="5"/>
    </row>
    <row r="223" spans="1:24" ht="15.6" x14ac:dyDescent="0.3">
      <c r="A223" s="364"/>
      <c r="B223" s="272" t="s">
        <v>84</v>
      </c>
      <c r="C223" s="272"/>
      <c r="D223" s="272"/>
      <c r="E223" s="272"/>
      <c r="F223" s="272"/>
      <c r="G223" s="272"/>
      <c r="H223" s="272"/>
      <c r="I223" s="272"/>
      <c r="J223" s="272"/>
      <c r="K223" s="272"/>
      <c r="L223" s="272"/>
      <c r="M223" s="272"/>
      <c r="N223" s="272"/>
      <c r="O223" s="272"/>
      <c r="P223" s="272"/>
      <c r="Q223" s="272"/>
      <c r="R223" s="272"/>
      <c r="S223" s="280"/>
      <c r="T223" s="357">
        <f>V167</f>
        <v>240</v>
      </c>
      <c r="U223" s="272"/>
      <c r="V223" s="362"/>
      <c r="W223" s="367"/>
      <c r="X223" s="5"/>
    </row>
    <row r="224" spans="1:24" ht="15.6" x14ac:dyDescent="0.3">
      <c r="A224" s="356"/>
      <c r="B224" s="272" t="s">
        <v>85</v>
      </c>
      <c r="C224" s="324"/>
      <c r="D224" s="324"/>
      <c r="E224" s="324"/>
      <c r="F224" s="324"/>
      <c r="G224" s="272"/>
      <c r="H224" s="272"/>
      <c r="I224" s="272"/>
      <c r="J224" s="272"/>
      <c r="K224" s="272"/>
      <c r="L224" s="272"/>
      <c r="M224" s="272"/>
      <c r="N224" s="272"/>
      <c r="O224" s="272"/>
      <c r="P224" s="272"/>
      <c r="Q224" s="272"/>
      <c r="R224" s="272"/>
      <c r="S224" s="280"/>
      <c r="T224" s="357">
        <f>'March 14'!T224+T223</f>
        <v>5831</v>
      </c>
      <c r="U224" s="272"/>
      <c r="V224" s="362"/>
      <c r="W224" s="367"/>
      <c r="X224" s="5"/>
    </row>
    <row r="225" spans="1:25" ht="15.6" x14ac:dyDescent="0.3">
      <c r="A225" s="364"/>
      <c r="B225" s="297" t="s">
        <v>297</v>
      </c>
      <c r="C225" s="365"/>
      <c r="D225" s="365"/>
      <c r="E225" s="365"/>
      <c r="F225" s="365"/>
      <c r="G225" s="298"/>
      <c r="H225" s="298"/>
      <c r="I225" s="298"/>
      <c r="J225" s="298"/>
      <c r="K225" s="298"/>
      <c r="L225" s="298"/>
      <c r="M225" s="298"/>
      <c r="N225" s="298"/>
      <c r="O225" s="298"/>
      <c r="P225" s="298"/>
      <c r="Q225" s="298"/>
      <c r="R225" s="298"/>
      <c r="S225" s="302"/>
      <c r="T225" s="366"/>
      <c r="U225" s="298"/>
      <c r="V225" s="362"/>
      <c r="W225" s="367"/>
      <c r="X225" s="5"/>
    </row>
    <row r="226" spans="1:25" ht="15.6" x14ac:dyDescent="0.3">
      <c r="A226" s="364"/>
      <c r="B226" s="272" t="s">
        <v>295</v>
      </c>
      <c r="C226" s="365"/>
      <c r="D226" s="365"/>
      <c r="E226" s="365"/>
      <c r="F226" s="365"/>
      <c r="G226" s="298"/>
      <c r="H226" s="298"/>
      <c r="I226" s="298"/>
      <c r="J226" s="298"/>
      <c r="K226" s="298"/>
      <c r="L226" s="298"/>
      <c r="M226" s="298"/>
      <c r="N226" s="298"/>
      <c r="O226" s="298"/>
      <c r="P226" s="298"/>
      <c r="Q226" s="298"/>
      <c r="R226" s="298"/>
      <c r="S226" s="280">
        <v>1</v>
      </c>
      <c r="T226" s="357">
        <v>39</v>
      </c>
      <c r="U226" s="298"/>
      <c r="V226" s="362"/>
      <c r="W226" s="367"/>
      <c r="X226" s="5"/>
    </row>
    <row r="227" spans="1:25" ht="15.6" x14ac:dyDescent="0.3">
      <c r="A227" s="356"/>
      <c r="B227" s="272" t="s">
        <v>87</v>
      </c>
      <c r="C227" s="370"/>
      <c r="D227" s="370"/>
      <c r="E227" s="370"/>
      <c r="F227" s="371"/>
      <c r="G227" s="298"/>
      <c r="H227" s="298"/>
      <c r="I227" s="298"/>
      <c r="J227" s="298"/>
      <c r="K227" s="298"/>
      <c r="L227" s="298"/>
      <c r="M227" s="298"/>
      <c r="N227" s="298"/>
      <c r="O227" s="298"/>
      <c r="P227" s="298"/>
      <c r="Q227" s="298"/>
      <c r="R227" s="298"/>
      <c r="S227" s="272"/>
      <c r="T227" s="372">
        <v>4.3899999999999997</v>
      </c>
      <c r="U227" s="298"/>
      <c r="V227" s="362"/>
      <c r="W227" s="367"/>
      <c r="X227" s="5"/>
    </row>
    <row r="228" spans="1:25" ht="15.6" x14ac:dyDescent="0.3">
      <c r="A228" s="356"/>
      <c r="B228" s="272" t="s">
        <v>88</v>
      </c>
      <c r="C228" s="370"/>
      <c r="D228" s="370"/>
      <c r="E228" s="370"/>
      <c r="F228" s="371"/>
      <c r="G228" s="298"/>
      <c r="H228" s="298"/>
      <c r="I228" s="298"/>
      <c r="J228" s="298"/>
      <c r="K228" s="298"/>
      <c r="L228" s="298"/>
      <c r="M228" s="298"/>
      <c r="N228" s="298"/>
      <c r="O228" s="298"/>
      <c r="P228" s="298"/>
      <c r="Q228" s="298"/>
      <c r="R228" s="298"/>
      <c r="S228" s="272"/>
      <c r="T228" s="372">
        <v>3.29</v>
      </c>
      <c r="U228" s="298"/>
      <c r="V228" s="362"/>
      <c r="W228" s="367"/>
      <c r="X228" s="5"/>
    </row>
    <row r="229" spans="1:25" ht="15.6" x14ac:dyDescent="0.3">
      <c r="A229" s="356"/>
      <c r="B229" s="297" t="s">
        <v>220</v>
      </c>
      <c r="C229" s="370"/>
      <c r="D229" s="370"/>
      <c r="E229" s="370"/>
      <c r="F229" s="371"/>
      <c r="G229" s="298"/>
      <c r="H229" s="298"/>
      <c r="I229" s="298"/>
      <c r="J229" s="298"/>
      <c r="K229" s="298"/>
      <c r="L229" s="298"/>
      <c r="M229" s="298"/>
      <c r="N229" s="298"/>
      <c r="O229" s="298"/>
      <c r="P229" s="298"/>
      <c r="Q229" s="298"/>
      <c r="R229" s="298"/>
      <c r="S229" s="272"/>
      <c r="T229" s="373"/>
      <c r="U229" s="298"/>
      <c r="V229" s="362"/>
      <c r="W229" s="367"/>
      <c r="X229" s="5"/>
    </row>
    <row r="230" spans="1:25" ht="15.6" x14ac:dyDescent="0.3">
      <c r="A230" s="356"/>
      <c r="B230" s="272" t="s">
        <v>295</v>
      </c>
      <c r="C230" s="370"/>
      <c r="D230" s="370"/>
      <c r="E230" s="370"/>
      <c r="F230" s="371"/>
      <c r="G230" s="298"/>
      <c r="H230" s="298"/>
      <c r="I230" s="298"/>
      <c r="J230" s="298"/>
      <c r="K230" s="298"/>
      <c r="L230" s="298"/>
      <c r="M230" s="298"/>
      <c r="N230" s="298"/>
      <c r="O230" s="298"/>
      <c r="P230" s="298"/>
      <c r="Q230" s="298"/>
      <c r="R230" s="298"/>
      <c r="S230" s="280">
        <v>3</v>
      </c>
      <c r="T230" s="357">
        <v>278</v>
      </c>
      <c r="U230" s="298"/>
      <c r="V230" s="362"/>
      <c r="W230" s="367"/>
      <c r="X230" s="5"/>
    </row>
    <row r="231" spans="1:25" ht="15.6" x14ac:dyDescent="0.3">
      <c r="A231" s="356"/>
      <c r="B231" s="272" t="s">
        <v>221</v>
      </c>
      <c r="C231" s="370"/>
      <c r="D231" s="370"/>
      <c r="E231" s="370"/>
      <c r="F231" s="371"/>
      <c r="G231" s="298"/>
      <c r="H231" s="298"/>
      <c r="I231" s="298"/>
      <c r="J231" s="298"/>
      <c r="K231" s="298"/>
      <c r="L231" s="298"/>
      <c r="M231" s="298"/>
      <c r="N231" s="298"/>
      <c r="O231" s="298"/>
      <c r="P231" s="298"/>
      <c r="Q231" s="298"/>
      <c r="R231" s="298"/>
      <c r="S231" s="272"/>
      <c r="T231" s="372">
        <v>4.93</v>
      </c>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5.6" x14ac:dyDescent="0.3">
      <c r="A233" s="356"/>
      <c r="B233" s="365"/>
      <c r="C233" s="370"/>
      <c r="D233" s="370"/>
      <c r="E233" s="370"/>
      <c r="F233" s="371"/>
      <c r="G233" s="298"/>
      <c r="H233" s="298"/>
      <c r="I233" s="298"/>
      <c r="J233" s="298"/>
      <c r="K233" s="298"/>
      <c r="L233" s="298"/>
      <c r="M233" s="298"/>
      <c r="N233" s="298"/>
      <c r="O233" s="298"/>
      <c r="P233" s="298"/>
      <c r="Q233" s="298"/>
      <c r="R233" s="298"/>
      <c r="S233" s="298"/>
      <c r="T233" s="374"/>
      <c r="U233" s="298"/>
      <c r="V233" s="362"/>
      <c r="W233" s="367"/>
      <c r="X233" s="5"/>
    </row>
    <row r="234" spans="1:25" ht="17.399999999999999" x14ac:dyDescent="0.3">
      <c r="A234" s="356"/>
      <c r="B234" s="375" t="s">
        <v>171</v>
      </c>
      <c r="C234" s="370"/>
      <c r="D234" s="370"/>
      <c r="E234" s="370"/>
      <c r="F234" s="371"/>
      <c r="G234" s="298"/>
      <c r="H234" s="298"/>
      <c r="I234" s="298"/>
      <c r="J234" s="298"/>
      <c r="K234" s="298"/>
      <c r="L234" s="298"/>
      <c r="M234" s="298"/>
      <c r="N234" s="298"/>
      <c r="O234" s="298"/>
      <c r="P234" s="376" t="s">
        <v>170</v>
      </c>
      <c r="Q234" s="298"/>
      <c r="R234" s="298"/>
      <c r="S234" s="298"/>
      <c r="T234" s="374"/>
      <c r="U234" s="298"/>
      <c r="V234" s="362"/>
      <c r="W234" s="367"/>
      <c r="X234" s="5"/>
    </row>
    <row r="235" spans="1:25" ht="15.6" x14ac:dyDescent="0.3">
      <c r="A235" s="215"/>
      <c r="B235" s="347"/>
      <c r="C235" s="352"/>
      <c r="D235" s="352"/>
      <c r="E235" s="352"/>
      <c r="F235" s="353"/>
      <c r="G235" s="321"/>
      <c r="H235" s="321"/>
      <c r="I235" s="321"/>
      <c r="J235" s="321"/>
      <c r="K235" s="321"/>
      <c r="L235" s="321"/>
      <c r="M235" s="321"/>
      <c r="N235" s="321"/>
      <c r="O235" s="321"/>
      <c r="P235" s="321"/>
      <c r="Q235" s="321"/>
      <c r="R235" s="321"/>
      <c r="S235" s="321"/>
      <c r="T235" s="354"/>
      <c r="U235" s="321"/>
      <c r="V235" s="348"/>
      <c r="W235" s="355"/>
      <c r="X235" s="5"/>
    </row>
    <row r="236" spans="1:25" ht="15.6" x14ac:dyDescent="0.3">
      <c r="A236" s="239"/>
      <c r="B236" s="253" t="s">
        <v>310</v>
      </c>
      <c r="C236" s="254"/>
      <c r="D236" s="254"/>
      <c r="E236" s="254"/>
      <c r="F236" s="255"/>
      <c r="G236" s="254"/>
      <c r="H236" s="254"/>
      <c r="I236" s="254"/>
      <c r="J236" s="254"/>
      <c r="K236" s="254"/>
      <c r="L236" s="254"/>
      <c r="M236" s="254"/>
      <c r="N236" s="254"/>
      <c r="O236" s="254"/>
      <c r="P236" s="254"/>
      <c r="Q236" s="254"/>
      <c r="R236" s="255" t="s">
        <v>103</v>
      </c>
      <c r="S236" s="254" t="s">
        <v>104</v>
      </c>
      <c r="T236" s="255" t="s">
        <v>111</v>
      </c>
      <c r="U236" s="254" t="s">
        <v>104</v>
      </c>
      <c r="V236" s="240"/>
      <c r="W236" s="253"/>
      <c r="X236" s="5"/>
    </row>
    <row r="237" spans="1:25" ht="15.6" x14ac:dyDescent="0.3">
      <c r="A237" s="192"/>
      <c r="B237" s="231" t="s">
        <v>89</v>
      </c>
      <c r="C237" s="260"/>
      <c r="D237" s="260"/>
      <c r="E237" s="260"/>
      <c r="F237" s="229"/>
      <c r="G237" s="260"/>
      <c r="H237" s="260"/>
      <c r="I237" s="260"/>
      <c r="J237" s="260"/>
      <c r="K237" s="260"/>
      <c r="L237" s="260"/>
      <c r="M237" s="260"/>
      <c r="N237" s="260"/>
      <c r="O237" s="260"/>
      <c r="P237" s="260"/>
      <c r="Q237" s="260"/>
      <c r="R237" s="324">
        <f t="shared" ref="R237:R244" si="1">+R249+R261+R273</f>
        <v>7333</v>
      </c>
      <c r="S237" s="381">
        <f t="shared" ref="S237:S244" si="2">R237/$R$246</f>
        <v>0.9930931744312026</v>
      </c>
      <c r="T237" s="325">
        <f t="shared" ref="T237:T244" si="3">+T249+T261+T273</f>
        <v>941079</v>
      </c>
      <c r="U237" s="381">
        <f t="shared" ref="U237:U244" si="4">T237/$T$246</f>
        <v>0.9935986367408477</v>
      </c>
      <c r="V237" s="252"/>
      <c r="W237" s="230"/>
      <c r="X237" s="5"/>
    </row>
    <row r="238" spans="1:25" ht="15.6" x14ac:dyDescent="0.3">
      <c r="A238" s="271"/>
      <c r="B238" s="324" t="s">
        <v>90</v>
      </c>
      <c r="C238" s="380"/>
      <c r="D238" s="380"/>
      <c r="E238" s="380"/>
      <c r="F238" s="272"/>
      <c r="G238" s="381"/>
      <c r="H238" s="380"/>
      <c r="I238" s="380"/>
      <c r="J238" s="380"/>
      <c r="K238" s="380"/>
      <c r="L238" s="380"/>
      <c r="M238" s="380"/>
      <c r="N238" s="380"/>
      <c r="O238" s="380"/>
      <c r="P238" s="380"/>
      <c r="Q238" s="380"/>
      <c r="R238" s="324">
        <f t="shared" si="1"/>
        <v>11</v>
      </c>
      <c r="S238" s="381">
        <f t="shared" si="2"/>
        <v>1.4897074756229686E-3</v>
      </c>
      <c r="T238" s="325">
        <f t="shared" si="3"/>
        <v>974</v>
      </c>
      <c r="U238" s="381">
        <f t="shared" si="4"/>
        <v>1.0283568884074405E-3</v>
      </c>
      <c r="V238" s="358"/>
      <c r="W238" s="382"/>
      <c r="X238" s="5"/>
      <c r="Y238" s="109"/>
    </row>
    <row r="239" spans="1:25" ht="15.6" x14ac:dyDescent="0.3">
      <c r="A239" s="271"/>
      <c r="B239" s="324" t="s">
        <v>91</v>
      </c>
      <c r="C239" s="380"/>
      <c r="D239" s="380"/>
      <c r="E239" s="380"/>
      <c r="F239" s="272"/>
      <c r="G239" s="381"/>
      <c r="H239" s="380"/>
      <c r="I239" s="380"/>
      <c r="J239" s="380"/>
      <c r="K239" s="380"/>
      <c r="L239" s="380"/>
      <c r="M239" s="380"/>
      <c r="N239" s="380"/>
      <c r="O239" s="380"/>
      <c r="P239" s="380"/>
      <c r="Q239" s="380"/>
      <c r="R239" s="324">
        <f t="shared" si="1"/>
        <v>3</v>
      </c>
      <c r="S239" s="381">
        <f t="shared" si="2"/>
        <v>4.0628385698808235E-4</v>
      </c>
      <c r="T239" s="325">
        <f t="shared" si="3"/>
        <v>315</v>
      </c>
      <c r="U239" s="381">
        <f t="shared" si="4"/>
        <v>3.3257948649727286E-4</v>
      </c>
      <c r="V239" s="358"/>
      <c r="W239" s="382"/>
      <c r="X239" s="5"/>
    </row>
    <row r="240" spans="1:25" ht="15.6" x14ac:dyDescent="0.3">
      <c r="A240" s="271"/>
      <c r="B240" s="324" t="s">
        <v>159</v>
      </c>
      <c r="C240" s="380"/>
      <c r="D240" s="380"/>
      <c r="E240" s="380"/>
      <c r="F240" s="272"/>
      <c r="G240" s="381"/>
      <c r="H240" s="380"/>
      <c r="I240" s="380"/>
      <c r="J240" s="380"/>
      <c r="K240" s="380"/>
      <c r="L240" s="380"/>
      <c r="M240" s="380"/>
      <c r="N240" s="380"/>
      <c r="O240" s="380"/>
      <c r="P240" s="380"/>
      <c r="Q240" s="380"/>
      <c r="R240" s="324">
        <f t="shared" si="1"/>
        <v>0</v>
      </c>
      <c r="S240" s="381">
        <f t="shared" si="2"/>
        <v>0</v>
      </c>
      <c r="T240" s="325">
        <f t="shared" si="3"/>
        <v>0</v>
      </c>
      <c r="U240" s="381">
        <f t="shared" si="4"/>
        <v>0</v>
      </c>
      <c r="V240" s="358"/>
      <c r="W240" s="382"/>
      <c r="X240" s="5"/>
      <c r="Y240" s="109"/>
    </row>
    <row r="241" spans="1:25" ht="15.6" x14ac:dyDescent="0.3">
      <c r="A241" s="271"/>
      <c r="B241" s="324" t="s">
        <v>160</v>
      </c>
      <c r="C241" s="380"/>
      <c r="D241" s="380"/>
      <c r="E241" s="380"/>
      <c r="F241" s="272"/>
      <c r="G241" s="381"/>
      <c r="H241" s="380"/>
      <c r="I241" s="380"/>
      <c r="J241" s="380"/>
      <c r="K241" s="380"/>
      <c r="L241" s="380"/>
      <c r="M241" s="380"/>
      <c r="N241" s="380"/>
      <c r="O241" s="380"/>
      <c r="P241" s="380"/>
      <c r="Q241" s="380"/>
      <c r="R241" s="324">
        <f t="shared" si="1"/>
        <v>1</v>
      </c>
      <c r="S241" s="381">
        <f t="shared" si="2"/>
        <v>1.3542795232936077E-4</v>
      </c>
      <c r="T241" s="325">
        <f t="shared" si="3"/>
        <v>117</v>
      </c>
      <c r="U241" s="381">
        <f t="shared" si="4"/>
        <v>1.2352952355612992E-4</v>
      </c>
      <c r="V241" s="358"/>
      <c r="W241" s="382"/>
      <c r="X241" s="5"/>
    </row>
    <row r="242" spans="1:25" ht="15.6" x14ac:dyDescent="0.3">
      <c r="A242" s="271"/>
      <c r="B242" s="324" t="s">
        <v>161</v>
      </c>
      <c r="C242" s="380"/>
      <c r="D242" s="380"/>
      <c r="E242" s="380"/>
      <c r="F242" s="272"/>
      <c r="G242" s="381"/>
      <c r="H242" s="380"/>
      <c r="I242" s="380"/>
      <c r="J242" s="380"/>
      <c r="K242" s="380"/>
      <c r="L242" s="380"/>
      <c r="M242" s="380"/>
      <c r="N242" s="380"/>
      <c r="O242" s="380"/>
      <c r="P242" s="380"/>
      <c r="Q242" s="380"/>
      <c r="R242" s="324">
        <f t="shared" si="1"/>
        <v>2</v>
      </c>
      <c r="S242" s="381">
        <f t="shared" si="2"/>
        <v>2.7085590465872155E-4</v>
      </c>
      <c r="T242" s="325">
        <f t="shared" si="3"/>
        <v>156</v>
      </c>
      <c r="U242" s="381">
        <f t="shared" si="4"/>
        <v>1.6470603140817321E-4</v>
      </c>
      <c r="V242" s="358"/>
      <c r="W242" s="382"/>
      <c r="X242" s="5"/>
      <c r="Y242" s="109"/>
    </row>
    <row r="243" spans="1:25" ht="15.6" x14ac:dyDescent="0.3">
      <c r="A243" s="271"/>
      <c r="B243" s="324" t="s">
        <v>162</v>
      </c>
      <c r="C243" s="380"/>
      <c r="D243" s="380"/>
      <c r="E243" s="380"/>
      <c r="F243" s="272"/>
      <c r="G243" s="381"/>
      <c r="H243" s="380"/>
      <c r="I243" s="380"/>
      <c r="J243" s="380"/>
      <c r="K243" s="380"/>
      <c r="L243" s="380"/>
      <c r="M243" s="380"/>
      <c r="N243" s="380"/>
      <c r="O243" s="380"/>
      <c r="P243" s="380"/>
      <c r="Q243" s="380"/>
      <c r="R243" s="324">
        <f t="shared" si="1"/>
        <v>4</v>
      </c>
      <c r="S243" s="381">
        <f t="shared" si="2"/>
        <v>5.4171180931744309E-4</v>
      </c>
      <c r="T243" s="325">
        <f t="shared" si="3"/>
        <v>435</v>
      </c>
      <c r="U243" s="381">
        <f t="shared" si="4"/>
        <v>4.5927643373432916E-4</v>
      </c>
      <c r="V243" s="358"/>
      <c r="W243" s="382"/>
      <c r="X243" s="5"/>
    </row>
    <row r="244" spans="1:25" ht="15.6" x14ac:dyDescent="0.3">
      <c r="A244" s="271"/>
      <c r="B244" s="324" t="s">
        <v>163</v>
      </c>
      <c r="C244" s="380"/>
      <c r="D244" s="380"/>
      <c r="E244" s="380"/>
      <c r="F244" s="272"/>
      <c r="G244" s="381"/>
      <c r="H244" s="380"/>
      <c r="I244" s="380"/>
      <c r="J244" s="380"/>
      <c r="K244" s="380"/>
      <c r="L244" s="380"/>
      <c r="M244" s="380"/>
      <c r="N244" s="380"/>
      <c r="O244" s="380"/>
      <c r="P244" s="380"/>
      <c r="Q244" s="380"/>
      <c r="R244" s="324">
        <f t="shared" si="1"/>
        <v>30</v>
      </c>
      <c r="S244" s="381">
        <f t="shared" si="2"/>
        <v>4.0628385698808231E-3</v>
      </c>
      <c r="T244" s="325">
        <f t="shared" si="3"/>
        <v>4066</v>
      </c>
      <c r="U244" s="381">
        <f t="shared" si="4"/>
        <v>4.2929148955489251E-3</v>
      </c>
      <c r="V244" s="358"/>
      <c r="W244" s="382"/>
      <c r="X244" s="5"/>
      <c r="Y244" s="109"/>
    </row>
    <row r="245" spans="1:25" ht="15.6" x14ac:dyDescent="0.3">
      <c r="A245" s="271"/>
      <c r="B245" s="324"/>
      <c r="C245" s="380"/>
      <c r="D245" s="380"/>
      <c r="E245" s="380"/>
      <c r="F245" s="272"/>
      <c r="G245" s="381"/>
      <c r="H245" s="380"/>
      <c r="I245" s="380"/>
      <c r="J245" s="380"/>
      <c r="K245" s="380"/>
      <c r="L245" s="380"/>
      <c r="M245" s="380"/>
      <c r="N245" s="380"/>
      <c r="O245" s="380"/>
      <c r="P245" s="380"/>
      <c r="Q245" s="380"/>
      <c r="R245" s="324"/>
      <c r="S245" s="381"/>
      <c r="T245" s="325"/>
      <c r="U245" s="381"/>
      <c r="V245" s="358"/>
      <c r="W245" s="382"/>
      <c r="X245" s="5"/>
    </row>
    <row r="246" spans="1:25" ht="15.6" x14ac:dyDescent="0.3">
      <c r="A246" s="271"/>
      <c r="B246" s="272" t="s">
        <v>117</v>
      </c>
      <c r="C246" s="272"/>
      <c r="D246" s="272"/>
      <c r="E246" s="272"/>
      <c r="F246" s="272"/>
      <c r="G246" s="272"/>
      <c r="H246" s="383"/>
      <c r="I246" s="383"/>
      <c r="J246" s="383"/>
      <c r="K246" s="383"/>
      <c r="L246" s="383"/>
      <c r="M246" s="383"/>
      <c r="N246" s="383"/>
      <c r="O246" s="383"/>
      <c r="P246" s="383"/>
      <c r="Q246" s="383"/>
      <c r="R246" s="324">
        <f>SUM(R237:R245)</f>
        <v>7384</v>
      </c>
      <c r="S246" s="381">
        <f>SUM(S237:S245)</f>
        <v>0.99999999999999989</v>
      </c>
      <c r="T246" s="325">
        <f>SUM(T237:T245)</f>
        <v>947142</v>
      </c>
      <c r="U246" s="381">
        <f>SUM(U237:U245)</f>
        <v>0.99999999999999989</v>
      </c>
      <c r="V246" s="272"/>
      <c r="W246" s="275"/>
      <c r="X246" s="5"/>
    </row>
    <row r="247" spans="1:25" ht="15.6" x14ac:dyDescent="0.3">
      <c r="A247" s="215"/>
      <c r="B247" s="347"/>
      <c r="C247" s="352"/>
      <c r="D247" s="352"/>
      <c r="E247" s="352"/>
      <c r="F247" s="353"/>
      <c r="G247" s="321"/>
      <c r="H247" s="321"/>
      <c r="I247" s="321"/>
      <c r="J247" s="321"/>
      <c r="K247" s="321"/>
      <c r="L247" s="321"/>
      <c r="M247" s="321"/>
      <c r="N247" s="321"/>
      <c r="O247" s="321"/>
      <c r="P247" s="321"/>
      <c r="Q247" s="321"/>
      <c r="R247" s="321"/>
      <c r="S247" s="321"/>
      <c r="T247" s="354"/>
      <c r="U247" s="321"/>
      <c r="V247" s="348"/>
      <c r="W247" s="355"/>
      <c r="X247" s="5"/>
    </row>
    <row r="248" spans="1:25" ht="15.6" x14ac:dyDescent="0.3">
      <c r="A248" s="239"/>
      <c r="B248" s="253" t="s">
        <v>165</v>
      </c>
      <c r="C248" s="254"/>
      <c r="D248" s="254"/>
      <c r="E248" s="254"/>
      <c r="F248" s="255"/>
      <c r="G248" s="254"/>
      <c r="H248" s="254"/>
      <c r="I248" s="254"/>
      <c r="J248" s="254"/>
      <c r="K248" s="254"/>
      <c r="L248" s="254"/>
      <c r="M248" s="254"/>
      <c r="N248" s="254"/>
      <c r="O248" s="254"/>
      <c r="P248" s="254"/>
      <c r="Q248" s="254"/>
      <c r="R248" s="255" t="s">
        <v>103</v>
      </c>
      <c r="S248" s="254" t="s">
        <v>104</v>
      </c>
      <c r="T248" s="255" t="s">
        <v>111</v>
      </c>
      <c r="U248" s="254" t="s">
        <v>104</v>
      </c>
      <c r="V248" s="240"/>
      <c r="W248" s="253"/>
      <c r="X248" s="5"/>
    </row>
    <row r="249" spans="1:25" ht="15.6" x14ac:dyDescent="0.3">
      <c r="A249" s="192"/>
      <c r="B249" s="231" t="s">
        <v>89</v>
      </c>
      <c r="C249" s="260"/>
      <c r="D249" s="260"/>
      <c r="E249" s="260"/>
      <c r="F249" s="229"/>
      <c r="G249" s="260"/>
      <c r="H249" s="260"/>
      <c r="I249" s="260"/>
      <c r="J249" s="260"/>
      <c r="K249" s="260"/>
      <c r="L249" s="260"/>
      <c r="M249" s="260"/>
      <c r="N249" s="260"/>
      <c r="O249" s="260"/>
      <c r="P249" s="260"/>
      <c r="Q249" s="260"/>
      <c r="R249" s="231">
        <v>7196</v>
      </c>
      <c r="S249" s="261">
        <f t="shared" ref="S249:S256" si="5">R249/$R$258</f>
        <v>0.99902818270165206</v>
      </c>
      <c r="T249" s="238">
        <v>919264</v>
      </c>
      <c r="U249" s="261">
        <f t="shared" ref="U249:U256" si="6">T249/$T$258</f>
        <v>0.9992369283212641</v>
      </c>
      <c r="V249" s="252"/>
      <c r="W249" s="230"/>
      <c r="X249" s="5"/>
    </row>
    <row r="250" spans="1:25" ht="15.6" x14ac:dyDescent="0.3">
      <c r="A250" s="271"/>
      <c r="B250" s="324" t="s">
        <v>90</v>
      </c>
      <c r="C250" s="380"/>
      <c r="D250" s="380"/>
      <c r="E250" s="380"/>
      <c r="F250" s="272"/>
      <c r="G250" s="381"/>
      <c r="H250" s="380"/>
      <c r="I250" s="380"/>
      <c r="J250" s="380"/>
      <c r="K250" s="380"/>
      <c r="L250" s="380"/>
      <c r="M250" s="380"/>
      <c r="N250" s="380"/>
      <c r="O250" s="380"/>
      <c r="P250" s="380"/>
      <c r="Q250" s="380"/>
      <c r="R250" s="324">
        <v>4</v>
      </c>
      <c r="S250" s="381">
        <f t="shared" si="5"/>
        <v>5.5532417048452032E-4</v>
      </c>
      <c r="T250" s="325">
        <v>392</v>
      </c>
      <c r="U250" s="381">
        <f t="shared" si="6"/>
        <v>4.2610270379557508E-4</v>
      </c>
      <c r="V250" s="358"/>
      <c r="W250" s="382"/>
      <c r="X250" s="5"/>
      <c r="Y250" s="109"/>
    </row>
    <row r="251" spans="1:25" ht="15.6" x14ac:dyDescent="0.3">
      <c r="A251" s="271"/>
      <c r="B251" s="324" t="s">
        <v>91</v>
      </c>
      <c r="C251" s="380"/>
      <c r="D251" s="380"/>
      <c r="E251" s="380"/>
      <c r="F251" s="272"/>
      <c r="G251" s="381"/>
      <c r="H251" s="380"/>
      <c r="I251" s="380"/>
      <c r="J251" s="380"/>
      <c r="K251" s="380"/>
      <c r="L251" s="380"/>
      <c r="M251" s="380"/>
      <c r="N251" s="380"/>
      <c r="O251" s="380"/>
      <c r="P251" s="380"/>
      <c r="Q251" s="380"/>
      <c r="R251" s="324">
        <v>0</v>
      </c>
      <c r="S251" s="381">
        <f t="shared" si="5"/>
        <v>0</v>
      </c>
      <c r="T251" s="325">
        <v>0</v>
      </c>
      <c r="U251" s="381">
        <f t="shared" si="6"/>
        <v>0</v>
      </c>
      <c r="V251" s="358"/>
      <c r="W251" s="382"/>
      <c r="X251" s="5"/>
    </row>
    <row r="252" spans="1:25" ht="15.6" x14ac:dyDescent="0.3">
      <c r="A252" s="271"/>
      <c r="B252" s="324" t="s">
        <v>159</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c r="Y252" s="109"/>
    </row>
    <row r="253" spans="1:25" ht="15.6" x14ac:dyDescent="0.3">
      <c r="A253" s="271"/>
      <c r="B253" s="324" t="s">
        <v>160</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row>
    <row r="254" spans="1:25" ht="15.6" x14ac:dyDescent="0.3">
      <c r="A254" s="271"/>
      <c r="B254" s="324" t="s">
        <v>161</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c r="Y254" s="109"/>
    </row>
    <row r="255" spans="1:25" ht="15.6" x14ac:dyDescent="0.3">
      <c r="A255" s="271"/>
      <c r="B255" s="324" t="s">
        <v>162</v>
      </c>
      <c r="C255" s="380"/>
      <c r="D255" s="380"/>
      <c r="E255" s="380"/>
      <c r="F255" s="272"/>
      <c r="G255" s="381"/>
      <c r="H255" s="380"/>
      <c r="I255" s="380"/>
      <c r="J255" s="380"/>
      <c r="K255" s="380"/>
      <c r="L255" s="380"/>
      <c r="M255" s="380"/>
      <c r="N255" s="380"/>
      <c r="O255" s="380"/>
      <c r="P255" s="380"/>
      <c r="Q255" s="380"/>
      <c r="R255" s="324">
        <v>0</v>
      </c>
      <c r="S255" s="381">
        <f t="shared" si="5"/>
        <v>0</v>
      </c>
      <c r="T255" s="325">
        <v>0</v>
      </c>
      <c r="U255" s="381">
        <f t="shared" si="6"/>
        <v>0</v>
      </c>
      <c r="V255" s="358"/>
      <c r="W255" s="382"/>
      <c r="X255" s="5"/>
    </row>
    <row r="256" spans="1:25" ht="15.6" x14ac:dyDescent="0.3">
      <c r="A256" s="271"/>
      <c r="B256" s="324" t="s">
        <v>163</v>
      </c>
      <c r="C256" s="380"/>
      <c r="D256" s="380"/>
      <c r="E256" s="380"/>
      <c r="F256" s="272"/>
      <c r="G256" s="381"/>
      <c r="H256" s="380"/>
      <c r="I256" s="380"/>
      <c r="J256" s="380"/>
      <c r="K256" s="380"/>
      <c r="L256" s="380"/>
      <c r="M256" s="380"/>
      <c r="N256" s="380"/>
      <c r="O256" s="380"/>
      <c r="P256" s="380"/>
      <c r="Q256" s="380"/>
      <c r="R256" s="324">
        <v>3</v>
      </c>
      <c r="S256" s="381">
        <f t="shared" si="5"/>
        <v>4.1649312786339027E-4</v>
      </c>
      <c r="T256" s="325">
        <v>310</v>
      </c>
      <c r="U256" s="381">
        <f t="shared" si="6"/>
        <v>3.3696897494037826E-4</v>
      </c>
      <c r="V256" s="358"/>
      <c r="W256" s="382"/>
      <c r="X256" s="5"/>
      <c r="Y256" s="109"/>
    </row>
    <row r="257" spans="1:24" ht="15.6" x14ac:dyDescent="0.3">
      <c r="A257" s="271"/>
      <c r="B257" s="324"/>
      <c r="C257" s="380"/>
      <c r="D257" s="380"/>
      <c r="E257" s="380"/>
      <c r="F257" s="272"/>
      <c r="G257" s="381"/>
      <c r="H257" s="380"/>
      <c r="I257" s="380"/>
      <c r="J257" s="380"/>
      <c r="K257" s="380"/>
      <c r="L257" s="380"/>
      <c r="M257" s="380"/>
      <c r="N257" s="380"/>
      <c r="O257" s="380"/>
      <c r="P257" s="380"/>
      <c r="Q257" s="380"/>
      <c r="R257" s="324"/>
      <c r="S257" s="381"/>
      <c r="T257" s="325"/>
      <c r="U257" s="381"/>
      <c r="V257" s="358"/>
      <c r="W257" s="382"/>
      <c r="X257" s="5"/>
    </row>
    <row r="258" spans="1:24" ht="15.6" x14ac:dyDescent="0.3">
      <c r="A258" s="271"/>
      <c r="B258" s="272" t="s">
        <v>117</v>
      </c>
      <c r="C258" s="272"/>
      <c r="D258" s="272"/>
      <c r="E258" s="272"/>
      <c r="F258" s="272"/>
      <c r="G258" s="272"/>
      <c r="H258" s="383"/>
      <c r="I258" s="383"/>
      <c r="J258" s="383"/>
      <c r="K258" s="383"/>
      <c r="L258" s="383"/>
      <c r="M258" s="383"/>
      <c r="N258" s="383"/>
      <c r="O258" s="383"/>
      <c r="P258" s="383"/>
      <c r="Q258" s="383"/>
      <c r="R258" s="324">
        <f>SUM(R249:R257)</f>
        <v>7203</v>
      </c>
      <c r="S258" s="381">
        <f>SUM(S249:S257)</f>
        <v>1</v>
      </c>
      <c r="T258" s="325">
        <f>SUM(T249:T257)</f>
        <v>919966</v>
      </c>
      <c r="U258" s="381">
        <f>SUM(U249:U257)</f>
        <v>1</v>
      </c>
      <c r="V258" s="272"/>
      <c r="W258" s="275"/>
      <c r="X258" s="5"/>
    </row>
    <row r="259" spans="1:24" ht="15.6" x14ac:dyDescent="0.3">
      <c r="A259" s="175"/>
      <c r="B259" s="321"/>
      <c r="C259" s="321"/>
      <c r="D259" s="321"/>
      <c r="E259" s="321"/>
      <c r="F259" s="321"/>
      <c r="G259" s="321"/>
      <c r="H259" s="377"/>
      <c r="I259" s="377"/>
      <c r="J259" s="377"/>
      <c r="K259" s="377"/>
      <c r="L259" s="377"/>
      <c r="M259" s="377"/>
      <c r="N259" s="377"/>
      <c r="O259" s="377"/>
      <c r="P259" s="377"/>
      <c r="Q259" s="377"/>
      <c r="R259" s="322"/>
      <c r="S259" s="378"/>
      <c r="T259" s="379"/>
      <c r="U259" s="378"/>
      <c r="V259" s="321"/>
      <c r="W259" s="321"/>
      <c r="X259" s="5"/>
    </row>
    <row r="260" spans="1:24" ht="15.6" x14ac:dyDescent="0.3">
      <c r="A260" s="256"/>
      <c r="B260" s="253" t="s">
        <v>279</v>
      </c>
      <c r="C260" s="254"/>
      <c r="D260" s="254"/>
      <c r="E260" s="254"/>
      <c r="F260" s="255"/>
      <c r="G260" s="254"/>
      <c r="H260" s="254"/>
      <c r="I260" s="254"/>
      <c r="J260" s="254"/>
      <c r="K260" s="254"/>
      <c r="L260" s="254"/>
      <c r="M260" s="254"/>
      <c r="N260" s="254"/>
      <c r="O260" s="254"/>
      <c r="P260" s="254"/>
      <c r="Q260" s="254"/>
      <c r="R260" s="255" t="s">
        <v>103</v>
      </c>
      <c r="S260" s="254" t="s">
        <v>104</v>
      </c>
      <c r="T260" s="255" t="s">
        <v>111</v>
      </c>
      <c r="U260" s="254" t="s">
        <v>104</v>
      </c>
      <c r="V260" s="257"/>
      <c r="W260" s="258"/>
      <c r="X260" s="5"/>
    </row>
    <row r="261" spans="1:24" ht="15.6" x14ac:dyDescent="0.3">
      <c r="A261" s="192"/>
      <c r="B261" s="231" t="s">
        <v>89</v>
      </c>
      <c r="C261" s="260"/>
      <c r="D261" s="260"/>
      <c r="E261" s="260"/>
      <c r="F261" s="229"/>
      <c r="G261" s="260"/>
      <c r="H261" s="260"/>
      <c r="I261" s="260"/>
      <c r="J261" s="260"/>
      <c r="K261" s="260"/>
      <c r="L261" s="260"/>
      <c r="M261" s="260"/>
      <c r="N261" s="260"/>
      <c r="O261" s="260"/>
      <c r="P261" s="260"/>
      <c r="Q261" s="260"/>
      <c r="R261" s="231">
        <v>137</v>
      </c>
      <c r="S261" s="261">
        <f>R261/$R$270</f>
        <v>0.76111111111111107</v>
      </c>
      <c r="T261" s="238">
        <v>21815</v>
      </c>
      <c r="U261" s="261">
        <f t="shared" ref="U261:U268" si="7">T261/$T$270</f>
        <v>0.81612420501309391</v>
      </c>
      <c r="V261" s="229"/>
      <c r="W261" s="193"/>
      <c r="X261" s="5"/>
    </row>
    <row r="262" spans="1:24" ht="15.6" x14ac:dyDescent="0.3">
      <c r="A262" s="271"/>
      <c r="B262" s="324" t="s">
        <v>90</v>
      </c>
      <c r="C262" s="380"/>
      <c r="D262" s="380"/>
      <c r="E262" s="380"/>
      <c r="F262" s="272"/>
      <c r="G262" s="381"/>
      <c r="H262" s="380"/>
      <c r="I262" s="380"/>
      <c r="J262" s="380"/>
      <c r="K262" s="380"/>
      <c r="L262" s="380"/>
      <c r="M262" s="380"/>
      <c r="N262" s="380"/>
      <c r="O262" s="380"/>
      <c r="P262" s="380"/>
      <c r="Q262" s="380"/>
      <c r="R262" s="324">
        <v>7</v>
      </c>
      <c r="S262" s="381">
        <f t="shared" ref="S262:S267" si="8">R262/$R$270</f>
        <v>3.888888888888889E-2</v>
      </c>
      <c r="T262" s="325">
        <v>582</v>
      </c>
      <c r="U262" s="381">
        <f t="shared" si="7"/>
        <v>2.1773288439955105E-2</v>
      </c>
      <c r="V262" s="272"/>
      <c r="W262" s="304"/>
      <c r="X262" s="5"/>
    </row>
    <row r="263" spans="1:24" ht="15.6" x14ac:dyDescent="0.3">
      <c r="A263" s="271"/>
      <c r="B263" s="324" t="s">
        <v>91</v>
      </c>
      <c r="C263" s="380"/>
      <c r="D263" s="380"/>
      <c r="E263" s="380"/>
      <c r="F263" s="272"/>
      <c r="G263" s="381"/>
      <c r="H263" s="380"/>
      <c r="I263" s="380"/>
      <c r="J263" s="380"/>
      <c r="K263" s="380"/>
      <c r="L263" s="380"/>
      <c r="M263" s="380"/>
      <c r="N263" s="380"/>
      <c r="O263" s="380"/>
      <c r="P263" s="380"/>
      <c r="Q263" s="380"/>
      <c r="R263" s="324">
        <v>3</v>
      </c>
      <c r="S263" s="381">
        <f t="shared" si="8"/>
        <v>1.6666666666666666E-2</v>
      </c>
      <c r="T263" s="325">
        <v>315</v>
      </c>
      <c r="U263" s="381">
        <f t="shared" si="7"/>
        <v>1.1784511784511785E-2</v>
      </c>
      <c r="V263" s="272"/>
      <c r="W263" s="304"/>
      <c r="X263" s="5"/>
    </row>
    <row r="264" spans="1:24" ht="15.6" x14ac:dyDescent="0.3">
      <c r="A264" s="271"/>
      <c r="B264" s="324" t="s">
        <v>159</v>
      </c>
      <c r="C264" s="380"/>
      <c r="D264" s="380"/>
      <c r="E264" s="380"/>
      <c r="F264" s="272"/>
      <c r="G264" s="381"/>
      <c r="H264" s="380"/>
      <c r="I264" s="380"/>
      <c r="J264" s="380"/>
      <c r="K264" s="380"/>
      <c r="L264" s="380"/>
      <c r="M264" s="380"/>
      <c r="N264" s="380"/>
      <c r="O264" s="380"/>
      <c r="P264" s="380"/>
      <c r="Q264" s="380"/>
      <c r="R264" s="324">
        <v>0</v>
      </c>
      <c r="S264" s="381">
        <f t="shared" si="8"/>
        <v>0</v>
      </c>
      <c r="T264" s="325">
        <v>0</v>
      </c>
      <c r="U264" s="381">
        <f t="shared" si="7"/>
        <v>0</v>
      </c>
      <c r="V264" s="272"/>
      <c r="W264" s="304"/>
      <c r="X264" s="5"/>
    </row>
    <row r="265" spans="1:24" ht="15.6" x14ac:dyDescent="0.3">
      <c r="A265" s="271"/>
      <c r="B265" s="324" t="s">
        <v>160</v>
      </c>
      <c r="C265" s="380"/>
      <c r="D265" s="380"/>
      <c r="E265" s="380"/>
      <c r="F265" s="272"/>
      <c r="G265" s="381"/>
      <c r="H265" s="380"/>
      <c r="I265" s="380"/>
      <c r="J265" s="380"/>
      <c r="K265" s="380"/>
      <c r="L265" s="380"/>
      <c r="M265" s="380"/>
      <c r="N265" s="380"/>
      <c r="O265" s="380"/>
      <c r="P265" s="380"/>
      <c r="Q265" s="380"/>
      <c r="R265" s="324">
        <v>1</v>
      </c>
      <c r="S265" s="381">
        <f t="shared" si="8"/>
        <v>5.5555555555555558E-3</v>
      </c>
      <c r="T265" s="325">
        <v>117</v>
      </c>
      <c r="U265" s="381">
        <f t="shared" si="7"/>
        <v>4.377104377104377E-3</v>
      </c>
      <c r="V265" s="272"/>
      <c r="W265" s="304"/>
      <c r="X265" s="5"/>
    </row>
    <row r="266" spans="1:24" ht="15.6" x14ac:dyDescent="0.3">
      <c r="A266" s="271"/>
      <c r="B266" s="324" t="s">
        <v>161</v>
      </c>
      <c r="C266" s="380"/>
      <c r="D266" s="380"/>
      <c r="E266" s="380"/>
      <c r="F266" s="272"/>
      <c r="G266" s="381"/>
      <c r="H266" s="380"/>
      <c r="I266" s="380"/>
      <c r="J266" s="380"/>
      <c r="K266" s="380"/>
      <c r="L266" s="380"/>
      <c r="M266" s="380"/>
      <c r="N266" s="380"/>
      <c r="O266" s="380"/>
      <c r="P266" s="380"/>
      <c r="Q266" s="380"/>
      <c r="R266" s="324">
        <v>2</v>
      </c>
      <c r="S266" s="381">
        <f t="shared" si="8"/>
        <v>1.1111111111111112E-2</v>
      </c>
      <c r="T266" s="325">
        <v>156</v>
      </c>
      <c r="U266" s="381">
        <f t="shared" si="7"/>
        <v>5.8361391694725026E-3</v>
      </c>
      <c r="V266" s="272"/>
      <c r="W266" s="304"/>
      <c r="X266" s="5"/>
    </row>
    <row r="267" spans="1:24" ht="15.6" x14ac:dyDescent="0.3">
      <c r="A267" s="271"/>
      <c r="B267" s="324" t="s">
        <v>162</v>
      </c>
      <c r="C267" s="380"/>
      <c r="D267" s="380"/>
      <c r="E267" s="380"/>
      <c r="F267" s="272"/>
      <c r="G267" s="381"/>
      <c r="H267" s="380"/>
      <c r="I267" s="380"/>
      <c r="J267" s="380"/>
      <c r="K267" s="380"/>
      <c r="L267" s="380"/>
      <c r="M267" s="380"/>
      <c r="N267" s="380"/>
      <c r="O267" s="380"/>
      <c r="P267" s="380"/>
      <c r="Q267" s="380"/>
      <c r="R267" s="324">
        <v>4</v>
      </c>
      <c r="S267" s="381">
        <f t="shared" si="8"/>
        <v>2.2222222222222223E-2</v>
      </c>
      <c r="T267" s="325">
        <v>435</v>
      </c>
      <c r="U267" s="381">
        <f t="shared" si="7"/>
        <v>1.6273849607182939E-2</v>
      </c>
      <c r="V267" s="272"/>
      <c r="W267" s="304"/>
      <c r="X267" s="5"/>
    </row>
    <row r="268" spans="1:24" ht="15.6" x14ac:dyDescent="0.3">
      <c r="A268" s="271"/>
      <c r="B268" s="324" t="s">
        <v>163</v>
      </c>
      <c r="C268" s="380"/>
      <c r="D268" s="380"/>
      <c r="E268" s="380"/>
      <c r="F268" s="272"/>
      <c r="G268" s="381"/>
      <c r="H268" s="380"/>
      <c r="I268" s="380"/>
      <c r="J268" s="380"/>
      <c r="K268" s="380"/>
      <c r="L268" s="380"/>
      <c r="M268" s="380"/>
      <c r="N268" s="380"/>
      <c r="O268" s="380"/>
      <c r="P268" s="380"/>
      <c r="Q268" s="380"/>
      <c r="R268" s="324">
        <v>26</v>
      </c>
      <c r="S268" s="381">
        <f>R268/$R$270</f>
        <v>0.14444444444444443</v>
      </c>
      <c r="T268" s="325">
        <v>3310</v>
      </c>
      <c r="U268" s="381">
        <f t="shared" si="7"/>
        <v>0.12383090160867939</v>
      </c>
      <c r="V268" s="272"/>
      <c r="W268" s="304"/>
      <c r="X268" s="5"/>
    </row>
    <row r="269" spans="1:24" ht="15.6" x14ac:dyDescent="0.3">
      <c r="A269" s="271"/>
      <c r="B269" s="324"/>
      <c r="C269" s="380"/>
      <c r="D269" s="380"/>
      <c r="E269" s="380"/>
      <c r="F269" s="272"/>
      <c r="G269" s="381"/>
      <c r="H269" s="380"/>
      <c r="I269" s="380"/>
      <c r="J269" s="380"/>
      <c r="K269" s="380"/>
      <c r="L269" s="380"/>
      <c r="M269" s="380"/>
      <c r="N269" s="380"/>
      <c r="O269" s="380"/>
      <c r="P269" s="380"/>
      <c r="Q269" s="380"/>
      <c r="R269" s="324"/>
      <c r="S269" s="381"/>
      <c r="T269" s="325"/>
      <c r="U269" s="381"/>
      <c r="V269" s="272"/>
      <c r="W269" s="304"/>
      <c r="X269" s="5"/>
    </row>
    <row r="270" spans="1:24" ht="15.6" x14ac:dyDescent="0.3">
      <c r="A270" s="271"/>
      <c r="B270" s="272" t="s">
        <v>117</v>
      </c>
      <c r="C270" s="272"/>
      <c r="D270" s="272"/>
      <c r="E270" s="272"/>
      <c r="F270" s="272"/>
      <c r="G270" s="272"/>
      <c r="H270" s="383"/>
      <c r="I270" s="383"/>
      <c r="J270" s="383"/>
      <c r="K270" s="383"/>
      <c r="L270" s="383"/>
      <c r="M270" s="383"/>
      <c r="N270" s="383"/>
      <c r="O270" s="383"/>
      <c r="P270" s="383"/>
      <c r="Q270" s="383"/>
      <c r="R270" s="324">
        <f>SUM(R261:R269)</f>
        <v>180</v>
      </c>
      <c r="S270" s="381">
        <f>SUM(S261:S269)</f>
        <v>1</v>
      </c>
      <c r="T270" s="325">
        <f>SUM(T261:T269)</f>
        <v>26730</v>
      </c>
      <c r="U270" s="381">
        <f>SUM(U261:U269)</f>
        <v>0.99999999999999989</v>
      </c>
      <c r="V270" s="272"/>
      <c r="W270" s="304"/>
      <c r="X270" s="5"/>
    </row>
    <row r="271" spans="1:24" ht="15.6" x14ac:dyDescent="0.3">
      <c r="A271" s="175"/>
      <c r="B271" s="321"/>
      <c r="C271" s="321"/>
      <c r="D271" s="321"/>
      <c r="E271" s="321"/>
      <c r="F271" s="321"/>
      <c r="G271" s="321"/>
      <c r="H271" s="377"/>
      <c r="I271" s="377"/>
      <c r="J271" s="377"/>
      <c r="K271" s="377"/>
      <c r="L271" s="377"/>
      <c r="M271" s="377"/>
      <c r="N271" s="377"/>
      <c r="O271" s="377"/>
      <c r="P271" s="377"/>
      <c r="Q271" s="377"/>
      <c r="R271" s="322"/>
      <c r="S271" s="378"/>
      <c r="T271" s="379"/>
      <c r="U271" s="378"/>
      <c r="V271" s="321"/>
      <c r="W271" s="321"/>
      <c r="X271" s="5"/>
    </row>
    <row r="272" spans="1:24" ht="15.6" x14ac:dyDescent="0.3">
      <c r="A272" s="256"/>
      <c r="B272" s="253" t="s">
        <v>166</v>
      </c>
      <c r="C272" s="257"/>
      <c r="D272" s="257"/>
      <c r="E272" s="257"/>
      <c r="F272" s="257"/>
      <c r="G272" s="257"/>
      <c r="H272" s="259"/>
      <c r="I272" s="259"/>
      <c r="J272" s="259"/>
      <c r="K272" s="259"/>
      <c r="L272" s="259"/>
      <c r="M272" s="259"/>
      <c r="N272" s="259"/>
      <c r="O272" s="259"/>
      <c r="P272" s="259"/>
      <c r="Q272" s="259"/>
      <c r="R272" s="255" t="s">
        <v>103</v>
      </c>
      <c r="S272" s="254" t="s">
        <v>104</v>
      </c>
      <c r="T272" s="255" t="s">
        <v>111</v>
      </c>
      <c r="U272" s="254" t="s">
        <v>104</v>
      </c>
      <c r="V272" s="257"/>
      <c r="W272" s="258"/>
      <c r="X272" s="5"/>
    </row>
    <row r="273" spans="1:24" ht="15.6" x14ac:dyDescent="0.3">
      <c r="A273" s="192"/>
      <c r="B273" s="231" t="s">
        <v>89</v>
      </c>
      <c r="C273" s="229"/>
      <c r="D273" s="229"/>
      <c r="E273" s="229"/>
      <c r="F273" s="229"/>
      <c r="G273" s="229"/>
      <c r="H273" s="262"/>
      <c r="I273" s="262"/>
      <c r="J273" s="262"/>
      <c r="K273" s="262"/>
      <c r="L273" s="262"/>
      <c r="M273" s="262"/>
      <c r="N273" s="262"/>
      <c r="O273" s="262"/>
      <c r="P273" s="262"/>
      <c r="Q273" s="262"/>
      <c r="R273" s="231">
        <v>0</v>
      </c>
      <c r="S273" s="261">
        <v>0</v>
      </c>
      <c r="T273" s="238">
        <v>0</v>
      </c>
      <c r="U273" s="261">
        <v>0</v>
      </c>
      <c r="V273" s="229"/>
      <c r="W273" s="229"/>
      <c r="X273" s="5"/>
    </row>
    <row r="274" spans="1:24" ht="15.6" x14ac:dyDescent="0.3">
      <c r="A274" s="271"/>
      <c r="B274" s="324" t="s">
        <v>90</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91</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159</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160</v>
      </c>
      <c r="C277" s="272"/>
      <c r="D277" s="272"/>
      <c r="E277" s="272"/>
      <c r="F277" s="272"/>
      <c r="G277" s="272"/>
      <c r="H277" s="383"/>
      <c r="I277" s="383"/>
      <c r="J277" s="383"/>
      <c r="K277" s="383"/>
      <c r="L277" s="383"/>
      <c r="M277" s="383"/>
      <c r="N277" s="383"/>
      <c r="O277" s="383"/>
      <c r="P277" s="383"/>
      <c r="Q277" s="383"/>
      <c r="R277" s="324">
        <v>0</v>
      </c>
      <c r="S277" s="381">
        <f>+R277/R282</f>
        <v>0</v>
      </c>
      <c r="T277" s="325">
        <v>0</v>
      </c>
      <c r="U277" s="381">
        <f>+T277/T282</f>
        <v>0</v>
      </c>
      <c r="V277" s="272"/>
      <c r="W277" s="275"/>
      <c r="X277" s="5"/>
    </row>
    <row r="278" spans="1:24" ht="15.6" x14ac:dyDescent="0.3">
      <c r="A278" s="271"/>
      <c r="B278" s="324" t="s">
        <v>161</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162</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t="s">
        <v>163</v>
      </c>
      <c r="C280" s="272"/>
      <c r="D280" s="272"/>
      <c r="E280" s="272"/>
      <c r="F280" s="272"/>
      <c r="G280" s="272"/>
      <c r="H280" s="383"/>
      <c r="I280" s="383"/>
      <c r="J280" s="383"/>
      <c r="K280" s="383"/>
      <c r="L280" s="383"/>
      <c r="M280" s="383"/>
      <c r="N280" s="383"/>
      <c r="O280" s="383"/>
      <c r="P280" s="383"/>
      <c r="Q280" s="383"/>
      <c r="R280" s="324">
        <v>1</v>
      </c>
      <c r="S280" s="381">
        <f>+R280/R282</f>
        <v>1</v>
      </c>
      <c r="T280" s="325">
        <v>446</v>
      </c>
      <c r="U280" s="381">
        <f>+T280/T282</f>
        <v>1</v>
      </c>
      <c r="V280" s="272"/>
      <c r="W280" s="275"/>
      <c r="X280" s="5"/>
    </row>
    <row r="281" spans="1:24" ht="15.6" x14ac:dyDescent="0.3">
      <c r="A281" s="271"/>
      <c r="B281" s="324"/>
      <c r="C281" s="272"/>
      <c r="D281" s="272"/>
      <c r="E281" s="272"/>
      <c r="F281" s="272"/>
      <c r="G281" s="272"/>
      <c r="H281" s="383"/>
      <c r="I281" s="383"/>
      <c r="J281" s="383"/>
      <c r="K281" s="383"/>
      <c r="L281" s="383"/>
      <c r="M281" s="383"/>
      <c r="N281" s="383"/>
      <c r="O281" s="383"/>
      <c r="P281" s="383"/>
      <c r="Q281" s="383"/>
      <c r="R281" s="324"/>
      <c r="S281" s="381"/>
      <c r="T281" s="325"/>
      <c r="U281" s="381"/>
      <c r="V281" s="272"/>
      <c r="W281" s="275"/>
      <c r="X281" s="5"/>
    </row>
    <row r="282" spans="1:24" ht="15.6" x14ac:dyDescent="0.3">
      <c r="A282" s="271"/>
      <c r="B282" s="272" t="s">
        <v>117</v>
      </c>
      <c r="C282" s="272"/>
      <c r="D282" s="272"/>
      <c r="E282" s="272"/>
      <c r="F282" s="272"/>
      <c r="G282" s="272"/>
      <c r="H282" s="383"/>
      <c r="I282" s="383"/>
      <c r="J282" s="383"/>
      <c r="K282" s="383"/>
      <c r="L282" s="383"/>
      <c r="M282" s="383"/>
      <c r="N282" s="383"/>
      <c r="O282" s="383"/>
      <c r="P282" s="383"/>
      <c r="Q282" s="383"/>
      <c r="R282" s="324">
        <f>SUM(R273:R280)</f>
        <v>1</v>
      </c>
      <c r="S282" s="381">
        <f>SUM(S273:S280)</f>
        <v>1</v>
      </c>
      <c r="T282" s="325">
        <f>SUM(T273:T280)</f>
        <v>446</v>
      </c>
      <c r="U282" s="381">
        <f>SUM(U273:U280)</f>
        <v>1</v>
      </c>
      <c r="V282" s="272"/>
      <c r="W282" s="275"/>
      <c r="X282" s="5"/>
    </row>
    <row r="283" spans="1:24" ht="15.6" x14ac:dyDescent="0.3">
      <c r="A283" s="271"/>
      <c r="B283" s="272"/>
      <c r="C283" s="272"/>
      <c r="D283" s="272"/>
      <c r="E283" s="272"/>
      <c r="F283" s="272"/>
      <c r="G283" s="272"/>
      <c r="H283" s="383"/>
      <c r="I283" s="383"/>
      <c r="J283" s="383"/>
      <c r="K283" s="383"/>
      <c r="L283" s="383"/>
      <c r="M283" s="383"/>
      <c r="N283" s="383"/>
      <c r="O283" s="383"/>
      <c r="P283" s="383"/>
      <c r="Q283" s="383"/>
      <c r="R283" s="324"/>
      <c r="S283" s="381"/>
      <c r="T283" s="325"/>
      <c r="U283" s="381"/>
      <c r="V283" s="272"/>
      <c r="W283" s="275"/>
      <c r="X283" s="5"/>
    </row>
    <row r="284" spans="1:24" ht="15.6" x14ac:dyDescent="0.3">
      <c r="A284" s="271"/>
      <c r="B284" s="279" t="s">
        <v>167</v>
      </c>
      <c r="C284" s="272"/>
      <c r="D284" s="272"/>
      <c r="E284" s="272"/>
      <c r="F284" s="272"/>
      <c r="G284" s="272"/>
      <c r="H284" s="383"/>
      <c r="I284" s="383"/>
      <c r="J284" s="383"/>
      <c r="K284" s="383"/>
      <c r="L284" s="383"/>
      <c r="M284" s="383"/>
      <c r="N284" s="383"/>
      <c r="O284" s="383"/>
      <c r="P284" s="383"/>
      <c r="Q284" s="383"/>
      <c r="R284" s="390">
        <f>R282+R270+R258</f>
        <v>7384</v>
      </c>
      <c r="S284" s="381"/>
      <c r="T284" s="387">
        <f>+T282+T270+T258</f>
        <v>947142</v>
      </c>
      <c r="U284" s="381"/>
      <c r="V284" s="272"/>
      <c r="W284" s="275"/>
      <c r="X284" s="5"/>
    </row>
    <row r="285" spans="1:24" ht="15.6" x14ac:dyDescent="0.3">
      <c r="A285" s="175"/>
      <c r="B285" s="268"/>
      <c r="C285" s="268"/>
      <c r="D285" s="268"/>
      <c r="E285" s="268"/>
      <c r="F285" s="268"/>
      <c r="G285" s="268"/>
      <c r="H285" s="384"/>
      <c r="I285" s="384"/>
      <c r="J285" s="384"/>
      <c r="K285" s="384"/>
      <c r="L285" s="384"/>
      <c r="M285" s="384"/>
      <c r="N285" s="384"/>
      <c r="O285" s="384"/>
      <c r="P285" s="384"/>
      <c r="Q285" s="384"/>
      <c r="R285" s="384"/>
      <c r="S285" s="384"/>
      <c r="T285" s="385"/>
      <c r="U285" s="384"/>
      <c r="V285" s="268"/>
      <c r="W285" s="268"/>
      <c r="X285" s="5"/>
    </row>
    <row r="286" spans="1:24" ht="15.6" x14ac:dyDescent="0.3">
      <c r="A286" s="175"/>
      <c r="B286" s="220"/>
      <c r="C286" s="220"/>
      <c r="D286" s="220"/>
      <c r="E286" s="220"/>
      <c r="F286" s="220"/>
      <c r="G286" s="220"/>
      <c r="H286" s="263"/>
      <c r="I286" s="263"/>
      <c r="J286" s="263"/>
      <c r="K286" s="263"/>
      <c r="L286" s="263"/>
      <c r="M286" s="263"/>
      <c r="N286" s="263"/>
      <c r="O286" s="263"/>
      <c r="P286" s="263"/>
      <c r="Q286" s="263"/>
      <c r="R286" s="263"/>
      <c r="S286" s="263"/>
      <c r="T286" s="264"/>
      <c r="U286" s="263"/>
      <c r="V286" s="220"/>
      <c r="W286" s="220"/>
      <c r="X286" s="5"/>
    </row>
    <row r="287" spans="1:24" ht="15.6" x14ac:dyDescent="0.3">
      <c r="A287" s="216"/>
      <c r="B287" s="219" t="s">
        <v>92</v>
      </c>
      <c r="C287" s="220"/>
      <c r="D287" s="220"/>
      <c r="E287" s="220"/>
      <c r="F287" s="224" t="s">
        <v>98</v>
      </c>
      <c r="G287" s="220"/>
      <c r="H287" s="219" t="s">
        <v>100</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335</v>
      </c>
      <c r="C288" s="220"/>
      <c r="D288" s="220"/>
      <c r="E288" s="220"/>
      <c r="F288" s="265" t="s">
        <v>151</v>
      </c>
      <c r="G288" s="220"/>
      <c r="H288" s="219" t="s">
        <v>155</v>
      </c>
      <c r="I288" s="219"/>
      <c r="J288" s="219"/>
      <c r="K288" s="227"/>
      <c r="L288" s="227"/>
      <c r="M288" s="227"/>
      <c r="N288" s="227"/>
      <c r="O288" s="227"/>
      <c r="P288" s="227"/>
      <c r="Q288" s="227"/>
      <c r="R288" s="227"/>
      <c r="S288" s="227"/>
      <c r="T288" s="227"/>
      <c r="U288" s="227"/>
      <c r="V288" s="227"/>
      <c r="W288" s="227"/>
      <c r="X288" s="5"/>
    </row>
    <row r="289" spans="1:24" ht="15.6" x14ac:dyDescent="0.3">
      <c r="A289" s="216"/>
      <c r="B289" s="219" t="s">
        <v>336</v>
      </c>
      <c r="C289" s="219"/>
      <c r="D289" s="219"/>
      <c r="E289" s="219"/>
      <c r="F289" s="265" t="s">
        <v>282</v>
      </c>
      <c r="G289" s="219"/>
      <c r="H289" s="219" t="s">
        <v>283</v>
      </c>
      <c r="I289" s="227"/>
      <c r="J289" s="219"/>
      <c r="K289" s="227"/>
      <c r="L289" s="227"/>
      <c r="M289" s="227"/>
      <c r="N289" s="227"/>
      <c r="O289" s="227"/>
      <c r="P289" s="227"/>
      <c r="Q289" s="227"/>
      <c r="R289" s="227"/>
      <c r="S289" s="227"/>
      <c r="T289" s="227"/>
      <c r="U289" s="227"/>
      <c r="V289" s="227"/>
      <c r="W289" s="227"/>
      <c r="X289" s="5"/>
    </row>
    <row r="290" spans="1:24" ht="15.6" x14ac:dyDescent="0.3">
      <c r="A290" s="216"/>
      <c r="B290" s="219" t="s">
        <v>337</v>
      </c>
      <c r="C290" s="219"/>
      <c r="D290" s="219"/>
      <c r="E290" s="219"/>
      <c r="F290" s="265" t="s">
        <v>150</v>
      </c>
      <c r="G290" s="219"/>
      <c r="H290" s="219" t="s">
        <v>156</v>
      </c>
      <c r="I290" s="219"/>
      <c r="J290" s="219"/>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5.6" x14ac:dyDescent="0.3">
      <c r="A292" s="216"/>
      <c r="B292" s="219"/>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ht="18" thickBot="1" x14ac:dyDescent="0.35">
      <c r="A293" s="216"/>
      <c r="B293" s="267" t="str">
        <f>B198</f>
        <v>PM13 INVESTOR REPORT QUARTER ENDING JUNE 2014</v>
      </c>
      <c r="C293" s="219"/>
      <c r="D293" s="219"/>
      <c r="E293" s="219"/>
      <c r="F293" s="219"/>
      <c r="G293" s="266"/>
      <c r="H293" s="227"/>
      <c r="I293" s="227"/>
      <c r="J293" s="227"/>
      <c r="K293" s="227"/>
      <c r="L293" s="227"/>
      <c r="M293" s="227"/>
      <c r="N293" s="227"/>
      <c r="O293" s="227"/>
      <c r="P293" s="227"/>
      <c r="Q293" s="227"/>
      <c r="R293" s="227"/>
      <c r="S293" s="227"/>
      <c r="T293" s="227"/>
      <c r="U293" s="227"/>
      <c r="V293" s="227"/>
      <c r="W293" s="227"/>
      <c r="X293" s="5"/>
    </row>
    <row r="294" spans="1:24" x14ac:dyDescent="0.25">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row>
  </sheetData>
  <hyperlinks>
    <hyperlink ref="P234" r:id="rId1" xr:uid="{00000000-0004-0000-1E00-000000000000}"/>
    <hyperlink ref="I9" r:id="rId2" xr:uid="{00000000-0004-0000-1E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2" man="1"/>
    <brk id="138" max="22" man="1"/>
    <brk id="198" max="22"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2D2926"/>
  </sheetPr>
  <dimension ref="A1:Z294"/>
  <sheetViews>
    <sheetView showGridLines="0" showOutlineSymbols="0" topLeftCell="A1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0.64629999999999999</v>
      </c>
      <c r="T16" s="224" t="s">
        <v>143</v>
      </c>
      <c r="U16" s="223">
        <v>0.35370000000000001</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41934</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395"/>
      <c r="B22" s="396"/>
      <c r="C22" s="397"/>
      <c r="D22" s="397" t="s">
        <v>180</v>
      </c>
      <c r="E22" s="397"/>
      <c r="F22" s="397" t="s">
        <v>181</v>
      </c>
      <c r="G22" s="397"/>
      <c r="H22" s="397" t="s">
        <v>182</v>
      </c>
      <c r="I22" s="397"/>
      <c r="J22" s="397" t="s">
        <v>223</v>
      </c>
      <c r="K22" s="397"/>
      <c r="L22" s="397" t="s">
        <v>183</v>
      </c>
      <c r="M22" s="397"/>
      <c r="N22" s="397" t="s">
        <v>184</v>
      </c>
      <c r="O22" s="397"/>
      <c r="P22" s="397" t="s">
        <v>224</v>
      </c>
      <c r="Q22" s="397"/>
      <c r="R22" s="397" t="s">
        <v>185</v>
      </c>
      <c r="S22" s="398"/>
      <c r="T22" s="398"/>
      <c r="U22" s="399"/>
      <c r="V22" s="399"/>
      <c r="W22" s="396"/>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323</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321</v>
      </c>
      <c r="E27" s="389"/>
      <c r="F27" s="389" t="s">
        <v>168</v>
      </c>
      <c r="G27" s="389"/>
      <c r="H27" s="389" t="s">
        <v>168</v>
      </c>
      <c r="I27" s="389"/>
      <c r="J27" s="389" t="s">
        <v>168</v>
      </c>
      <c r="K27" s="389"/>
      <c r="L27" s="389" t="s">
        <v>324</v>
      </c>
      <c r="M27" s="389"/>
      <c r="N27" s="389" t="s">
        <v>324</v>
      </c>
      <c r="O27" s="389"/>
      <c r="P27" s="389" t="s">
        <v>325</v>
      </c>
      <c r="Q27" s="389"/>
      <c r="R27" s="389" t="s">
        <v>325</v>
      </c>
      <c r="S27" s="273"/>
      <c r="T27" s="280"/>
      <c r="U27" s="274"/>
      <c r="V27" s="274"/>
      <c r="W27" s="275"/>
      <c r="X27" s="5"/>
    </row>
    <row r="28" spans="1:24" ht="15.6" x14ac:dyDescent="0.3">
      <c r="A28" s="271"/>
      <c r="B28" s="279" t="s">
        <v>195</v>
      </c>
      <c r="C28" s="273"/>
      <c r="D28" s="389" t="s">
        <v>319</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871750.35000000009</v>
      </c>
      <c r="E32" s="282"/>
      <c r="F32" s="283">
        <f>F31*F38</f>
        <v>72646.075000000012</v>
      </c>
      <c r="G32" s="283"/>
      <c r="H32" s="288">
        <f>H31*H38</f>
        <v>183068.109</v>
      </c>
      <c r="I32" s="288"/>
      <c r="J32" s="287">
        <f>J31*J38</f>
        <v>203408.41500000001</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860171.99999999988</v>
      </c>
      <c r="E33" s="286"/>
      <c r="F33" s="289">
        <f>F37*F31</f>
        <v>71681.225000000006</v>
      </c>
      <c r="G33" s="289"/>
      <c r="H33" s="292">
        <f>H31*H37</f>
        <v>180636.68700000001</v>
      </c>
      <c r="I33" s="292"/>
      <c r="J33" s="291">
        <f>J37*J31</f>
        <v>200706.8</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463696.79683680006</v>
      </c>
      <c r="E35" s="282"/>
      <c r="F35" s="283">
        <f>F34*F38</f>
        <v>72646.075000000012</v>
      </c>
      <c r="G35" s="283"/>
      <c r="H35" s="283">
        <f>H34*H38</f>
        <v>122864.27255740001</v>
      </c>
      <c r="I35" s="283"/>
      <c r="J35" s="283">
        <f>J34*J38</f>
        <v>108195.84177300001</v>
      </c>
      <c r="K35" s="283"/>
      <c r="L35" s="283">
        <f>L34*L38</f>
        <v>56000</v>
      </c>
      <c r="M35" s="283"/>
      <c r="N35" s="283">
        <f>N34*N38</f>
        <v>56376</v>
      </c>
      <c r="O35" s="283"/>
      <c r="P35" s="283">
        <f>P34*P38</f>
        <v>13000</v>
      </c>
      <c r="Q35" s="283"/>
      <c r="R35" s="283">
        <f>R34*R38</f>
        <v>54363</v>
      </c>
      <c r="S35" s="283"/>
      <c r="T35" s="283"/>
      <c r="U35" s="284"/>
      <c r="V35" s="283">
        <f>SUM(C35:R35)</f>
        <v>947141.98616720014</v>
      </c>
      <c r="W35" s="285"/>
      <c r="X35" s="5"/>
    </row>
    <row r="36" spans="1:24" ht="15.6" x14ac:dyDescent="0.3">
      <c r="A36" s="276"/>
      <c r="B36" s="279" t="s">
        <v>304</v>
      </c>
      <c r="C36" s="286"/>
      <c r="D36" s="289">
        <f>D34*D37</f>
        <v>457538.10265599994</v>
      </c>
      <c r="E36" s="286"/>
      <c r="F36" s="289">
        <f>F34*F37</f>
        <v>71681.225000000006</v>
      </c>
      <c r="G36" s="289"/>
      <c r="H36" s="289">
        <f>H34*H37</f>
        <v>121232.4487682</v>
      </c>
      <c r="I36" s="289"/>
      <c r="J36" s="289">
        <f>J34*J37</f>
        <v>106758.81415999999</v>
      </c>
      <c r="K36" s="289"/>
      <c r="L36" s="289">
        <v>56000</v>
      </c>
      <c r="M36" s="289"/>
      <c r="N36" s="289">
        <v>56376</v>
      </c>
      <c r="O36" s="289"/>
      <c r="P36" s="289">
        <v>13000</v>
      </c>
      <c r="Q36" s="289"/>
      <c r="R36" s="289">
        <v>54363</v>
      </c>
      <c r="S36" s="314"/>
      <c r="T36" s="314"/>
      <c r="U36" s="284"/>
      <c r="V36" s="289">
        <f>SUM(C36:R36)</f>
        <v>936949.59058419988</v>
      </c>
      <c r="W36" s="285"/>
      <c r="X36" s="5"/>
    </row>
    <row r="37" spans="1:24" ht="15.6" x14ac:dyDescent="0.3">
      <c r="A37" s="271"/>
      <c r="B37" s="297" t="s">
        <v>133</v>
      </c>
      <c r="C37" s="298"/>
      <c r="D37" s="299">
        <v>0.57344799999999996</v>
      </c>
      <c r="E37" s="300"/>
      <c r="F37" s="299">
        <v>0.57344980000000001</v>
      </c>
      <c r="G37" s="301"/>
      <c r="H37" s="299">
        <v>0.57344980000000001</v>
      </c>
      <c r="I37" s="301"/>
      <c r="J37" s="299">
        <v>0.57344799999999996</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0.58116690000000004</v>
      </c>
      <c r="E38" s="300"/>
      <c r="F38" s="299">
        <v>0.58116860000000004</v>
      </c>
      <c r="G38" s="301"/>
      <c r="H38" s="299">
        <v>0.58116860000000004</v>
      </c>
      <c r="I38" s="301"/>
      <c r="J38" s="299">
        <v>0.58116690000000004</v>
      </c>
      <c r="K38" s="301"/>
      <c r="L38" s="299">
        <v>1</v>
      </c>
      <c r="M38" s="301"/>
      <c r="N38" s="299">
        <v>1</v>
      </c>
      <c r="O38" s="301"/>
      <c r="P38" s="299">
        <v>1</v>
      </c>
      <c r="Q38" s="301"/>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3.9360000000000003E-3</v>
      </c>
      <c r="E40" s="272"/>
      <c r="F40" s="308">
        <v>7.9749999999999995E-3</v>
      </c>
      <c r="G40" s="307"/>
      <c r="H40" s="308">
        <v>4.4299999999999999E-3</v>
      </c>
      <c r="I40" s="308"/>
      <c r="J40" s="308">
        <v>4.1359999999999999E-3</v>
      </c>
      <c r="K40" s="307"/>
      <c r="L40" s="308">
        <v>9.5750000000000002E-3</v>
      </c>
      <c r="M40" s="307"/>
      <c r="N40" s="308">
        <v>5.8300000000000001E-3</v>
      </c>
      <c r="O40" s="307"/>
      <c r="P40" s="308">
        <v>1.3575E-2</v>
      </c>
      <c r="Q40" s="307"/>
      <c r="R40" s="308">
        <v>9.8300000000000002E-3</v>
      </c>
      <c r="S40" s="307"/>
      <c r="T40" s="308"/>
      <c r="U40" s="274"/>
      <c r="V40" s="280"/>
      <c r="W40" s="275"/>
      <c r="X40" s="5"/>
    </row>
    <row r="41" spans="1:24" ht="15.6" x14ac:dyDescent="0.3">
      <c r="A41" s="271"/>
      <c r="B41" s="272" t="s">
        <v>13</v>
      </c>
      <c r="C41" s="272"/>
      <c r="D41" s="308">
        <v>3.9175E-3</v>
      </c>
      <c r="E41" s="272"/>
      <c r="F41" s="308">
        <v>7.6531000000000004E-3</v>
      </c>
      <c r="G41" s="307"/>
      <c r="H41" s="308">
        <v>5.6800000000000002E-3</v>
      </c>
      <c r="I41" s="308"/>
      <c r="J41" s="308">
        <v>4.0645000000000004E-3</v>
      </c>
      <c r="K41" s="307"/>
      <c r="L41" s="308">
        <v>9.2531000000000002E-3</v>
      </c>
      <c r="M41" s="307"/>
      <c r="N41" s="308">
        <v>7.0800000000000004E-3</v>
      </c>
      <c r="O41" s="307"/>
      <c r="P41" s="308">
        <v>1.32531E-2</v>
      </c>
      <c r="Q41" s="307"/>
      <c r="R41" s="308">
        <v>1.108E-2</v>
      </c>
      <c r="S41" s="307"/>
      <c r="T41" s="308"/>
      <c r="U41" s="274"/>
      <c r="V41" s="307" t="s">
        <v>196</v>
      </c>
      <c r="W41" s="275"/>
      <c r="X41" s="5"/>
    </row>
    <row r="42" spans="1:24" ht="15.6" x14ac:dyDescent="0.3">
      <c r="A42" s="271"/>
      <c r="B42" s="272" t="s">
        <v>300</v>
      </c>
      <c r="C42" s="272"/>
      <c r="D42" s="280" t="s">
        <v>327</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v>8.3370000000000007E-3</v>
      </c>
      <c r="E43" s="308"/>
      <c r="F43" s="308">
        <f>+F40</f>
        <v>7.9749999999999995E-3</v>
      </c>
      <c r="G43" s="308"/>
      <c r="H43" s="308">
        <v>8.2190000000000006E-3</v>
      </c>
      <c r="I43" s="308"/>
      <c r="J43" s="308">
        <v>8.0549999999999997E-3</v>
      </c>
      <c r="K43" s="308"/>
      <c r="L43" s="308">
        <f>+L40</f>
        <v>9.5750000000000002E-3</v>
      </c>
      <c r="M43" s="308"/>
      <c r="N43" s="308">
        <v>9.7549999999999998E-3</v>
      </c>
      <c r="O43" s="308"/>
      <c r="P43" s="308">
        <f>+P40</f>
        <v>1.3575E-2</v>
      </c>
      <c r="Q43" s="307"/>
      <c r="R43" s="308">
        <v>1.3975E-2</v>
      </c>
      <c r="S43" s="280"/>
      <c r="T43" s="280"/>
      <c r="U43" s="274"/>
      <c r="V43" s="307">
        <f>SUMPRODUCT(D43:R43,D35:R35)/V35</f>
        <v>8.8148108012501836E-3</v>
      </c>
      <c r="W43" s="275"/>
      <c r="X43" s="5"/>
    </row>
    <row r="44" spans="1:24" ht="15.6" x14ac:dyDescent="0.3">
      <c r="A44" s="271"/>
      <c r="B44" s="272" t="s">
        <v>302</v>
      </c>
      <c r="C44" s="309"/>
      <c r="D44" s="308">
        <v>8.0151000000000007E-3</v>
      </c>
      <c r="E44" s="308"/>
      <c r="F44" s="308">
        <f>+F41</f>
        <v>7.6531000000000004E-3</v>
      </c>
      <c r="G44" s="308"/>
      <c r="H44" s="308">
        <v>7.8971000000000006E-3</v>
      </c>
      <c r="I44" s="308"/>
      <c r="J44" s="308">
        <v>7.7330999999999997E-3</v>
      </c>
      <c r="K44" s="308"/>
      <c r="L44" s="308">
        <f>+L41</f>
        <v>9.2531000000000002E-3</v>
      </c>
      <c r="M44" s="308"/>
      <c r="N44" s="308">
        <v>9.4330999999999998E-3</v>
      </c>
      <c r="O44" s="308"/>
      <c r="P44" s="308">
        <f>+P41</f>
        <v>1.32531E-2</v>
      </c>
      <c r="Q44" s="307"/>
      <c r="R44" s="308">
        <v>1.36531E-2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328</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0.23736989713961679</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41927</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91</v>
      </c>
      <c r="S57" s="318"/>
      <c r="T57" s="319">
        <v>41744</v>
      </c>
      <c r="U57" s="320"/>
      <c r="V57" s="319">
        <v>41834</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92</v>
      </c>
      <c r="S58" s="272"/>
      <c r="T58" s="319">
        <v>41835</v>
      </c>
      <c r="U58" s="320"/>
      <c r="V58" s="319">
        <v>41926</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41913</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343</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947142</v>
      </c>
      <c r="O68" s="324"/>
      <c r="P68" s="324">
        <f>10192+9+3</f>
        <v>10204</v>
      </c>
      <c r="Q68" s="324"/>
      <c r="R68" s="324">
        <v>12</v>
      </c>
      <c r="S68" s="324"/>
      <c r="T68" s="324">
        <v>0</v>
      </c>
      <c r="U68" s="324"/>
      <c r="V68" s="325">
        <f>+N68-P68+R68-T68</f>
        <v>936950</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947142</v>
      </c>
      <c r="O71" s="324"/>
      <c r="P71" s="324">
        <f>SUM(P68:P70)</f>
        <v>10204</v>
      </c>
      <c r="Q71" s="324"/>
      <c r="R71" s="324">
        <f>SUM(R68:R70)</f>
        <v>12</v>
      </c>
      <c r="S71" s="324"/>
      <c r="T71" s="324">
        <f>SUM(T68:T70)</f>
        <v>0</v>
      </c>
      <c r="U71" s="324"/>
      <c r="V71" s="324">
        <f>SUM(V68:V70)</f>
        <v>936950</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947142</v>
      </c>
      <c r="O84" s="328"/>
      <c r="P84" s="328"/>
      <c r="Q84" s="328"/>
      <c r="R84" s="328"/>
      <c r="S84" s="328"/>
      <c r="T84" s="328"/>
      <c r="U84" s="328"/>
      <c r="V84" s="328">
        <f>SUM(V71:V83)</f>
        <v>936950</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+T199</f>
        <v>41912</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10204-606</f>
        <v>9598</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4324+3034-833-1008</f>
        <v>5517</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260+50</f>
        <v>310</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40</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307</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9598</v>
      </c>
      <c r="U96" s="272"/>
      <c r="V96" s="324">
        <f>SUM(V88:V95)</f>
        <v>6174</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0</v>
      </c>
      <c r="U97" s="272"/>
      <c r="V97" s="324">
        <v>0</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139</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9598</v>
      </c>
      <c r="U100" s="272"/>
      <c r="V100" s="324">
        <f>V96+V98+V97+V99</f>
        <v>6313</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331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343" t="s">
        <v>332</v>
      </c>
      <c r="C104" s="272"/>
      <c r="D104" s="272"/>
      <c r="E104" s="272"/>
      <c r="F104" s="272"/>
      <c r="G104" s="272"/>
      <c r="H104" s="272"/>
      <c r="I104" s="272"/>
      <c r="J104" s="272"/>
      <c r="K104" s="272"/>
      <c r="L104" s="272"/>
      <c r="M104" s="272"/>
      <c r="N104" s="272"/>
      <c r="O104" s="272"/>
      <c r="P104" s="272"/>
      <c r="Q104" s="272"/>
      <c r="R104" s="272"/>
      <c r="S104" s="272"/>
      <c r="T104" s="272"/>
      <c r="U104" s="272"/>
      <c r="V104" s="325">
        <f>-363-159-12</f>
        <v>-534</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0</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-1595+146</f>
        <v>-1449</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-146</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0</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-139</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-135</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-191</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-45</v>
      </c>
      <c r="W112" s="275"/>
      <c r="X112" s="5"/>
      <c r="Y112" s="109"/>
    </row>
    <row r="113" spans="1:25" ht="15.6" x14ac:dyDescent="0.3">
      <c r="A113" s="392">
        <v>7</v>
      </c>
      <c r="B113" s="343" t="s">
        <v>333</v>
      </c>
      <c r="C113" s="343"/>
      <c r="D113" s="343"/>
      <c r="E113" s="343"/>
      <c r="F113" s="343"/>
      <c r="G113" s="272"/>
      <c r="H113" s="272"/>
      <c r="I113" s="272"/>
      <c r="J113" s="272"/>
      <c r="K113" s="272"/>
      <c r="L113" s="272"/>
      <c r="M113" s="272"/>
      <c r="N113" s="272"/>
      <c r="O113" s="272"/>
      <c r="P113" s="272"/>
      <c r="Q113" s="272"/>
      <c r="R113" s="272"/>
      <c r="S113" s="272"/>
      <c r="T113" s="272"/>
      <c r="U113" s="272"/>
      <c r="V113" s="325">
        <v>0</v>
      </c>
      <c r="W113" s="275"/>
      <c r="X113" s="5"/>
      <c r="Y113" s="109"/>
    </row>
    <row r="114" spans="1:25" ht="15.6" x14ac:dyDescent="0.3">
      <c r="A114" s="338">
        <f t="shared" ref="A114:A121" si="0">+A113+1</f>
        <v>8</v>
      </c>
      <c r="B114" s="272" t="s">
        <v>35</v>
      </c>
      <c r="C114" s="272"/>
      <c r="D114" s="272"/>
      <c r="E114" s="272"/>
      <c r="F114" s="272"/>
      <c r="G114" s="272"/>
      <c r="H114" s="272"/>
      <c r="I114" s="272"/>
      <c r="J114" s="272"/>
      <c r="K114" s="272"/>
      <c r="L114" s="272"/>
      <c r="M114" s="272"/>
      <c r="N114" s="272"/>
      <c r="O114" s="272"/>
      <c r="P114" s="272"/>
      <c r="Q114" s="272"/>
      <c r="R114" s="272"/>
      <c r="S114" s="272"/>
      <c r="T114" s="272"/>
      <c r="U114" s="272"/>
      <c r="V114" s="325">
        <v>-10</v>
      </c>
      <c r="W114" s="275"/>
      <c r="X114" s="5"/>
    </row>
    <row r="115" spans="1:25" ht="15.6" x14ac:dyDescent="0.3">
      <c r="A115" s="338">
        <f t="shared" si="0"/>
        <v>9</v>
      </c>
      <c r="B115" s="272" t="s">
        <v>45</v>
      </c>
      <c r="C115" s="272"/>
      <c r="D115" s="272"/>
      <c r="E115" s="272"/>
      <c r="F115" s="272"/>
      <c r="G115" s="272"/>
      <c r="H115" s="272"/>
      <c r="I115" s="272"/>
      <c r="J115" s="272"/>
      <c r="K115" s="272"/>
      <c r="L115" s="272"/>
      <c r="M115" s="272"/>
      <c r="N115" s="272"/>
      <c r="O115" s="272"/>
      <c r="P115" s="272"/>
      <c r="Q115" s="272"/>
      <c r="R115" s="272"/>
      <c r="S115" s="272"/>
      <c r="T115" s="324">
        <f>-V115</f>
        <v>606</v>
      </c>
      <c r="U115" s="272"/>
      <c r="V115" s="325">
        <v>-606</v>
      </c>
      <c r="W115" s="275"/>
      <c r="X115" s="5"/>
    </row>
    <row r="116" spans="1:25" ht="15.6" x14ac:dyDescent="0.3">
      <c r="A116" s="338">
        <f t="shared" si="0"/>
        <v>10</v>
      </c>
      <c r="B116" s="272" t="s">
        <v>128</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5" ht="15.6" x14ac:dyDescent="0.3">
      <c r="A117" s="338">
        <f t="shared" si="0"/>
        <v>11</v>
      </c>
      <c r="B117" s="272" t="s">
        <v>271</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5" ht="15.6" x14ac:dyDescent="0.3">
      <c r="A118" s="338">
        <f t="shared" si="0"/>
        <v>12</v>
      </c>
      <c r="B118" s="272" t="s">
        <v>36</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5" ht="15.6" x14ac:dyDescent="0.3">
      <c r="A119" s="338">
        <f t="shared" si="0"/>
        <v>13</v>
      </c>
      <c r="B119" s="272" t="s">
        <v>270</v>
      </c>
      <c r="C119" s="272"/>
      <c r="D119" s="272"/>
      <c r="E119" s="272"/>
      <c r="F119" s="272"/>
      <c r="G119" s="272"/>
      <c r="H119" s="272"/>
      <c r="I119" s="272"/>
      <c r="J119" s="272"/>
      <c r="K119" s="272"/>
      <c r="L119" s="272"/>
      <c r="M119" s="272"/>
      <c r="N119" s="272"/>
      <c r="O119" s="272"/>
      <c r="P119" s="272"/>
      <c r="Q119" s="272"/>
      <c r="R119" s="272"/>
      <c r="S119" s="272"/>
      <c r="T119" s="272"/>
      <c r="U119" s="272"/>
      <c r="V119" s="325">
        <v>0</v>
      </c>
      <c r="W119" s="275"/>
      <c r="X119" s="5"/>
    </row>
    <row r="120" spans="1:25" ht="15.6" x14ac:dyDescent="0.3">
      <c r="A120" s="338">
        <f t="shared" si="0"/>
        <v>14</v>
      </c>
      <c r="B120" s="272" t="s">
        <v>152</v>
      </c>
      <c r="C120" s="272"/>
      <c r="D120" s="272"/>
      <c r="E120" s="272"/>
      <c r="F120" s="272"/>
      <c r="G120" s="272"/>
      <c r="H120" s="272"/>
      <c r="I120" s="272"/>
      <c r="J120" s="272"/>
      <c r="K120" s="272"/>
      <c r="L120" s="272"/>
      <c r="M120" s="272"/>
      <c r="N120" s="272"/>
      <c r="O120" s="272"/>
      <c r="P120" s="272"/>
      <c r="Q120" s="272"/>
      <c r="R120" s="272"/>
      <c r="S120" s="272"/>
      <c r="T120" s="272"/>
      <c r="U120" s="272"/>
      <c r="V120" s="325">
        <v>-362</v>
      </c>
      <c r="W120" s="275"/>
      <c r="X120" s="5"/>
    </row>
    <row r="121" spans="1:25" ht="15.6" x14ac:dyDescent="0.3">
      <c r="A121" s="338">
        <f t="shared" si="0"/>
        <v>15</v>
      </c>
      <c r="B121" s="272" t="s">
        <v>129</v>
      </c>
      <c r="C121" s="272"/>
      <c r="D121" s="272"/>
      <c r="E121" s="272"/>
      <c r="F121" s="272"/>
      <c r="G121" s="272"/>
      <c r="H121" s="272"/>
      <c r="I121" s="272"/>
      <c r="J121" s="272"/>
      <c r="K121" s="272"/>
      <c r="L121" s="272"/>
      <c r="M121" s="272"/>
      <c r="N121" s="272"/>
      <c r="O121" s="272"/>
      <c r="P121" s="272"/>
      <c r="Q121" s="272"/>
      <c r="R121" s="272"/>
      <c r="S121" s="272"/>
      <c r="T121" s="272"/>
      <c r="U121" s="272"/>
      <c r="V121" s="325">
        <f>-V100-SUM(V102:V120)</f>
        <v>-2694</v>
      </c>
      <c r="W121" s="275"/>
      <c r="X121" s="5"/>
    </row>
    <row r="122" spans="1:25" ht="15.6" x14ac:dyDescent="0.3">
      <c r="A122" s="271"/>
      <c r="B122" s="335" t="s">
        <v>37</v>
      </c>
      <c r="C122" s="298"/>
      <c r="D122" s="298"/>
      <c r="E122" s="298"/>
      <c r="F122" s="298"/>
      <c r="G122" s="298"/>
      <c r="H122" s="298"/>
      <c r="I122" s="298"/>
      <c r="J122" s="298"/>
      <c r="K122" s="298"/>
      <c r="L122" s="298"/>
      <c r="M122" s="298"/>
      <c r="N122" s="298"/>
      <c r="O122" s="298"/>
      <c r="P122" s="298"/>
      <c r="Q122" s="298"/>
      <c r="R122" s="298"/>
      <c r="S122" s="298"/>
      <c r="T122" s="298"/>
      <c r="U122" s="298"/>
      <c r="V122" s="339"/>
      <c r="W122" s="304"/>
      <c r="X122" s="5"/>
    </row>
    <row r="123" spans="1:25" ht="15.6" x14ac:dyDescent="0.3">
      <c r="A123" s="338"/>
      <c r="B123" s="272" t="s">
        <v>176</v>
      </c>
      <c r="C123" s="272"/>
      <c r="D123" s="272"/>
      <c r="E123" s="272"/>
      <c r="F123" s="272"/>
      <c r="G123" s="272"/>
      <c r="H123" s="272"/>
      <c r="I123" s="272"/>
      <c r="J123" s="272"/>
      <c r="K123" s="272"/>
      <c r="L123" s="272"/>
      <c r="M123" s="272"/>
      <c r="N123" s="272"/>
      <c r="O123" s="272"/>
      <c r="P123" s="272"/>
      <c r="Q123" s="272"/>
      <c r="R123" s="272"/>
      <c r="S123" s="272"/>
      <c r="T123" s="324">
        <f>-T183</f>
        <v>0</v>
      </c>
      <c r="U123" s="324"/>
      <c r="V123" s="325"/>
      <c r="W123" s="275"/>
      <c r="X123" s="5"/>
    </row>
    <row r="124" spans="1:25" ht="15.6" x14ac:dyDescent="0.3">
      <c r="A124" s="338"/>
      <c r="B124" s="272" t="s">
        <v>177</v>
      </c>
      <c r="C124" s="272"/>
      <c r="D124" s="272"/>
      <c r="E124" s="272"/>
      <c r="F124" s="272"/>
      <c r="G124" s="272"/>
      <c r="H124" s="272"/>
      <c r="I124" s="272"/>
      <c r="J124" s="272"/>
      <c r="K124" s="272"/>
      <c r="L124" s="272"/>
      <c r="M124" s="272"/>
      <c r="N124" s="272"/>
      <c r="O124" s="272"/>
      <c r="P124" s="272"/>
      <c r="Q124" s="272"/>
      <c r="R124" s="272"/>
      <c r="S124" s="272"/>
      <c r="T124" s="324">
        <v>-3</v>
      </c>
      <c r="U124" s="324"/>
      <c r="V124" s="325"/>
      <c r="W124" s="275"/>
      <c r="X124" s="5"/>
    </row>
    <row r="125" spans="1:25" ht="15.6" x14ac:dyDescent="0.3">
      <c r="A125" s="338"/>
      <c r="B125" s="272" t="s">
        <v>38</v>
      </c>
      <c r="C125" s="272"/>
      <c r="D125" s="272"/>
      <c r="E125" s="272"/>
      <c r="F125" s="272"/>
      <c r="G125" s="272"/>
      <c r="H125" s="272"/>
      <c r="I125" s="272"/>
      <c r="J125" s="272"/>
      <c r="K125" s="272"/>
      <c r="L125" s="272"/>
      <c r="M125" s="272"/>
      <c r="N125" s="272"/>
      <c r="O125" s="272"/>
      <c r="P125" s="272"/>
      <c r="Q125" s="272"/>
      <c r="R125" s="272"/>
      <c r="S125" s="272"/>
      <c r="T125" s="324">
        <f>-S183</f>
        <v>-9</v>
      </c>
      <c r="U125" s="324"/>
      <c r="V125" s="325"/>
      <c r="W125" s="275"/>
      <c r="X125" s="5"/>
    </row>
    <row r="126" spans="1:25" ht="15.6" x14ac:dyDescent="0.3">
      <c r="A126" s="338"/>
      <c r="B126" s="272" t="s">
        <v>200</v>
      </c>
      <c r="C126" s="272"/>
      <c r="D126" s="272"/>
      <c r="E126" s="272"/>
      <c r="F126" s="272"/>
      <c r="G126" s="272"/>
      <c r="H126" s="272"/>
      <c r="I126" s="272"/>
      <c r="J126" s="272"/>
      <c r="K126" s="272"/>
      <c r="L126" s="272"/>
      <c r="M126" s="272"/>
      <c r="N126" s="272"/>
      <c r="O126" s="272"/>
      <c r="P126" s="272"/>
      <c r="Q126" s="272"/>
      <c r="R126" s="272"/>
      <c r="S126" s="272"/>
      <c r="T126" s="324">
        <v>-6159</v>
      </c>
      <c r="U126" s="324"/>
      <c r="V126" s="325"/>
      <c r="W126" s="275"/>
      <c r="X126" s="5"/>
    </row>
    <row r="127" spans="1:25" ht="15.6" x14ac:dyDescent="0.3">
      <c r="A127" s="338"/>
      <c r="B127" s="272" t="s">
        <v>198</v>
      </c>
      <c r="C127" s="272"/>
      <c r="D127" s="272"/>
      <c r="E127" s="272"/>
      <c r="F127" s="272"/>
      <c r="G127" s="272"/>
      <c r="H127" s="272"/>
      <c r="I127" s="272"/>
      <c r="J127" s="272"/>
      <c r="K127" s="272"/>
      <c r="L127" s="272"/>
      <c r="M127" s="272"/>
      <c r="N127" s="272"/>
      <c r="O127" s="272"/>
      <c r="P127" s="272"/>
      <c r="Q127" s="272"/>
      <c r="R127" s="272"/>
      <c r="S127" s="272"/>
      <c r="T127" s="324">
        <v>-965</v>
      </c>
      <c r="U127" s="324"/>
      <c r="V127" s="325"/>
      <c r="W127" s="275"/>
      <c r="X127" s="5"/>
    </row>
    <row r="128" spans="1:25" ht="15.6" x14ac:dyDescent="0.3">
      <c r="A128" s="338"/>
      <c r="B128" s="272" t="s">
        <v>197</v>
      </c>
      <c r="C128" s="272"/>
      <c r="D128" s="272"/>
      <c r="E128" s="272"/>
      <c r="F128" s="272"/>
      <c r="G128" s="272"/>
      <c r="H128" s="272"/>
      <c r="I128" s="272"/>
      <c r="J128" s="272"/>
      <c r="K128" s="272"/>
      <c r="L128" s="272"/>
      <c r="M128" s="272"/>
      <c r="N128" s="272"/>
      <c r="O128" s="272"/>
      <c r="P128" s="272"/>
      <c r="Q128" s="272"/>
      <c r="R128" s="272"/>
      <c r="S128" s="272"/>
      <c r="T128" s="324">
        <v>-1631</v>
      </c>
      <c r="U128" s="324"/>
      <c r="V128" s="325"/>
      <c r="W128" s="275"/>
      <c r="X128" s="5"/>
    </row>
    <row r="129" spans="1:24" ht="15.6" x14ac:dyDescent="0.3">
      <c r="A129" s="338"/>
      <c r="B129" s="272" t="s">
        <v>232</v>
      </c>
      <c r="C129" s="272"/>
      <c r="D129" s="272"/>
      <c r="E129" s="272"/>
      <c r="F129" s="272"/>
      <c r="G129" s="272"/>
      <c r="H129" s="272"/>
      <c r="I129" s="272"/>
      <c r="J129" s="272"/>
      <c r="K129" s="272"/>
      <c r="L129" s="272"/>
      <c r="M129" s="272"/>
      <c r="N129" s="272"/>
      <c r="O129" s="272"/>
      <c r="P129" s="272"/>
      <c r="Q129" s="272"/>
      <c r="R129" s="272"/>
      <c r="S129" s="272"/>
      <c r="T129" s="324">
        <v>-1437</v>
      </c>
      <c r="U129" s="324"/>
      <c r="V129" s="325"/>
      <c r="W129" s="275"/>
      <c r="X129" s="5"/>
    </row>
    <row r="130" spans="1:24" ht="15.6" x14ac:dyDescent="0.3">
      <c r="A130" s="338"/>
      <c r="B130" s="272" t="s">
        <v>192</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191</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233</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190</v>
      </c>
      <c r="C133" s="272"/>
      <c r="D133" s="272"/>
      <c r="E133" s="272"/>
      <c r="F133" s="272"/>
      <c r="G133" s="272"/>
      <c r="H133" s="272"/>
      <c r="I133" s="272"/>
      <c r="J133" s="272"/>
      <c r="K133" s="272"/>
      <c r="L133" s="272"/>
      <c r="M133" s="272"/>
      <c r="N133" s="272"/>
      <c r="O133" s="272"/>
      <c r="P133" s="272"/>
      <c r="Q133" s="272"/>
      <c r="R133" s="272"/>
      <c r="S133" s="272"/>
      <c r="T133" s="324">
        <v>0</v>
      </c>
      <c r="U133" s="324"/>
      <c r="V133" s="325"/>
      <c r="W133" s="275"/>
      <c r="X133" s="5"/>
    </row>
    <row r="134" spans="1:24" ht="15.6" x14ac:dyDescent="0.3">
      <c r="A134" s="338"/>
      <c r="B134" s="272" t="s">
        <v>39</v>
      </c>
      <c r="C134" s="272"/>
      <c r="D134" s="272"/>
      <c r="E134" s="272"/>
      <c r="F134" s="272"/>
      <c r="G134" s="272"/>
      <c r="H134" s="272"/>
      <c r="I134" s="272"/>
      <c r="J134" s="272"/>
      <c r="K134" s="272"/>
      <c r="L134" s="272"/>
      <c r="M134" s="272"/>
      <c r="N134" s="272"/>
      <c r="O134" s="272"/>
      <c r="P134" s="272"/>
      <c r="Q134" s="272"/>
      <c r="R134" s="272"/>
      <c r="S134" s="272"/>
      <c r="T134" s="324">
        <f>SUM(T123:T133)</f>
        <v>-10204</v>
      </c>
      <c r="U134" s="324"/>
      <c r="V134" s="324">
        <f>SUM(V101:V131)</f>
        <v>-6313</v>
      </c>
      <c r="W134" s="275"/>
      <c r="X134" s="5"/>
    </row>
    <row r="135" spans="1:24" ht="15.6" x14ac:dyDescent="0.3">
      <c r="A135" s="338"/>
      <c r="B135" s="272" t="s">
        <v>40</v>
      </c>
      <c r="C135" s="272"/>
      <c r="D135" s="272"/>
      <c r="E135" s="272"/>
      <c r="F135" s="272"/>
      <c r="G135" s="272"/>
      <c r="H135" s="272"/>
      <c r="I135" s="272"/>
      <c r="J135" s="272"/>
      <c r="K135" s="272"/>
      <c r="L135" s="272"/>
      <c r="M135" s="272"/>
      <c r="N135" s="272"/>
      <c r="O135" s="272"/>
      <c r="P135" s="272"/>
      <c r="Q135" s="272"/>
      <c r="R135" s="272"/>
      <c r="S135" s="272"/>
      <c r="T135" s="324">
        <f>T100+T134+T115</f>
        <v>0</v>
      </c>
      <c r="U135" s="324"/>
      <c r="V135" s="324">
        <f>V100+V134</f>
        <v>0</v>
      </c>
      <c r="W135" s="275"/>
      <c r="X135" s="5"/>
    </row>
    <row r="136" spans="1:24" ht="15.6" x14ac:dyDescent="0.3">
      <c r="A136" s="242"/>
      <c r="B136" s="268"/>
      <c r="C136" s="268"/>
      <c r="D136" s="268"/>
      <c r="E136" s="268"/>
      <c r="F136" s="268"/>
      <c r="G136" s="268"/>
      <c r="H136" s="268"/>
      <c r="I136" s="268"/>
      <c r="J136" s="268"/>
      <c r="K136" s="268"/>
      <c r="L136" s="268"/>
      <c r="M136" s="268"/>
      <c r="N136" s="268"/>
      <c r="O136" s="268"/>
      <c r="P136" s="268"/>
      <c r="Q136" s="268"/>
      <c r="R136" s="268"/>
      <c r="S136" s="268"/>
      <c r="T136" s="332"/>
      <c r="U136" s="332"/>
      <c r="V136" s="332"/>
      <c r="W136" s="268"/>
      <c r="X136" s="5"/>
    </row>
    <row r="137" spans="1:24" ht="15.6" x14ac:dyDescent="0.3">
      <c r="A137" s="242"/>
      <c r="B137" s="220"/>
      <c r="C137" s="220"/>
      <c r="D137" s="220"/>
      <c r="E137" s="220"/>
      <c r="F137" s="220"/>
      <c r="G137" s="220"/>
      <c r="H137" s="220"/>
      <c r="I137" s="220"/>
      <c r="J137" s="220"/>
      <c r="K137" s="220"/>
      <c r="L137" s="220"/>
      <c r="M137" s="220"/>
      <c r="N137" s="220"/>
      <c r="O137" s="220"/>
      <c r="P137" s="220"/>
      <c r="Q137" s="220"/>
      <c r="R137" s="220"/>
      <c r="S137" s="220"/>
      <c r="T137" s="220"/>
      <c r="U137" s="220"/>
      <c r="V137" s="243"/>
      <c r="W137" s="220"/>
      <c r="X137" s="5"/>
    </row>
    <row r="138" spans="1:24" ht="18" thickBot="1" x14ac:dyDescent="0.35">
      <c r="A138" s="244"/>
      <c r="B138" s="234" t="str">
        <f>B64</f>
        <v>PM13 INVESTOR REPORT QUARTER ENDING SEPTEMBER 2014</v>
      </c>
      <c r="C138" s="235"/>
      <c r="D138" s="235"/>
      <c r="E138" s="235"/>
      <c r="F138" s="235"/>
      <c r="G138" s="235"/>
      <c r="H138" s="235"/>
      <c r="I138" s="235"/>
      <c r="J138" s="235"/>
      <c r="K138" s="235"/>
      <c r="L138" s="235"/>
      <c r="M138" s="235"/>
      <c r="N138" s="235"/>
      <c r="O138" s="235"/>
      <c r="P138" s="235"/>
      <c r="Q138" s="235"/>
      <c r="R138" s="235"/>
      <c r="S138" s="235"/>
      <c r="T138" s="235"/>
      <c r="U138" s="235"/>
      <c r="V138" s="245"/>
      <c r="W138" s="237"/>
      <c r="X138" s="5"/>
    </row>
    <row r="139" spans="1:24" ht="15.6" x14ac:dyDescent="0.3">
      <c r="A139" s="246"/>
      <c r="B139" s="388" t="s">
        <v>41</v>
      </c>
      <c r="C139" s="247"/>
      <c r="D139" s="247"/>
      <c r="E139" s="247"/>
      <c r="F139" s="247"/>
      <c r="G139" s="247"/>
      <c r="H139" s="247"/>
      <c r="I139" s="247"/>
      <c r="J139" s="247"/>
      <c r="K139" s="247"/>
      <c r="L139" s="247"/>
      <c r="M139" s="247"/>
      <c r="N139" s="247"/>
      <c r="O139" s="247"/>
      <c r="P139" s="247"/>
      <c r="Q139" s="247"/>
      <c r="R139" s="247"/>
      <c r="S139" s="247"/>
      <c r="T139" s="247"/>
      <c r="U139" s="247"/>
      <c r="V139" s="248"/>
      <c r="W139" s="247"/>
      <c r="X139" s="5"/>
    </row>
    <row r="140" spans="1:24" ht="15.6" x14ac:dyDescent="0.3">
      <c r="A140" s="175"/>
      <c r="B140" s="186"/>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175"/>
      <c r="B141" s="203" t="s">
        <v>42</v>
      </c>
      <c r="C141" s="177"/>
      <c r="D141" s="177"/>
      <c r="E141" s="177"/>
      <c r="F141" s="177"/>
      <c r="G141" s="177"/>
      <c r="H141" s="177"/>
      <c r="I141" s="177"/>
      <c r="J141" s="177"/>
      <c r="K141" s="177"/>
      <c r="L141" s="177"/>
      <c r="M141" s="177"/>
      <c r="N141" s="177"/>
      <c r="O141" s="177"/>
      <c r="P141" s="177"/>
      <c r="Q141" s="177"/>
      <c r="R141" s="177"/>
      <c r="S141" s="177"/>
      <c r="T141" s="177"/>
      <c r="U141" s="177"/>
      <c r="V141" s="196"/>
      <c r="W141" s="177"/>
      <c r="X141" s="5"/>
    </row>
    <row r="142" spans="1:24" ht="15.6" x14ac:dyDescent="0.3">
      <c r="A142" s="271"/>
      <c r="B142" s="272" t="s">
        <v>43</v>
      </c>
      <c r="C142" s="272"/>
      <c r="D142" s="272"/>
      <c r="E142" s="272"/>
      <c r="F142" s="272"/>
      <c r="G142" s="272"/>
      <c r="H142" s="272"/>
      <c r="I142" s="272"/>
      <c r="J142" s="272"/>
      <c r="K142" s="272"/>
      <c r="L142" s="272"/>
      <c r="M142" s="272"/>
      <c r="N142" s="272"/>
      <c r="O142" s="272"/>
      <c r="P142" s="272"/>
      <c r="Q142" s="272"/>
      <c r="R142" s="272"/>
      <c r="S142" s="272"/>
      <c r="T142" s="272"/>
      <c r="U142" s="272"/>
      <c r="V142" s="325">
        <f>+V34*0.019</f>
        <v>28503.61</v>
      </c>
      <c r="W142" s="275"/>
      <c r="X142" s="5"/>
    </row>
    <row r="143" spans="1:24" ht="15.6" x14ac:dyDescent="0.3">
      <c r="A143" s="271"/>
      <c r="B143" s="272" t="s">
        <v>44</v>
      </c>
      <c r="C143" s="272"/>
      <c r="D143" s="272"/>
      <c r="E143" s="272"/>
      <c r="F143" s="272"/>
      <c r="G143" s="272"/>
      <c r="H143" s="272"/>
      <c r="I143" s="272"/>
      <c r="J143" s="272"/>
      <c r="K143" s="272"/>
      <c r="L143" s="272"/>
      <c r="M143" s="272"/>
      <c r="N143" s="272"/>
      <c r="O143" s="272"/>
      <c r="P143" s="272"/>
      <c r="Q143" s="272"/>
      <c r="R143" s="272"/>
      <c r="S143" s="272"/>
      <c r="T143" s="272"/>
      <c r="U143" s="272"/>
      <c r="V143" s="325">
        <v>28504</v>
      </c>
      <c r="W143" s="275"/>
      <c r="X143" s="5"/>
    </row>
    <row r="144" spans="1:24" ht="15.6" x14ac:dyDescent="0.3">
      <c r="A144" s="271"/>
      <c r="B144" s="272" t="s">
        <v>139</v>
      </c>
      <c r="C144" s="272"/>
      <c r="D144" s="272"/>
      <c r="E144" s="272"/>
      <c r="F144" s="272"/>
      <c r="G144" s="272"/>
      <c r="H144" s="272"/>
      <c r="I144" s="272"/>
      <c r="J144" s="272"/>
      <c r="K144" s="272"/>
      <c r="L144" s="272"/>
      <c r="M144" s="272"/>
      <c r="N144" s="272"/>
      <c r="O144" s="272"/>
      <c r="P144" s="272"/>
      <c r="Q144" s="272"/>
      <c r="R144" s="272"/>
      <c r="S144" s="272"/>
      <c r="T144" s="272"/>
      <c r="U144" s="272"/>
      <c r="V144" s="325"/>
      <c r="W144" s="275"/>
      <c r="X144" s="5"/>
    </row>
    <row r="145" spans="1:25" ht="15.6" x14ac:dyDescent="0.3">
      <c r="A145" s="271"/>
      <c r="B145" s="272" t="s">
        <v>126</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127</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178</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45</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132</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row>
    <row r="150" spans="1:25" ht="15.6" x14ac:dyDescent="0.3">
      <c r="A150" s="271"/>
      <c r="B150" s="272" t="s">
        <v>267</v>
      </c>
      <c r="C150" s="272"/>
      <c r="D150" s="272"/>
      <c r="E150" s="272"/>
      <c r="F150" s="272"/>
      <c r="G150" s="272"/>
      <c r="H150" s="272"/>
      <c r="I150" s="272"/>
      <c r="J150" s="272"/>
      <c r="K150" s="272"/>
      <c r="L150" s="272"/>
      <c r="M150" s="272"/>
      <c r="N150" s="272"/>
      <c r="O150" s="272"/>
      <c r="P150" s="272"/>
      <c r="Q150" s="272"/>
      <c r="R150" s="272"/>
      <c r="S150" s="272"/>
      <c r="T150" s="272"/>
      <c r="U150" s="272"/>
      <c r="V150" s="325">
        <v>0</v>
      </c>
      <c r="W150" s="275"/>
      <c r="X150" s="5"/>
      <c r="Y150" s="109"/>
    </row>
    <row r="151" spans="1:25" ht="15.6" x14ac:dyDescent="0.3">
      <c r="A151" s="271"/>
      <c r="B151" s="272" t="s">
        <v>46</v>
      </c>
      <c r="C151" s="272"/>
      <c r="D151" s="272"/>
      <c r="E151" s="272"/>
      <c r="F151" s="272"/>
      <c r="G151" s="272"/>
      <c r="H151" s="272"/>
      <c r="I151" s="272"/>
      <c r="J151" s="272"/>
      <c r="K151" s="272"/>
      <c r="L151" s="272"/>
      <c r="M151" s="272"/>
      <c r="N151" s="272"/>
      <c r="O151" s="272"/>
      <c r="P151" s="272"/>
      <c r="Q151" s="272"/>
      <c r="R151" s="272"/>
      <c r="S151" s="272"/>
      <c r="T151" s="272"/>
      <c r="U151" s="272"/>
      <c r="V151" s="325">
        <f>SUM(V143:V150)</f>
        <v>28504</v>
      </c>
      <c r="W151" s="275"/>
      <c r="X151" s="5"/>
    </row>
    <row r="152" spans="1:25" ht="15.6" x14ac:dyDescent="0.3">
      <c r="A152" s="271"/>
      <c r="B152" s="298"/>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335" t="s">
        <v>268</v>
      </c>
      <c r="C153" s="298"/>
      <c r="D153" s="298"/>
      <c r="E153" s="298"/>
      <c r="F153" s="298"/>
      <c r="G153" s="298"/>
      <c r="H153" s="298"/>
      <c r="I153" s="298"/>
      <c r="J153" s="298"/>
      <c r="K153" s="298"/>
      <c r="L153" s="298"/>
      <c r="M153" s="298"/>
      <c r="N153" s="298"/>
      <c r="O153" s="298"/>
      <c r="P153" s="298"/>
      <c r="Q153" s="298"/>
      <c r="R153" s="298"/>
      <c r="S153" s="298"/>
      <c r="T153" s="298"/>
      <c r="U153" s="298"/>
      <c r="V153" s="337"/>
      <c r="W153" s="304"/>
      <c r="X153" s="5"/>
    </row>
    <row r="154" spans="1:25" ht="15.6" x14ac:dyDescent="0.3">
      <c r="A154" s="271"/>
      <c r="B154" s="272" t="s">
        <v>158</v>
      </c>
      <c r="C154" s="272"/>
      <c r="D154" s="272"/>
      <c r="E154" s="272"/>
      <c r="F154" s="272"/>
      <c r="G154" s="272"/>
      <c r="H154" s="272"/>
      <c r="I154" s="272"/>
      <c r="J154" s="272"/>
      <c r="K154" s="272"/>
      <c r="L154" s="272"/>
      <c r="M154" s="272"/>
      <c r="N154" s="272"/>
      <c r="O154" s="272"/>
      <c r="P154" s="272"/>
      <c r="Q154" s="272"/>
      <c r="R154" s="272"/>
      <c r="S154" s="272"/>
      <c r="T154" s="272"/>
      <c r="U154" s="272"/>
      <c r="V154" s="325">
        <v>15000</v>
      </c>
      <c r="W154" s="275"/>
      <c r="X154" s="5"/>
    </row>
    <row r="155" spans="1:25" ht="15.6" x14ac:dyDescent="0.3">
      <c r="A155" s="271"/>
      <c r="B155" s="272" t="s">
        <v>175</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72" t="s">
        <v>341</v>
      </c>
      <c r="C156" s="272"/>
      <c r="D156" s="272"/>
      <c r="E156" s="272"/>
      <c r="F156" s="272"/>
      <c r="G156" s="272"/>
      <c r="H156" s="272"/>
      <c r="I156" s="272"/>
      <c r="J156" s="272"/>
      <c r="K156" s="272"/>
      <c r="L156" s="272"/>
      <c r="M156" s="272"/>
      <c r="N156" s="272"/>
      <c r="O156" s="272"/>
      <c r="P156" s="272"/>
      <c r="Q156" s="272"/>
      <c r="R156" s="272"/>
      <c r="S156" s="272"/>
      <c r="T156" s="272"/>
      <c r="U156" s="272"/>
      <c r="V156" s="325">
        <v>0</v>
      </c>
      <c r="W156" s="275"/>
      <c r="X156" s="5"/>
    </row>
    <row r="157" spans="1:25" ht="15.6" x14ac:dyDescent="0.3">
      <c r="A157" s="271"/>
      <c r="B157" s="298"/>
      <c r="C157" s="298"/>
      <c r="D157" s="298"/>
      <c r="E157" s="298"/>
      <c r="F157" s="298"/>
      <c r="G157" s="298"/>
      <c r="H157" s="298"/>
      <c r="I157" s="298"/>
      <c r="J157" s="298"/>
      <c r="K157" s="298"/>
      <c r="L157" s="298"/>
      <c r="M157" s="298"/>
      <c r="N157" s="298"/>
      <c r="O157" s="298"/>
      <c r="P157" s="298"/>
      <c r="Q157" s="298"/>
      <c r="R157" s="298"/>
      <c r="S157" s="298"/>
      <c r="T157" s="298"/>
      <c r="U157" s="298"/>
      <c r="V157" s="337"/>
      <c r="W157" s="304"/>
      <c r="X157" s="5"/>
    </row>
    <row r="158" spans="1:25" ht="15.6" x14ac:dyDescent="0.3">
      <c r="A158" s="175"/>
      <c r="B158" s="321"/>
      <c r="C158" s="321"/>
      <c r="D158" s="321"/>
      <c r="E158" s="321"/>
      <c r="F158" s="321"/>
      <c r="G158" s="321"/>
      <c r="H158" s="321"/>
      <c r="I158" s="321"/>
      <c r="J158" s="321"/>
      <c r="K158" s="321"/>
      <c r="L158" s="321"/>
      <c r="M158" s="321"/>
      <c r="N158" s="321"/>
      <c r="O158" s="321"/>
      <c r="P158" s="321"/>
      <c r="Q158" s="321"/>
      <c r="R158" s="321"/>
      <c r="S158" s="321"/>
      <c r="T158" s="321"/>
      <c r="U158" s="321"/>
      <c r="V158" s="340"/>
      <c r="W158" s="321"/>
      <c r="X158" s="5"/>
    </row>
    <row r="159" spans="1:25" ht="15.6" x14ac:dyDescent="0.3">
      <c r="A159" s="175"/>
      <c r="B159" s="203" t="s">
        <v>24</v>
      </c>
      <c r="C159" s="177"/>
      <c r="D159" s="177"/>
      <c r="E159" s="177"/>
      <c r="F159" s="177"/>
      <c r="G159" s="177"/>
      <c r="H159" s="177"/>
      <c r="I159" s="177"/>
      <c r="J159" s="177"/>
      <c r="K159" s="177"/>
      <c r="L159" s="177"/>
      <c r="M159" s="177"/>
      <c r="N159" s="177"/>
      <c r="O159" s="177"/>
      <c r="P159" s="177"/>
      <c r="Q159" s="177"/>
      <c r="R159" s="177"/>
      <c r="S159" s="177"/>
      <c r="T159" s="177"/>
      <c r="U159" s="177"/>
      <c r="V159" s="196"/>
      <c r="W159" s="177"/>
      <c r="X159" s="5"/>
    </row>
    <row r="160" spans="1:25" ht="15.6" x14ac:dyDescent="0.3">
      <c r="A160" s="271"/>
      <c r="B160" s="272" t="s">
        <v>47</v>
      </c>
      <c r="C160" s="272"/>
      <c r="D160" s="272"/>
      <c r="E160" s="272"/>
      <c r="F160" s="272"/>
      <c r="G160" s="272"/>
      <c r="H160" s="272"/>
      <c r="I160" s="272"/>
      <c r="J160" s="272"/>
      <c r="K160" s="272"/>
      <c r="L160" s="272"/>
      <c r="M160" s="272"/>
      <c r="N160" s="272"/>
      <c r="O160" s="272"/>
      <c r="P160" s="272"/>
      <c r="Q160" s="272"/>
      <c r="R160" s="272"/>
      <c r="S160" s="272"/>
      <c r="T160" s="272"/>
      <c r="U160" s="272"/>
      <c r="V160" s="341" t="s">
        <v>121</v>
      </c>
      <c r="W160" s="275"/>
      <c r="X160" s="5"/>
    </row>
    <row r="161" spans="1:24" ht="15.6" x14ac:dyDescent="0.3">
      <c r="A161" s="271"/>
      <c r="B161" s="272" t="s">
        <v>48</v>
      </c>
      <c r="C161" s="274"/>
      <c r="D161" s="274"/>
      <c r="E161" s="274"/>
      <c r="F161" s="274"/>
      <c r="G161" s="274"/>
      <c r="H161" s="274"/>
      <c r="I161" s="274"/>
      <c r="J161" s="274"/>
      <c r="K161" s="274"/>
      <c r="L161" s="274"/>
      <c r="M161" s="274"/>
      <c r="N161" s="274"/>
      <c r="O161" s="274"/>
      <c r="P161" s="274"/>
      <c r="Q161" s="274"/>
      <c r="R161" s="274"/>
      <c r="S161" s="274"/>
      <c r="T161" s="274"/>
      <c r="U161" s="274"/>
      <c r="V161" s="341" t="s">
        <v>121</v>
      </c>
      <c r="W161" s="275"/>
      <c r="X161" s="5"/>
    </row>
    <row r="162" spans="1:24" ht="15.6" x14ac:dyDescent="0.3">
      <c r="A162" s="271"/>
      <c r="B162" s="272" t="s">
        <v>49</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271"/>
      <c r="B163" s="272" t="s">
        <v>50</v>
      </c>
      <c r="C163" s="272"/>
      <c r="D163" s="272"/>
      <c r="E163" s="272"/>
      <c r="F163" s="272"/>
      <c r="G163" s="272"/>
      <c r="H163" s="272"/>
      <c r="I163" s="272"/>
      <c r="J163" s="272"/>
      <c r="K163" s="272"/>
      <c r="L163" s="272"/>
      <c r="M163" s="272"/>
      <c r="N163" s="272"/>
      <c r="O163" s="272"/>
      <c r="P163" s="272"/>
      <c r="Q163" s="272"/>
      <c r="R163" s="272"/>
      <c r="S163" s="272"/>
      <c r="T163" s="272"/>
      <c r="U163" s="272"/>
      <c r="V163" s="341" t="s">
        <v>121</v>
      </c>
      <c r="W163" s="275"/>
      <c r="X163" s="5"/>
    </row>
    <row r="164" spans="1:24" ht="15.6" x14ac:dyDescent="0.3">
      <c r="A164" s="175"/>
      <c r="B164" s="321"/>
      <c r="C164" s="321"/>
      <c r="D164" s="321"/>
      <c r="E164" s="321"/>
      <c r="F164" s="321"/>
      <c r="G164" s="321"/>
      <c r="H164" s="321"/>
      <c r="I164" s="321"/>
      <c r="J164" s="321"/>
      <c r="K164" s="321"/>
      <c r="L164" s="321"/>
      <c r="M164" s="321"/>
      <c r="N164" s="321"/>
      <c r="O164" s="321"/>
      <c r="P164" s="321"/>
      <c r="Q164" s="321"/>
      <c r="R164" s="321"/>
      <c r="S164" s="321"/>
      <c r="T164" s="321"/>
      <c r="U164" s="321"/>
      <c r="V164" s="340"/>
      <c r="W164" s="321"/>
      <c r="X164" s="5"/>
    </row>
    <row r="165" spans="1:24" ht="15.6" x14ac:dyDescent="0.3">
      <c r="A165" s="175"/>
      <c r="B165" s="203" t="s">
        <v>51</v>
      </c>
      <c r="C165" s="177"/>
      <c r="D165" s="177"/>
      <c r="E165" s="177"/>
      <c r="F165" s="177"/>
      <c r="G165" s="177"/>
      <c r="H165" s="177"/>
      <c r="I165" s="177"/>
      <c r="J165" s="177"/>
      <c r="K165" s="177"/>
      <c r="L165" s="177"/>
      <c r="M165" s="177"/>
      <c r="N165" s="177"/>
      <c r="O165" s="177"/>
      <c r="P165" s="177"/>
      <c r="Q165" s="177"/>
      <c r="R165" s="177"/>
      <c r="S165" s="177"/>
      <c r="T165" s="177"/>
      <c r="U165" s="177"/>
      <c r="V165" s="204"/>
      <c r="W165" s="177"/>
      <c r="X165" s="5"/>
    </row>
    <row r="166" spans="1:24" ht="15.6" x14ac:dyDescent="0.3">
      <c r="A166" s="342"/>
      <c r="B166" s="343" t="s">
        <v>52</v>
      </c>
      <c r="C166" s="343"/>
      <c r="D166" s="343"/>
      <c r="E166" s="343"/>
      <c r="F166" s="343"/>
      <c r="G166" s="343"/>
      <c r="H166" s="343"/>
      <c r="I166" s="343"/>
      <c r="J166" s="343"/>
      <c r="K166" s="343"/>
      <c r="L166" s="343"/>
      <c r="M166" s="343"/>
      <c r="N166" s="343"/>
      <c r="O166" s="343"/>
      <c r="P166" s="343"/>
      <c r="Q166" s="343"/>
      <c r="R166" s="343"/>
      <c r="S166" s="343"/>
      <c r="T166" s="343"/>
      <c r="U166" s="343"/>
      <c r="V166" s="344">
        <v>0</v>
      </c>
      <c r="W166" s="345"/>
      <c r="X166" s="5"/>
    </row>
    <row r="167" spans="1:24" ht="15.6" x14ac:dyDescent="0.3">
      <c r="A167" s="342"/>
      <c r="B167" s="343" t="s">
        <v>53</v>
      </c>
      <c r="C167" s="343"/>
      <c r="D167" s="343"/>
      <c r="E167" s="343"/>
      <c r="F167" s="343"/>
      <c r="G167" s="343"/>
      <c r="H167" s="343"/>
      <c r="I167" s="343"/>
      <c r="J167" s="343"/>
      <c r="K167" s="343"/>
      <c r="L167" s="343"/>
      <c r="M167" s="343"/>
      <c r="N167" s="343"/>
      <c r="O167" s="343"/>
      <c r="P167" s="343"/>
      <c r="Q167" s="343"/>
      <c r="R167" s="343"/>
      <c r="S167" s="343"/>
      <c r="T167" s="343"/>
      <c r="U167" s="343"/>
      <c r="V167" s="344">
        <v>606</v>
      </c>
      <c r="W167" s="345"/>
      <c r="X167" s="5"/>
    </row>
    <row r="168" spans="1:24" ht="15.6" x14ac:dyDescent="0.3">
      <c r="A168" s="342"/>
      <c r="B168" s="343" t="s">
        <v>54</v>
      </c>
      <c r="C168" s="343"/>
      <c r="D168" s="343"/>
      <c r="E168" s="343"/>
      <c r="F168" s="343"/>
      <c r="G168" s="343"/>
      <c r="H168" s="343"/>
      <c r="I168" s="343"/>
      <c r="J168" s="343"/>
      <c r="K168" s="343"/>
      <c r="L168" s="343"/>
      <c r="M168" s="343"/>
      <c r="N168" s="343"/>
      <c r="O168" s="343"/>
      <c r="P168" s="343"/>
      <c r="Q168" s="343"/>
      <c r="R168" s="343"/>
      <c r="S168" s="343"/>
      <c r="T168" s="343"/>
      <c r="U168" s="343"/>
      <c r="V168" s="344">
        <f>V167+V166</f>
        <v>606</v>
      </c>
      <c r="W168" s="345"/>
      <c r="X168" s="5"/>
    </row>
    <row r="169" spans="1:24" ht="15.6" x14ac:dyDescent="0.3">
      <c r="A169" s="342"/>
      <c r="B169" s="272" t="s">
        <v>318</v>
      </c>
      <c r="C169" s="343"/>
      <c r="D169" s="343"/>
      <c r="E169" s="343"/>
      <c r="F169" s="343"/>
      <c r="G169" s="343"/>
      <c r="H169" s="343"/>
      <c r="I169" s="343"/>
      <c r="J169" s="343"/>
      <c r="K169" s="343"/>
      <c r="L169" s="343"/>
      <c r="M169" s="343"/>
      <c r="N169" s="343"/>
      <c r="O169" s="343"/>
      <c r="P169" s="343"/>
      <c r="Q169" s="343"/>
      <c r="R169" s="343"/>
      <c r="S169" s="343"/>
      <c r="T169" s="343"/>
      <c r="U169" s="343"/>
      <c r="V169" s="344">
        <f>V115</f>
        <v>-606</v>
      </c>
      <c r="W169" s="345"/>
      <c r="X169" s="5"/>
    </row>
    <row r="170" spans="1:24" ht="15.6" x14ac:dyDescent="0.3">
      <c r="A170" s="342"/>
      <c r="B170" s="343" t="s">
        <v>55</v>
      </c>
      <c r="C170" s="343"/>
      <c r="D170" s="343"/>
      <c r="E170" s="343"/>
      <c r="F170" s="343"/>
      <c r="G170" s="343"/>
      <c r="H170" s="343"/>
      <c r="I170" s="343"/>
      <c r="J170" s="343"/>
      <c r="K170" s="343"/>
      <c r="L170" s="343"/>
      <c r="M170" s="343"/>
      <c r="N170" s="343"/>
      <c r="O170" s="343"/>
      <c r="P170" s="343"/>
      <c r="Q170" s="343"/>
      <c r="R170" s="343"/>
      <c r="S170" s="343"/>
      <c r="T170" s="343"/>
      <c r="U170" s="343"/>
      <c r="V170" s="344">
        <f>V168+V169</f>
        <v>0</v>
      </c>
      <c r="W170" s="345"/>
      <c r="X170" s="5"/>
    </row>
    <row r="171" spans="1:24" ht="15.6" x14ac:dyDescent="0.3">
      <c r="A171" s="342"/>
      <c r="B171" s="343" t="s">
        <v>288</v>
      </c>
      <c r="C171" s="343"/>
      <c r="D171" s="343"/>
      <c r="E171" s="343"/>
      <c r="F171" s="343"/>
      <c r="G171" s="343"/>
      <c r="H171" s="343"/>
      <c r="I171" s="343"/>
      <c r="J171" s="343"/>
      <c r="K171" s="343"/>
      <c r="L171" s="343"/>
      <c r="M171" s="343"/>
      <c r="N171" s="343"/>
      <c r="O171" s="343"/>
      <c r="P171" s="343"/>
      <c r="Q171" s="343"/>
      <c r="R171" s="343"/>
      <c r="S171" s="343"/>
      <c r="T171" s="343"/>
      <c r="U171" s="343"/>
      <c r="V171" s="344">
        <v>0</v>
      </c>
      <c r="W171" s="345"/>
      <c r="X171" s="5"/>
    </row>
    <row r="172" spans="1:24" ht="16.2" thickBot="1" x14ac:dyDescent="0.35">
      <c r="A172" s="175"/>
      <c r="B172" s="321"/>
      <c r="C172" s="321"/>
      <c r="D172" s="321"/>
      <c r="E172" s="321"/>
      <c r="F172" s="321"/>
      <c r="G172" s="321"/>
      <c r="H172" s="321"/>
      <c r="I172" s="321"/>
      <c r="J172" s="321"/>
      <c r="K172" s="321"/>
      <c r="L172" s="321"/>
      <c r="M172" s="321"/>
      <c r="N172" s="321"/>
      <c r="O172" s="321"/>
      <c r="P172" s="321"/>
      <c r="Q172" s="321"/>
      <c r="R172" s="321"/>
      <c r="S172" s="321"/>
      <c r="T172" s="321"/>
      <c r="U172" s="321"/>
      <c r="V172" s="340"/>
      <c r="W172" s="321"/>
      <c r="X172" s="5"/>
    </row>
    <row r="173" spans="1:24"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74"/>
      <c r="U173" s="174"/>
      <c r="V173" s="195"/>
      <c r="W173" s="174"/>
      <c r="X173" s="5"/>
    </row>
    <row r="174" spans="1:24" ht="15.6" x14ac:dyDescent="0.3">
      <c r="A174" s="175"/>
      <c r="B174" s="203" t="s">
        <v>56</v>
      </c>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175"/>
      <c r="B175" s="186"/>
      <c r="C175" s="177"/>
      <c r="D175" s="177"/>
      <c r="E175" s="177"/>
      <c r="F175" s="177"/>
      <c r="G175" s="177"/>
      <c r="H175" s="177"/>
      <c r="I175" s="177"/>
      <c r="J175" s="177"/>
      <c r="K175" s="177"/>
      <c r="L175" s="177"/>
      <c r="M175" s="177"/>
      <c r="N175" s="177"/>
      <c r="O175" s="177"/>
      <c r="P175" s="177"/>
      <c r="Q175" s="177"/>
      <c r="R175" s="177"/>
      <c r="S175" s="177"/>
      <c r="T175" s="177"/>
      <c r="U175" s="177"/>
      <c r="V175" s="196"/>
      <c r="W175" s="177"/>
      <c r="X175" s="5"/>
    </row>
    <row r="176" spans="1:24" ht="15.6" x14ac:dyDescent="0.3">
      <c r="A176" s="271"/>
      <c r="B176" s="272" t="s">
        <v>57</v>
      </c>
      <c r="C176" s="272"/>
      <c r="D176" s="272"/>
      <c r="E176" s="272"/>
      <c r="F176" s="272"/>
      <c r="G176" s="272"/>
      <c r="H176" s="272"/>
      <c r="I176" s="272"/>
      <c r="J176" s="272"/>
      <c r="K176" s="272"/>
      <c r="L176" s="272"/>
      <c r="M176" s="272"/>
      <c r="N176" s="272"/>
      <c r="O176" s="272"/>
      <c r="P176" s="272"/>
      <c r="Q176" s="272"/>
      <c r="R176" s="272"/>
      <c r="S176" s="272"/>
      <c r="T176" s="272"/>
      <c r="U176" s="272"/>
      <c r="V176" s="325">
        <f>V71</f>
        <v>936950</v>
      </c>
      <c r="W176" s="275"/>
      <c r="X176" s="5"/>
    </row>
    <row r="177" spans="1:24" ht="15.6" x14ac:dyDescent="0.3">
      <c r="A177" s="271"/>
      <c r="B177" s="272" t="s">
        <v>58</v>
      </c>
      <c r="C177" s="272"/>
      <c r="D177" s="272"/>
      <c r="E177" s="272"/>
      <c r="F177" s="272"/>
      <c r="G177" s="272"/>
      <c r="H177" s="272"/>
      <c r="I177" s="272"/>
      <c r="J177" s="272"/>
      <c r="K177" s="272"/>
      <c r="L177" s="272"/>
      <c r="M177" s="272"/>
      <c r="N177" s="272"/>
      <c r="O177" s="272"/>
      <c r="P177" s="272"/>
      <c r="Q177" s="272"/>
      <c r="R177" s="272"/>
      <c r="S177" s="272"/>
      <c r="T177" s="272"/>
      <c r="U177" s="272"/>
      <c r="V177" s="325">
        <f>V84</f>
        <v>936950</v>
      </c>
      <c r="W177" s="275"/>
      <c r="X177" s="5"/>
    </row>
    <row r="178" spans="1:24" ht="16.2" thickBot="1" x14ac:dyDescent="0.35">
      <c r="A178" s="175"/>
      <c r="B178" s="321"/>
      <c r="C178" s="321"/>
      <c r="D178" s="321"/>
      <c r="E178" s="321"/>
      <c r="F178" s="321"/>
      <c r="G178" s="321"/>
      <c r="H178" s="321"/>
      <c r="I178" s="321"/>
      <c r="J178" s="321"/>
      <c r="K178" s="321"/>
      <c r="L178" s="321"/>
      <c r="M178" s="321"/>
      <c r="N178" s="321"/>
      <c r="O178" s="321"/>
      <c r="P178" s="321"/>
      <c r="Q178" s="321"/>
      <c r="R178" s="321"/>
      <c r="S178" s="321"/>
      <c r="T178" s="321"/>
      <c r="U178" s="321"/>
      <c r="V178" s="340"/>
      <c r="W178" s="321"/>
      <c r="X178" s="5"/>
    </row>
    <row r="179" spans="1:24" ht="15.6" x14ac:dyDescent="0.3">
      <c r="A179" s="173"/>
      <c r="B179" s="174"/>
      <c r="C179" s="174"/>
      <c r="D179" s="174"/>
      <c r="E179" s="174"/>
      <c r="F179" s="174"/>
      <c r="G179" s="174"/>
      <c r="H179" s="174"/>
      <c r="I179" s="174"/>
      <c r="J179" s="174"/>
      <c r="K179" s="174"/>
      <c r="L179" s="174"/>
      <c r="M179" s="174"/>
      <c r="N179" s="174"/>
      <c r="O179" s="174"/>
      <c r="P179" s="174"/>
      <c r="Q179" s="174"/>
      <c r="R179" s="174"/>
      <c r="S179" s="174"/>
      <c r="T179" s="174"/>
      <c r="U179" s="174"/>
      <c r="V179" s="195"/>
      <c r="W179" s="174"/>
      <c r="X179" s="5"/>
    </row>
    <row r="180" spans="1:24" ht="15.6" x14ac:dyDescent="0.3">
      <c r="A180" s="175"/>
      <c r="B180" s="203" t="s">
        <v>59</v>
      </c>
      <c r="C180" s="200"/>
      <c r="D180" s="200"/>
      <c r="E180" s="200"/>
      <c r="F180" s="200"/>
      <c r="G180" s="200"/>
      <c r="H180" s="205"/>
      <c r="I180" s="205"/>
      <c r="J180" s="205"/>
      <c r="K180" s="205"/>
      <c r="L180" s="205"/>
      <c r="M180" s="205"/>
      <c r="N180" s="205"/>
      <c r="O180" s="205"/>
      <c r="P180" s="205"/>
      <c r="Q180" s="205"/>
      <c r="R180" s="205"/>
      <c r="S180" s="205" t="s">
        <v>102</v>
      </c>
      <c r="T180" s="205" t="s">
        <v>179</v>
      </c>
      <c r="U180" s="179"/>
      <c r="V180" s="206" t="s">
        <v>117</v>
      </c>
      <c r="W180" s="207"/>
      <c r="X180" s="5"/>
    </row>
    <row r="181" spans="1:24" ht="15.6" x14ac:dyDescent="0.3">
      <c r="A181" s="271"/>
      <c r="B181" s="272" t="s">
        <v>60</v>
      </c>
      <c r="C181" s="272"/>
      <c r="D181" s="272"/>
      <c r="E181" s="272"/>
      <c r="F181" s="272"/>
      <c r="G181" s="272"/>
      <c r="H181" s="272"/>
      <c r="I181" s="272"/>
      <c r="J181" s="272"/>
      <c r="K181" s="272"/>
      <c r="L181" s="272"/>
      <c r="M181" s="272"/>
      <c r="N181" s="272"/>
      <c r="O181" s="272"/>
      <c r="P181" s="272"/>
      <c r="Q181" s="272"/>
      <c r="R181" s="272"/>
      <c r="S181" s="325">
        <f>+V34*0.16</f>
        <v>240030.4</v>
      </c>
      <c r="T181" s="311"/>
      <c r="U181" s="272"/>
      <c r="V181" s="325"/>
      <c r="W181" s="275"/>
      <c r="X181" s="5"/>
    </row>
    <row r="182" spans="1:24" ht="15.6" x14ac:dyDescent="0.3">
      <c r="A182" s="271"/>
      <c r="B182" s="272" t="s">
        <v>61</v>
      </c>
      <c r="C182" s="272"/>
      <c r="D182" s="272"/>
      <c r="E182" s="272"/>
      <c r="F182" s="272"/>
      <c r="G182" s="272"/>
      <c r="H182" s="272"/>
      <c r="I182" s="272"/>
      <c r="J182" s="272"/>
      <c r="K182" s="272"/>
      <c r="L182" s="272"/>
      <c r="M182" s="272"/>
      <c r="N182" s="272"/>
      <c r="O182" s="272"/>
      <c r="P182" s="272"/>
      <c r="Q182" s="272"/>
      <c r="R182" s="272"/>
      <c r="S182" s="325">
        <f>+'June 14'!S184</f>
        <v>48737</v>
      </c>
      <c r="T182" s="325">
        <f>+'June 14'!T184</f>
        <v>9733</v>
      </c>
      <c r="U182" s="272"/>
      <c r="V182" s="325">
        <f>S182+T182</f>
        <v>58470</v>
      </c>
      <c r="W182" s="275"/>
      <c r="X182" s="5"/>
    </row>
    <row r="183" spans="1:24" ht="15.6" x14ac:dyDescent="0.3">
      <c r="A183" s="271"/>
      <c r="B183" s="272" t="s">
        <v>62</v>
      </c>
      <c r="C183" s="272"/>
      <c r="D183" s="272"/>
      <c r="E183" s="272"/>
      <c r="F183" s="272"/>
      <c r="G183" s="272"/>
      <c r="H183" s="272"/>
      <c r="I183" s="272"/>
      <c r="J183" s="272"/>
      <c r="K183" s="272"/>
      <c r="L183" s="272"/>
      <c r="M183" s="272"/>
      <c r="N183" s="272"/>
      <c r="O183" s="272"/>
      <c r="P183" s="272"/>
      <c r="Q183" s="272"/>
      <c r="R183" s="272"/>
      <c r="S183" s="324">
        <v>9</v>
      </c>
      <c r="T183" s="324">
        <v>0</v>
      </c>
      <c r="U183" s="272"/>
      <c r="V183" s="325">
        <f>S183+T183</f>
        <v>9</v>
      </c>
      <c r="W183" s="275"/>
      <c r="X183" s="5"/>
    </row>
    <row r="184" spans="1:24" ht="15.6" x14ac:dyDescent="0.3">
      <c r="A184" s="271"/>
      <c r="B184" s="272" t="s">
        <v>63</v>
      </c>
      <c r="C184" s="272"/>
      <c r="D184" s="272"/>
      <c r="E184" s="272"/>
      <c r="F184" s="272"/>
      <c r="G184" s="272"/>
      <c r="H184" s="272"/>
      <c r="I184" s="272"/>
      <c r="J184" s="272"/>
      <c r="K184" s="272"/>
      <c r="L184" s="272"/>
      <c r="M184" s="272"/>
      <c r="N184" s="272"/>
      <c r="O184" s="272"/>
      <c r="P184" s="272"/>
      <c r="Q184" s="272"/>
      <c r="R184" s="272"/>
      <c r="S184" s="325">
        <f>+S182+S183</f>
        <v>48746</v>
      </c>
      <c r="T184" s="325">
        <f>T183+T182</f>
        <v>9733</v>
      </c>
      <c r="U184" s="272"/>
      <c r="V184" s="325">
        <f>S184+T184</f>
        <v>58479</v>
      </c>
      <c r="W184" s="275"/>
      <c r="X184" s="5"/>
    </row>
    <row r="185" spans="1:24" ht="15.6" x14ac:dyDescent="0.3">
      <c r="A185" s="271"/>
      <c r="B185" s="272" t="s">
        <v>64</v>
      </c>
      <c r="C185" s="272"/>
      <c r="D185" s="272"/>
      <c r="E185" s="272"/>
      <c r="F185" s="272"/>
      <c r="G185" s="272"/>
      <c r="H185" s="272"/>
      <c r="I185" s="272"/>
      <c r="J185" s="272"/>
      <c r="K185" s="272"/>
      <c r="L185" s="272"/>
      <c r="M185" s="272"/>
      <c r="N185" s="272"/>
      <c r="O185" s="272"/>
      <c r="P185" s="272"/>
      <c r="Q185" s="272"/>
      <c r="R185" s="272"/>
      <c r="S185" s="325">
        <f>S181-S184-T184</f>
        <v>181551.4</v>
      </c>
      <c r="T185" s="311"/>
      <c r="U185" s="272"/>
      <c r="V185" s="325"/>
      <c r="W185" s="275"/>
      <c r="X185" s="5"/>
    </row>
    <row r="186" spans="1:24" ht="16.2" thickBot="1" x14ac:dyDescent="0.35">
      <c r="A186" s="175"/>
      <c r="B186" s="321"/>
      <c r="C186" s="321"/>
      <c r="D186" s="321"/>
      <c r="E186" s="321"/>
      <c r="F186" s="321"/>
      <c r="G186" s="321"/>
      <c r="H186" s="321"/>
      <c r="I186" s="321"/>
      <c r="J186" s="321"/>
      <c r="K186" s="321"/>
      <c r="L186" s="321"/>
      <c r="M186" s="321"/>
      <c r="N186" s="321"/>
      <c r="O186" s="321"/>
      <c r="P186" s="321"/>
      <c r="Q186" s="321"/>
      <c r="R186" s="321"/>
      <c r="S186" s="321"/>
      <c r="T186" s="321"/>
      <c r="U186" s="321"/>
      <c r="V186" s="340"/>
      <c r="W186" s="321"/>
      <c r="X186" s="5"/>
    </row>
    <row r="187" spans="1:24" ht="15.6" x14ac:dyDescent="0.3">
      <c r="A187" s="173"/>
      <c r="B187" s="174"/>
      <c r="C187" s="174"/>
      <c r="D187" s="174"/>
      <c r="E187" s="174"/>
      <c r="F187" s="174"/>
      <c r="G187" s="174"/>
      <c r="H187" s="174"/>
      <c r="I187" s="174"/>
      <c r="J187" s="174"/>
      <c r="K187" s="174"/>
      <c r="L187" s="174"/>
      <c r="M187" s="174"/>
      <c r="N187" s="174"/>
      <c r="O187" s="174"/>
      <c r="P187" s="174"/>
      <c r="Q187" s="174"/>
      <c r="R187" s="174"/>
      <c r="S187" s="174"/>
      <c r="T187" s="174"/>
      <c r="U187" s="174"/>
      <c r="V187" s="195"/>
      <c r="W187" s="174"/>
      <c r="X187" s="5"/>
    </row>
    <row r="188" spans="1:24" ht="15.6" x14ac:dyDescent="0.3">
      <c r="A188" s="175"/>
      <c r="B188" s="203" t="s">
        <v>65</v>
      </c>
      <c r="C188" s="177"/>
      <c r="D188" s="177"/>
      <c r="E188" s="177"/>
      <c r="F188" s="177"/>
      <c r="G188" s="177"/>
      <c r="H188" s="177"/>
      <c r="I188" s="177"/>
      <c r="J188" s="177"/>
      <c r="K188" s="177"/>
      <c r="L188" s="177"/>
      <c r="M188" s="177"/>
      <c r="N188" s="177"/>
      <c r="O188" s="177"/>
      <c r="P188" s="177"/>
      <c r="Q188" s="177"/>
      <c r="R188" s="177"/>
      <c r="S188" s="177"/>
      <c r="T188" s="177"/>
      <c r="U188" s="177"/>
      <c r="V188" s="208"/>
      <c r="W188" s="177"/>
      <c r="X188" s="5"/>
    </row>
    <row r="189" spans="1:24" ht="15.6" x14ac:dyDescent="0.3">
      <c r="A189" s="271"/>
      <c r="B189" s="272" t="s">
        <v>66</v>
      </c>
      <c r="C189" s="272"/>
      <c r="D189" s="272"/>
      <c r="E189" s="272"/>
      <c r="F189" s="272"/>
      <c r="G189" s="272"/>
      <c r="H189" s="272"/>
      <c r="I189" s="272"/>
      <c r="J189" s="272"/>
      <c r="K189" s="272"/>
      <c r="L189" s="272"/>
      <c r="M189" s="272"/>
      <c r="N189" s="272"/>
      <c r="O189" s="272"/>
      <c r="P189" s="272"/>
      <c r="Q189" s="272"/>
      <c r="R189" s="272"/>
      <c r="S189" s="272"/>
      <c r="T189" s="272"/>
      <c r="U189" s="272"/>
      <c r="V189" s="341">
        <f>(V100+V102+V103+V104+V105)/-(V106+V107)</f>
        <v>3.6219435736677115</v>
      </c>
      <c r="W189" s="275" t="s">
        <v>118</v>
      </c>
      <c r="X189" s="5"/>
    </row>
    <row r="190" spans="1:24" ht="15.6" x14ac:dyDescent="0.3">
      <c r="A190" s="271"/>
      <c r="B190" s="272" t="s">
        <v>67</v>
      </c>
      <c r="C190" s="272"/>
      <c r="D190" s="272"/>
      <c r="E190" s="272"/>
      <c r="F190" s="272"/>
      <c r="G190" s="272"/>
      <c r="H190" s="272"/>
      <c r="I190" s="272"/>
      <c r="J190" s="272"/>
      <c r="K190" s="272"/>
      <c r="L190" s="272"/>
      <c r="M190" s="272"/>
      <c r="N190" s="272"/>
      <c r="O190" s="272"/>
      <c r="P190" s="272"/>
      <c r="Q190" s="272"/>
      <c r="R190" s="272"/>
      <c r="S190" s="272"/>
      <c r="T190" s="272"/>
      <c r="U190" s="272"/>
      <c r="V190" s="346">
        <v>1.75</v>
      </c>
      <c r="W190" s="275" t="s">
        <v>118</v>
      </c>
      <c r="X190" s="5"/>
    </row>
    <row r="191" spans="1:24" ht="15.6" x14ac:dyDescent="0.3">
      <c r="A191" s="271"/>
      <c r="B191" s="272" t="s">
        <v>68</v>
      </c>
      <c r="C191" s="272"/>
      <c r="D191" s="272"/>
      <c r="E191" s="272"/>
      <c r="F191" s="272"/>
      <c r="G191" s="272"/>
      <c r="H191" s="272"/>
      <c r="I191" s="272"/>
      <c r="J191" s="272"/>
      <c r="K191" s="272"/>
      <c r="L191" s="272"/>
      <c r="M191" s="272"/>
      <c r="N191" s="272"/>
      <c r="O191" s="272"/>
      <c r="P191" s="272"/>
      <c r="Q191" s="272"/>
      <c r="R191" s="272"/>
      <c r="S191" s="272"/>
      <c r="T191" s="272"/>
      <c r="U191" s="272"/>
      <c r="V191" s="341">
        <f>(V100+V102+V103+V104+V105+V106+V107)/-(V109+V110)</f>
        <v>15.262773722627736</v>
      </c>
      <c r="W191" s="275" t="s">
        <v>118</v>
      </c>
      <c r="X191" s="5"/>
    </row>
    <row r="192" spans="1:24" ht="15.6" x14ac:dyDescent="0.3">
      <c r="A192" s="271"/>
      <c r="B192" s="272" t="s">
        <v>69</v>
      </c>
      <c r="C192" s="272"/>
      <c r="D192" s="272"/>
      <c r="E192" s="272"/>
      <c r="F192" s="272"/>
      <c r="G192" s="272"/>
      <c r="H192" s="272"/>
      <c r="I192" s="272"/>
      <c r="J192" s="272"/>
      <c r="K192" s="272"/>
      <c r="L192" s="272"/>
      <c r="M192" s="272"/>
      <c r="N192" s="272"/>
      <c r="O192" s="272"/>
      <c r="P192" s="272"/>
      <c r="Q192" s="272"/>
      <c r="R192" s="272"/>
      <c r="S192" s="272"/>
      <c r="T192" s="272"/>
      <c r="U192" s="272"/>
      <c r="V192" s="346">
        <v>6.85</v>
      </c>
      <c r="W192" s="275" t="s">
        <v>118</v>
      </c>
      <c r="X192" s="5"/>
    </row>
    <row r="193" spans="1:24" ht="15.6" x14ac:dyDescent="0.3">
      <c r="A193" s="271"/>
      <c r="B193" s="272" t="s">
        <v>201</v>
      </c>
      <c r="C193" s="272"/>
      <c r="D193" s="272"/>
      <c r="E193" s="272"/>
      <c r="F193" s="272"/>
      <c r="G193" s="272"/>
      <c r="H193" s="272"/>
      <c r="I193" s="272"/>
      <c r="J193" s="272"/>
      <c r="K193" s="272"/>
      <c r="L193" s="272"/>
      <c r="M193" s="272"/>
      <c r="N193" s="272"/>
      <c r="O193" s="272"/>
      <c r="P193" s="272"/>
      <c r="Q193" s="272"/>
      <c r="R193" s="272"/>
      <c r="S193" s="272"/>
      <c r="T193" s="272"/>
      <c r="U193" s="272"/>
      <c r="V193" s="341">
        <f>(V100+V102+V103+V104+V105+V106+V107+V109+V110)/-(V111+V112)</f>
        <v>16.559322033898304</v>
      </c>
      <c r="W193" s="275" t="s">
        <v>118</v>
      </c>
      <c r="X193" s="5"/>
    </row>
    <row r="194" spans="1:24" ht="15.6" x14ac:dyDescent="0.3">
      <c r="A194" s="271"/>
      <c r="B194" s="272" t="s">
        <v>202</v>
      </c>
      <c r="C194" s="272"/>
      <c r="D194" s="272"/>
      <c r="E194" s="272"/>
      <c r="F194" s="272"/>
      <c r="G194" s="272"/>
      <c r="H194" s="272"/>
      <c r="I194" s="272"/>
      <c r="J194" s="272"/>
      <c r="K194" s="272"/>
      <c r="L194" s="272"/>
      <c r="M194" s="272"/>
      <c r="N194" s="272"/>
      <c r="O194" s="272"/>
      <c r="P194" s="272"/>
      <c r="Q194" s="272"/>
      <c r="R194" s="272"/>
      <c r="S194" s="272"/>
      <c r="T194" s="272"/>
      <c r="U194" s="272"/>
      <c r="V194" s="346">
        <v>8.74</v>
      </c>
      <c r="W194" s="275" t="s">
        <v>118</v>
      </c>
      <c r="X194" s="5"/>
    </row>
    <row r="195" spans="1:24" ht="15.6" x14ac:dyDescent="0.3">
      <c r="A195" s="271"/>
      <c r="B195" s="298"/>
      <c r="C195" s="298"/>
      <c r="D195" s="298"/>
      <c r="E195" s="298"/>
      <c r="F195" s="298"/>
      <c r="G195" s="298"/>
      <c r="H195" s="298"/>
      <c r="I195" s="298"/>
      <c r="J195" s="298"/>
      <c r="K195" s="298"/>
      <c r="L195" s="298"/>
      <c r="M195" s="298"/>
      <c r="N195" s="298"/>
      <c r="O195" s="298"/>
      <c r="P195" s="298"/>
      <c r="Q195" s="298"/>
      <c r="R195" s="298"/>
      <c r="S195" s="298"/>
      <c r="T195" s="298"/>
      <c r="U195" s="298"/>
      <c r="V195" s="298"/>
      <c r="W195" s="304"/>
      <c r="X195" s="5"/>
    </row>
    <row r="196" spans="1:24" ht="15.6" x14ac:dyDescent="0.3">
      <c r="A196" s="175"/>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5"/>
    </row>
    <row r="197" spans="1:24" ht="15.6" x14ac:dyDescent="0.3">
      <c r="A197" s="175"/>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5"/>
    </row>
    <row r="198" spans="1:24" ht="18" thickBot="1" x14ac:dyDescent="0.35">
      <c r="A198" s="194"/>
      <c r="B198" s="234" t="str">
        <f>B138</f>
        <v>PM13 INVESTOR REPORT QUARTER ENDING SEPTEMBER 2014</v>
      </c>
      <c r="C198" s="209"/>
      <c r="D198" s="209"/>
      <c r="E198" s="209"/>
      <c r="F198" s="209"/>
      <c r="G198" s="209"/>
      <c r="H198" s="209"/>
      <c r="I198" s="209"/>
      <c r="J198" s="209"/>
      <c r="K198" s="209"/>
      <c r="L198" s="209"/>
      <c r="M198" s="209"/>
      <c r="N198" s="209"/>
      <c r="O198" s="209"/>
      <c r="P198" s="209"/>
      <c r="Q198" s="209"/>
      <c r="R198" s="209"/>
      <c r="S198" s="209"/>
      <c r="T198" s="209"/>
      <c r="U198" s="209"/>
      <c r="V198" s="209"/>
      <c r="W198" s="210"/>
      <c r="X198" s="5"/>
    </row>
    <row r="199" spans="1:24" ht="15.6" x14ac:dyDescent="0.3">
      <c r="A199" s="246"/>
      <c r="B199" s="388" t="s">
        <v>70</v>
      </c>
      <c r="C199" s="249"/>
      <c r="D199" s="249"/>
      <c r="E199" s="249"/>
      <c r="F199" s="249"/>
      <c r="G199" s="250"/>
      <c r="H199" s="250"/>
      <c r="I199" s="250"/>
      <c r="J199" s="250"/>
      <c r="K199" s="250"/>
      <c r="L199" s="250"/>
      <c r="M199" s="250"/>
      <c r="N199" s="250"/>
      <c r="O199" s="250"/>
      <c r="P199" s="250"/>
      <c r="Q199" s="250"/>
      <c r="R199" s="250"/>
      <c r="S199" s="250"/>
      <c r="T199" s="250">
        <v>41912</v>
      </c>
      <c r="U199" s="247"/>
      <c r="V199" s="247"/>
      <c r="W199" s="247"/>
      <c r="X199" s="5"/>
    </row>
    <row r="200" spans="1:24" ht="15.6" x14ac:dyDescent="0.3">
      <c r="A200" s="211"/>
      <c r="B200" s="212"/>
      <c r="C200" s="213"/>
      <c r="D200" s="213"/>
      <c r="E200" s="213"/>
      <c r="F200" s="213"/>
      <c r="G200" s="214"/>
      <c r="H200" s="214"/>
      <c r="I200" s="214"/>
      <c r="J200" s="214"/>
      <c r="K200" s="214"/>
      <c r="L200" s="214"/>
      <c r="M200" s="214"/>
      <c r="N200" s="214"/>
      <c r="O200" s="214"/>
      <c r="P200" s="214"/>
      <c r="Q200" s="214"/>
      <c r="R200" s="214"/>
      <c r="S200" s="214"/>
      <c r="T200" s="214"/>
      <c r="U200" s="177"/>
      <c r="V200" s="177"/>
      <c r="W200" s="177"/>
      <c r="X200" s="5"/>
    </row>
    <row r="201" spans="1:24" ht="15.6" x14ac:dyDescent="0.3">
      <c r="A201" s="349"/>
      <c r="B201" s="272" t="s">
        <v>71</v>
      </c>
      <c r="C201" s="350"/>
      <c r="D201" s="350"/>
      <c r="E201" s="350"/>
      <c r="F201" s="350"/>
      <c r="G201" s="316"/>
      <c r="H201" s="316"/>
      <c r="I201" s="316"/>
      <c r="J201" s="316"/>
      <c r="K201" s="316"/>
      <c r="L201" s="316"/>
      <c r="M201" s="316"/>
      <c r="N201" s="316"/>
      <c r="O201" s="316"/>
      <c r="P201" s="316"/>
      <c r="Q201" s="316"/>
      <c r="R201" s="316"/>
      <c r="S201" s="316"/>
      <c r="T201" s="307">
        <v>5.4539999999999998E-2</v>
      </c>
      <c r="U201" s="272"/>
      <c r="V201" s="272"/>
      <c r="W201" s="275"/>
      <c r="X201" s="5"/>
    </row>
    <row r="202" spans="1:24" ht="15.6" x14ac:dyDescent="0.3">
      <c r="A202" s="349"/>
      <c r="B202" s="272" t="s">
        <v>154</v>
      </c>
      <c r="C202" s="350"/>
      <c r="D202" s="350"/>
      <c r="E202" s="350"/>
      <c r="F202" s="350"/>
      <c r="G202" s="316"/>
      <c r="H202" s="316"/>
      <c r="I202" s="316"/>
      <c r="J202" s="316"/>
      <c r="K202" s="316"/>
      <c r="L202" s="316"/>
      <c r="M202" s="316"/>
      <c r="N202" s="316"/>
      <c r="O202" s="316"/>
      <c r="P202" s="316"/>
      <c r="Q202" s="316"/>
      <c r="R202" s="316"/>
      <c r="S202" s="316"/>
      <c r="T202" s="307">
        <f>'Dec 06'!T199</f>
        <v>5.238600504269459E-2</v>
      </c>
      <c r="U202" s="272"/>
      <c r="V202" s="272"/>
      <c r="W202" s="275"/>
      <c r="X202" s="5"/>
    </row>
    <row r="203" spans="1:24" ht="15.6" x14ac:dyDescent="0.3">
      <c r="A203" s="349"/>
      <c r="B203" s="272" t="s">
        <v>72</v>
      </c>
      <c r="C203" s="350"/>
      <c r="D203" s="350"/>
      <c r="E203" s="350"/>
      <c r="F203" s="350"/>
      <c r="G203" s="316"/>
      <c r="H203" s="316"/>
      <c r="I203" s="316"/>
      <c r="J203" s="316"/>
      <c r="K203" s="316"/>
      <c r="L203" s="316"/>
      <c r="M203" s="316"/>
      <c r="N203" s="316"/>
      <c r="O203" s="316"/>
      <c r="P203" s="316"/>
      <c r="Q203" s="316"/>
      <c r="R203" s="316"/>
      <c r="S203" s="316"/>
      <c r="T203" s="307">
        <f>+T201-T202</f>
        <v>2.1539949573054079E-3</v>
      </c>
      <c r="U203" s="272"/>
      <c r="V203" s="272"/>
      <c r="W203" s="275"/>
      <c r="X203" s="5"/>
    </row>
    <row r="204" spans="1:24" ht="15.6" x14ac:dyDescent="0.3">
      <c r="A204" s="349"/>
      <c r="B204" s="272" t="s">
        <v>73</v>
      </c>
      <c r="C204" s="350"/>
      <c r="D204" s="350"/>
      <c r="E204" s="350"/>
      <c r="F204" s="350"/>
      <c r="G204" s="316"/>
      <c r="H204" s="316"/>
      <c r="I204" s="316"/>
      <c r="J204" s="316"/>
      <c r="K204" s="316"/>
      <c r="L204" s="316"/>
      <c r="M204" s="316"/>
      <c r="N204" s="316"/>
      <c r="O204" s="316"/>
      <c r="P204" s="316"/>
      <c r="Q204" s="316"/>
      <c r="R204" s="316"/>
      <c r="S204" s="316"/>
      <c r="T204" s="307">
        <v>2.2880000000000001E-2</v>
      </c>
      <c r="U204" s="272"/>
      <c r="V204" s="272"/>
      <c r="W204" s="275"/>
      <c r="X204" s="5"/>
    </row>
    <row r="205" spans="1:24" ht="15.6" x14ac:dyDescent="0.3">
      <c r="A205" s="349"/>
      <c r="B205" s="272" t="s">
        <v>222</v>
      </c>
      <c r="C205" s="350"/>
      <c r="D205" s="350"/>
      <c r="E205" s="350"/>
      <c r="F205" s="350"/>
      <c r="G205" s="316"/>
      <c r="H205" s="316"/>
      <c r="I205" s="316"/>
      <c r="J205" s="316"/>
      <c r="K205" s="316"/>
      <c r="L205" s="316"/>
      <c r="M205" s="316"/>
      <c r="N205" s="316"/>
      <c r="O205" s="316"/>
      <c r="P205" s="316"/>
      <c r="Q205" s="316"/>
      <c r="R205" s="316"/>
      <c r="S205" s="316"/>
      <c r="T205" s="307">
        <f>V43</f>
        <v>8.8148108012501836E-3</v>
      </c>
      <c r="U205" s="272"/>
      <c r="V205" s="272"/>
      <c r="W205" s="275"/>
      <c r="X205" s="5"/>
    </row>
    <row r="206" spans="1:24" ht="15.6" x14ac:dyDescent="0.3">
      <c r="A206" s="349"/>
      <c r="B206" s="272" t="s">
        <v>74</v>
      </c>
      <c r="C206" s="350"/>
      <c r="D206" s="350"/>
      <c r="E206" s="350"/>
      <c r="F206" s="350"/>
      <c r="G206" s="316"/>
      <c r="H206" s="316"/>
      <c r="I206" s="316"/>
      <c r="J206" s="316"/>
      <c r="K206" s="316"/>
      <c r="L206" s="316"/>
      <c r="M206" s="316"/>
      <c r="N206" s="316"/>
      <c r="O206" s="316"/>
      <c r="P206" s="316"/>
      <c r="Q206" s="316"/>
      <c r="R206" s="316"/>
      <c r="S206" s="316"/>
      <c r="T206" s="307">
        <f>T204-T205</f>
        <v>1.4065189198749817E-2</v>
      </c>
      <c r="U206" s="272"/>
      <c r="V206" s="272"/>
      <c r="W206" s="275"/>
      <c r="X206" s="5"/>
    </row>
    <row r="207" spans="1:24" ht="15.6" x14ac:dyDescent="0.3">
      <c r="A207" s="349"/>
      <c r="B207" s="272" t="s">
        <v>274</v>
      </c>
      <c r="C207" s="350"/>
      <c r="D207" s="350"/>
      <c r="E207" s="350"/>
      <c r="F207" s="350"/>
      <c r="G207" s="316"/>
      <c r="H207" s="316"/>
      <c r="I207" s="316"/>
      <c r="J207" s="316"/>
      <c r="K207" s="316"/>
      <c r="L207" s="316"/>
      <c r="M207" s="316"/>
      <c r="N207" s="316"/>
      <c r="O207" s="316"/>
      <c r="P207" s="316"/>
      <c r="Q207" s="316"/>
      <c r="R207" s="316"/>
      <c r="S207" s="316"/>
      <c r="T207" s="307">
        <f>+V100/N71</f>
        <v>6.6653152325628047E-3</v>
      </c>
      <c r="U207" s="272"/>
      <c r="V207" s="272"/>
      <c r="W207" s="275"/>
      <c r="X207" s="5"/>
    </row>
    <row r="208" spans="1:24" ht="15.6" x14ac:dyDescent="0.3">
      <c r="A208" s="349"/>
      <c r="B208" s="272" t="s">
        <v>211</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212</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213</v>
      </c>
      <c r="C210" s="350"/>
      <c r="D210" s="350"/>
      <c r="E210" s="350"/>
      <c r="F210" s="350"/>
      <c r="G210" s="316"/>
      <c r="H210" s="316"/>
      <c r="I210" s="316"/>
      <c r="J210" s="316"/>
      <c r="K210" s="316"/>
      <c r="L210" s="316"/>
      <c r="M210" s="316"/>
      <c r="N210" s="316"/>
      <c r="O210" s="316"/>
      <c r="P210" s="316"/>
      <c r="Q210" s="316"/>
      <c r="R210" s="316"/>
      <c r="S210" s="316"/>
      <c r="T210" s="351">
        <v>50771</v>
      </c>
      <c r="U210" s="272"/>
      <c r="V210" s="272"/>
      <c r="W210" s="275"/>
      <c r="X210" s="5"/>
    </row>
    <row r="211" spans="1:24" ht="15.6" x14ac:dyDescent="0.3">
      <c r="A211" s="349"/>
      <c r="B211" s="272" t="s">
        <v>75</v>
      </c>
      <c r="C211" s="350"/>
      <c r="D211" s="350"/>
      <c r="E211" s="350"/>
      <c r="F211" s="350"/>
      <c r="G211" s="316"/>
      <c r="H211" s="316"/>
      <c r="I211" s="316"/>
      <c r="J211" s="316"/>
      <c r="K211" s="316"/>
      <c r="L211" s="316"/>
      <c r="M211" s="316"/>
      <c r="N211" s="316"/>
      <c r="O211" s="316"/>
      <c r="P211" s="316"/>
      <c r="Q211" s="316"/>
      <c r="R211" s="316"/>
      <c r="S211" s="316"/>
      <c r="T211" s="313">
        <v>20.66</v>
      </c>
      <c r="U211" s="272" t="s">
        <v>113</v>
      </c>
      <c r="V211" s="272"/>
      <c r="W211" s="275"/>
      <c r="X211" s="5"/>
    </row>
    <row r="212" spans="1:24" ht="15.6" x14ac:dyDescent="0.3">
      <c r="A212" s="349"/>
      <c r="B212" s="272" t="s">
        <v>76</v>
      </c>
      <c r="C212" s="350"/>
      <c r="D212" s="350"/>
      <c r="E212" s="350"/>
      <c r="F212" s="350"/>
      <c r="G212" s="316"/>
      <c r="H212" s="316"/>
      <c r="I212" s="316"/>
      <c r="J212" s="316"/>
      <c r="K212" s="316"/>
      <c r="L212" s="316"/>
      <c r="M212" s="316"/>
      <c r="N212" s="316"/>
      <c r="O212" s="316"/>
      <c r="P212" s="316"/>
      <c r="Q212" s="316"/>
      <c r="R212" s="316"/>
      <c r="S212" s="316"/>
      <c r="T212" s="313">
        <v>13.28</v>
      </c>
      <c r="U212" s="272" t="s">
        <v>113</v>
      </c>
      <c r="V212" s="272"/>
      <c r="W212" s="275"/>
      <c r="X212" s="5"/>
    </row>
    <row r="213" spans="1:24" ht="15.6" x14ac:dyDescent="0.3">
      <c r="A213" s="349"/>
      <c r="B213" s="272" t="s">
        <v>77</v>
      </c>
      <c r="C213" s="350"/>
      <c r="D213" s="350"/>
      <c r="E213" s="350"/>
      <c r="F213" s="350"/>
      <c r="G213" s="316"/>
      <c r="H213" s="316"/>
      <c r="I213" s="316"/>
      <c r="J213" s="316"/>
      <c r="K213" s="316"/>
      <c r="L213" s="316"/>
      <c r="M213" s="316"/>
      <c r="N213" s="316"/>
      <c r="O213" s="316"/>
      <c r="P213" s="316"/>
      <c r="Q213" s="316"/>
      <c r="R213" s="316"/>
      <c r="S213" s="316"/>
      <c r="T213" s="307">
        <f>P68/N68</f>
        <v>1.0773463746724356E-2</v>
      </c>
      <c r="U213" s="272"/>
      <c r="V213" s="272"/>
      <c r="W213" s="275"/>
      <c r="X213" s="5"/>
    </row>
    <row r="214" spans="1:24" ht="15.6" x14ac:dyDescent="0.3">
      <c r="A214" s="349"/>
      <c r="B214" s="272" t="s">
        <v>78</v>
      </c>
      <c r="C214" s="350"/>
      <c r="D214" s="350"/>
      <c r="E214" s="350"/>
      <c r="F214" s="350"/>
      <c r="G214" s="316"/>
      <c r="H214" s="316"/>
      <c r="I214" s="316"/>
      <c r="J214" s="316"/>
      <c r="K214" s="316"/>
      <c r="L214" s="316"/>
      <c r="M214" s="316"/>
      <c r="N214" s="316"/>
      <c r="O214" s="316"/>
      <c r="P214" s="316"/>
      <c r="Q214" s="316"/>
      <c r="R214" s="316"/>
      <c r="S214" s="316"/>
      <c r="T214" s="307">
        <v>6.6000000000000003E-2</v>
      </c>
      <c r="U214" s="272"/>
      <c r="V214" s="272"/>
      <c r="W214" s="275"/>
      <c r="X214" s="5"/>
    </row>
    <row r="215" spans="1:24" ht="15.6" x14ac:dyDescent="0.3">
      <c r="A215" s="211"/>
      <c r="B215" s="347"/>
      <c r="C215" s="347"/>
      <c r="D215" s="347"/>
      <c r="E215" s="347"/>
      <c r="F215" s="347"/>
      <c r="G215" s="321"/>
      <c r="H215" s="321"/>
      <c r="I215" s="321"/>
      <c r="J215" s="321"/>
      <c r="K215" s="321"/>
      <c r="L215" s="321"/>
      <c r="M215" s="321"/>
      <c r="N215" s="321"/>
      <c r="O215" s="321"/>
      <c r="P215" s="321"/>
      <c r="Q215" s="321"/>
      <c r="R215" s="321"/>
      <c r="S215" s="321"/>
      <c r="T215" s="340"/>
      <c r="U215" s="321"/>
      <c r="V215" s="348"/>
      <c r="W215" s="321"/>
      <c r="X215" s="5"/>
    </row>
    <row r="216" spans="1:24" ht="15.6" x14ac:dyDescent="0.3">
      <c r="A216" s="215"/>
      <c r="B216" s="219" t="s">
        <v>79</v>
      </c>
      <c r="C216" s="224"/>
      <c r="D216" s="224"/>
      <c r="E216" s="224"/>
      <c r="F216" s="251"/>
      <c r="G216" s="224"/>
      <c r="H216" s="224"/>
      <c r="I216" s="224"/>
      <c r="J216" s="224"/>
      <c r="K216" s="224"/>
      <c r="L216" s="224"/>
      <c r="M216" s="224"/>
      <c r="N216" s="224"/>
      <c r="O216" s="224"/>
      <c r="P216" s="224"/>
      <c r="Q216" s="224"/>
      <c r="R216" s="224"/>
      <c r="S216" s="224" t="s">
        <v>103</v>
      </c>
      <c r="T216" s="251" t="s">
        <v>110</v>
      </c>
      <c r="U216" s="220"/>
      <c r="V216" s="220"/>
      <c r="W216" s="220"/>
      <c r="X216" s="5"/>
    </row>
    <row r="217" spans="1:24" ht="15.6" x14ac:dyDescent="0.3">
      <c r="A217" s="356"/>
      <c r="B217" s="272" t="s">
        <v>80</v>
      </c>
      <c r="C217" s="324"/>
      <c r="D217" s="324"/>
      <c r="E217" s="324"/>
      <c r="F217" s="272"/>
      <c r="G217" s="272"/>
      <c r="H217" s="280"/>
      <c r="I217" s="280"/>
      <c r="J217" s="280"/>
      <c r="K217" s="280"/>
      <c r="L217" s="280"/>
      <c r="M217" s="280"/>
      <c r="N217" s="280"/>
      <c r="O217" s="280"/>
      <c r="P217" s="280"/>
      <c r="Q217" s="280"/>
      <c r="R217" s="280"/>
      <c r="S217" s="280">
        <v>3</v>
      </c>
      <c r="T217" s="357">
        <v>307</v>
      </c>
      <c r="U217" s="272"/>
      <c r="V217" s="358"/>
      <c r="W217" s="359"/>
      <c r="X217" s="5"/>
    </row>
    <row r="218" spans="1:24" ht="15.6" x14ac:dyDescent="0.3">
      <c r="A218" s="356"/>
      <c r="B218" s="272" t="s">
        <v>148</v>
      </c>
      <c r="C218" s="324"/>
      <c r="D218" s="324"/>
      <c r="E218" s="324"/>
      <c r="F218" s="272"/>
      <c r="G218" s="272"/>
      <c r="H218" s="280"/>
      <c r="I218" s="280"/>
      <c r="J218" s="280"/>
      <c r="K218" s="280"/>
      <c r="L218" s="280"/>
      <c r="M218" s="280"/>
      <c r="N218" s="280"/>
      <c r="O218" s="280"/>
      <c r="P218" s="280"/>
      <c r="Q218" s="280"/>
      <c r="R218" s="280"/>
      <c r="S218" s="360">
        <f>+R270</f>
        <v>167</v>
      </c>
      <c r="T218" s="357">
        <f>+T270</f>
        <v>25123</v>
      </c>
      <c r="U218" s="272"/>
      <c r="V218" s="358"/>
      <c r="W218" s="359"/>
      <c r="X218" s="5"/>
    </row>
    <row r="219" spans="1:24" ht="15.6" x14ac:dyDescent="0.3">
      <c r="A219" s="356"/>
      <c r="B219" s="272" t="s">
        <v>81</v>
      </c>
      <c r="C219" s="324"/>
      <c r="D219" s="324"/>
      <c r="E219" s="324"/>
      <c r="F219" s="272"/>
      <c r="G219" s="272"/>
      <c r="H219" s="280"/>
      <c r="I219" s="280"/>
      <c r="J219" s="280"/>
      <c r="K219" s="280"/>
      <c r="L219" s="280"/>
      <c r="M219" s="280"/>
      <c r="N219" s="280"/>
      <c r="O219" s="280"/>
      <c r="P219" s="280"/>
      <c r="Q219" s="280"/>
      <c r="R219" s="280"/>
      <c r="S219" s="360">
        <f>+R282</f>
        <v>0</v>
      </c>
      <c r="T219" s="357">
        <f>+T282</f>
        <v>0</v>
      </c>
      <c r="U219" s="272"/>
      <c r="V219" s="358"/>
      <c r="W219" s="359"/>
      <c r="X219" s="5"/>
    </row>
    <row r="220" spans="1:24" ht="15.6" x14ac:dyDescent="0.3">
      <c r="A220" s="356"/>
      <c r="B220" s="297" t="s">
        <v>82</v>
      </c>
      <c r="C220" s="361"/>
      <c r="D220" s="361"/>
      <c r="E220" s="361"/>
      <c r="F220" s="298"/>
      <c r="G220" s="298"/>
      <c r="H220" s="298"/>
      <c r="I220" s="298"/>
      <c r="J220" s="298"/>
      <c r="K220" s="298"/>
      <c r="L220" s="298"/>
      <c r="M220" s="298"/>
      <c r="N220" s="298"/>
      <c r="O220" s="298"/>
      <c r="P220" s="298"/>
      <c r="Q220" s="298"/>
      <c r="R220" s="298"/>
      <c r="S220" s="298"/>
      <c r="T220" s="357">
        <v>0</v>
      </c>
      <c r="U220" s="298"/>
      <c r="V220" s="362"/>
      <c r="W220" s="363"/>
      <c r="X220" s="5"/>
    </row>
    <row r="221" spans="1:24" ht="15.6" x14ac:dyDescent="0.3">
      <c r="A221" s="356"/>
      <c r="B221" s="297" t="s">
        <v>275</v>
      </c>
      <c r="C221" s="361"/>
      <c r="D221" s="361"/>
      <c r="E221" s="361"/>
      <c r="F221" s="298"/>
      <c r="G221" s="298"/>
      <c r="H221" s="298"/>
      <c r="I221" s="298"/>
      <c r="J221" s="298"/>
      <c r="K221" s="298"/>
      <c r="L221" s="298"/>
      <c r="M221" s="298"/>
      <c r="N221" s="298"/>
      <c r="O221" s="298"/>
      <c r="P221" s="298"/>
      <c r="Q221" s="298"/>
      <c r="R221" s="298"/>
      <c r="S221" s="298"/>
      <c r="T221" s="357">
        <f>+N81</f>
        <v>0</v>
      </c>
      <c r="U221" s="298"/>
      <c r="V221" s="362"/>
      <c r="W221" s="363"/>
      <c r="X221" s="5"/>
    </row>
    <row r="222" spans="1:24" ht="15.6" x14ac:dyDescent="0.3">
      <c r="A222" s="364"/>
      <c r="B222" s="297" t="s">
        <v>83</v>
      </c>
      <c r="C222" s="365"/>
      <c r="D222" s="365"/>
      <c r="E222" s="365"/>
      <c r="F222" s="365"/>
      <c r="G222" s="298"/>
      <c r="H222" s="298"/>
      <c r="I222" s="298"/>
      <c r="J222" s="298"/>
      <c r="K222" s="298"/>
      <c r="L222" s="298"/>
      <c r="M222" s="298"/>
      <c r="N222" s="298"/>
      <c r="O222" s="298"/>
      <c r="P222" s="298"/>
      <c r="Q222" s="298"/>
      <c r="R222" s="298"/>
      <c r="S222" s="298"/>
      <c r="T222" s="366"/>
      <c r="U222" s="298"/>
      <c r="V222" s="362"/>
      <c r="W222" s="367"/>
      <c r="X222" s="5"/>
    </row>
    <row r="223" spans="1:24" ht="15.6" x14ac:dyDescent="0.3">
      <c r="A223" s="364"/>
      <c r="B223" s="272" t="s">
        <v>84</v>
      </c>
      <c r="C223" s="272"/>
      <c r="D223" s="272"/>
      <c r="E223" s="272"/>
      <c r="F223" s="272"/>
      <c r="G223" s="272"/>
      <c r="H223" s="272"/>
      <c r="I223" s="272"/>
      <c r="J223" s="272"/>
      <c r="K223" s="272"/>
      <c r="L223" s="272"/>
      <c r="M223" s="272"/>
      <c r="N223" s="272"/>
      <c r="O223" s="272"/>
      <c r="P223" s="272"/>
      <c r="Q223" s="272"/>
      <c r="R223" s="272"/>
      <c r="S223" s="280"/>
      <c r="T223" s="357">
        <f>V167</f>
        <v>606</v>
      </c>
      <c r="U223" s="272"/>
      <c r="V223" s="362"/>
      <c r="W223" s="367"/>
      <c r="X223" s="5"/>
    </row>
    <row r="224" spans="1:24" ht="15.6" x14ac:dyDescent="0.3">
      <c r="A224" s="356"/>
      <c r="B224" s="272" t="s">
        <v>85</v>
      </c>
      <c r="C224" s="324"/>
      <c r="D224" s="324"/>
      <c r="E224" s="324"/>
      <c r="F224" s="324"/>
      <c r="G224" s="272"/>
      <c r="H224" s="272"/>
      <c r="I224" s="272"/>
      <c r="J224" s="272"/>
      <c r="K224" s="272"/>
      <c r="L224" s="272"/>
      <c r="M224" s="272"/>
      <c r="N224" s="272"/>
      <c r="O224" s="272"/>
      <c r="P224" s="272"/>
      <c r="Q224" s="272"/>
      <c r="R224" s="272"/>
      <c r="S224" s="280"/>
      <c r="T224" s="357">
        <f>'June 14'!T224+T223</f>
        <v>6437</v>
      </c>
      <c r="U224" s="272"/>
      <c r="V224" s="362"/>
      <c r="W224" s="367"/>
      <c r="X224" s="5"/>
    </row>
    <row r="225" spans="1:25" ht="15.6" x14ac:dyDescent="0.3">
      <c r="A225" s="364"/>
      <c r="B225" s="297" t="s">
        <v>297</v>
      </c>
      <c r="C225" s="365"/>
      <c r="D225" s="365"/>
      <c r="E225" s="365"/>
      <c r="F225" s="365"/>
      <c r="G225" s="298"/>
      <c r="H225" s="298"/>
      <c r="I225" s="298"/>
      <c r="J225" s="298"/>
      <c r="K225" s="298"/>
      <c r="L225" s="298"/>
      <c r="M225" s="298"/>
      <c r="N225" s="298"/>
      <c r="O225" s="298"/>
      <c r="P225" s="298"/>
      <c r="Q225" s="298"/>
      <c r="R225" s="298"/>
      <c r="S225" s="302"/>
      <c r="T225" s="366"/>
      <c r="U225" s="298"/>
      <c r="V225" s="362"/>
      <c r="W225" s="367"/>
      <c r="X225" s="5"/>
    </row>
    <row r="226" spans="1:25" ht="15.6" x14ac:dyDescent="0.3">
      <c r="A226" s="364"/>
      <c r="B226" s="272" t="s">
        <v>295</v>
      </c>
      <c r="C226" s="365"/>
      <c r="D226" s="365"/>
      <c r="E226" s="365"/>
      <c r="F226" s="365"/>
      <c r="G226" s="298"/>
      <c r="H226" s="298"/>
      <c r="I226" s="298"/>
      <c r="J226" s="298"/>
      <c r="K226" s="298"/>
      <c r="L226" s="298"/>
      <c r="M226" s="298"/>
      <c r="N226" s="298"/>
      <c r="O226" s="298"/>
      <c r="P226" s="298"/>
      <c r="Q226" s="298"/>
      <c r="R226" s="298"/>
      <c r="S226" s="280">
        <v>1</v>
      </c>
      <c r="T226" s="357">
        <v>446</v>
      </c>
      <c r="U226" s="298"/>
      <c r="V226" s="362"/>
      <c r="W226" s="367"/>
      <c r="X226" s="5"/>
    </row>
    <row r="227" spans="1:25" ht="15.6" x14ac:dyDescent="0.3">
      <c r="A227" s="356"/>
      <c r="B227" s="272" t="s">
        <v>87</v>
      </c>
      <c r="C227" s="370"/>
      <c r="D227" s="370"/>
      <c r="E227" s="370"/>
      <c r="F227" s="371"/>
      <c r="G227" s="298"/>
      <c r="H227" s="298"/>
      <c r="I227" s="298"/>
      <c r="J227" s="298"/>
      <c r="K227" s="298"/>
      <c r="L227" s="298"/>
      <c r="M227" s="298"/>
      <c r="N227" s="298"/>
      <c r="O227" s="298"/>
      <c r="P227" s="298"/>
      <c r="Q227" s="298"/>
      <c r="R227" s="298"/>
      <c r="S227" s="272"/>
      <c r="T227" s="372">
        <v>20.58</v>
      </c>
      <c r="U227" s="298"/>
      <c r="V227" s="362"/>
      <c r="W227" s="367"/>
      <c r="X227" s="5"/>
    </row>
    <row r="228" spans="1:25" ht="15.6" x14ac:dyDescent="0.3">
      <c r="A228" s="356"/>
      <c r="B228" s="272" t="s">
        <v>88</v>
      </c>
      <c r="C228" s="370"/>
      <c r="D228" s="370"/>
      <c r="E228" s="370"/>
      <c r="F228" s="371"/>
      <c r="G228" s="298"/>
      <c r="H228" s="298"/>
      <c r="I228" s="298"/>
      <c r="J228" s="298"/>
      <c r="K228" s="298"/>
      <c r="L228" s="298"/>
      <c r="M228" s="298"/>
      <c r="N228" s="298"/>
      <c r="O228" s="298"/>
      <c r="P228" s="298"/>
      <c r="Q228" s="298"/>
      <c r="R228" s="298"/>
      <c r="S228" s="272"/>
      <c r="T228" s="372">
        <v>8.8000000000000007</v>
      </c>
      <c r="U228" s="298"/>
      <c r="V228" s="362"/>
      <c r="W228" s="367"/>
      <c r="X228" s="5"/>
    </row>
    <row r="229" spans="1:25" ht="15.6" x14ac:dyDescent="0.3">
      <c r="A229" s="356"/>
      <c r="B229" s="297" t="s">
        <v>220</v>
      </c>
      <c r="C229" s="370"/>
      <c r="D229" s="370"/>
      <c r="E229" s="370"/>
      <c r="F229" s="371"/>
      <c r="G229" s="298"/>
      <c r="H229" s="298"/>
      <c r="I229" s="298"/>
      <c r="J229" s="298"/>
      <c r="K229" s="298"/>
      <c r="L229" s="298"/>
      <c r="M229" s="298"/>
      <c r="N229" s="298"/>
      <c r="O229" s="298"/>
      <c r="P229" s="298"/>
      <c r="Q229" s="298"/>
      <c r="R229" s="298"/>
      <c r="S229" s="272"/>
      <c r="T229" s="373"/>
      <c r="U229" s="298"/>
      <c r="V229" s="362"/>
      <c r="W229" s="367"/>
      <c r="X229" s="5"/>
    </row>
    <row r="230" spans="1:25" ht="15.6" x14ac:dyDescent="0.3">
      <c r="A230" s="356"/>
      <c r="B230" s="272" t="s">
        <v>295</v>
      </c>
      <c r="C230" s="370"/>
      <c r="D230" s="370"/>
      <c r="E230" s="370"/>
      <c r="F230" s="371"/>
      <c r="G230" s="298"/>
      <c r="H230" s="298"/>
      <c r="I230" s="298"/>
      <c r="J230" s="298"/>
      <c r="K230" s="298"/>
      <c r="L230" s="298"/>
      <c r="M230" s="298"/>
      <c r="N230" s="298"/>
      <c r="O230" s="298"/>
      <c r="P230" s="298"/>
      <c r="Q230" s="298"/>
      <c r="R230" s="298"/>
      <c r="S230" s="280">
        <v>12</v>
      </c>
      <c r="T230" s="357">
        <v>1461</v>
      </c>
      <c r="U230" s="298"/>
      <c r="V230" s="362"/>
      <c r="W230" s="367"/>
      <c r="X230" s="5"/>
    </row>
    <row r="231" spans="1:25" ht="15.6" x14ac:dyDescent="0.3">
      <c r="A231" s="356"/>
      <c r="B231" s="272" t="s">
        <v>221</v>
      </c>
      <c r="C231" s="370"/>
      <c r="D231" s="370"/>
      <c r="E231" s="370"/>
      <c r="F231" s="371"/>
      <c r="G231" s="298"/>
      <c r="H231" s="298"/>
      <c r="I231" s="298"/>
      <c r="J231" s="298"/>
      <c r="K231" s="298"/>
      <c r="L231" s="298"/>
      <c r="M231" s="298"/>
      <c r="N231" s="298"/>
      <c r="O231" s="298"/>
      <c r="P231" s="298"/>
      <c r="Q231" s="298"/>
      <c r="R231" s="298"/>
      <c r="S231" s="272"/>
      <c r="T231" s="372">
        <v>5.18</v>
      </c>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5.6" x14ac:dyDescent="0.3">
      <c r="A233" s="356"/>
      <c r="B233" s="365"/>
      <c r="C233" s="370"/>
      <c r="D233" s="370"/>
      <c r="E233" s="370"/>
      <c r="F233" s="371"/>
      <c r="G233" s="298"/>
      <c r="H233" s="298"/>
      <c r="I233" s="298"/>
      <c r="J233" s="298"/>
      <c r="K233" s="298"/>
      <c r="L233" s="298"/>
      <c r="M233" s="298"/>
      <c r="N233" s="298"/>
      <c r="O233" s="298"/>
      <c r="P233" s="298"/>
      <c r="Q233" s="298"/>
      <c r="R233" s="298"/>
      <c r="S233" s="298"/>
      <c r="T233" s="374"/>
      <c r="U233" s="298"/>
      <c r="V233" s="362"/>
      <c r="W233" s="367"/>
      <c r="X233" s="5"/>
    </row>
    <row r="234" spans="1:25" ht="17.399999999999999" x14ac:dyDescent="0.3">
      <c r="A234" s="356"/>
      <c r="B234" s="375" t="s">
        <v>171</v>
      </c>
      <c r="C234" s="370"/>
      <c r="D234" s="370"/>
      <c r="E234" s="370"/>
      <c r="F234" s="371"/>
      <c r="G234" s="298"/>
      <c r="H234" s="298"/>
      <c r="I234" s="298"/>
      <c r="J234" s="298"/>
      <c r="K234" s="298"/>
      <c r="L234" s="298"/>
      <c r="M234" s="298"/>
      <c r="N234" s="298"/>
      <c r="O234" s="298"/>
      <c r="P234" s="376" t="s">
        <v>170</v>
      </c>
      <c r="Q234" s="298"/>
      <c r="R234" s="298"/>
      <c r="S234" s="298"/>
      <c r="T234" s="374"/>
      <c r="U234" s="298"/>
      <c r="V234" s="362"/>
      <c r="W234" s="367"/>
      <c r="X234" s="5"/>
    </row>
    <row r="235" spans="1:25" ht="15.6" x14ac:dyDescent="0.3">
      <c r="A235" s="215"/>
      <c r="B235" s="347"/>
      <c r="C235" s="352"/>
      <c r="D235" s="352"/>
      <c r="E235" s="352"/>
      <c r="F235" s="353"/>
      <c r="G235" s="321"/>
      <c r="H235" s="321"/>
      <c r="I235" s="321"/>
      <c r="J235" s="321"/>
      <c r="K235" s="321"/>
      <c r="L235" s="321"/>
      <c r="M235" s="321"/>
      <c r="N235" s="321"/>
      <c r="O235" s="321"/>
      <c r="P235" s="321"/>
      <c r="Q235" s="321"/>
      <c r="R235" s="321"/>
      <c r="S235" s="321"/>
      <c r="T235" s="354"/>
      <c r="U235" s="321"/>
      <c r="V235" s="348"/>
      <c r="W235" s="355"/>
      <c r="X235" s="5"/>
    </row>
    <row r="236" spans="1:25" ht="15.6" x14ac:dyDescent="0.3">
      <c r="A236" s="239"/>
      <c r="B236" s="253" t="s">
        <v>310</v>
      </c>
      <c r="C236" s="254"/>
      <c r="D236" s="254"/>
      <c r="E236" s="254"/>
      <c r="F236" s="255"/>
      <c r="G236" s="254"/>
      <c r="H236" s="254"/>
      <c r="I236" s="254"/>
      <c r="J236" s="254"/>
      <c r="K236" s="254"/>
      <c r="L236" s="254"/>
      <c r="M236" s="254"/>
      <c r="N236" s="254"/>
      <c r="O236" s="254"/>
      <c r="P236" s="254"/>
      <c r="Q236" s="254"/>
      <c r="R236" s="255" t="s">
        <v>103</v>
      </c>
      <c r="S236" s="254" t="s">
        <v>104</v>
      </c>
      <c r="T236" s="255" t="s">
        <v>111</v>
      </c>
      <c r="U236" s="254" t="s">
        <v>104</v>
      </c>
      <c r="V236" s="240"/>
      <c r="W236" s="253"/>
      <c r="X236" s="5"/>
    </row>
    <row r="237" spans="1:25" ht="15.6" x14ac:dyDescent="0.3">
      <c r="A237" s="192"/>
      <c r="B237" s="231" t="s">
        <v>89</v>
      </c>
      <c r="C237" s="260"/>
      <c r="D237" s="260"/>
      <c r="E237" s="260"/>
      <c r="F237" s="229"/>
      <c r="G237" s="260"/>
      <c r="H237" s="260"/>
      <c r="I237" s="260"/>
      <c r="J237" s="260"/>
      <c r="K237" s="260"/>
      <c r="L237" s="260"/>
      <c r="M237" s="260"/>
      <c r="N237" s="260"/>
      <c r="O237" s="260"/>
      <c r="P237" s="260"/>
      <c r="Q237" s="260"/>
      <c r="R237" s="324">
        <f t="shared" ref="R237:R244" si="1">+R249+R261+R273</f>
        <v>7250</v>
      </c>
      <c r="S237" s="381">
        <f t="shared" ref="S237:S244" si="2">R237/$R$246</f>
        <v>0.99219926098261946</v>
      </c>
      <c r="T237" s="325">
        <f t="shared" ref="T237:T244" si="3">+T249+T261+T273</f>
        <v>930536</v>
      </c>
      <c r="U237" s="381">
        <f t="shared" ref="U237:U244" si="4">T237/$T$246</f>
        <v>0.99315438390522437</v>
      </c>
      <c r="V237" s="252"/>
      <c r="W237" s="230"/>
      <c r="X237" s="5"/>
    </row>
    <row r="238" spans="1:25" ht="15.6" x14ac:dyDescent="0.3">
      <c r="A238" s="271"/>
      <c r="B238" s="324" t="s">
        <v>90</v>
      </c>
      <c r="C238" s="380"/>
      <c r="D238" s="380"/>
      <c r="E238" s="380"/>
      <c r="F238" s="272"/>
      <c r="G238" s="381"/>
      <c r="H238" s="380"/>
      <c r="I238" s="380"/>
      <c r="J238" s="380"/>
      <c r="K238" s="380"/>
      <c r="L238" s="380"/>
      <c r="M238" s="380"/>
      <c r="N238" s="380"/>
      <c r="O238" s="380"/>
      <c r="P238" s="380"/>
      <c r="Q238" s="380"/>
      <c r="R238" s="324">
        <f t="shared" si="1"/>
        <v>16</v>
      </c>
      <c r="S238" s="381">
        <f t="shared" si="2"/>
        <v>2.189681127685781E-3</v>
      </c>
      <c r="T238" s="325">
        <f t="shared" si="3"/>
        <v>1788</v>
      </c>
      <c r="U238" s="381">
        <f t="shared" si="4"/>
        <v>1.9083195474678479E-3</v>
      </c>
      <c r="V238" s="358"/>
      <c r="W238" s="382"/>
      <c r="X238" s="5"/>
      <c r="Y238" s="109"/>
    </row>
    <row r="239" spans="1:25" ht="15.6" x14ac:dyDescent="0.3">
      <c r="A239" s="271"/>
      <c r="B239" s="324" t="s">
        <v>91</v>
      </c>
      <c r="C239" s="380"/>
      <c r="D239" s="380"/>
      <c r="E239" s="380"/>
      <c r="F239" s="272"/>
      <c r="G239" s="381"/>
      <c r="H239" s="380"/>
      <c r="I239" s="380"/>
      <c r="J239" s="380"/>
      <c r="K239" s="380"/>
      <c r="L239" s="380"/>
      <c r="M239" s="380"/>
      <c r="N239" s="380"/>
      <c r="O239" s="380"/>
      <c r="P239" s="380"/>
      <c r="Q239" s="380"/>
      <c r="R239" s="324">
        <f t="shared" si="1"/>
        <v>2</v>
      </c>
      <c r="S239" s="381">
        <f t="shared" si="2"/>
        <v>2.7371014096072262E-4</v>
      </c>
      <c r="T239" s="325">
        <f t="shared" si="3"/>
        <v>186</v>
      </c>
      <c r="U239" s="381">
        <f t="shared" si="4"/>
        <v>1.9851646299162175E-4</v>
      </c>
      <c r="V239" s="358"/>
      <c r="W239" s="382"/>
      <c r="X239" s="5"/>
    </row>
    <row r="240" spans="1:25" ht="15.6" x14ac:dyDescent="0.3">
      <c r="A240" s="271"/>
      <c r="B240" s="324" t="s">
        <v>159</v>
      </c>
      <c r="C240" s="380"/>
      <c r="D240" s="380"/>
      <c r="E240" s="380"/>
      <c r="F240" s="272"/>
      <c r="G240" s="381"/>
      <c r="H240" s="380"/>
      <c r="I240" s="380"/>
      <c r="J240" s="380"/>
      <c r="K240" s="380"/>
      <c r="L240" s="380"/>
      <c r="M240" s="380"/>
      <c r="N240" s="380"/>
      <c r="O240" s="380"/>
      <c r="P240" s="380"/>
      <c r="Q240" s="380"/>
      <c r="R240" s="324">
        <f t="shared" si="1"/>
        <v>4</v>
      </c>
      <c r="S240" s="381">
        <f t="shared" si="2"/>
        <v>5.4742028192144524E-4</v>
      </c>
      <c r="T240" s="325">
        <f t="shared" si="3"/>
        <v>233</v>
      </c>
      <c r="U240" s="381">
        <f t="shared" si="4"/>
        <v>2.4867922514541866E-4</v>
      </c>
      <c r="V240" s="358"/>
      <c r="W240" s="382"/>
      <c r="X240" s="5"/>
      <c r="Y240" s="109"/>
    </row>
    <row r="241" spans="1:25" ht="15.6" x14ac:dyDescent="0.3">
      <c r="A241" s="271"/>
      <c r="B241" s="324" t="s">
        <v>160</v>
      </c>
      <c r="C241" s="380"/>
      <c r="D241" s="380"/>
      <c r="E241" s="380"/>
      <c r="F241" s="272"/>
      <c r="G241" s="381"/>
      <c r="H241" s="380"/>
      <c r="I241" s="380"/>
      <c r="J241" s="380"/>
      <c r="K241" s="380"/>
      <c r="L241" s="380"/>
      <c r="M241" s="380"/>
      <c r="N241" s="380"/>
      <c r="O241" s="380"/>
      <c r="P241" s="380"/>
      <c r="Q241" s="380"/>
      <c r="R241" s="324">
        <f t="shared" si="1"/>
        <v>2</v>
      </c>
      <c r="S241" s="381">
        <f t="shared" si="2"/>
        <v>2.7371014096072262E-4</v>
      </c>
      <c r="T241" s="325">
        <f t="shared" si="3"/>
        <v>145</v>
      </c>
      <c r="U241" s="381">
        <f t="shared" si="4"/>
        <v>1.5475745770852234E-4</v>
      </c>
      <c r="V241" s="358"/>
      <c r="W241" s="382"/>
      <c r="X241" s="5"/>
    </row>
    <row r="242" spans="1:25" ht="15.6" x14ac:dyDescent="0.3">
      <c r="A242" s="271"/>
      <c r="B242" s="324" t="s">
        <v>161</v>
      </c>
      <c r="C242" s="380"/>
      <c r="D242" s="380"/>
      <c r="E242" s="380"/>
      <c r="F242" s="272"/>
      <c r="G242" s="381"/>
      <c r="H242" s="380"/>
      <c r="I242" s="380"/>
      <c r="J242" s="380"/>
      <c r="K242" s="380"/>
      <c r="L242" s="380"/>
      <c r="M242" s="380"/>
      <c r="N242" s="380"/>
      <c r="O242" s="380"/>
      <c r="P242" s="380"/>
      <c r="Q242" s="380"/>
      <c r="R242" s="324">
        <f t="shared" si="1"/>
        <v>1</v>
      </c>
      <c r="S242" s="381">
        <f t="shared" si="2"/>
        <v>1.3685507048036131E-4</v>
      </c>
      <c r="T242" s="325">
        <f t="shared" si="3"/>
        <v>114</v>
      </c>
      <c r="U242" s="381">
        <f t="shared" si="4"/>
        <v>1.2167138054325204E-4</v>
      </c>
      <c r="V242" s="358"/>
      <c r="W242" s="382"/>
      <c r="X242" s="5"/>
      <c r="Y242" s="109"/>
    </row>
    <row r="243" spans="1:25" ht="15.6" x14ac:dyDescent="0.3">
      <c r="A243" s="271"/>
      <c r="B243" s="324" t="s">
        <v>162</v>
      </c>
      <c r="C243" s="380"/>
      <c r="D243" s="380"/>
      <c r="E243" s="380"/>
      <c r="F243" s="272"/>
      <c r="G243" s="381"/>
      <c r="H243" s="380"/>
      <c r="I243" s="380"/>
      <c r="J243" s="380"/>
      <c r="K243" s="380"/>
      <c r="L243" s="380"/>
      <c r="M243" s="380"/>
      <c r="N243" s="380"/>
      <c r="O243" s="380"/>
      <c r="P243" s="380"/>
      <c r="Q243" s="380"/>
      <c r="R243" s="324">
        <f t="shared" si="1"/>
        <v>7</v>
      </c>
      <c r="S243" s="381">
        <f t="shared" si="2"/>
        <v>9.5798549336252906E-4</v>
      </c>
      <c r="T243" s="325">
        <f t="shared" si="3"/>
        <v>709</v>
      </c>
      <c r="U243" s="381">
        <f t="shared" si="4"/>
        <v>7.5671060355408503E-4</v>
      </c>
      <c r="V243" s="358"/>
      <c r="W243" s="382"/>
      <c r="X243" s="5"/>
    </row>
    <row r="244" spans="1:25" ht="15.6" x14ac:dyDescent="0.3">
      <c r="A244" s="271"/>
      <c r="B244" s="324" t="s">
        <v>163</v>
      </c>
      <c r="C244" s="380"/>
      <c r="D244" s="380"/>
      <c r="E244" s="380"/>
      <c r="F244" s="272"/>
      <c r="G244" s="381"/>
      <c r="H244" s="380"/>
      <c r="I244" s="380"/>
      <c r="J244" s="380"/>
      <c r="K244" s="380"/>
      <c r="L244" s="380"/>
      <c r="M244" s="380"/>
      <c r="N244" s="380"/>
      <c r="O244" s="380"/>
      <c r="P244" s="380"/>
      <c r="Q244" s="380"/>
      <c r="R244" s="324">
        <f t="shared" si="1"/>
        <v>25</v>
      </c>
      <c r="S244" s="381">
        <f t="shared" si="2"/>
        <v>3.4213767620090325E-3</v>
      </c>
      <c r="T244" s="325">
        <f t="shared" si="3"/>
        <v>3239</v>
      </c>
      <c r="U244" s="381">
        <f t="shared" si="4"/>
        <v>3.4569614173648542E-3</v>
      </c>
      <c r="V244" s="358"/>
      <c r="W244" s="382"/>
      <c r="X244" s="5"/>
      <c r="Y244" s="109"/>
    </row>
    <row r="245" spans="1:25" ht="15.6" x14ac:dyDescent="0.3">
      <c r="A245" s="271"/>
      <c r="B245" s="324"/>
      <c r="C245" s="380"/>
      <c r="D245" s="380"/>
      <c r="E245" s="380"/>
      <c r="F245" s="272"/>
      <c r="G245" s="381"/>
      <c r="H245" s="380"/>
      <c r="I245" s="380"/>
      <c r="J245" s="380"/>
      <c r="K245" s="380"/>
      <c r="L245" s="380"/>
      <c r="M245" s="380"/>
      <c r="N245" s="380"/>
      <c r="O245" s="380"/>
      <c r="P245" s="380"/>
      <c r="Q245" s="380"/>
      <c r="R245" s="324"/>
      <c r="S245" s="381"/>
      <c r="T245" s="325"/>
      <c r="U245" s="381"/>
      <c r="V245" s="358"/>
      <c r="W245" s="382"/>
      <c r="X245" s="5"/>
    </row>
    <row r="246" spans="1:25" ht="15.6" x14ac:dyDescent="0.3">
      <c r="A246" s="271"/>
      <c r="B246" s="272" t="s">
        <v>117</v>
      </c>
      <c r="C246" s="272"/>
      <c r="D246" s="272"/>
      <c r="E246" s="272"/>
      <c r="F246" s="272"/>
      <c r="G246" s="272"/>
      <c r="H246" s="383"/>
      <c r="I246" s="383"/>
      <c r="J246" s="383"/>
      <c r="K246" s="383"/>
      <c r="L246" s="383"/>
      <c r="M246" s="383"/>
      <c r="N246" s="383"/>
      <c r="O246" s="383"/>
      <c r="P246" s="383"/>
      <c r="Q246" s="383"/>
      <c r="R246" s="324">
        <f>SUM(R237:R245)</f>
        <v>7307</v>
      </c>
      <c r="S246" s="381">
        <f>SUM(S237:S245)</f>
        <v>1</v>
      </c>
      <c r="T246" s="325">
        <f>SUM(T237:T245)</f>
        <v>936950</v>
      </c>
      <c r="U246" s="381">
        <f>SUM(U237:U245)</f>
        <v>0.99999999999999989</v>
      </c>
      <c r="V246" s="272"/>
      <c r="W246" s="275"/>
      <c r="X246" s="5"/>
    </row>
    <row r="247" spans="1:25" ht="15.6" x14ac:dyDescent="0.3">
      <c r="A247" s="215"/>
      <c r="B247" s="347"/>
      <c r="C247" s="352"/>
      <c r="D247" s="352"/>
      <c r="E247" s="352"/>
      <c r="F247" s="353"/>
      <c r="G247" s="321"/>
      <c r="H247" s="321"/>
      <c r="I247" s="321"/>
      <c r="J247" s="321"/>
      <c r="K247" s="321"/>
      <c r="L247" s="321"/>
      <c r="M247" s="321"/>
      <c r="N247" s="321"/>
      <c r="O247" s="321"/>
      <c r="P247" s="321"/>
      <c r="Q247" s="321"/>
      <c r="R247" s="321"/>
      <c r="S247" s="321"/>
      <c r="T247" s="354"/>
      <c r="U247" s="321"/>
      <c r="V247" s="348"/>
      <c r="W247" s="355"/>
      <c r="X247" s="5"/>
    </row>
    <row r="248" spans="1:25" ht="15.6" x14ac:dyDescent="0.3">
      <c r="A248" s="239"/>
      <c r="B248" s="253" t="s">
        <v>165</v>
      </c>
      <c r="C248" s="254"/>
      <c r="D248" s="254"/>
      <c r="E248" s="254"/>
      <c r="F248" s="255"/>
      <c r="G248" s="254"/>
      <c r="H248" s="254"/>
      <c r="I248" s="254"/>
      <c r="J248" s="254"/>
      <c r="K248" s="254"/>
      <c r="L248" s="254"/>
      <c r="M248" s="254"/>
      <c r="N248" s="254"/>
      <c r="O248" s="254"/>
      <c r="P248" s="254"/>
      <c r="Q248" s="254"/>
      <c r="R248" s="255" t="s">
        <v>103</v>
      </c>
      <c r="S248" s="254" t="s">
        <v>104</v>
      </c>
      <c r="T248" s="255" t="s">
        <v>111</v>
      </c>
      <c r="U248" s="254" t="s">
        <v>104</v>
      </c>
      <c r="V248" s="240"/>
      <c r="W248" s="253"/>
      <c r="X248" s="5"/>
    </row>
    <row r="249" spans="1:25" ht="15.6" x14ac:dyDescent="0.3">
      <c r="A249" s="192"/>
      <c r="B249" s="231" t="s">
        <v>89</v>
      </c>
      <c r="C249" s="260"/>
      <c r="D249" s="260"/>
      <c r="E249" s="260"/>
      <c r="F249" s="229"/>
      <c r="G249" s="260"/>
      <c r="H249" s="260"/>
      <c r="I249" s="260"/>
      <c r="J249" s="260"/>
      <c r="K249" s="260"/>
      <c r="L249" s="260"/>
      <c r="M249" s="260"/>
      <c r="N249" s="260"/>
      <c r="O249" s="260"/>
      <c r="P249" s="260"/>
      <c r="Q249" s="260"/>
      <c r="R249" s="231">
        <v>7123</v>
      </c>
      <c r="S249" s="261">
        <f t="shared" ref="S249:S256" si="5">R249/$R$258</f>
        <v>0.99761904761904763</v>
      </c>
      <c r="T249" s="238">
        <v>909903</v>
      </c>
      <c r="U249" s="261">
        <f t="shared" ref="U249:U256" si="6">T249/$T$258</f>
        <v>0.99788995061563213</v>
      </c>
      <c r="V249" s="252"/>
      <c r="W249" s="230"/>
      <c r="X249" s="5"/>
    </row>
    <row r="250" spans="1:25" ht="15.6" x14ac:dyDescent="0.3">
      <c r="A250" s="271"/>
      <c r="B250" s="324" t="s">
        <v>90</v>
      </c>
      <c r="C250" s="380"/>
      <c r="D250" s="380"/>
      <c r="E250" s="380"/>
      <c r="F250" s="272"/>
      <c r="G250" s="381"/>
      <c r="H250" s="380"/>
      <c r="I250" s="380"/>
      <c r="J250" s="380"/>
      <c r="K250" s="380"/>
      <c r="L250" s="380"/>
      <c r="M250" s="380"/>
      <c r="N250" s="380"/>
      <c r="O250" s="380"/>
      <c r="P250" s="380"/>
      <c r="Q250" s="380"/>
      <c r="R250" s="324">
        <v>13</v>
      </c>
      <c r="S250" s="381">
        <f t="shared" si="5"/>
        <v>1.8207282913165266E-3</v>
      </c>
      <c r="T250" s="325">
        <v>1537</v>
      </c>
      <c r="U250" s="381">
        <f t="shared" si="6"/>
        <v>1.6856267691130007E-3</v>
      </c>
      <c r="V250" s="358"/>
      <c r="W250" s="382"/>
      <c r="X250" s="5"/>
      <c r="Y250" s="109"/>
    </row>
    <row r="251" spans="1:25" ht="15.6" x14ac:dyDescent="0.3">
      <c r="A251" s="271"/>
      <c r="B251" s="324" t="s">
        <v>91</v>
      </c>
      <c r="C251" s="380"/>
      <c r="D251" s="380"/>
      <c r="E251" s="380"/>
      <c r="F251" s="272"/>
      <c r="G251" s="381"/>
      <c r="H251" s="380"/>
      <c r="I251" s="380"/>
      <c r="J251" s="380"/>
      <c r="K251" s="380"/>
      <c r="L251" s="380"/>
      <c r="M251" s="380"/>
      <c r="N251" s="380"/>
      <c r="O251" s="380"/>
      <c r="P251" s="380"/>
      <c r="Q251" s="380"/>
      <c r="R251" s="324">
        <v>1</v>
      </c>
      <c r="S251" s="381">
        <f t="shared" si="5"/>
        <v>1.4005602240896358E-4</v>
      </c>
      <c r="T251" s="325">
        <v>70</v>
      </c>
      <c r="U251" s="381">
        <f t="shared" si="6"/>
        <v>7.6768948495712454E-5</v>
      </c>
      <c r="V251" s="358"/>
      <c r="W251" s="382"/>
      <c r="X251" s="5"/>
    </row>
    <row r="252" spans="1:25" ht="15.6" x14ac:dyDescent="0.3">
      <c r="A252" s="271"/>
      <c r="B252" s="324" t="s">
        <v>159</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c r="Y252" s="109"/>
    </row>
    <row r="253" spans="1:25" ht="15.6" x14ac:dyDescent="0.3">
      <c r="A253" s="271"/>
      <c r="B253" s="324" t="s">
        <v>160</v>
      </c>
      <c r="C253" s="380"/>
      <c r="D253" s="380"/>
      <c r="E253" s="380"/>
      <c r="F253" s="272"/>
      <c r="G253" s="381"/>
      <c r="H253" s="380"/>
      <c r="I253" s="380"/>
      <c r="J253" s="380"/>
      <c r="K253" s="380"/>
      <c r="L253" s="380"/>
      <c r="M253" s="380"/>
      <c r="N253" s="380"/>
      <c r="O253" s="380"/>
      <c r="P253" s="380"/>
      <c r="Q253" s="380"/>
      <c r="R253" s="324">
        <v>1</v>
      </c>
      <c r="S253" s="381">
        <f t="shared" si="5"/>
        <v>1.4005602240896358E-4</v>
      </c>
      <c r="T253" s="325">
        <v>72</v>
      </c>
      <c r="U253" s="381">
        <f t="shared" si="6"/>
        <v>7.8962347024161381E-5</v>
      </c>
      <c r="V253" s="358"/>
      <c r="W253" s="382"/>
      <c r="X253" s="5"/>
    </row>
    <row r="254" spans="1:25" ht="15.6" x14ac:dyDescent="0.3">
      <c r="A254" s="271"/>
      <c r="B254" s="324" t="s">
        <v>161</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c r="Y254" s="109"/>
    </row>
    <row r="255" spans="1:25" ht="15.6" x14ac:dyDescent="0.3">
      <c r="A255" s="271"/>
      <c r="B255" s="324" t="s">
        <v>162</v>
      </c>
      <c r="C255" s="380"/>
      <c r="D255" s="380"/>
      <c r="E255" s="380"/>
      <c r="F255" s="272"/>
      <c r="G255" s="381"/>
      <c r="H255" s="380"/>
      <c r="I255" s="380"/>
      <c r="J255" s="380"/>
      <c r="K255" s="380"/>
      <c r="L255" s="380"/>
      <c r="M255" s="380"/>
      <c r="N255" s="380"/>
      <c r="O255" s="380"/>
      <c r="P255" s="380"/>
      <c r="Q255" s="380"/>
      <c r="R255" s="324">
        <v>0</v>
      </c>
      <c r="S255" s="381">
        <f t="shared" si="5"/>
        <v>0</v>
      </c>
      <c r="T255" s="325">
        <v>0</v>
      </c>
      <c r="U255" s="381">
        <f t="shared" si="6"/>
        <v>0</v>
      </c>
      <c r="V255" s="358"/>
      <c r="W255" s="382"/>
      <c r="X255" s="5"/>
    </row>
    <row r="256" spans="1:25" ht="15.6" x14ac:dyDescent="0.3">
      <c r="A256" s="271"/>
      <c r="B256" s="324" t="s">
        <v>163</v>
      </c>
      <c r="C256" s="380"/>
      <c r="D256" s="380"/>
      <c r="E256" s="380"/>
      <c r="F256" s="272"/>
      <c r="G256" s="381"/>
      <c r="H256" s="380"/>
      <c r="I256" s="380"/>
      <c r="J256" s="380"/>
      <c r="K256" s="380"/>
      <c r="L256" s="380"/>
      <c r="M256" s="380"/>
      <c r="N256" s="380"/>
      <c r="O256" s="380"/>
      <c r="P256" s="380"/>
      <c r="Q256" s="380"/>
      <c r="R256" s="324">
        <v>2</v>
      </c>
      <c r="S256" s="381">
        <f t="shared" si="5"/>
        <v>2.8011204481792715E-4</v>
      </c>
      <c r="T256" s="325">
        <v>245</v>
      </c>
      <c r="U256" s="381">
        <f t="shared" si="6"/>
        <v>2.6869131973499357E-4</v>
      </c>
      <c r="V256" s="358"/>
      <c r="W256" s="382"/>
      <c r="X256" s="5"/>
      <c r="Y256" s="109"/>
    </row>
    <row r="257" spans="1:24" ht="15.6" x14ac:dyDescent="0.3">
      <c r="A257" s="271"/>
      <c r="B257" s="324"/>
      <c r="C257" s="380"/>
      <c r="D257" s="380"/>
      <c r="E257" s="380"/>
      <c r="F257" s="272"/>
      <c r="G257" s="381"/>
      <c r="H257" s="380"/>
      <c r="I257" s="380"/>
      <c r="J257" s="380"/>
      <c r="K257" s="380"/>
      <c r="L257" s="380"/>
      <c r="M257" s="380"/>
      <c r="N257" s="380"/>
      <c r="O257" s="380"/>
      <c r="P257" s="380"/>
      <c r="Q257" s="380"/>
      <c r="R257" s="324"/>
      <c r="S257" s="381"/>
      <c r="T257" s="325"/>
      <c r="U257" s="381"/>
      <c r="V257" s="358"/>
      <c r="W257" s="382"/>
      <c r="X257" s="5"/>
    </row>
    <row r="258" spans="1:24" ht="15.6" x14ac:dyDescent="0.3">
      <c r="A258" s="271"/>
      <c r="B258" s="272" t="s">
        <v>117</v>
      </c>
      <c r="C258" s="272"/>
      <c r="D258" s="272"/>
      <c r="E258" s="272"/>
      <c r="F258" s="272"/>
      <c r="G258" s="272"/>
      <c r="H258" s="383"/>
      <c r="I258" s="383"/>
      <c r="J258" s="383"/>
      <c r="K258" s="383"/>
      <c r="L258" s="383"/>
      <c r="M258" s="383"/>
      <c r="N258" s="383"/>
      <c r="O258" s="383"/>
      <c r="P258" s="383"/>
      <c r="Q258" s="383"/>
      <c r="R258" s="324">
        <f>SUM(R249:R257)</f>
        <v>7140</v>
      </c>
      <c r="S258" s="381">
        <f>SUM(S249:S257)</f>
        <v>1</v>
      </c>
      <c r="T258" s="325">
        <f>SUM(T249:T257)</f>
        <v>911827</v>
      </c>
      <c r="U258" s="381">
        <f>SUM(U249:U257)</f>
        <v>1</v>
      </c>
      <c r="V258" s="272"/>
      <c r="W258" s="275"/>
      <c r="X258" s="5"/>
    </row>
    <row r="259" spans="1:24" ht="15.6" x14ac:dyDescent="0.3">
      <c r="A259" s="175"/>
      <c r="B259" s="321"/>
      <c r="C259" s="321"/>
      <c r="D259" s="321"/>
      <c r="E259" s="321"/>
      <c r="F259" s="321"/>
      <c r="G259" s="321"/>
      <c r="H259" s="377"/>
      <c r="I259" s="377"/>
      <c r="J259" s="377"/>
      <c r="K259" s="377"/>
      <c r="L259" s="377"/>
      <c r="M259" s="377"/>
      <c r="N259" s="377"/>
      <c r="O259" s="377"/>
      <c r="P259" s="377"/>
      <c r="Q259" s="377"/>
      <c r="R259" s="322"/>
      <c r="S259" s="378"/>
      <c r="T259" s="379"/>
      <c r="U259" s="378"/>
      <c r="V259" s="321"/>
      <c r="W259" s="321"/>
      <c r="X259" s="5"/>
    </row>
    <row r="260" spans="1:24" ht="15.6" x14ac:dyDescent="0.3">
      <c r="A260" s="256"/>
      <c r="B260" s="253" t="s">
        <v>279</v>
      </c>
      <c r="C260" s="254"/>
      <c r="D260" s="254"/>
      <c r="E260" s="254"/>
      <c r="F260" s="255"/>
      <c r="G260" s="254"/>
      <c r="H260" s="254"/>
      <c r="I260" s="254"/>
      <c r="J260" s="254"/>
      <c r="K260" s="254"/>
      <c r="L260" s="254"/>
      <c r="M260" s="254"/>
      <c r="N260" s="254"/>
      <c r="O260" s="254"/>
      <c r="P260" s="254"/>
      <c r="Q260" s="254"/>
      <c r="R260" s="255" t="s">
        <v>103</v>
      </c>
      <c r="S260" s="254" t="s">
        <v>104</v>
      </c>
      <c r="T260" s="255" t="s">
        <v>111</v>
      </c>
      <c r="U260" s="254" t="s">
        <v>104</v>
      </c>
      <c r="V260" s="257"/>
      <c r="W260" s="258"/>
      <c r="X260" s="5"/>
    </row>
    <row r="261" spans="1:24" ht="15.6" x14ac:dyDescent="0.3">
      <c r="A261" s="192"/>
      <c r="B261" s="231" t="s">
        <v>89</v>
      </c>
      <c r="C261" s="260"/>
      <c r="D261" s="260"/>
      <c r="E261" s="260"/>
      <c r="F261" s="229"/>
      <c r="G261" s="260"/>
      <c r="H261" s="260"/>
      <c r="I261" s="260"/>
      <c r="J261" s="260"/>
      <c r="K261" s="260"/>
      <c r="L261" s="260"/>
      <c r="M261" s="260"/>
      <c r="N261" s="260"/>
      <c r="O261" s="260"/>
      <c r="P261" s="260"/>
      <c r="Q261" s="260"/>
      <c r="R261" s="231">
        <v>127</v>
      </c>
      <c r="S261" s="261">
        <f>R261/$R$270</f>
        <v>0.76047904191616766</v>
      </c>
      <c r="T261" s="238">
        <v>20633</v>
      </c>
      <c r="U261" s="261">
        <f t="shared" ref="U261:U268" si="7">T261/$T$270</f>
        <v>0.82127930581538833</v>
      </c>
      <c r="V261" s="229"/>
      <c r="W261" s="193"/>
      <c r="X261" s="5"/>
    </row>
    <row r="262" spans="1:24" ht="15.6" x14ac:dyDescent="0.3">
      <c r="A262" s="271"/>
      <c r="B262" s="324" t="s">
        <v>90</v>
      </c>
      <c r="C262" s="380"/>
      <c r="D262" s="380"/>
      <c r="E262" s="380"/>
      <c r="F262" s="272"/>
      <c r="G262" s="381"/>
      <c r="H262" s="380"/>
      <c r="I262" s="380"/>
      <c r="J262" s="380"/>
      <c r="K262" s="380"/>
      <c r="L262" s="380"/>
      <c r="M262" s="380"/>
      <c r="N262" s="380"/>
      <c r="O262" s="380"/>
      <c r="P262" s="380"/>
      <c r="Q262" s="380"/>
      <c r="R262" s="324">
        <v>3</v>
      </c>
      <c r="S262" s="381">
        <f t="shared" ref="S262:S267" si="8">R262/$R$270</f>
        <v>1.7964071856287425E-2</v>
      </c>
      <c r="T262" s="325">
        <v>251</v>
      </c>
      <c r="U262" s="381">
        <f t="shared" si="7"/>
        <v>9.990845042391434E-3</v>
      </c>
      <c r="V262" s="272"/>
      <c r="W262" s="304"/>
      <c r="X262" s="5"/>
    </row>
    <row r="263" spans="1:24" ht="15.6" x14ac:dyDescent="0.3">
      <c r="A263" s="271"/>
      <c r="B263" s="324" t="s">
        <v>91</v>
      </c>
      <c r="C263" s="380"/>
      <c r="D263" s="380"/>
      <c r="E263" s="380"/>
      <c r="F263" s="272"/>
      <c r="G263" s="381"/>
      <c r="H263" s="380"/>
      <c r="I263" s="380"/>
      <c r="J263" s="380"/>
      <c r="K263" s="380"/>
      <c r="L263" s="380"/>
      <c r="M263" s="380"/>
      <c r="N263" s="380"/>
      <c r="O263" s="380"/>
      <c r="P263" s="380"/>
      <c r="Q263" s="380"/>
      <c r="R263" s="324">
        <v>1</v>
      </c>
      <c r="S263" s="381">
        <f t="shared" si="8"/>
        <v>5.9880239520958087E-3</v>
      </c>
      <c r="T263" s="325">
        <v>116</v>
      </c>
      <c r="U263" s="381">
        <f t="shared" si="7"/>
        <v>4.617282967798432E-3</v>
      </c>
      <c r="V263" s="272"/>
      <c r="W263" s="304"/>
      <c r="X263" s="5"/>
    </row>
    <row r="264" spans="1:24" ht="15.6" x14ac:dyDescent="0.3">
      <c r="A264" s="271"/>
      <c r="B264" s="324" t="s">
        <v>159</v>
      </c>
      <c r="C264" s="380"/>
      <c r="D264" s="380"/>
      <c r="E264" s="380"/>
      <c r="F264" s="272"/>
      <c r="G264" s="381"/>
      <c r="H264" s="380"/>
      <c r="I264" s="380"/>
      <c r="J264" s="380"/>
      <c r="K264" s="380"/>
      <c r="L264" s="380"/>
      <c r="M264" s="380"/>
      <c r="N264" s="380"/>
      <c r="O264" s="380"/>
      <c r="P264" s="380"/>
      <c r="Q264" s="380"/>
      <c r="R264" s="324">
        <v>4</v>
      </c>
      <c r="S264" s="381">
        <f t="shared" si="8"/>
        <v>2.3952095808383235E-2</v>
      </c>
      <c r="T264" s="325">
        <v>233</v>
      </c>
      <c r="U264" s="381">
        <f t="shared" si="7"/>
        <v>9.2743700991123664E-3</v>
      </c>
      <c r="V264" s="272"/>
      <c r="W264" s="304"/>
      <c r="X264" s="5"/>
    </row>
    <row r="265" spans="1:24" ht="15.6" x14ac:dyDescent="0.3">
      <c r="A265" s="271"/>
      <c r="B265" s="324" t="s">
        <v>160</v>
      </c>
      <c r="C265" s="380"/>
      <c r="D265" s="380"/>
      <c r="E265" s="380"/>
      <c r="F265" s="272"/>
      <c r="G265" s="381"/>
      <c r="H265" s="380"/>
      <c r="I265" s="380"/>
      <c r="J265" s="380"/>
      <c r="K265" s="380"/>
      <c r="L265" s="380"/>
      <c r="M265" s="380"/>
      <c r="N265" s="380"/>
      <c r="O265" s="380"/>
      <c r="P265" s="380"/>
      <c r="Q265" s="380"/>
      <c r="R265" s="324">
        <v>1</v>
      </c>
      <c r="S265" s="381">
        <f t="shared" si="8"/>
        <v>5.9880239520958087E-3</v>
      </c>
      <c r="T265" s="325">
        <v>73</v>
      </c>
      <c r="U265" s="381">
        <f t="shared" si="7"/>
        <v>2.9057039366317716E-3</v>
      </c>
      <c r="V265" s="272"/>
      <c r="W265" s="304"/>
      <c r="X265" s="5"/>
    </row>
    <row r="266" spans="1:24" ht="15.6" x14ac:dyDescent="0.3">
      <c r="A266" s="271"/>
      <c r="B266" s="324" t="s">
        <v>161</v>
      </c>
      <c r="C266" s="380"/>
      <c r="D266" s="380"/>
      <c r="E266" s="380"/>
      <c r="F266" s="272"/>
      <c r="G266" s="381"/>
      <c r="H266" s="380"/>
      <c r="I266" s="380"/>
      <c r="J266" s="380"/>
      <c r="K266" s="380"/>
      <c r="L266" s="380"/>
      <c r="M266" s="380"/>
      <c r="N266" s="380"/>
      <c r="O266" s="380"/>
      <c r="P266" s="380"/>
      <c r="Q266" s="380"/>
      <c r="R266" s="324">
        <v>1</v>
      </c>
      <c r="S266" s="381">
        <f t="shared" si="8"/>
        <v>5.9880239520958087E-3</v>
      </c>
      <c r="T266" s="325">
        <v>114</v>
      </c>
      <c r="U266" s="381">
        <f t="shared" si="7"/>
        <v>4.5376746407674246E-3</v>
      </c>
      <c r="V266" s="272"/>
      <c r="W266" s="304"/>
      <c r="X266" s="5"/>
    </row>
    <row r="267" spans="1:24" ht="15.6" x14ac:dyDescent="0.3">
      <c r="A267" s="271"/>
      <c r="B267" s="324" t="s">
        <v>162</v>
      </c>
      <c r="C267" s="380"/>
      <c r="D267" s="380"/>
      <c r="E267" s="380"/>
      <c r="F267" s="272"/>
      <c r="G267" s="381"/>
      <c r="H267" s="380"/>
      <c r="I267" s="380"/>
      <c r="J267" s="380"/>
      <c r="K267" s="380"/>
      <c r="L267" s="380"/>
      <c r="M267" s="380"/>
      <c r="N267" s="380"/>
      <c r="O267" s="380"/>
      <c r="P267" s="380"/>
      <c r="Q267" s="380"/>
      <c r="R267" s="324">
        <v>7</v>
      </c>
      <c r="S267" s="381">
        <f t="shared" si="8"/>
        <v>4.1916167664670656E-2</v>
      </c>
      <c r="T267" s="325">
        <v>709</v>
      </c>
      <c r="U267" s="381">
        <f t="shared" si="7"/>
        <v>2.8221151932492139E-2</v>
      </c>
      <c r="V267" s="272"/>
      <c r="W267" s="304"/>
      <c r="X267" s="5"/>
    </row>
    <row r="268" spans="1:24" ht="15.6" x14ac:dyDescent="0.3">
      <c r="A268" s="271"/>
      <c r="B268" s="324" t="s">
        <v>163</v>
      </c>
      <c r="C268" s="380"/>
      <c r="D268" s="380"/>
      <c r="E268" s="380"/>
      <c r="F268" s="272"/>
      <c r="G268" s="381"/>
      <c r="H268" s="380"/>
      <c r="I268" s="380"/>
      <c r="J268" s="380"/>
      <c r="K268" s="380"/>
      <c r="L268" s="380"/>
      <c r="M268" s="380"/>
      <c r="N268" s="380"/>
      <c r="O268" s="380"/>
      <c r="P268" s="380"/>
      <c r="Q268" s="380"/>
      <c r="R268" s="324">
        <v>23</v>
      </c>
      <c r="S268" s="381">
        <f>R268/$R$270</f>
        <v>0.1377245508982036</v>
      </c>
      <c r="T268" s="325">
        <v>2994</v>
      </c>
      <c r="U268" s="381">
        <f t="shared" si="7"/>
        <v>0.11917366556541814</v>
      </c>
      <c r="V268" s="272"/>
      <c r="W268" s="304"/>
      <c r="X268" s="5"/>
    </row>
    <row r="269" spans="1:24" ht="15.6" x14ac:dyDescent="0.3">
      <c r="A269" s="271"/>
      <c r="B269" s="324"/>
      <c r="C269" s="380"/>
      <c r="D269" s="380"/>
      <c r="E269" s="380"/>
      <c r="F269" s="272"/>
      <c r="G269" s="381"/>
      <c r="H269" s="380"/>
      <c r="I269" s="380"/>
      <c r="J269" s="380"/>
      <c r="K269" s="380"/>
      <c r="L269" s="380"/>
      <c r="M269" s="380"/>
      <c r="N269" s="380"/>
      <c r="O269" s="380"/>
      <c r="P269" s="380"/>
      <c r="Q269" s="380"/>
      <c r="R269" s="324"/>
      <c r="S269" s="381"/>
      <c r="T269" s="325"/>
      <c r="U269" s="381"/>
      <c r="V269" s="272"/>
      <c r="W269" s="304"/>
      <c r="X269" s="5"/>
    </row>
    <row r="270" spans="1:24" ht="15.6" x14ac:dyDescent="0.3">
      <c r="A270" s="271"/>
      <c r="B270" s="272" t="s">
        <v>117</v>
      </c>
      <c r="C270" s="272"/>
      <c r="D270" s="272"/>
      <c r="E270" s="272"/>
      <c r="F270" s="272"/>
      <c r="G270" s="272"/>
      <c r="H270" s="383"/>
      <c r="I270" s="383"/>
      <c r="J270" s="383"/>
      <c r="K270" s="383"/>
      <c r="L270" s="383"/>
      <c r="M270" s="383"/>
      <c r="N270" s="383"/>
      <c r="O270" s="383"/>
      <c r="P270" s="383"/>
      <c r="Q270" s="383"/>
      <c r="R270" s="324">
        <f>SUM(R261:R269)</f>
        <v>167</v>
      </c>
      <c r="S270" s="381">
        <f>SUM(S261:S269)</f>
        <v>1.0000000000000002</v>
      </c>
      <c r="T270" s="325">
        <f>SUM(T261:T269)</f>
        <v>25123</v>
      </c>
      <c r="U270" s="381">
        <f>SUM(U261:U269)</f>
        <v>1</v>
      </c>
      <c r="V270" s="272"/>
      <c r="W270" s="304"/>
      <c r="X270" s="5"/>
    </row>
    <row r="271" spans="1:24" ht="15.6" x14ac:dyDescent="0.3">
      <c r="A271" s="175"/>
      <c r="B271" s="321"/>
      <c r="C271" s="321"/>
      <c r="D271" s="321"/>
      <c r="E271" s="321"/>
      <c r="F271" s="321"/>
      <c r="G271" s="321"/>
      <c r="H271" s="377"/>
      <c r="I271" s="377"/>
      <c r="J271" s="377"/>
      <c r="K271" s="377"/>
      <c r="L271" s="377"/>
      <c r="M271" s="377"/>
      <c r="N271" s="377"/>
      <c r="O271" s="377"/>
      <c r="P271" s="377"/>
      <c r="Q271" s="377"/>
      <c r="R271" s="322"/>
      <c r="S271" s="378"/>
      <c r="T271" s="379"/>
      <c r="U271" s="378"/>
      <c r="V271" s="321"/>
      <c r="W271" s="321"/>
      <c r="X271" s="5"/>
    </row>
    <row r="272" spans="1:24" ht="15.6" x14ac:dyDescent="0.3">
      <c r="A272" s="256"/>
      <c r="B272" s="253" t="s">
        <v>166</v>
      </c>
      <c r="C272" s="257"/>
      <c r="D272" s="257"/>
      <c r="E272" s="257"/>
      <c r="F272" s="257"/>
      <c r="G272" s="257"/>
      <c r="H272" s="259"/>
      <c r="I272" s="259"/>
      <c r="J272" s="259"/>
      <c r="K272" s="259"/>
      <c r="L272" s="259"/>
      <c r="M272" s="259"/>
      <c r="N272" s="259"/>
      <c r="O272" s="259"/>
      <c r="P272" s="259"/>
      <c r="Q272" s="259"/>
      <c r="R272" s="255" t="s">
        <v>103</v>
      </c>
      <c r="S272" s="254" t="s">
        <v>104</v>
      </c>
      <c r="T272" s="255" t="s">
        <v>111</v>
      </c>
      <c r="U272" s="254" t="s">
        <v>104</v>
      </c>
      <c r="V272" s="257"/>
      <c r="W272" s="258"/>
      <c r="X272" s="5"/>
    </row>
    <row r="273" spans="1:24" ht="15.6" x14ac:dyDescent="0.3">
      <c r="A273" s="192"/>
      <c r="B273" s="231" t="s">
        <v>89</v>
      </c>
      <c r="C273" s="229"/>
      <c r="D273" s="229"/>
      <c r="E273" s="229"/>
      <c r="F273" s="229"/>
      <c r="G273" s="229"/>
      <c r="H273" s="262"/>
      <c r="I273" s="262"/>
      <c r="J273" s="262"/>
      <c r="K273" s="262"/>
      <c r="L273" s="262"/>
      <c r="M273" s="262"/>
      <c r="N273" s="262"/>
      <c r="O273" s="262"/>
      <c r="P273" s="262"/>
      <c r="Q273" s="262"/>
      <c r="R273" s="231">
        <v>0</v>
      </c>
      <c r="S273" s="261">
        <v>0</v>
      </c>
      <c r="T273" s="238">
        <v>0</v>
      </c>
      <c r="U273" s="261">
        <v>0</v>
      </c>
      <c r="V273" s="229"/>
      <c r="W273" s="229"/>
      <c r="X273" s="5"/>
    </row>
    <row r="274" spans="1:24" ht="15.6" x14ac:dyDescent="0.3">
      <c r="A274" s="271"/>
      <c r="B274" s="324" t="s">
        <v>90</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91</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159</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160</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161</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162</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t="s">
        <v>163</v>
      </c>
      <c r="C280" s="272"/>
      <c r="D280" s="272"/>
      <c r="E280" s="272"/>
      <c r="F280" s="272"/>
      <c r="G280" s="272"/>
      <c r="H280" s="383"/>
      <c r="I280" s="383"/>
      <c r="J280" s="383"/>
      <c r="K280" s="383"/>
      <c r="L280" s="383"/>
      <c r="M280" s="383"/>
      <c r="N280" s="383"/>
      <c r="O280" s="383"/>
      <c r="P280" s="383"/>
      <c r="Q280" s="383"/>
      <c r="R280" s="324">
        <v>0</v>
      </c>
      <c r="S280" s="381">
        <v>0</v>
      </c>
      <c r="T280" s="325">
        <v>0</v>
      </c>
      <c r="U280" s="381">
        <v>0</v>
      </c>
      <c r="V280" s="272"/>
      <c r="W280" s="275"/>
      <c r="X280" s="5"/>
    </row>
    <row r="281" spans="1:24" ht="15.6" x14ac:dyDescent="0.3">
      <c r="A281" s="271"/>
      <c r="B281" s="324"/>
      <c r="C281" s="272"/>
      <c r="D281" s="272"/>
      <c r="E281" s="272"/>
      <c r="F281" s="272"/>
      <c r="G281" s="272"/>
      <c r="H281" s="383"/>
      <c r="I281" s="383"/>
      <c r="J281" s="383"/>
      <c r="K281" s="383"/>
      <c r="L281" s="383"/>
      <c r="M281" s="383"/>
      <c r="N281" s="383"/>
      <c r="O281" s="383"/>
      <c r="P281" s="383"/>
      <c r="Q281" s="383"/>
      <c r="R281" s="324"/>
      <c r="S281" s="381"/>
      <c r="T281" s="325"/>
      <c r="U281" s="381"/>
      <c r="V281" s="272"/>
      <c r="W281" s="275"/>
      <c r="X281" s="5"/>
    </row>
    <row r="282" spans="1:24" ht="15.6" x14ac:dyDescent="0.3">
      <c r="A282" s="271"/>
      <c r="B282" s="272" t="s">
        <v>117</v>
      </c>
      <c r="C282" s="272"/>
      <c r="D282" s="272"/>
      <c r="E282" s="272"/>
      <c r="F282" s="272"/>
      <c r="G282" s="272"/>
      <c r="H282" s="383"/>
      <c r="I282" s="383"/>
      <c r="J282" s="383"/>
      <c r="K282" s="383"/>
      <c r="L282" s="383"/>
      <c r="M282" s="383"/>
      <c r="N282" s="383"/>
      <c r="O282" s="383"/>
      <c r="P282" s="383"/>
      <c r="Q282" s="383"/>
      <c r="R282" s="324">
        <f>SUM(R273:R280)</f>
        <v>0</v>
      </c>
      <c r="S282" s="381">
        <f>SUM(S273:S280)</f>
        <v>0</v>
      </c>
      <c r="T282" s="325">
        <f>SUM(T273:T280)</f>
        <v>0</v>
      </c>
      <c r="U282" s="381">
        <f>SUM(U273:U280)</f>
        <v>0</v>
      </c>
      <c r="V282" s="272"/>
      <c r="W282" s="275"/>
      <c r="X282" s="5"/>
    </row>
    <row r="283" spans="1:24" ht="15.6" x14ac:dyDescent="0.3">
      <c r="A283" s="271"/>
      <c r="B283" s="272"/>
      <c r="C283" s="272"/>
      <c r="D283" s="272"/>
      <c r="E283" s="272"/>
      <c r="F283" s="272"/>
      <c r="G283" s="272"/>
      <c r="H283" s="383"/>
      <c r="I283" s="383"/>
      <c r="J283" s="383"/>
      <c r="K283" s="383"/>
      <c r="L283" s="383"/>
      <c r="M283" s="383"/>
      <c r="N283" s="383"/>
      <c r="O283" s="383"/>
      <c r="P283" s="383"/>
      <c r="Q283" s="383"/>
      <c r="R283" s="324"/>
      <c r="S283" s="381"/>
      <c r="T283" s="325"/>
      <c r="U283" s="381"/>
      <c r="V283" s="272"/>
      <c r="W283" s="275"/>
      <c r="X283" s="5"/>
    </row>
    <row r="284" spans="1:24" ht="15.6" x14ac:dyDescent="0.3">
      <c r="A284" s="271"/>
      <c r="B284" s="279" t="s">
        <v>167</v>
      </c>
      <c r="C284" s="272"/>
      <c r="D284" s="272"/>
      <c r="E284" s="272"/>
      <c r="F284" s="272"/>
      <c r="G284" s="272"/>
      <c r="H284" s="383"/>
      <c r="I284" s="383"/>
      <c r="J284" s="383"/>
      <c r="K284" s="383"/>
      <c r="L284" s="383"/>
      <c r="M284" s="383"/>
      <c r="N284" s="383"/>
      <c r="O284" s="383"/>
      <c r="P284" s="383"/>
      <c r="Q284" s="383"/>
      <c r="R284" s="390">
        <f>R282+R270+R258</f>
        <v>7307</v>
      </c>
      <c r="S284" s="381"/>
      <c r="T284" s="387">
        <f>+T282+T270+T258</f>
        <v>936950</v>
      </c>
      <c r="U284" s="381"/>
      <c r="V284" s="272"/>
      <c r="W284" s="275"/>
      <c r="X284" s="5"/>
    </row>
    <row r="285" spans="1:24" ht="15.6" x14ac:dyDescent="0.3">
      <c r="A285" s="175"/>
      <c r="B285" s="268"/>
      <c r="C285" s="268"/>
      <c r="D285" s="268"/>
      <c r="E285" s="268"/>
      <c r="F285" s="268"/>
      <c r="G285" s="268"/>
      <c r="H285" s="384"/>
      <c r="I285" s="384"/>
      <c r="J285" s="384"/>
      <c r="K285" s="384"/>
      <c r="L285" s="384"/>
      <c r="M285" s="384"/>
      <c r="N285" s="384"/>
      <c r="O285" s="384"/>
      <c r="P285" s="384"/>
      <c r="Q285" s="384"/>
      <c r="R285" s="384"/>
      <c r="S285" s="384"/>
      <c r="T285" s="385"/>
      <c r="U285" s="384"/>
      <c r="V285" s="268"/>
      <c r="W285" s="268"/>
      <c r="X285" s="5"/>
    </row>
    <row r="286" spans="1:24" ht="15.6" x14ac:dyDescent="0.3">
      <c r="A286" s="175"/>
      <c r="B286" s="220"/>
      <c r="C286" s="220"/>
      <c r="D286" s="220"/>
      <c r="E286" s="220"/>
      <c r="F286" s="220"/>
      <c r="G286" s="220"/>
      <c r="H286" s="263"/>
      <c r="I286" s="263"/>
      <c r="J286" s="263"/>
      <c r="K286" s="263"/>
      <c r="L286" s="263"/>
      <c r="M286" s="263"/>
      <c r="N286" s="263"/>
      <c r="O286" s="263"/>
      <c r="P286" s="263"/>
      <c r="Q286" s="263"/>
      <c r="R286" s="263"/>
      <c r="S286" s="263"/>
      <c r="T286" s="264"/>
      <c r="U286" s="263"/>
      <c r="V286" s="220"/>
      <c r="W286" s="220"/>
      <c r="X286" s="5"/>
    </row>
    <row r="287" spans="1:24" ht="15.6" x14ac:dyDescent="0.3">
      <c r="A287" s="216"/>
      <c r="B287" s="219" t="s">
        <v>92</v>
      </c>
      <c r="C287" s="220"/>
      <c r="D287" s="220"/>
      <c r="E287" s="220"/>
      <c r="F287" s="224" t="s">
        <v>98</v>
      </c>
      <c r="G287" s="220"/>
      <c r="H287" s="219" t="s">
        <v>100</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335</v>
      </c>
      <c r="C288" s="220"/>
      <c r="D288" s="220"/>
      <c r="E288" s="220"/>
      <c r="F288" s="265" t="s">
        <v>151</v>
      </c>
      <c r="G288" s="220"/>
      <c r="H288" s="219" t="s">
        <v>155</v>
      </c>
      <c r="I288" s="219"/>
      <c r="J288" s="219"/>
      <c r="K288" s="227"/>
      <c r="L288" s="227"/>
      <c r="M288" s="227"/>
      <c r="N288" s="227"/>
      <c r="O288" s="227"/>
      <c r="P288" s="227"/>
      <c r="Q288" s="227"/>
      <c r="R288" s="227"/>
      <c r="S288" s="227"/>
      <c r="T288" s="227"/>
      <c r="U288" s="227"/>
      <c r="V288" s="227"/>
      <c r="W288" s="227"/>
      <c r="X288" s="5"/>
    </row>
    <row r="289" spans="1:24" ht="15.6" x14ac:dyDescent="0.3">
      <c r="A289" s="216"/>
      <c r="B289" s="219" t="s">
        <v>336</v>
      </c>
      <c r="C289" s="219"/>
      <c r="D289" s="219"/>
      <c r="E289" s="219"/>
      <c r="F289" s="265" t="s">
        <v>282</v>
      </c>
      <c r="G289" s="219"/>
      <c r="H289" s="219" t="s">
        <v>283</v>
      </c>
      <c r="I289" s="227"/>
      <c r="J289" s="219"/>
      <c r="K289" s="227"/>
      <c r="L289" s="227"/>
      <c r="M289" s="227"/>
      <c r="N289" s="227"/>
      <c r="O289" s="227"/>
      <c r="P289" s="227"/>
      <c r="Q289" s="227"/>
      <c r="R289" s="227"/>
      <c r="S289" s="227"/>
      <c r="T289" s="227"/>
      <c r="U289" s="227"/>
      <c r="V289" s="227"/>
      <c r="W289" s="227"/>
      <c r="X289" s="5"/>
    </row>
    <row r="290" spans="1:24" ht="15.6" x14ac:dyDescent="0.3">
      <c r="A290" s="216"/>
      <c r="B290" s="219" t="s">
        <v>337</v>
      </c>
      <c r="C290" s="219"/>
      <c r="D290" s="219"/>
      <c r="E290" s="219"/>
      <c r="F290" s="265" t="s">
        <v>150</v>
      </c>
      <c r="G290" s="219"/>
      <c r="H290" s="219" t="s">
        <v>156</v>
      </c>
      <c r="I290" s="219"/>
      <c r="J290" s="219"/>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5.6" x14ac:dyDescent="0.3">
      <c r="A292" s="216"/>
      <c r="B292" s="219"/>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ht="18" thickBot="1" x14ac:dyDescent="0.35">
      <c r="A293" s="216"/>
      <c r="B293" s="267" t="str">
        <f>B198</f>
        <v>PM13 INVESTOR REPORT QUARTER ENDING SEPTEMBER 2014</v>
      </c>
      <c r="C293" s="219"/>
      <c r="D293" s="219"/>
      <c r="E293" s="219"/>
      <c r="F293" s="219"/>
      <c r="G293" s="266"/>
      <c r="H293" s="227"/>
      <c r="I293" s="227"/>
      <c r="J293" s="227"/>
      <c r="K293" s="227"/>
      <c r="L293" s="227"/>
      <c r="M293" s="227"/>
      <c r="N293" s="227"/>
      <c r="O293" s="227"/>
      <c r="P293" s="227"/>
      <c r="Q293" s="227"/>
      <c r="R293" s="227"/>
      <c r="S293" s="227"/>
      <c r="T293" s="227"/>
      <c r="U293" s="227"/>
      <c r="V293" s="227"/>
      <c r="W293" s="227"/>
      <c r="X293" s="5"/>
    </row>
    <row r="294" spans="1:24" x14ac:dyDescent="0.25">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row>
  </sheetData>
  <hyperlinks>
    <hyperlink ref="P234" r:id="rId1" xr:uid="{00000000-0004-0000-1F00-000000000000}"/>
    <hyperlink ref="I9" r:id="rId2" xr:uid="{00000000-0004-0000-1F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2" man="1"/>
    <brk id="138" max="22" man="1"/>
    <brk id="198" max="22" man="1"/>
  </row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9CB31"/>
  </sheetPr>
  <dimension ref="A1:Z294"/>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0.64780000000000004</v>
      </c>
      <c r="T16" s="224" t="s">
        <v>143</v>
      </c>
      <c r="U16" s="223">
        <v>0.35220000000000001</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42026</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395"/>
      <c r="B22" s="396"/>
      <c r="C22" s="397"/>
      <c r="D22" s="397" t="s">
        <v>180</v>
      </c>
      <c r="E22" s="397"/>
      <c r="F22" s="397" t="s">
        <v>181</v>
      </c>
      <c r="G22" s="397"/>
      <c r="H22" s="397" t="s">
        <v>182</v>
      </c>
      <c r="I22" s="397"/>
      <c r="J22" s="397" t="s">
        <v>223</v>
      </c>
      <c r="K22" s="397"/>
      <c r="L22" s="397" t="s">
        <v>183</v>
      </c>
      <c r="M22" s="397"/>
      <c r="N22" s="397" t="s">
        <v>184</v>
      </c>
      <c r="O22" s="397"/>
      <c r="P22" s="397" t="s">
        <v>224</v>
      </c>
      <c r="Q22" s="397"/>
      <c r="R22" s="397" t="s">
        <v>185</v>
      </c>
      <c r="S22" s="398"/>
      <c r="T22" s="398"/>
      <c r="U22" s="399"/>
      <c r="V22" s="399"/>
      <c r="W22" s="396"/>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323</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321</v>
      </c>
      <c r="E27" s="389"/>
      <c r="F27" s="389" t="s">
        <v>168</v>
      </c>
      <c r="G27" s="389"/>
      <c r="H27" s="389" t="s">
        <v>168</v>
      </c>
      <c r="I27" s="389"/>
      <c r="J27" s="389" t="s">
        <v>168</v>
      </c>
      <c r="K27" s="389"/>
      <c r="L27" s="389" t="s">
        <v>324</v>
      </c>
      <c r="M27" s="389"/>
      <c r="N27" s="389" t="s">
        <v>324</v>
      </c>
      <c r="O27" s="389"/>
      <c r="P27" s="389" t="s">
        <v>325</v>
      </c>
      <c r="Q27" s="389"/>
      <c r="R27" s="389" t="s">
        <v>325</v>
      </c>
      <c r="S27" s="273"/>
      <c r="T27" s="280"/>
      <c r="U27" s="274"/>
      <c r="V27" s="274"/>
      <c r="W27" s="275"/>
      <c r="X27" s="5"/>
    </row>
    <row r="28" spans="1:24" ht="15.6" x14ac:dyDescent="0.3">
      <c r="A28" s="271"/>
      <c r="B28" s="279" t="s">
        <v>195</v>
      </c>
      <c r="C28" s="273"/>
      <c r="D28" s="389" t="s">
        <v>319</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860171.99999999988</v>
      </c>
      <c r="E32" s="282"/>
      <c r="F32" s="283">
        <f>F31*F38</f>
        <v>71681.225000000006</v>
      </c>
      <c r="G32" s="283"/>
      <c r="H32" s="288">
        <f>H31*H38</f>
        <v>180636.68700000001</v>
      </c>
      <c r="I32" s="288"/>
      <c r="J32" s="287">
        <f>J31*J38</f>
        <v>200706.8</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848625.45000000007</v>
      </c>
      <c r="E33" s="286"/>
      <c r="F33" s="289">
        <f>F37*F31</f>
        <v>70719.025000000009</v>
      </c>
      <c r="G33" s="289"/>
      <c r="H33" s="292">
        <f>H31*H37</f>
        <v>178211.943</v>
      </c>
      <c r="I33" s="292"/>
      <c r="J33" s="291">
        <f>J37*J31</f>
        <v>198012.60500000001</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457538.10265599994</v>
      </c>
      <c r="E35" s="282"/>
      <c r="F35" s="283">
        <f>F34*F38</f>
        <v>71681.225000000006</v>
      </c>
      <c r="G35" s="283"/>
      <c r="H35" s="283">
        <f>H34*H38</f>
        <v>121232.4487682</v>
      </c>
      <c r="I35" s="283"/>
      <c r="J35" s="283">
        <f>J34*J38</f>
        <v>106758.81415999999</v>
      </c>
      <c r="K35" s="283"/>
      <c r="L35" s="283">
        <f>L34*L38</f>
        <v>56000</v>
      </c>
      <c r="M35" s="283"/>
      <c r="N35" s="283">
        <f>N34*N38</f>
        <v>56376</v>
      </c>
      <c r="O35" s="283"/>
      <c r="P35" s="283">
        <f>P34*P38</f>
        <v>13000</v>
      </c>
      <c r="Q35" s="283"/>
      <c r="R35" s="283">
        <f>R34*R38</f>
        <v>54363</v>
      </c>
      <c r="S35" s="283"/>
      <c r="T35" s="283"/>
      <c r="U35" s="284"/>
      <c r="V35" s="283">
        <f>SUM(C35:R35)</f>
        <v>936949.59058419988</v>
      </c>
      <c r="W35" s="285"/>
      <c r="X35" s="5"/>
    </row>
    <row r="36" spans="1:24" ht="15.6" x14ac:dyDescent="0.3">
      <c r="A36" s="276"/>
      <c r="B36" s="279" t="s">
        <v>304</v>
      </c>
      <c r="C36" s="286"/>
      <c r="D36" s="289">
        <f>D34*D37</f>
        <v>451396.32336160005</v>
      </c>
      <c r="E36" s="286"/>
      <c r="F36" s="289">
        <f>F34*F37</f>
        <v>70719.025000000009</v>
      </c>
      <c r="G36" s="289"/>
      <c r="H36" s="289">
        <f>H34*H37</f>
        <v>119605.10684980001</v>
      </c>
      <c r="I36" s="289"/>
      <c r="J36" s="289">
        <f>J34*J37</f>
        <v>105325.733351</v>
      </c>
      <c r="K36" s="289"/>
      <c r="L36" s="289">
        <v>56000</v>
      </c>
      <c r="M36" s="289"/>
      <c r="N36" s="289">
        <v>56376</v>
      </c>
      <c r="O36" s="289"/>
      <c r="P36" s="289">
        <v>13000</v>
      </c>
      <c r="Q36" s="289"/>
      <c r="R36" s="289">
        <v>54363</v>
      </c>
      <c r="S36" s="314"/>
      <c r="T36" s="314"/>
      <c r="U36" s="284"/>
      <c r="V36" s="289">
        <f>SUM(C36:R36)+1</f>
        <v>926786.18856240006</v>
      </c>
      <c r="W36" s="285"/>
      <c r="X36" s="5"/>
    </row>
    <row r="37" spans="1:24" ht="15.6" x14ac:dyDescent="0.3">
      <c r="A37" s="271"/>
      <c r="B37" s="297" t="s">
        <v>133</v>
      </c>
      <c r="C37" s="298"/>
      <c r="D37" s="299">
        <v>0.56575030000000004</v>
      </c>
      <c r="E37" s="300"/>
      <c r="F37" s="299">
        <v>0.56575220000000004</v>
      </c>
      <c r="G37" s="301"/>
      <c r="H37" s="299">
        <v>0.56575220000000004</v>
      </c>
      <c r="I37" s="301"/>
      <c r="J37" s="299">
        <v>0.56575030000000004</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0.57344799999999996</v>
      </c>
      <c r="E38" s="300"/>
      <c r="F38" s="299">
        <v>0.57344980000000001</v>
      </c>
      <c r="G38" s="301"/>
      <c r="H38" s="299">
        <v>0.57344980000000001</v>
      </c>
      <c r="I38" s="301"/>
      <c r="J38" s="299">
        <v>0.57344799999999996</v>
      </c>
      <c r="K38" s="301"/>
      <c r="L38" s="299">
        <v>1</v>
      </c>
      <c r="M38" s="301"/>
      <c r="N38" s="299">
        <v>1</v>
      </c>
      <c r="O38" s="301"/>
      <c r="P38" s="299">
        <v>1</v>
      </c>
      <c r="Q38" s="301"/>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4.0080000000000003E-3</v>
      </c>
      <c r="E40" s="272"/>
      <c r="F40" s="308">
        <v>7.9962999999999996E-3</v>
      </c>
      <c r="G40" s="307"/>
      <c r="H40" s="308">
        <v>3.2200000000000002E-3</v>
      </c>
      <c r="I40" s="308"/>
      <c r="J40" s="308">
        <v>4.1060000000000003E-3</v>
      </c>
      <c r="K40" s="307"/>
      <c r="L40" s="308">
        <v>9.5963000000000003E-3</v>
      </c>
      <c r="M40" s="307"/>
      <c r="N40" s="308">
        <v>4.62E-3</v>
      </c>
      <c r="O40" s="307"/>
      <c r="P40" s="308">
        <v>1.35963E-2</v>
      </c>
      <c r="Q40" s="307"/>
      <c r="R40" s="308">
        <v>8.6199999999999992E-3</v>
      </c>
      <c r="S40" s="307"/>
      <c r="T40" s="308"/>
      <c r="U40" s="274"/>
      <c r="V40" s="280"/>
      <c r="W40" s="275"/>
      <c r="X40" s="5"/>
    </row>
    <row r="41" spans="1:24" ht="15.6" x14ac:dyDescent="0.3">
      <c r="A41" s="271"/>
      <c r="B41" s="272" t="s">
        <v>13</v>
      </c>
      <c r="C41" s="272"/>
      <c r="D41" s="308">
        <v>3.9360000000000003E-3</v>
      </c>
      <c r="E41" s="272"/>
      <c r="F41" s="308">
        <v>7.9749999999999995E-3</v>
      </c>
      <c r="G41" s="307"/>
      <c r="H41" s="308">
        <v>4.4299999999999999E-3</v>
      </c>
      <c r="I41" s="308"/>
      <c r="J41" s="308">
        <v>4.1359999999999999E-3</v>
      </c>
      <c r="K41" s="307"/>
      <c r="L41" s="308">
        <v>9.5750000000000002E-3</v>
      </c>
      <c r="M41" s="307"/>
      <c r="N41" s="308">
        <v>5.8300000000000001E-3</v>
      </c>
      <c r="O41" s="307"/>
      <c r="P41" s="308">
        <v>1.3575E-2</v>
      </c>
      <c r="Q41" s="307"/>
      <c r="R41" s="308">
        <v>9.8300000000000002E-3</v>
      </c>
      <c r="S41" s="307"/>
      <c r="T41" s="308"/>
      <c r="U41" s="274"/>
      <c r="V41" s="307" t="s">
        <v>196</v>
      </c>
      <c r="W41" s="275"/>
      <c r="X41" s="5"/>
    </row>
    <row r="42" spans="1:24" ht="15.6" x14ac:dyDescent="0.3">
      <c r="A42" s="271"/>
      <c r="B42" s="272" t="s">
        <v>300</v>
      </c>
      <c r="C42" s="272"/>
      <c r="D42" s="280" t="s">
        <v>327</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v>8.3583000000000008E-3</v>
      </c>
      <c r="E43" s="308"/>
      <c r="F43" s="308">
        <f>+F40</f>
        <v>7.9962999999999996E-3</v>
      </c>
      <c r="G43" s="308"/>
      <c r="H43" s="308">
        <v>8.2403000000000007E-3</v>
      </c>
      <c r="I43" s="308"/>
      <c r="J43" s="308">
        <v>8.0762999999999998E-3</v>
      </c>
      <c r="K43" s="308"/>
      <c r="L43" s="308">
        <f>+L40</f>
        <v>9.5963000000000003E-3</v>
      </c>
      <c r="M43" s="308"/>
      <c r="N43" s="308">
        <v>9.7762999999999999E-3</v>
      </c>
      <c r="O43" s="308"/>
      <c r="P43" s="308">
        <f>+P40</f>
        <v>1.35963E-2</v>
      </c>
      <c r="Q43" s="307"/>
      <c r="R43" s="308">
        <v>1.39963E-2</v>
      </c>
      <c r="S43" s="280"/>
      <c r="T43" s="280"/>
      <c r="U43" s="274"/>
      <c r="V43" s="307">
        <f>SUMPRODUCT(D43:R43,D35:R35)/V35</f>
        <v>8.8423193630048653E-3</v>
      </c>
      <c r="W43" s="275"/>
      <c r="X43" s="5"/>
    </row>
    <row r="44" spans="1:24" ht="15.6" x14ac:dyDescent="0.3">
      <c r="A44" s="271"/>
      <c r="B44" s="272" t="s">
        <v>302</v>
      </c>
      <c r="C44" s="309"/>
      <c r="D44" s="308">
        <v>8.3370000000000007E-3</v>
      </c>
      <c r="E44" s="308"/>
      <c r="F44" s="308">
        <f>+F41</f>
        <v>7.9749999999999995E-3</v>
      </c>
      <c r="G44" s="308"/>
      <c r="H44" s="308">
        <v>8.2190000000000006E-3</v>
      </c>
      <c r="I44" s="308"/>
      <c r="J44" s="308">
        <v>8.0549999999999997E-3</v>
      </c>
      <c r="K44" s="308"/>
      <c r="L44" s="308">
        <f>+L41</f>
        <v>9.5750000000000002E-3</v>
      </c>
      <c r="M44" s="308"/>
      <c r="N44" s="308">
        <v>9.7549999999999998E-3</v>
      </c>
      <c r="O44" s="308"/>
      <c r="P44" s="308">
        <f>+P41</f>
        <v>1.3575E-2</v>
      </c>
      <c r="Q44" s="307"/>
      <c r="R44" s="308">
        <v>1.3975E-2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328</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0.2405995810592193</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42019</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92</v>
      </c>
      <c r="S57" s="318"/>
      <c r="T57" s="319">
        <v>41835</v>
      </c>
      <c r="U57" s="320"/>
      <c r="V57" s="319">
        <v>41926</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92</v>
      </c>
      <c r="S58" s="272"/>
      <c r="T58" s="319">
        <v>41927</v>
      </c>
      <c r="U58" s="320"/>
      <c r="V58" s="319">
        <v>42018</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42006</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344</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936950</v>
      </c>
      <c r="O68" s="324"/>
      <c r="P68" s="324">
        <f>10164+27+458</f>
        <v>10649</v>
      </c>
      <c r="Q68" s="324"/>
      <c r="R68" s="324">
        <f>27+458</f>
        <v>485</v>
      </c>
      <c r="S68" s="324"/>
      <c r="T68" s="324">
        <v>0</v>
      </c>
      <c r="U68" s="324"/>
      <c r="V68" s="325">
        <f>+N68-P68+R68-T68</f>
        <v>926786</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936950</v>
      </c>
      <c r="O71" s="324"/>
      <c r="P71" s="324">
        <f>SUM(P68:P70)</f>
        <v>10649</v>
      </c>
      <c r="Q71" s="324"/>
      <c r="R71" s="324">
        <f>SUM(R68:R70)</f>
        <v>485</v>
      </c>
      <c r="S71" s="324"/>
      <c r="T71" s="324">
        <f>SUM(T68:T70)</f>
        <v>0</v>
      </c>
      <c r="U71" s="324"/>
      <c r="V71" s="324">
        <f>SUM(V68:V70)</f>
        <v>926786</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936950</v>
      </c>
      <c r="O84" s="328"/>
      <c r="P84" s="328"/>
      <c r="Q84" s="328"/>
      <c r="R84" s="328"/>
      <c r="S84" s="328"/>
      <c r="T84" s="328"/>
      <c r="U84" s="328"/>
      <c r="V84" s="328">
        <f>SUM(V71:V83)</f>
        <v>926786</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+T199</f>
        <v>42004</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10649-353</f>
        <v>10296</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4478+2571-1084-672</f>
        <v>5293</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182+156</f>
        <v>338</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43</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313</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10296</v>
      </c>
      <c r="U96" s="272"/>
      <c r="V96" s="324">
        <f>SUM(V88:V95)</f>
        <v>5987</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0</v>
      </c>
      <c r="U97" s="272"/>
      <c r="V97" s="324">
        <v>0</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-120</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10296</v>
      </c>
      <c r="U100" s="272"/>
      <c r="V100" s="324">
        <f>V96+V98+V97+V99</f>
        <v>5867</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331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343" t="s">
        <v>332</v>
      </c>
      <c r="C104" s="272"/>
      <c r="D104" s="272"/>
      <c r="E104" s="272"/>
      <c r="F104" s="272"/>
      <c r="G104" s="272"/>
      <c r="H104" s="272"/>
      <c r="I104" s="272"/>
      <c r="J104" s="272"/>
      <c r="K104" s="272"/>
      <c r="L104" s="272"/>
      <c r="M104" s="272"/>
      <c r="N104" s="272"/>
      <c r="O104" s="272"/>
      <c r="P104" s="272"/>
      <c r="Q104" s="272"/>
      <c r="R104" s="272"/>
      <c r="S104" s="272"/>
      <c r="T104" s="272"/>
      <c r="U104" s="272"/>
      <c r="V104" s="325">
        <f>-359-293-12</f>
        <v>-664</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0</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-1577+144</f>
        <v>-1433</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-144</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0</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-139</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-135</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-192</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-44</v>
      </c>
      <c r="W112" s="275"/>
      <c r="X112" s="5"/>
      <c r="Y112" s="109"/>
    </row>
    <row r="113" spans="1:25" ht="15.6" x14ac:dyDescent="0.3">
      <c r="A113" s="392">
        <v>7</v>
      </c>
      <c r="B113" s="343" t="s">
        <v>333</v>
      </c>
      <c r="C113" s="343"/>
      <c r="D113" s="343"/>
      <c r="E113" s="343"/>
      <c r="F113" s="343"/>
      <c r="G113" s="272"/>
      <c r="H113" s="272"/>
      <c r="I113" s="272"/>
      <c r="J113" s="272"/>
      <c r="K113" s="272"/>
      <c r="L113" s="272"/>
      <c r="M113" s="272"/>
      <c r="N113" s="272"/>
      <c r="O113" s="272"/>
      <c r="P113" s="272"/>
      <c r="Q113" s="272"/>
      <c r="R113" s="272"/>
      <c r="S113" s="272"/>
      <c r="T113" s="272"/>
      <c r="U113" s="272"/>
      <c r="V113" s="325">
        <v>0</v>
      </c>
      <c r="W113" s="275"/>
      <c r="X113" s="5"/>
      <c r="Y113" s="109"/>
    </row>
    <row r="114" spans="1:25" ht="15.6" x14ac:dyDescent="0.3">
      <c r="A114" s="338">
        <f t="shared" ref="A114:A121" si="0">+A113+1</f>
        <v>8</v>
      </c>
      <c r="B114" s="272" t="s">
        <v>35</v>
      </c>
      <c r="C114" s="272"/>
      <c r="D114" s="272"/>
      <c r="E114" s="272"/>
      <c r="F114" s="272"/>
      <c r="G114" s="272"/>
      <c r="H114" s="272"/>
      <c r="I114" s="272"/>
      <c r="J114" s="272"/>
      <c r="K114" s="272"/>
      <c r="L114" s="272"/>
      <c r="M114" s="272"/>
      <c r="N114" s="272"/>
      <c r="O114" s="272"/>
      <c r="P114" s="272"/>
      <c r="Q114" s="272"/>
      <c r="R114" s="272"/>
      <c r="S114" s="272"/>
      <c r="T114" s="272"/>
      <c r="U114" s="272"/>
      <c r="V114" s="325">
        <v>-10</v>
      </c>
      <c r="W114" s="275"/>
      <c r="X114" s="5"/>
    </row>
    <row r="115" spans="1:25" ht="15.6" x14ac:dyDescent="0.3">
      <c r="A115" s="338">
        <f t="shared" si="0"/>
        <v>9</v>
      </c>
      <c r="B115" s="272" t="s">
        <v>45</v>
      </c>
      <c r="C115" s="272"/>
      <c r="D115" s="272"/>
      <c r="E115" s="272"/>
      <c r="F115" s="272"/>
      <c r="G115" s="272"/>
      <c r="H115" s="272"/>
      <c r="I115" s="272"/>
      <c r="J115" s="272"/>
      <c r="K115" s="272"/>
      <c r="L115" s="272"/>
      <c r="M115" s="272"/>
      <c r="N115" s="272"/>
      <c r="O115" s="272"/>
      <c r="P115" s="272"/>
      <c r="Q115" s="272"/>
      <c r="R115" s="272"/>
      <c r="S115" s="272"/>
      <c r="T115" s="324">
        <f>-V115</f>
        <v>353</v>
      </c>
      <c r="U115" s="272"/>
      <c r="V115" s="325">
        <v>-353</v>
      </c>
      <c r="W115" s="275"/>
      <c r="X115" s="5"/>
    </row>
    <row r="116" spans="1:25" ht="15.6" x14ac:dyDescent="0.3">
      <c r="A116" s="338">
        <f t="shared" si="0"/>
        <v>10</v>
      </c>
      <c r="B116" s="272" t="s">
        <v>128</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5" ht="15.6" x14ac:dyDescent="0.3">
      <c r="A117" s="338">
        <f t="shared" si="0"/>
        <v>11</v>
      </c>
      <c r="B117" s="272" t="s">
        <v>271</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5" ht="15.6" x14ac:dyDescent="0.3">
      <c r="A118" s="338">
        <f t="shared" si="0"/>
        <v>12</v>
      </c>
      <c r="B118" s="272" t="s">
        <v>36</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5" ht="15.6" x14ac:dyDescent="0.3">
      <c r="A119" s="338">
        <f t="shared" si="0"/>
        <v>13</v>
      </c>
      <c r="B119" s="272" t="s">
        <v>270</v>
      </c>
      <c r="C119" s="272"/>
      <c r="D119" s="272"/>
      <c r="E119" s="272"/>
      <c r="F119" s="272"/>
      <c r="G119" s="272"/>
      <c r="H119" s="272"/>
      <c r="I119" s="272"/>
      <c r="J119" s="272"/>
      <c r="K119" s="272"/>
      <c r="L119" s="272"/>
      <c r="M119" s="272"/>
      <c r="N119" s="272"/>
      <c r="O119" s="272"/>
      <c r="P119" s="272"/>
      <c r="Q119" s="272"/>
      <c r="R119" s="272"/>
      <c r="S119" s="272"/>
      <c r="T119" s="272"/>
      <c r="U119" s="272"/>
      <c r="V119" s="325">
        <v>0</v>
      </c>
      <c r="W119" s="275"/>
      <c r="X119" s="5"/>
    </row>
    <row r="120" spans="1:25" ht="15.6" x14ac:dyDescent="0.3">
      <c r="A120" s="338">
        <f t="shared" si="0"/>
        <v>14</v>
      </c>
      <c r="B120" s="272" t="s">
        <v>152</v>
      </c>
      <c r="C120" s="272"/>
      <c r="D120" s="272"/>
      <c r="E120" s="272"/>
      <c r="F120" s="272"/>
      <c r="G120" s="272"/>
      <c r="H120" s="272"/>
      <c r="I120" s="272"/>
      <c r="J120" s="272"/>
      <c r="K120" s="272"/>
      <c r="L120" s="272"/>
      <c r="M120" s="272"/>
      <c r="N120" s="272"/>
      <c r="O120" s="272"/>
      <c r="P120" s="272"/>
      <c r="Q120" s="272"/>
      <c r="R120" s="272"/>
      <c r="S120" s="272"/>
      <c r="T120" s="272"/>
      <c r="U120" s="272"/>
      <c r="V120" s="325">
        <v>-359</v>
      </c>
      <c r="W120" s="275"/>
      <c r="X120" s="5"/>
    </row>
    <row r="121" spans="1:25" ht="15.6" x14ac:dyDescent="0.3">
      <c r="A121" s="338">
        <f t="shared" si="0"/>
        <v>15</v>
      </c>
      <c r="B121" s="272" t="s">
        <v>129</v>
      </c>
      <c r="C121" s="272"/>
      <c r="D121" s="272"/>
      <c r="E121" s="272"/>
      <c r="F121" s="272"/>
      <c r="G121" s="272"/>
      <c r="H121" s="272"/>
      <c r="I121" s="272"/>
      <c r="J121" s="272"/>
      <c r="K121" s="272"/>
      <c r="L121" s="272"/>
      <c r="M121" s="272"/>
      <c r="N121" s="272"/>
      <c r="O121" s="272"/>
      <c r="P121" s="272"/>
      <c r="Q121" s="272"/>
      <c r="R121" s="272"/>
      <c r="S121" s="272"/>
      <c r="T121" s="272"/>
      <c r="U121" s="272"/>
      <c r="V121" s="325">
        <f>-V100-SUM(V102:V120)</f>
        <v>-2392</v>
      </c>
      <c r="W121" s="275"/>
      <c r="X121" s="5"/>
    </row>
    <row r="122" spans="1:25" ht="15.6" x14ac:dyDescent="0.3">
      <c r="A122" s="271"/>
      <c r="B122" s="335" t="s">
        <v>37</v>
      </c>
      <c r="C122" s="298"/>
      <c r="D122" s="298"/>
      <c r="E122" s="298"/>
      <c r="F122" s="298"/>
      <c r="G122" s="298"/>
      <c r="H122" s="298"/>
      <c r="I122" s="298"/>
      <c r="J122" s="298"/>
      <c r="K122" s="298"/>
      <c r="L122" s="298"/>
      <c r="M122" s="298"/>
      <c r="N122" s="298"/>
      <c r="O122" s="298"/>
      <c r="P122" s="298"/>
      <c r="Q122" s="298"/>
      <c r="R122" s="298"/>
      <c r="S122" s="298"/>
      <c r="T122" s="298"/>
      <c r="U122" s="298"/>
      <c r="V122" s="339"/>
      <c r="W122" s="304"/>
      <c r="X122" s="5"/>
    </row>
    <row r="123" spans="1:25" ht="15.6" x14ac:dyDescent="0.3">
      <c r="A123" s="338"/>
      <c r="B123" s="272" t="s">
        <v>176</v>
      </c>
      <c r="C123" s="272"/>
      <c r="D123" s="272"/>
      <c r="E123" s="272"/>
      <c r="F123" s="272"/>
      <c r="G123" s="272"/>
      <c r="H123" s="272"/>
      <c r="I123" s="272"/>
      <c r="J123" s="272"/>
      <c r="K123" s="272"/>
      <c r="L123" s="272"/>
      <c r="M123" s="272"/>
      <c r="N123" s="272"/>
      <c r="O123" s="272"/>
      <c r="P123" s="272"/>
      <c r="Q123" s="272"/>
      <c r="R123" s="272"/>
      <c r="S123" s="272"/>
      <c r="T123" s="324">
        <f>-T183</f>
        <v>0</v>
      </c>
      <c r="U123" s="324"/>
      <c r="V123" s="325"/>
      <c r="W123" s="275"/>
      <c r="X123" s="5"/>
    </row>
    <row r="124" spans="1:25" ht="15.6" x14ac:dyDescent="0.3">
      <c r="A124" s="338"/>
      <c r="B124" s="272" t="s">
        <v>177</v>
      </c>
      <c r="C124" s="272"/>
      <c r="D124" s="272"/>
      <c r="E124" s="272"/>
      <c r="F124" s="272"/>
      <c r="G124" s="272"/>
      <c r="H124" s="272"/>
      <c r="I124" s="272"/>
      <c r="J124" s="272"/>
      <c r="K124" s="272"/>
      <c r="L124" s="272"/>
      <c r="M124" s="272"/>
      <c r="N124" s="272"/>
      <c r="O124" s="272"/>
      <c r="P124" s="272"/>
      <c r="Q124" s="272"/>
      <c r="R124" s="272"/>
      <c r="S124" s="272"/>
      <c r="T124" s="324">
        <v>0</v>
      </c>
      <c r="U124" s="324"/>
      <c r="V124" s="325"/>
      <c r="W124" s="275"/>
      <c r="X124" s="5"/>
    </row>
    <row r="125" spans="1:25" ht="15.6" x14ac:dyDescent="0.3">
      <c r="A125" s="338"/>
      <c r="B125" s="272" t="s">
        <v>38</v>
      </c>
      <c r="C125" s="272"/>
      <c r="D125" s="272"/>
      <c r="E125" s="272"/>
      <c r="F125" s="272"/>
      <c r="G125" s="272"/>
      <c r="H125" s="272"/>
      <c r="I125" s="272"/>
      <c r="J125" s="272"/>
      <c r="K125" s="272"/>
      <c r="L125" s="272"/>
      <c r="M125" s="272"/>
      <c r="N125" s="272"/>
      <c r="O125" s="272"/>
      <c r="P125" s="272"/>
      <c r="Q125" s="272"/>
      <c r="R125" s="272"/>
      <c r="S125" s="272"/>
      <c r="T125" s="324">
        <f>-S183</f>
        <v>-485</v>
      </c>
      <c r="U125" s="324"/>
      <c r="V125" s="325"/>
      <c r="W125" s="275"/>
      <c r="X125" s="5"/>
    </row>
    <row r="126" spans="1:25" ht="15.6" x14ac:dyDescent="0.3">
      <c r="A126" s="338"/>
      <c r="B126" s="272" t="s">
        <v>200</v>
      </c>
      <c r="C126" s="272"/>
      <c r="D126" s="272"/>
      <c r="E126" s="272"/>
      <c r="F126" s="272"/>
      <c r="G126" s="272"/>
      <c r="H126" s="272"/>
      <c r="I126" s="272"/>
      <c r="J126" s="272"/>
      <c r="K126" s="272"/>
      <c r="L126" s="272"/>
      <c r="M126" s="272"/>
      <c r="N126" s="272"/>
      <c r="O126" s="272"/>
      <c r="P126" s="272"/>
      <c r="Q126" s="272"/>
      <c r="R126" s="272"/>
      <c r="S126" s="272"/>
      <c r="T126" s="324">
        <v>-6142</v>
      </c>
      <c r="U126" s="324"/>
      <c r="V126" s="325"/>
      <c r="W126" s="275"/>
      <c r="X126" s="5"/>
    </row>
    <row r="127" spans="1:25" ht="15.6" x14ac:dyDescent="0.3">
      <c r="A127" s="338"/>
      <c r="B127" s="272" t="s">
        <v>198</v>
      </c>
      <c r="C127" s="272"/>
      <c r="D127" s="272"/>
      <c r="E127" s="272"/>
      <c r="F127" s="272"/>
      <c r="G127" s="272"/>
      <c r="H127" s="272"/>
      <c r="I127" s="272"/>
      <c r="J127" s="272"/>
      <c r="K127" s="272"/>
      <c r="L127" s="272"/>
      <c r="M127" s="272"/>
      <c r="N127" s="272"/>
      <c r="O127" s="272"/>
      <c r="P127" s="272"/>
      <c r="Q127" s="272"/>
      <c r="R127" s="272"/>
      <c r="S127" s="272"/>
      <c r="T127" s="324">
        <v>-962</v>
      </c>
      <c r="U127" s="324"/>
      <c r="V127" s="325"/>
      <c r="W127" s="275"/>
      <c r="X127" s="5"/>
    </row>
    <row r="128" spans="1:25" ht="15.6" x14ac:dyDescent="0.3">
      <c r="A128" s="338"/>
      <c r="B128" s="272" t="s">
        <v>197</v>
      </c>
      <c r="C128" s="272"/>
      <c r="D128" s="272"/>
      <c r="E128" s="272"/>
      <c r="F128" s="272"/>
      <c r="G128" s="272"/>
      <c r="H128" s="272"/>
      <c r="I128" s="272"/>
      <c r="J128" s="272"/>
      <c r="K128" s="272"/>
      <c r="L128" s="272"/>
      <c r="M128" s="272"/>
      <c r="N128" s="272"/>
      <c r="O128" s="272"/>
      <c r="P128" s="272"/>
      <c r="Q128" s="272"/>
      <c r="R128" s="272"/>
      <c r="S128" s="272"/>
      <c r="T128" s="324">
        <v>-1627</v>
      </c>
      <c r="U128" s="324"/>
      <c r="V128" s="325"/>
      <c r="W128" s="275"/>
      <c r="X128" s="5"/>
    </row>
    <row r="129" spans="1:24" ht="15.6" x14ac:dyDescent="0.3">
      <c r="A129" s="338"/>
      <c r="B129" s="272" t="s">
        <v>232</v>
      </c>
      <c r="C129" s="272"/>
      <c r="D129" s="272"/>
      <c r="E129" s="272"/>
      <c r="F129" s="272"/>
      <c r="G129" s="272"/>
      <c r="H129" s="272"/>
      <c r="I129" s="272"/>
      <c r="J129" s="272"/>
      <c r="K129" s="272"/>
      <c r="L129" s="272"/>
      <c r="M129" s="272"/>
      <c r="N129" s="272"/>
      <c r="O129" s="272"/>
      <c r="P129" s="272"/>
      <c r="Q129" s="272"/>
      <c r="R129" s="272"/>
      <c r="S129" s="272"/>
      <c r="T129" s="324">
        <v>-1433</v>
      </c>
      <c r="U129" s="324"/>
      <c r="V129" s="325"/>
      <c r="W129" s="275"/>
      <c r="X129" s="5"/>
    </row>
    <row r="130" spans="1:24" ht="15.6" x14ac:dyDescent="0.3">
      <c r="A130" s="338"/>
      <c r="B130" s="272" t="s">
        <v>192</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191</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233</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190</v>
      </c>
      <c r="C133" s="272"/>
      <c r="D133" s="272"/>
      <c r="E133" s="272"/>
      <c r="F133" s="272"/>
      <c r="G133" s="272"/>
      <c r="H133" s="272"/>
      <c r="I133" s="272"/>
      <c r="J133" s="272"/>
      <c r="K133" s="272"/>
      <c r="L133" s="272"/>
      <c r="M133" s="272"/>
      <c r="N133" s="272"/>
      <c r="O133" s="272"/>
      <c r="P133" s="272"/>
      <c r="Q133" s="272"/>
      <c r="R133" s="272"/>
      <c r="S133" s="272"/>
      <c r="T133" s="324">
        <v>0</v>
      </c>
      <c r="U133" s="324"/>
      <c r="V133" s="325"/>
      <c r="W133" s="275"/>
      <c r="X133" s="5"/>
    </row>
    <row r="134" spans="1:24" ht="15.6" x14ac:dyDescent="0.3">
      <c r="A134" s="338"/>
      <c r="B134" s="272" t="s">
        <v>39</v>
      </c>
      <c r="C134" s="272"/>
      <c r="D134" s="272"/>
      <c r="E134" s="272"/>
      <c r="F134" s="272"/>
      <c r="G134" s="272"/>
      <c r="H134" s="272"/>
      <c r="I134" s="272"/>
      <c r="J134" s="272"/>
      <c r="K134" s="272"/>
      <c r="L134" s="272"/>
      <c r="M134" s="272"/>
      <c r="N134" s="272"/>
      <c r="O134" s="272"/>
      <c r="P134" s="272"/>
      <c r="Q134" s="272"/>
      <c r="R134" s="272"/>
      <c r="S134" s="272"/>
      <c r="T134" s="324">
        <f>SUM(T123:T133)</f>
        <v>-10649</v>
      </c>
      <c r="U134" s="324"/>
      <c r="V134" s="324">
        <f>SUM(V101:V131)</f>
        <v>-5867</v>
      </c>
      <c r="W134" s="275"/>
      <c r="X134" s="5"/>
    </row>
    <row r="135" spans="1:24" ht="15.6" x14ac:dyDescent="0.3">
      <c r="A135" s="338"/>
      <c r="B135" s="272" t="s">
        <v>40</v>
      </c>
      <c r="C135" s="272"/>
      <c r="D135" s="272"/>
      <c r="E135" s="272"/>
      <c r="F135" s="272"/>
      <c r="G135" s="272"/>
      <c r="H135" s="272"/>
      <c r="I135" s="272"/>
      <c r="J135" s="272"/>
      <c r="K135" s="272"/>
      <c r="L135" s="272"/>
      <c r="M135" s="272"/>
      <c r="N135" s="272"/>
      <c r="O135" s="272"/>
      <c r="P135" s="272"/>
      <c r="Q135" s="272"/>
      <c r="R135" s="272"/>
      <c r="S135" s="272"/>
      <c r="T135" s="324">
        <f>T100+T134+T115</f>
        <v>0</v>
      </c>
      <c r="U135" s="324"/>
      <c r="V135" s="324">
        <f>V100+V134</f>
        <v>0</v>
      </c>
      <c r="W135" s="275"/>
      <c r="X135" s="5"/>
    </row>
    <row r="136" spans="1:24" ht="15.6" x14ac:dyDescent="0.3">
      <c r="A136" s="242"/>
      <c r="B136" s="268"/>
      <c r="C136" s="268"/>
      <c r="D136" s="268"/>
      <c r="E136" s="268"/>
      <c r="F136" s="268"/>
      <c r="G136" s="268"/>
      <c r="H136" s="268"/>
      <c r="I136" s="268"/>
      <c r="J136" s="268"/>
      <c r="K136" s="268"/>
      <c r="L136" s="268"/>
      <c r="M136" s="268"/>
      <c r="N136" s="268"/>
      <c r="O136" s="268"/>
      <c r="P136" s="268"/>
      <c r="Q136" s="268"/>
      <c r="R136" s="268"/>
      <c r="S136" s="268"/>
      <c r="T136" s="332"/>
      <c r="U136" s="332"/>
      <c r="V136" s="332"/>
      <c r="W136" s="268"/>
      <c r="X136" s="5"/>
    </row>
    <row r="137" spans="1:24" ht="15.6" x14ac:dyDescent="0.3">
      <c r="A137" s="242"/>
      <c r="B137" s="220"/>
      <c r="C137" s="220"/>
      <c r="D137" s="220"/>
      <c r="E137" s="220"/>
      <c r="F137" s="220"/>
      <c r="G137" s="220"/>
      <c r="H137" s="220"/>
      <c r="I137" s="220"/>
      <c r="J137" s="220"/>
      <c r="K137" s="220"/>
      <c r="L137" s="220"/>
      <c r="M137" s="220"/>
      <c r="N137" s="220"/>
      <c r="O137" s="220"/>
      <c r="P137" s="220"/>
      <c r="Q137" s="220"/>
      <c r="R137" s="220"/>
      <c r="S137" s="220"/>
      <c r="T137" s="220"/>
      <c r="U137" s="220"/>
      <c r="V137" s="243"/>
      <c r="W137" s="220"/>
      <c r="X137" s="5"/>
    </row>
    <row r="138" spans="1:24" ht="18" thickBot="1" x14ac:dyDescent="0.35">
      <c r="A138" s="244"/>
      <c r="B138" s="234" t="str">
        <f>B64</f>
        <v>PM13 INVESTOR REPORT QUARTER ENDING DECEMBER 2014</v>
      </c>
      <c r="C138" s="235"/>
      <c r="D138" s="235"/>
      <c r="E138" s="235"/>
      <c r="F138" s="235"/>
      <c r="G138" s="235"/>
      <c r="H138" s="235"/>
      <c r="I138" s="235"/>
      <c r="J138" s="235"/>
      <c r="K138" s="235"/>
      <c r="L138" s="235"/>
      <c r="M138" s="235"/>
      <c r="N138" s="235"/>
      <c r="O138" s="235"/>
      <c r="P138" s="235"/>
      <c r="Q138" s="235"/>
      <c r="R138" s="235"/>
      <c r="S138" s="235"/>
      <c r="T138" s="235"/>
      <c r="U138" s="235"/>
      <c r="V138" s="245"/>
      <c r="W138" s="237"/>
      <c r="X138" s="5"/>
    </row>
    <row r="139" spans="1:24" ht="15.6" x14ac:dyDescent="0.3">
      <c r="A139" s="246"/>
      <c r="B139" s="388" t="s">
        <v>41</v>
      </c>
      <c r="C139" s="247"/>
      <c r="D139" s="247"/>
      <c r="E139" s="247"/>
      <c r="F139" s="247"/>
      <c r="G139" s="247"/>
      <c r="H139" s="247"/>
      <c r="I139" s="247"/>
      <c r="J139" s="247"/>
      <c r="K139" s="247"/>
      <c r="L139" s="247"/>
      <c r="M139" s="247"/>
      <c r="N139" s="247"/>
      <c r="O139" s="247"/>
      <c r="P139" s="247"/>
      <c r="Q139" s="247"/>
      <c r="R139" s="247"/>
      <c r="S139" s="247"/>
      <c r="T139" s="247"/>
      <c r="U139" s="247"/>
      <c r="V139" s="248"/>
      <c r="W139" s="247"/>
      <c r="X139" s="5"/>
    </row>
    <row r="140" spans="1:24" ht="15.6" x14ac:dyDescent="0.3">
      <c r="A140" s="175"/>
      <c r="B140" s="186"/>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175"/>
      <c r="B141" s="203" t="s">
        <v>42</v>
      </c>
      <c r="C141" s="177"/>
      <c r="D141" s="177"/>
      <c r="E141" s="177"/>
      <c r="F141" s="177"/>
      <c r="G141" s="177"/>
      <c r="H141" s="177"/>
      <c r="I141" s="177"/>
      <c r="J141" s="177"/>
      <c r="K141" s="177"/>
      <c r="L141" s="177"/>
      <c r="M141" s="177"/>
      <c r="N141" s="177"/>
      <c r="O141" s="177"/>
      <c r="P141" s="177"/>
      <c r="Q141" s="177"/>
      <c r="R141" s="177"/>
      <c r="S141" s="177"/>
      <c r="T141" s="177"/>
      <c r="U141" s="177"/>
      <c r="V141" s="196"/>
      <c r="W141" s="177"/>
      <c r="X141" s="5"/>
    </row>
    <row r="142" spans="1:24" ht="15.6" x14ac:dyDescent="0.3">
      <c r="A142" s="271"/>
      <c r="B142" s="272" t="s">
        <v>43</v>
      </c>
      <c r="C142" s="272"/>
      <c r="D142" s="272"/>
      <c r="E142" s="272"/>
      <c r="F142" s="272"/>
      <c r="G142" s="272"/>
      <c r="H142" s="272"/>
      <c r="I142" s="272"/>
      <c r="J142" s="272"/>
      <c r="K142" s="272"/>
      <c r="L142" s="272"/>
      <c r="M142" s="272"/>
      <c r="N142" s="272"/>
      <c r="O142" s="272"/>
      <c r="P142" s="272"/>
      <c r="Q142" s="272"/>
      <c r="R142" s="272"/>
      <c r="S142" s="272"/>
      <c r="T142" s="272"/>
      <c r="U142" s="272"/>
      <c r="V142" s="325">
        <f>+V34*0.019</f>
        <v>28503.61</v>
      </c>
      <c r="W142" s="275"/>
      <c r="X142" s="5"/>
    </row>
    <row r="143" spans="1:24" ht="15.6" x14ac:dyDescent="0.3">
      <c r="A143" s="271"/>
      <c r="B143" s="272" t="s">
        <v>44</v>
      </c>
      <c r="C143" s="272"/>
      <c r="D143" s="272"/>
      <c r="E143" s="272"/>
      <c r="F143" s="272"/>
      <c r="G143" s="272"/>
      <c r="H143" s="272"/>
      <c r="I143" s="272"/>
      <c r="J143" s="272"/>
      <c r="K143" s="272"/>
      <c r="L143" s="272"/>
      <c r="M143" s="272"/>
      <c r="N143" s="272"/>
      <c r="O143" s="272"/>
      <c r="P143" s="272"/>
      <c r="Q143" s="272"/>
      <c r="R143" s="272"/>
      <c r="S143" s="272"/>
      <c r="T143" s="272"/>
      <c r="U143" s="272"/>
      <c r="V143" s="325">
        <v>28504</v>
      </c>
      <c r="W143" s="275"/>
      <c r="X143" s="5"/>
    </row>
    <row r="144" spans="1:24" ht="15.6" x14ac:dyDescent="0.3">
      <c r="A144" s="271"/>
      <c r="B144" s="272" t="s">
        <v>139</v>
      </c>
      <c r="C144" s="272"/>
      <c r="D144" s="272"/>
      <c r="E144" s="272"/>
      <c r="F144" s="272"/>
      <c r="G144" s="272"/>
      <c r="H144" s="272"/>
      <c r="I144" s="272"/>
      <c r="J144" s="272"/>
      <c r="K144" s="272"/>
      <c r="L144" s="272"/>
      <c r="M144" s="272"/>
      <c r="N144" s="272"/>
      <c r="O144" s="272"/>
      <c r="P144" s="272"/>
      <c r="Q144" s="272"/>
      <c r="R144" s="272"/>
      <c r="S144" s="272"/>
      <c r="T144" s="272"/>
      <c r="U144" s="272"/>
      <c r="V144" s="325"/>
      <c r="W144" s="275"/>
      <c r="X144" s="5"/>
    </row>
    <row r="145" spans="1:25" ht="15.6" x14ac:dyDescent="0.3">
      <c r="A145" s="271"/>
      <c r="B145" s="272" t="s">
        <v>126</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127</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178</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45</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132</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row>
    <row r="150" spans="1:25" ht="15.6" x14ac:dyDescent="0.3">
      <c r="A150" s="271"/>
      <c r="B150" s="272" t="s">
        <v>267</v>
      </c>
      <c r="C150" s="272"/>
      <c r="D150" s="272"/>
      <c r="E150" s="272"/>
      <c r="F150" s="272"/>
      <c r="G150" s="272"/>
      <c r="H150" s="272"/>
      <c r="I150" s="272"/>
      <c r="J150" s="272"/>
      <c r="K150" s="272"/>
      <c r="L150" s="272"/>
      <c r="M150" s="272"/>
      <c r="N150" s="272"/>
      <c r="O150" s="272"/>
      <c r="P150" s="272"/>
      <c r="Q150" s="272"/>
      <c r="R150" s="272"/>
      <c r="S150" s="272"/>
      <c r="T150" s="272"/>
      <c r="U150" s="272"/>
      <c r="V150" s="325">
        <v>0</v>
      </c>
      <c r="W150" s="275"/>
      <c r="X150" s="5"/>
      <c r="Y150" s="109"/>
    </row>
    <row r="151" spans="1:25" ht="15.6" x14ac:dyDescent="0.3">
      <c r="A151" s="271"/>
      <c r="B151" s="272" t="s">
        <v>46</v>
      </c>
      <c r="C151" s="272"/>
      <c r="D151" s="272"/>
      <c r="E151" s="272"/>
      <c r="F151" s="272"/>
      <c r="G151" s="272"/>
      <c r="H151" s="272"/>
      <c r="I151" s="272"/>
      <c r="J151" s="272"/>
      <c r="K151" s="272"/>
      <c r="L151" s="272"/>
      <c r="M151" s="272"/>
      <c r="N151" s="272"/>
      <c r="O151" s="272"/>
      <c r="P151" s="272"/>
      <c r="Q151" s="272"/>
      <c r="R151" s="272"/>
      <c r="S151" s="272"/>
      <c r="T151" s="272"/>
      <c r="U151" s="272"/>
      <c r="V151" s="325">
        <f>SUM(V143:V150)</f>
        <v>28504</v>
      </c>
      <c r="W151" s="275"/>
      <c r="X151" s="5"/>
    </row>
    <row r="152" spans="1:25" ht="15.6" x14ac:dyDescent="0.3">
      <c r="A152" s="271"/>
      <c r="B152" s="298"/>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335" t="s">
        <v>268</v>
      </c>
      <c r="C153" s="298"/>
      <c r="D153" s="298"/>
      <c r="E153" s="298"/>
      <c r="F153" s="298"/>
      <c r="G153" s="298"/>
      <c r="H153" s="298"/>
      <c r="I153" s="298"/>
      <c r="J153" s="298"/>
      <c r="K153" s="298"/>
      <c r="L153" s="298"/>
      <c r="M153" s="298"/>
      <c r="N153" s="298"/>
      <c r="O153" s="298"/>
      <c r="P153" s="298"/>
      <c r="Q153" s="298"/>
      <c r="R153" s="298"/>
      <c r="S153" s="298"/>
      <c r="T153" s="298"/>
      <c r="U153" s="298"/>
      <c r="V153" s="337"/>
      <c r="W153" s="304"/>
      <c r="X153" s="5"/>
    </row>
    <row r="154" spans="1:25" ht="15.6" x14ac:dyDescent="0.3">
      <c r="A154" s="271"/>
      <c r="B154" s="272" t="s">
        <v>158</v>
      </c>
      <c r="C154" s="272"/>
      <c r="D154" s="272"/>
      <c r="E154" s="272"/>
      <c r="F154" s="272"/>
      <c r="G154" s="272"/>
      <c r="H154" s="272"/>
      <c r="I154" s="272"/>
      <c r="J154" s="272"/>
      <c r="K154" s="272"/>
      <c r="L154" s="272"/>
      <c r="M154" s="272"/>
      <c r="N154" s="272"/>
      <c r="O154" s="272"/>
      <c r="P154" s="272"/>
      <c r="Q154" s="272"/>
      <c r="R154" s="272"/>
      <c r="S154" s="272"/>
      <c r="T154" s="272"/>
      <c r="U154" s="272"/>
      <c r="V154" s="325">
        <v>15000</v>
      </c>
      <c r="W154" s="275"/>
      <c r="X154" s="5"/>
    </row>
    <row r="155" spans="1:25" ht="15.6" x14ac:dyDescent="0.3">
      <c r="A155" s="271"/>
      <c r="B155" s="272" t="s">
        <v>175</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72" t="s">
        <v>341</v>
      </c>
      <c r="C156" s="272"/>
      <c r="D156" s="272"/>
      <c r="E156" s="272"/>
      <c r="F156" s="272"/>
      <c r="G156" s="272"/>
      <c r="H156" s="272"/>
      <c r="I156" s="272"/>
      <c r="J156" s="272"/>
      <c r="K156" s="272"/>
      <c r="L156" s="272"/>
      <c r="M156" s="272"/>
      <c r="N156" s="272"/>
      <c r="O156" s="272"/>
      <c r="P156" s="272"/>
      <c r="Q156" s="272"/>
      <c r="R156" s="272"/>
      <c r="S156" s="272"/>
      <c r="T156" s="272"/>
      <c r="U156" s="272"/>
      <c r="V156" s="325">
        <v>0</v>
      </c>
      <c r="W156" s="275"/>
      <c r="X156" s="5"/>
    </row>
    <row r="157" spans="1:25" ht="15.6" x14ac:dyDescent="0.3">
      <c r="A157" s="271"/>
      <c r="B157" s="298"/>
      <c r="C157" s="298"/>
      <c r="D157" s="298"/>
      <c r="E157" s="298"/>
      <c r="F157" s="298"/>
      <c r="G157" s="298"/>
      <c r="H157" s="298"/>
      <c r="I157" s="298"/>
      <c r="J157" s="298"/>
      <c r="K157" s="298"/>
      <c r="L157" s="298"/>
      <c r="M157" s="298"/>
      <c r="N157" s="298"/>
      <c r="O157" s="298"/>
      <c r="P157" s="298"/>
      <c r="Q157" s="298"/>
      <c r="R157" s="298"/>
      <c r="S157" s="298"/>
      <c r="T157" s="298"/>
      <c r="U157" s="298"/>
      <c r="V157" s="337"/>
      <c r="W157" s="304"/>
      <c r="X157" s="5"/>
    </row>
    <row r="158" spans="1:25" ht="15.6" x14ac:dyDescent="0.3">
      <c r="A158" s="175"/>
      <c r="B158" s="321"/>
      <c r="C158" s="321"/>
      <c r="D158" s="321"/>
      <c r="E158" s="321"/>
      <c r="F158" s="321"/>
      <c r="G158" s="321"/>
      <c r="H158" s="321"/>
      <c r="I158" s="321"/>
      <c r="J158" s="321"/>
      <c r="K158" s="321"/>
      <c r="L158" s="321"/>
      <c r="M158" s="321"/>
      <c r="N158" s="321"/>
      <c r="O158" s="321"/>
      <c r="P158" s="321"/>
      <c r="Q158" s="321"/>
      <c r="R158" s="321"/>
      <c r="S158" s="321"/>
      <c r="T158" s="321"/>
      <c r="U158" s="321"/>
      <c r="V158" s="340"/>
      <c r="W158" s="321"/>
      <c r="X158" s="5"/>
    </row>
    <row r="159" spans="1:25" ht="15.6" x14ac:dyDescent="0.3">
      <c r="A159" s="175"/>
      <c r="B159" s="203" t="s">
        <v>24</v>
      </c>
      <c r="C159" s="177"/>
      <c r="D159" s="177"/>
      <c r="E159" s="177"/>
      <c r="F159" s="177"/>
      <c r="G159" s="177"/>
      <c r="H159" s="177"/>
      <c r="I159" s="177"/>
      <c r="J159" s="177"/>
      <c r="K159" s="177"/>
      <c r="L159" s="177"/>
      <c r="M159" s="177"/>
      <c r="N159" s="177"/>
      <c r="O159" s="177"/>
      <c r="P159" s="177"/>
      <c r="Q159" s="177"/>
      <c r="R159" s="177"/>
      <c r="S159" s="177"/>
      <c r="T159" s="177"/>
      <c r="U159" s="177"/>
      <c r="V159" s="196"/>
      <c r="W159" s="177"/>
      <c r="X159" s="5"/>
    </row>
    <row r="160" spans="1:25" ht="15.6" x14ac:dyDescent="0.3">
      <c r="A160" s="271"/>
      <c r="B160" s="272" t="s">
        <v>47</v>
      </c>
      <c r="C160" s="272"/>
      <c r="D160" s="272"/>
      <c r="E160" s="272"/>
      <c r="F160" s="272"/>
      <c r="G160" s="272"/>
      <c r="H160" s="272"/>
      <c r="I160" s="272"/>
      <c r="J160" s="272"/>
      <c r="K160" s="272"/>
      <c r="L160" s="272"/>
      <c r="M160" s="272"/>
      <c r="N160" s="272"/>
      <c r="O160" s="272"/>
      <c r="P160" s="272"/>
      <c r="Q160" s="272"/>
      <c r="R160" s="272"/>
      <c r="S160" s="272"/>
      <c r="T160" s="272"/>
      <c r="U160" s="272"/>
      <c r="V160" s="341" t="s">
        <v>121</v>
      </c>
      <c r="W160" s="275"/>
      <c r="X160" s="5"/>
    </row>
    <row r="161" spans="1:24" ht="15.6" x14ac:dyDescent="0.3">
      <c r="A161" s="271"/>
      <c r="B161" s="272" t="s">
        <v>48</v>
      </c>
      <c r="C161" s="274"/>
      <c r="D161" s="274"/>
      <c r="E161" s="274"/>
      <c r="F161" s="274"/>
      <c r="G161" s="274"/>
      <c r="H161" s="274"/>
      <c r="I161" s="274"/>
      <c r="J161" s="274"/>
      <c r="K161" s="274"/>
      <c r="L161" s="274"/>
      <c r="M161" s="274"/>
      <c r="N161" s="274"/>
      <c r="O161" s="274"/>
      <c r="P161" s="274"/>
      <c r="Q161" s="274"/>
      <c r="R161" s="274"/>
      <c r="S161" s="274"/>
      <c r="T161" s="274"/>
      <c r="U161" s="274"/>
      <c r="V161" s="341" t="s">
        <v>121</v>
      </c>
      <c r="W161" s="275"/>
      <c r="X161" s="5"/>
    </row>
    <row r="162" spans="1:24" ht="15.6" x14ac:dyDescent="0.3">
      <c r="A162" s="271"/>
      <c r="B162" s="272" t="s">
        <v>49</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271"/>
      <c r="B163" s="272" t="s">
        <v>50</v>
      </c>
      <c r="C163" s="272"/>
      <c r="D163" s="272"/>
      <c r="E163" s="272"/>
      <c r="F163" s="272"/>
      <c r="G163" s="272"/>
      <c r="H163" s="272"/>
      <c r="I163" s="272"/>
      <c r="J163" s="272"/>
      <c r="K163" s="272"/>
      <c r="L163" s="272"/>
      <c r="M163" s="272"/>
      <c r="N163" s="272"/>
      <c r="O163" s="272"/>
      <c r="P163" s="272"/>
      <c r="Q163" s="272"/>
      <c r="R163" s="272"/>
      <c r="S163" s="272"/>
      <c r="T163" s="272"/>
      <c r="U163" s="272"/>
      <c r="V163" s="341" t="s">
        <v>121</v>
      </c>
      <c r="W163" s="275"/>
      <c r="X163" s="5"/>
    </row>
    <row r="164" spans="1:24" ht="15.6" x14ac:dyDescent="0.3">
      <c r="A164" s="175"/>
      <c r="B164" s="321"/>
      <c r="C164" s="321"/>
      <c r="D164" s="321"/>
      <c r="E164" s="321"/>
      <c r="F164" s="321"/>
      <c r="G164" s="321"/>
      <c r="H164" s="321"/>
      <c r="I164" s="321"/>
      <c r="J164" s="321"/>
      <c r="K164" s="321"/>
      <c r="L164" s="321"/>
      <c r="M164" s="321"/>
      <c r="N164" s="321"/>
      <c r="O164" s="321"/>
      <c r="P164" s="321"/>
      <c r="Q164" s="321"/>
      <c r="R164" s="321"/>
      <c r="S164" s="321"/>
      <c r="T164" s="321"/>
      <c r="U164" s="321"/>
      <c r="V164" s="340"/>
      <c r="W164" s="321"/>
      <c r="X164" s="5"/>
    </row>
    <row r="165" spans="1:24" ht="15.6" x14ac:dyDescent="0.3">
      <c r="A165" s="175"/>
      <c r="B165" s="203" t="s">
        <v>51</v>
      </c>
      <c r="C165" s="177"/>
      <c r="D165" s="177"/>
      <c r="E165" s="177"/>
      <c r="F165" s="177"/>
      <c r="G165" s="177"/>
      <c r="H165" s="177"/>
      <c r="I165" s="177"/>
      <c r="J165" s="177"/>
      <c r="K165" s="177"/>
      <c r="L165" s="177"/>
      <c r="M165" s="177"/>
      <c r="N165" s="177"/>
      <c r="O165" s="177"/>
      <c r="P165" s="177"/>
      <c r="Q165" s="177"/>
      <c r="R165" s="177"/>
      <c r="S165" s="177"/>
      <c r="T165" s="177"/>
      <c r="U165" s="177"/>
      <c r="V165" s="204"/>
      <c r="W165" s="177"/>
      <c r="X165" s="5"/>
    </row>
    <row r="166" spans="1:24" ht="15.6" x14ac:dyDescent="0.3">
      <c r="A166" s="342"/>
      <c r="B166" s="343" t="s">
        <v>52</v>
      </c>
      <c r="C166" s="343"/>
      <c r="D166" s="343"/>
      <c r="E166" s="343"/>
      <c r="F166" s="343"/>
      <c r="G166" s="343"/>
      <c r="H166" s="343"/>
      <c r="I166" s="343"/>
      <c r="J166" s="343"/>
      <c r="K166" s="343"/>
      <c r="L166" s="343"/>
      <c r="M166" s="343"/>
      <c r="N166" s="343"/>
      <c r="O166" s="343"/>
      <c r="P166" s="343"/>
      <c r="Q166" s="343"/>
      <c r="R166" s="343"/>
      <c r="S166" s="343"/>
      <c r="T166" s="343"/>
      <c r="U166" s="343"/>
      <c r="V166" s="344">
        <v>0</v>
      </c>
      <c r="W166" s="345"/>
      <c r="X166" s="5"/>
    </row>
    <row r="167" spans="1:24" ht="15.6" x14ac:dyDescent="0.3">
      <c r="A167" s="342"/>
      <c r="B167" s="343" t="s">
        <v>53</v>
      </c>
      <c r="C167" s="343"/>
      <c r="D167" s="343"/>
      <c r="E167" s="343"/>
      <c r="F167" s="343"/>
      <c r="G167" s="343"/>
      <c r="H167" s="343"/>
      <c r="I167" s="343"/>
      <c r="J167" s="343"/>
      <c r="K167" s="343"/>
      <c r="L167" s="343"/>
      <c r="M167" s="343"/>
      <c r="N167" s="343"/>
      <c r="O167" s="343"/>
      <c r="P167" s="343"/>
      <c r="Q167" s="343"/>
      <c r="R167" s="343"/>
      <c r="S167" s="343"/>
      <c r="T167" s="343"/>
      <c r="U167" s="343"/>
      <c r="V167" s="344">
        <v>353</v>
      </c>
      <c r="W167" s="345"/>
      <c r="X167" s="5"/>
    </row>
    <row r="168" spans="1:24" ht="15.6" x14ac:dyDescent="0.3">
      <c r="A168" s="342"/>
      <c r="B168" s="343" t="s">
        <v>54</v>
      </c>
      <c r="C168" s="343"/>
      <c r="D168" s="343"/>
      <c r="E168" s="343"/>
      <c r="F168" s="343"/>
      <c r="G168" s="343"/>
      <c r="H168" s="343"/>
      <c r="I168" s="343"/>
      <c r="J168" s="343"/>
      <c r="K168" s="343"/>
      <c r="L168" s="343"/>
      <c r="M168" s="343"/>
      <c r="N168" s="343"/>
      <c r="O168" s="343"/>
      <c r="P168" s="343"/>
      <c r="Q168" s="343"/>
      <c r="R168" s="343"/>
      <c r="S168" s="343"/>
      <c r="T168" s="343"/>
      <c r="U168" s="343"/>
      <c r="V168" s="344">
        <f>V167+V166</f>
        <v>353</v>
      </c>
      <c r="W168" s="345"/>
      <c r="X168" s="5"/>
    </row>
    <row r="169" spans="1:24" ht="15.6" x14ac:dyDescent="0.3">
      <c r="A169" s="342"/>
      <c r="B169" s="272" t="s">
        <v>318</v>
      </c>
      <c r="C169" s="343"/>
      <c r="D169" s="343"/>
      <c r="E169" s="343"/>
      <c r="F169" s="343"/>
      <c r="G169" s="343"/>
      <c r="H169" s="343"/>
      <c r="I169" s="343"/>
      <c r="J169" s="343"/>
      <c r="K169" s="343"/>
      <c r="L169" s="343"/>
      <c r="M169" s="343"/>
      <c r="N169" s="343"/>
      <c r="O169" s="343"/>
      <c r="P169" s="343"/>
      <c r="Q169" s="343"/>
      <c r="R169" s="343"/>
      <c r="S169" s="343"/>
      <c r="T169" s="343"/>
      <c r="U169" s="343"/>
      <c r="V169" s="344">
        <f>V115</f>
        <v>-353</v>
      </c>
      <c r="W169" s="345"/>
      <c r="X169" s="5"/>
    </row>
    <row r="170" spans="1:24" ht="15.6" x14ac:dyDescent="0.3">
      <c r="A170" s="342"/>
      <c r="B170" s="343" t="s">
        <v>55</v>
      </c>
      <c r="C170" s="343"/>
      <c r="D170" s="343"/>
      <c r="E170" s="343"/>
      <c r="F170" s="343"/>
      <c r="G170" s="343"/>
      <c r="H170" s="343"/>
      <c r="I170" s="343"/>
      <c r="J170" s="343"/>
      <c r="K170" s="343"/>
      <c r="L170" s="343"/>
      <c r="M170" s="343"/>
      <c r="N170" s="343"/>
      <c r="O170" s="343"/>
      <c r="P170" s="343"/>
      <c r="Q170" s="343"/>
      <c r="R170" s="343"/>
      <c r="S170" s="343"/>
      <c r="T170" s="343"/>
      <c r="U170" s="343"/>
      <c r="V170" s="344">
        <f>V168+V169</f>
        <v>0</v>
      </c>
      <c r="W170" s="345"/>
      <c r="X170" s="5"/>
    </row>
    <row r="171" spans="1:24" ht="15.6" x14ac:dyDescent="0.3">
      <c r="A171" s="342"/>
      <c r="B171" s="343" t="s">
        <v>288</v>
      </c>
      <c r="C171" s="343"/>
      <c r="D171" s="343"/>
      <c r="E171" s="343"/>
      <c r="F171" s="343"/>
      <c r="G171" s="343"/>
      <c r="H171" s="343"/>
      <c r="I171" s="343"/>
      <c r="J171" s="343"/>
      <c r="K171" s="343"/>
      <c r="L171" s="343"/>
      <c r="M171" s="343"/>
      <c r="N171" s="343"/>
      <c r="O171" s="343"/>
      <c r="P171" s="343"/>
      <c r="Q171" s="343"/>
      <c r="R171" s="343"/>
      <c r="S171" s="343"/>
      <c r="T171" s="343"/>
      <c r="U171" s="343"/>
      <c r="V171" s="344">
        <f>-V99</f>
        <v>120</v>
      </c>
      <c r="W171" s="345"/>
      <c r="X171" s="5"/>
    </row>
    <row r="172" spans="1:24" ht="16.2" thickBot="1" x14ac:dyDescent="0.35">
      <c r="A172" s="175"/>
      <c r="B172" s="321"/>
      <c r="C172" s="321"/>
      <c r="D172" s="321"/>
      <c r="E172" s="321"/>
      <c r="F172" s="321"/>
      <c r="G172" s="321"/>
      <c r="H172" s="321"/>
      <c r="I172" s="321"/>
      <c r="J172" s="321"/>
      <c r="K172" s="321"/>
      <c r="L172" s="321"/>
      <c r="M172" s="321"/>
      <c r="N172" s="321"/>
      <c r="O172" s="321"/>
      <c r="P172" s="321"/>
      <c r="Q172" s="321"/>
      <c r="R172" s="321"/>
      <c r="S172" s="321"/>
      <c r="T172" s="321"/>
      <c r="U172" s="321"/>
      <c r="V172" s="340"/>
      <c r="W172" s="321"/>
      <c r="X172" s="5"/>
    </row>
    <row r="173" spans="1:24"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74"/>
      <c r="U173" s="174"/>
      <c r="V173" s="195"/>
      <c r="W173" s="174"/>
      <c r="X173" s="5"/>
    </row>
    <row r="174" spans="1:24" ht="15.6" x14ac:dyDescent="0.3">
      <c r="A174" s="175"/>
      <c r="B174" s="203" t="s">
        <v>56</v>
      </c>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175"/>
      <c r="B175" s="186"/>
      <c r="C175" s="177"/>
      <c r="D175" s="177"/>
      <c r="E175" s="177"/>
      <c r="F175" s="177"/>
      <c r="G175" s="177"/>
      <c r="H175" s="177"/>
      <c r="I175" s="177"/>
      <c r="J175" s="177"/>
      <c r="K175" s="177"/>
      <c r="L175" s="177"/>
      <c r="M175" s="177"/>
      <c r="N175" s="177"/>
      <c r="O175" s="177"/>
      <c r="P175" s="177"/>
      <c r="Q175" s="177"/>
      <c r="R175" s="177"/>
      <c r="S175" s="177"/>
      <c r="T175" s="177"/>
      <c r="U175" s="177"/>
      <c r="V175" s="196"/>
      <c r="W175" s="177"/>
      <c r="X175" s="5"/>
    </row>
    <row r="176" spans="1:24" ht="15.6" x14ac:dyDescent="0.3">
      <c r="A176" s="271"/>
      <c r="B176" s="272" t="s">
        <v>57</v>
      </c>
      <c r="C176" s="272"/>
      <c r="D176" s="272"/>
      <c r="E176" s="272"/>
      <c r="F176" s="272"/>
      <c r="G176" s="272"/>
      <c r="H176" s="272"/>
      <c r="I176" s="272"/>
      <c r="J176" s="272"/>
      <c r="K176" s="272"/>
      <c r="L176" s="272"/>
      <c r="M176" s="272"/>
      <c r="N176" s="272"/>
      <c r="O176" s="272"/>
      <c r="P176" s="272"/>
      <c r="Q176" s="272"/>
      <c r="R176" s="272"/>
      <c r="S176" s="272"/>
      <c r="T176" s="272"/>
      <c r="U176" s="272"/>
      <c r="V176" s="325">
        <f>V71</f>
        <v>926786</v>
      </c>
      <c r="W176" s="275"/>
      <c r="X176" s="5"/>
    </row>
    <row r="177" spans="1:24" ht="15.6" x14ac:dyDescent="0.3">
      <c r="A177" s="271"/>
      <c r="B177" s="272" t="s">
        <v>58</v>
      </c>
      <c r="C177" s="272"/>
      <c r="D177" s="272"/>
      <c r="E177" s="272"/>
      <c r="F177" s="272"/>
      <c r="G177" s="272"/>
      <c r="H177" s="272"/>
      <c r="I177" s="272"/>
      <c r="J177" s="272"/>
      <c r="K177" s="272"/>
      <c r="L177" s="272"/>
      <c r="M177" s="272"/>
      <c r="N177" s="272"/>
      <c r="O177" s="272"/>
      <c r="P177" s="272"/>
      <c r="Q177" s="272"/>
      <c r="R177" s="272"/>
      <c r="S177" s="272"/>
      <c r="T177" s="272"/>
      <c r="U177" s="272"/>
      <c r="V177" s="325">
        <f>V84</f>
        <v>926786</v>
      </c>
      <c r="W177" s="275"/>
      <c r="X177" s="5"/>
    </row>
    <row r="178" spans="1:24" ht="16.2" thickBot="1" x14ac:dyDescent="0.35">
      <c r="A178" s="175"/>
      <c r="B178" s="321"/>
      <c r="C178" s="321"/>
      <c r="D178" s="321"/>
      <c r="E178" s="321"/>
      <c r="F178" s="321"/>
      <c r="G178" s="321"/>
      <c r="H178" s="321"/>
      <c r="I178" s="321"/>
      <c r="J178" s="321"/>
      <c r="K178" s="321"/>
      <c r="L178" s="321"/>
      <c r="M178" s="321"/>
      <c r="N178" s="321"/>
      <c r="O178" s="321"/>
      <c r="P178" s="321"/>
      <c r="Q178" s="321"/>
      <c r="R178" s="321"/>
      <c r="S178" s="321"/>
      <c r="T178" s="321"/>
      <c r="U178" s="321"/>
      <c r="V178" s="340"/>
      <c r="W178" s="321"/>
      <c r="X178" s="5"/>
    </row>
    <row r="179" spans="1:24" ht="15.6" x14ac:dyDescent="0.3">
      <c r="A179" s="173"/>
      <c r="B179" s="174"/>
      <c r="C179" s="174"/>
      <c r="D179" s="174"/>
      <c r="E179" s="174"/>
      <c r="F179" s="174"/>
      <c r="G179" s="174"/>
      <c r="H179" s="174"/>
      <c r="I179" s="174"/>
      <c r="J179" s="174"/>
      <c r="K179" s="174"/>
      <c r="L179" s="174"/>
      <c r="M179" s="174"/>
      <c r="N179" s="174"/>
      <c r="O179" s="174"/>
      <c r="P179" s="174"/>
      <c r="Q179" s="174"/>
      <c r="R179" s="174"/>
      <c r="S179" s="174"/>
      <c r="T179" s="174"/>
      <c r="U179" s="174"/>
      <c r="V179" s="195"/>
      <c r="W179" s="174"/>
      <c r="X179" s="5"/>
    </row>
    <row r="180" spans="1:24" ht="15.6" x14ac:dyDescent="0.3">
      <c r="A180" s="175"/>
      <c r="B180" s="203" t="s">
        <v>59</v>
      </c>
      <c r="C180" s="200"/>
      <c r="D180" s="200"/>
      <c r="E180" s="200"/>
      <c r="F180" s="200"/>
      <c r="G180" s="200"/>
      <c r="H180" s="205"/>
      <c r="I180" s="205"/>
      <c r="J180" s="205"/>
      <c r="K180" s="205"/>
      <c r="L180" s="205"/>
      <c r="M180" s="205"/>
      <c r="N180" s="205"/>
      <c r="O180" s="205"/>
      <c r="P180" s="205"/>
      <c r="Q180" s="205"/>
      <c r="R180" s="205"/>
      <c r="S180" s="205" t="s">
        <v>102</v>
      </c>
      <c r="T180" s="205" t="s">
        <v>179</v>
      </c>
      <c r="U180" s="179"/>
      <c r="V180" s="206" t="s">
        <v>117</v>
      </c>
      <c r="W180" s="207"/>
      <c r="X180" s="5"/>
    </row>
    <row r="181" spans="1:24" ht="15.6" x14ac:dyDescent="0.3">
      <c r="A181" s="271"/>
      <c r="B181" s="272" t="s">
        <v>60</v>
      </c>
      <c r="C181" s="272"/>
      <c r="D181" s="272"/>
      <c r="E181" s="272"/>
      <c r="F181" s="272"/>
      <c r="G181" s="272"/>
      <c r="H181" s="272"/>
      <c r="I181" s="272"/>
      <c r="J181" s="272"/>
      <c r="K181" s="272"/>
      <c r="L181" s="272"/>
      <c r="M181" s="272"/>
      <c r="N181" s="272"/>
      <c r="O181" s="272"/>
      <c r="P181" s="272"/>
      <c r="Q181" s="272"/>
      <c r="R181" s="272"/>
      <c r="S181" s="325">
        <f>+V34*0.16</f>
        <v>240030.4</v>
      </c>
      <c r="T181" s="311"/>
      <c r="U181" s="272"/>
      <c r="V181" s="325"/>
      <c r="W181" s="275"/>
      <c r="X181" s="5"/>
    </row>
    <row r="182" spans="1:24" ht="15.6" x14ac:dyDescent="0.3">
      <c r="A182" s="271"/>
      <c r="B182" s="272" t="s">
        <v>61</v>
      </c>
      <c r="C182" s="272"/>
      <c r="D182" s="272"/>
      <c r="E182" s="272"/>
      <c r="F182" s="272"/>
      <c r="G182" s="272"/>
      <c r="H182" s="272"/>
      <c r="I182" s="272"/>
      <c r="J182" s="272"/>
      <c r="K182" s="272"/>
      <c r="L182" s="272"/>
      <c r="M182" s="272"/>
      <c r="N182" s="272"/>
      <c r="O182" s="272"/>
      <c r="P182" s="272"/>
      <c r="Q182" s="272"/>
      <c r="R182" s="272"/>
      <c r="S182" s="325">
        <f>+'Sept 14'!S184</f>
        <v>48746</v>
      </c>
      <c r="T182" s="325">
        <f>+'Sept 14'!T184</f>
        <v>9733</v>
      </c>
      <c r="U182" s="272"/>
      <c r="V182" s="325">
        <f>S182+T182</f>
        <v>58479</v>
      </c>
      <c r="W182" s="275"/>
      <c r="X182" s="5"/>
    </row>
    <row r="183" spans="1:24" ht="15.6" x14ac:dyDescent="0.3">
      <c r="A183" s="271"/>
      <c r="B183" s="272" t="s">
        <v>62</v>
      </c>
      <c r="C183" s="272"/>
      <c r="D183" s="272"/>
      <c r="E183" s="272"/>
      <c r="F183" s="272"/>
      <c r="G183" s="272"/>
      <c r="H183" s="272"/>
      <c r="I183" s="272"/>
      <c r="J183" s="272"/>
      <c r="K183" s="272"/>
      <c r="L183" s="272"/>
      <c r="M183" s="272"/>
      <c r="N183" s="272"/>
      <c r="O183" s="272"/>
      <c r="P183" s="272"/>
      <c r="Q183" s="272"/>
      <c r="R183" s="272"/>
      <c r="S183" s="324">
        <f>458+27</f>
        <v>485</v>
      </c>
      <c r="T183" s="324">
        <v>0</v>
      </c>
      <c r="U183" s="272"/>
      <c r="V183" s="325">
        <f>S183+T183</f>
        <v>485</v>
      </c>
      <c r="W183" s="275"/>
      <c r="X183" s="5"/>
    </row>
    <row r="184" spans="1:24" ht="15.6" x14ac:dyDescent="0.3">
      <c r="A184" s="271"/>
      <c r="B184" s="272" t="s">
        <v>63</v>
      </c>
      <c r="C184" s="272"/>
      <c r="D184" s="272"/>
      <c r="E184" s="272"/>
      <c r="F184" s="272"/>
      <c r="G184" s="272"/>
      <c r="H184" s="272"/>
      <c r="I184" s="272"/>
      <c r="J184" s="272"/>
      <c r="K184" s="272"/>
      <c r="L184" s="272"/>
      <c r="M184" s="272"/>
      <c r="N184" s="272"/>
      <c r="O184" s="272"/>
      <c r="P184" s="272"/>
      <c r="Q184" s="272"/>
      <c r="R184" s="272"/>
      <c r="S184" s="325">
        <f>+S182+S183</f>
        <v>49231</v>
      </c>
      <c r="T184" s="325">
        <f>T183+T182</f>
        <v>9733</v>
      </c>
      <c r="U184" s="272"/>
      <c r="V184" s="325">
        <f>S184+T184</f>
        <v>58964</v>
      </c>
      <c r="W184" s="275"/>
      <c r="X184" s="5"/>
    </row>
    <row r="185" spans="1:24" ht="15.6" x14ac:dyDescent="0.3">
      <c r="A185" s="271"/>
      <c r="B185" s="272" t="s">
        <v>64</v>
      </c>
      <c r="C185" s="272"/>
      <c r="D185" s="272"/>
      <c r="E185" s="272"/>
      <c r="F185" s="272"/>
      <c r="G185" s="272"/>
      <c r="H185" s="272"/>
      <c r="I185" s="272"/>
      <c r="J185" s="272"/>
      <c r="K185" s="272"/>
      <c r="L185" s="272"/>
      <c r="M185" s="272"/>
      <c r="N185" s="272"/>
      <c r="O185" s="272"/>
      <c r="P185" s="272"/>
      <c r="Q185" s="272"/>
      <c r="R185" s="272"/>
      <c r="S185" s="325">
        <f>S181-S184-T184</f>
        <v>181066.4</v>
      </c>
      <c r="T185" s="311"/>
      <c r="U185" s="272"/>
      <c r="V185" s="325"/>
      <c r="W185" s="275"/>
      <c r="X185" s="5"/>
    </row>
    <row r="186" spans="1:24" ht="16.2" thickBot="1" x14ac:dyDescent="0.35">
      <c r="A186" s="175"/>
      <c r="B186" s="321"/>
      <c r="C186" s="321"/>
      <c r="D186" s="321"/>
      <c r="E186" s="321"/>
      <c r="F186" s="321"/>
      <c r="G186" s="321"/>
      <c r="H186" s="321"/>
      <c r="I186" s="321"/>
      <c r="J186" s="321"/>
      <c r="K186" s="321"/>
      <c r="L186" s="321"/>
      <c r="M186" s="321"/>
      <c r="N186" s="321"/>
      <c r="O186" s="321"/>
      <c r="P186" s="321"/>
      <c r="Q186" s="321"/>
      <c r="R186" s="321"/>
      <c r="S186" s="321"/>
      <c r="T186" s="321"/>
      <c r="U186" s="321"/>
      <c r="V186" s="340"/>
      <c r="W186" s="321"/>
      <c r="X186" s="5"/>
    </row>
    <row r="187" spans="1:24" ht="15.6" x14ac:dyDescent="0.3">
      <c r="A187" s="173"/>
      <c r="B187" s="174"/>
      <c r="C187" s="174"/>
      <c r="D187" s="174"/>
      <c r="E187" s="174"/>
      <c r="F187" s="174"/>
      <c r="G187" s="174"/>
      <c r="H187" s="174"/>
      <c r="I187" s="174"/>
      <c r="J187" s="174"/>
      <c r="K187" s="174"/>
      <c r="L187" s="174"/>
      <c r="M187" s="174"/>
      <c r="N187" s="174"/>
      <c r="O187" s="174"/>
      <c r="P187" s="174"/>
      <c r="Q187" s="174"/>
      <c r="R187" s="174"/>
      <c r="S187" s="174"/>
      <c r="T187" s="174"/>
      <c r="U187" s="174"/>
      <c r="V187" s="195"/>
      <c r="W187" s="174"/>
      <c r="X187" s="5"/>
    </row>
    <row r="188" spans="1:24" ht="15.6" x14ac:dyDescent="0.3">
      <c r="A188" s="175"/>
      <c r="B188" s="203" t="s">
        <v>65</v>
      </c>
      <c r="C188" s="177"/>
      <c r="D188" s="177"/>
      <c r="E188" s="177"/>
      <c r="F188" s="177"/>
      <c r="G188" s="177"/>
      <c r="H188" s="177"/>
      <c r="I188" s="177"/>
      <c r="J188" s="177"/>
      <c r="K188" s="177"/>
      <c r="L188" s="177"/>
      <c r="M188" s="177"/>
      <c r="N188" s="177"/>
      <c r="O188" s="177"/>
      <c r="P188" s="177"/>
      <c r="Q188" s="177"/>
      <c r="R188" s="177"/>
      <c r="S188" s="177"/>
      <c r="T188" s="177"/>
      <c r="U188" s="177"/>
      <c r="V188" s="208"/>
      <c r="W188" s="177"/>
      <c r="X188" s="5"/>
    </row>
    <row r="189" spans="1:24" ht="15.6" x14ac:dyDescent="0.3">
      <c r="A189" s="271"/>
      <c r="B189" s="272" t="s">
        <v>66</v>
      </c>
      <c r="C189" s="272"/>
      <c r="D189" s="272"/>
      <c r="E189" s="272"/>
      <c r="F189" s="272"/>
      <c r="G189" s="272"/>
      <c r="H189" s="272"/>
      <c r="I189" s="272"/>
      <c r="J189" s="272"/>
      <c r="K189" s="272"/>
      <c r="L189" s="272"/>
      <c r="M189" s="272"/>
      <c r="N189" s="272"/>
      <c r="O189" s="272"/>
      <c r="P189" s="272"/>
      <c r="Q189" s="272"/>
      <c r="R189" s="272"/>
      <c r="S189" s="272"/>
      <c r="T189" s="272"/>
      <c r="U189" s="272"/>
      <c r="V189" s="341">
        <f>(V100+V102+V103+V104+V105)/-(V106+V107)</f>
        <v>3.2980342422320863</v>
      </c>
      <c r="W189" s="275" t="s">
        <v>118</v>
      </c>
      <c r="X189" s="5"/>
    </row>
    <row r="190" spans="1:24" ht="15.6" x14ac:dyDescent="0.3">
      <c r="A190" s="271"/>
      <c r="B190" s="272" t="s">
        <v>67</v>
      </c>
      <c r="C190" s="272"/>
      <c r="D190" s="272"/>
      <c r="E190" s="272"/>
      <c r="F190" s="272"/>
      <c r="G190" s="272"/>
      <c r="H190" s="272"/>
      <c r="I190" s="272"/>
      <c r="J190" s="272"/>
      <c r="K190" s="272"/>
      <c r="L190" s="272"/>
      <c r="M190" s="272"/>
      <c r="N190" s="272"/>
      <c r="O190" s="272"/>
      <c r="P190" s="272"/>
      <c r="Q190" s="272"/>
      <c r="R190" s="272"/>
      <c r="S190" s="272"/>
      <c r="T190" s="272"/>
      <c r="U190" s="272"/>
      <c r="V190" s="346">
        <v>1.76</v>
      </c>
      <c r="W190" s="275" t="s">
        <v>118</v>
      </c>
      <c r="X190" s="5"/>
    </row>
    <row r="191" spans="1:24" ht="15.6" x14ac:dyDescent="0.3">
      <c r="A191" s="271"/>
      <c r="B191" s="272" t="s">
        <v>68</v>
      </c>
      <c r="C191" s="272"/>
      <c r="D191" s="272"/>
      <c r="E191" s="272"/>
      <c r="F191" s="272"/>
      <c r="G191" s="272"/>
      <c r="H191" s="272"/>
      <c r="I191" s="272"/>
      <c r="J191" s="272"/>
      <c r="K191" s="272"/>
      <c r="L191" s="272"/>
      <c r="M191" s="272"/>
      <c r="N191" s="272"/>
      <c r="O191" s="272"/>
      <c r="P191" s="272"/>
      <c r="Q191" s="272"/>
      <c r="R191" s="272"/>
      <c r="S191" s="272"/>
      <c r="T191" s="272"/>
      <c r="U191" s="272"/>
      <c r="V191" s="341">
        <f>(V100+V102+V103+V104+V105+V106+V107)/-(V109+V110)</f>
        <v>13.226277372262773</v>
      </c>
      <c r="W191" s="275" t="s">
        <v>118</v>
      </c>
      <c r="X191" s="5"/>
    </row>
    <row r="192" spans="1:24" ht="15.6" x14ac:dyDescent="0.3">
      <c r="A192" s="271"/>
      <c r="B192" s="272" t="s">
        <v>69</v>
      </c>
      <c r="C192" s="272"/>
      <c r="D192" s="272"/>
      <c r="E192" s="272"/>
      <c r="F192" s="272"/>
      <c r="G192" s="272"/>
      <c r="H192" s="272"/>
      <c r="I192" s="272"/>
      <c r="J192" s="272"/>
      <c r="K192" s="272"/>
      <c r="L192" s="272"/>
      <c r="M192" s="272"/>
      <c r="N192" s="272"/>
      <c r="O192" s="272"/>
      <c r="P192" s="272"/>
      <c r="Q192" s="272"/>
      <c r="R192" s="272"/>
      <c r="S192" s="272"/>
      <c r="T192" s="272"/>
      <c r="U192" s="272"/>
      <c r="V192" s="346">
        <v>6.93</v>
      </c>
      <c r="W192" s="275" t="s">
        <v>118</v>
      </c>
      <c r="X192" s="5"/>
    </row>
    <row r="193" spans="1:24" ht="15.6" x14ac:dyDescent="0.3">
      <c r="A193" s="271"/>
      <c r="B193" s="272" t="s">
        <v>201</v>
      </c>
      <c r="C193" s="272"/>
      <c r="D193" s="272"/>
      <c r="E193" s="272"/>
      <c r="F193" s="272"/>
      <c r="G193" s="272"/>
      <c r="H193" s="272"/>
      <c r="I193" s="272"/>
      <c r="J193" s="272"/>
      <c r="K193" s="272"/>
      <c r="L193" s="272"/>
      <c r="M193" s="272"/>
      <c r="N193" s="272"/>
      <c r="O193" s="272"/>
      <c r="P193" s="272"/>
      <c r="Q193" s="272"/>
      <c r="R193" s="272"/>
      <c r="S193" s="272"/>
      <c r="T193" s="272"/>
      <c r="U193" s="272"/>
      <c r="V193" s="341">
        <f>(V100+V102+V103+V104+V105+V106+V107+V109+V110)/-(V111+V112)</f>
        <v>14.194915254237289</v>
      </c>
      <c r="W193" s="275" t="s">
        <v>118</v>
      </c>
      <c r="X193" s="5"/>
    </row>
    <row r="194" spans="1:24" ht="15.6" x14ac:dyDescent="0.3">
      <c r="A194" s="271"/>
      <c r="B194" s="272" t="s">
        <v>202</v>
      </c>
      <c r="C194" s="272"/>
      <c r="D194" s="272"/>
      <c r="E194" s="272"/>
      <c r="F194" s="272"/>
      <c r="G194" s="272"/>
      <c r="H194" s="272"/>
      <c r="I194" s="272"/>
      <c r="J194" s="272"/>
      <c r="K194" s="272"/>
      <c r="L194" s="272"/>
      <c r="M194" s="272"/>
      <c r="N194" s="272"/>
      <c r="O194" s="272"/>
      <c r="P194" s="272"/>
      <c r="Q194" s="272"/>
      <c r="R194" s="272"/>
      <c r="S194" s="272"/>
      <c r="T194" s="272"/>
      <c r="U194" s="272"/>
      <c r="V194" s="346">
        <v>8.82</v>
      </c>
      <c r="W194" s="275" t="s">
        <v>118</v>
      </c>
      <c r="X194" s="5"/>
    </row>
    <row r="195" spans="1:24" ht="15.6" x14ac:dyDescent="0.3">
      <c r="A195" s="271"/>
      <c r="B195" s="298"/>
      <c r="C195" s="298"/>
      <c r="D195" s="298"/>
      <c r="E195" s="298"/>
      <c r="F195" s="298"/>
      <c r="G195" s="298"/>
      <c r="H195" s="298"/>
      <c r="I195" s="298"/>
      <c r="J195" s="298"/>
      <c r="K195" s="298"/>
      <c r="L195" s="298"/>
      <c r="M195" s="298"/>
      <c r="N195" s="298"/>
      <c r="O195" s="298"/>
      <c r="P195" s="298"/>
      <c r="Q195" s="298"/>
      <c r="R195" s="298"/>
      <c r="S195" s="298"/>
      <c r="T195" s="298"/>
      <c r="U195" s="298"/>
      <c r="V195" s="298"/>
      <c r="W195" s="304"/>
      <c r="X195" s="5"/>
    </row>
    <row r="196" spans="1:24" ht="15.6" x14ac:dyDescent="0.3">
      <c r="A196" s="175"/>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5"/>
    </row>
    <row r="197" spans="1:24" ht="15.6" x14ac:dyDescent="0.3">
      <c r="A197" s="175"/>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5"/>
    </row>
    <row r="198" spans="1:24" ht="18" thickBot="1" x14ac:dyDescent="0.35">
      <c r="A198" s="194"/>
      <c r="B198" s="234" t="str">
        <f>B138</f>
        <v>PM13 INVESTOR REPORT QUARTER ENDING DECEMBER 2014</v>
      </c>
      <c r="C198" s="209"/>
      <c r="D198" s="209"/>
      <c r="E198" s="209"/>
      <c r="F198" s="209"/>
      <c r="G198" s="209"/>
      <c r="H198" s="209"/>
      <c r="I198" s="209"/>
      <c r="J198" s="209"/>
      <c r="K198" s="209"/>
      <c r="L198" s="209"/>
      <c r="M198" s="209"/>
      <c r="N198" s="209"/>
      <c r="O198" s="209"/>
      <c r="P198" s="209"/>
      <c r="Q198" s="209"/>
      <c r="R198" s="209"/>
      <c r="S198" s="209"/>
      <c r="T198" s="209"/>
      <c r="U198" s="209"/>
      <c r="V198" s="209"/>
      <c r="W198" s="210"/>
      <c r="X198" s="5"/>
    </row>
    <row r="199" spans="1:24" ht="15.6" x14ac:dyDescent="0.3">
      <c r="A199" s="246"/>
      <c r="B199" s="388" t="s">
        <v>70</v>
      </c>
      <c r="C199" s="249"/>
      <c r="D199" s="249"/>
      <c r="E199" s="249"/>
      <c r="F199" s="249"/>
      <c r="G199" s="250"/>
      <c r="H199" s="250"/>
      <c r="I199" s="250"/>
      <c r="J199" s="250"/>
      <c r="K199" s="250"/>
      <c r="L199" s="250"/>
      <c r="M199" s="250"/>
      <c r="N199" s="250"/>
      <c r="O199" s="250"/>
      <c r="P199" s="250"/>
      <c r="Q199" s="250"/>
      <c r="R199" s="250"/>
      <c r="S199" s="250"/>
      <c r="T199" s="250">
        <v>42004</v>
      </c>
      <c r="U199" s="247"/>
      <c r="V199" s="247"/>
      <c r="W199" s="247"/>
      <c r="X199" s="5"/>
    </row>
    <row r="200" spans="1:24" ht="15.6" x14ac:dyDescent="0.3">
      <c r="A200" s="211"/>
      <c r="B200" s="212"/>
      <c r="C200" s="213"/>
      <c r="D200" s="213"/>
      <c r="E200" s="213"/>
      <c r="F200" s="213"/>
      <c r="G200" s="214"/>
      <c r="H200" s="214"/>
      <c r="I200" s="214"/>
      <c r="J200" s="214"/>
      <c r="K200" s="214"/>
      <c r="L200" s="214"/>
      <c r="M200" s="214"/>
      <c r="N200" s="214"/>
      <c r="O200" s="214"/>
      <c r="P200" s="214"/>
      <c r="Q200" s="214"/>
      <c r="R200" s="214"/>
      <c r="S200" s="214"/>
      <c r="T200" s="214"/>
      <c r="U200" s="177"/>
      <c r="V200" s="177"/>
      <c r="W200" s="177"/>
      <c r="X200" s="5"/>
    </row>
    <row r="201" spans="1:24" ht="15.6" x14ac:dyDescent="0.3">
      <c r="A201" s="349"/>
      <c r="B201" s="272" t="s">
        <v>71</v>
      </c>
      <c r="C201" s="350"/>
      <c r="D201" s="350"/>
      <c r="E201" s="350"/>
      <c r="F201" s="350"/>
      <c r="G201" s="316"/>
      <c r="H201" s="316"/>
      <c r="I201" s="316"/>
      <c r="J201" s="316"/>
      <c r="K201" s="316"/>
      <c r="L201" s="316"/>
      <c r="M201" s="316"/>
      <c r="N201" s="316"/>
      <c r="O201" s="316"/>
      <c r="P201" s="316"/>
      <c r="Q201" s="316"/>
      <c r="R201" s="316"/>
      <c r="S201" s="316"/>
      <c r="T201" s="307">
        <v>5.4539999999999998E-2</v>
      </c>
      <c r="U201" s="272"/>
      <c r="V201" s="272"/>
      <c r="W201" s="275"/>
      <c r="X201" s="5"/>
    </row>
    <row r="202" spans="1:24" ht="15.6" x14ac:dyDescent="0.3">
      <c r="A202" s="349"/>
      <c r="B202" s="272" t="s">
        <v>154</v>
      </c>
      <c r="C202" s="350"/>
      <c r="D202" s="350"/>
      <c r="E202" s="350"/>
      <c r="F202" s="350"/>
      <c r="G202" s="316"/>
      <c r="H202" s="316"/>
      <c r="I202" s="316"/>
      <c r="J202" s="316"/>
      <c r="K202" s="316"/>
      <c r="L202" s="316"/>
      <c r="M202" s="316"/>
      <c r="N202" s="316"/>
      <c r="O202" s="316"/>
      <c r="P202" s="316"/>
      <c r="Q202" s="316"/>
      <c r="R202" s="316"/>
      <c r="S202" s="316"/>
      <c r="T202" s="307">
        <f>'Dec 06'!T199</f>
        <v>5.238600504269459E-2</v>
      </c>
      <c r="U202" s="272"/>
      <c r="V202" s="272"/>
      <c r="W202" s="275"/>
      <c r="X202" s="5"/>
    </row>
    <row r="203" spans="1:24" ht="15.6" x14ac:dyDescent="0.3">
      <c r="A203" s="349"/>
      <c r="B203" s="272" t="s">
        <v>72</v>
      </c>
      <c r="C203" s="350"/>
      <c r="D203" s="350"/>
      <c r="E203" s="350"/>
      <c r="F203" s="350"/>
      <c r="G203" s="316"/>
      <c r="H203" s="316"/>
      <c r="I203" s="316"/>
      <c r="J203" s="316"/>
      <c r="K203" s="316"/>
      <c r="L203" s="316"/>
      <c r="M203" s="316"/>
      <c r="N203" s="316"/>
      <c r="O203" s="316"/>
      <c r="P203" s="316"/>
      <c r="Q203" s="316"/>
      <c r="R203" s="316"/>
      <c r="S203" s="316"/>
      <c r="T203" s="307">
        <f>+T201-T202</f>
        <v>2.1539949573054079E-3</v>
      </c>
      <c r="U203" s="272"/>
      <c r="V203" s="272"/>
      <c r="W203" s="275"/>
      <c r="X203" s="5"/>
    </row>
    <row r="204" spans="1:24" ht="15.6" x14ac:dyDescent="0.3">
      <c r="A204" s="349"/>
      <c r="B204" s="272" t="s">
        <v>73</v>
      </c>
      <c r="C204" s="350"/>
      <c r="D204" s="350"/>
      <c r="E204" s="350"/>
      <c r="F204" s="350"/>
      <c r="G204" s="316"/>
      <c r="H204" s="316"/>
      <c r="I204" s="316"/>
      <c r="J204" s="316"/>
      <c r="K204" s="316"/>
      <c r="L204" s="316"/>
      <c r="M204" s="316"/>
      <c r="N204" s="316"/>
      <c r="O204" s="316"/>
      <c r="P204" s="316"/>
      <c r="Q204" s="316"/>
      <c r="R204" s="316"/>
      <c r="S204" s="316"/>
      <c r="T204" s="307">
        <v>2.2849999999999999E-2</v>
      </c>
      <c r="U204" s="272"/>
      <c r="V204" s="272"/>
      <c r="W204" s="275"/>
      <c r="X204" s="5"/>
    </row>
    <row r="205" spans="1:24" ht="15.6" x14ac:dyDescent="0.3">
      <c r="A205" s="349"/>
      <c r="B205" s="272" t="s">
        <v>222</v>
      </c>
      <c r="C205" s="350"/>
      <c r="D205" s="350"/>
      <c r="E205" s="350"/>
      <c r="F205" s="350"/>
      <c r="G205" s="316"/>
      <c r="H205" s="316"/>
      <c r="I205" s="316"/>
      <c r="J205" s="316"/>
      <c r="K205" s="316"/>
      <c r="L205" s="316"/>
      <c r="M205" s="316"/>
      <c r="N205" s="316"/>
      <c r="O205" s="316"/>
      <c r="P205" s="316"/>
      <c r="Q205" s="316"/>
      <c r="R205" s="316"/>
      <c r="S205" s="316"/>
      <c r="T205" s="307">
        <f>V43</f>
        <v>8.8423193630048653E-3</v>
      </c>
      <c r="U205" s="272"/>
      <c r="V205" s="272"/>
      <c r="W205" s="275"/>
      <c r="X205" s="5"/>
    </row>
    <row r="206" spans="1:24" ht="15.6" x14ac:dyDescent="0.3">
      <c r="A206" s="349"/>
      <c r="B206" s="272" t="s">
        <v>74</v>
      </c>
      <c r="C206" s="350"/>
      <c r="D206" s="350"/>
      <c r="E206" s="350"/>
      <c r="F206" s="350"/>
      <c r="G206" s="316"/>
      <c r="H206" s="316"/>
      <c r="I206" s="316"/>
      <c r="J206" s="316"/>
      <c r="K206" s="316"/>
      <c r="L206" s="316"/>
      <c r="M206" s="316"/>
      <c r="N206" s="316"/>
      <c r="O206" s="316"/>
      <c r="P206" s="316"/>
      <c r="Q206" s="316"/>
      <c r="R206" s="316"/>
      <c r="S206" s="316"/>
      <c r="T206" s="307">
        <f>T204-T205</f>
        <v>1.4007680636995134E-2</v>
      </c>
      <c r="U206" s="272"/>
      <c r="V206" s="272"/>
      <c r="W206" s="275"/>
      <c r="X206" s="5"/>
    </row>
    <row r="207" spans="1:24" ht="15.6" x14ac:dyDescent="0.3">
      <c r="A207" s="349"/>
      <c r="B207" s="272" t="s">
        <v>274</v>
      </c>
      <c r="C207" s="350"/>
      <c r="D207" s="350"/>
      <c r="E207" s="350"/>
      <c r="F207" s="350"/>
      <c r="G207" s="316"/>
      <c r="H207" s="316"/>
      <c r="I207" s="316"/>
      <c r="J207" s="316"/>
      <c r="K207" s="316"/>
      <c r="L207" s="316"/>
      <c r="M207" s="316"/>
      <c r="N207" s="316"/>
      <c r="O207" s="316"/>
      <c r="P207" s="316"/>
      <c r="Q207" s="316"/>
      <c r="R207" s="316"/>
      <c r="S207" s="316"/>
      <c r="T207" s="307">
        <f>+V100/N71</f>
        <v>6.2618069267303487E-3</v>
      </c>
      <c r="U207" s="272"/>
      <c r="V207" s="272"/>
      <c r="W207" s="275"/>
      <c r="X207" s="5"/>
    </row>
    <row r="208" spans="1:24" ht="15.6" x14ac:dyDescent="0.3">
      <c r="A208" s="349"/>
      <c r="B208" s="272" t="s">
        <v>211</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212</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213</v>
      </c>
      <c r="C210" s="350"/>
      <c r="D210" s="350"/>
      <c r="E210" s="350"/>
      <c r="F210" s="350"/>
      <c r="G210" s="316"/>
      <c r="H210" s="316"/>
      <c r="I210" s="316"/>
      <c r="J210" s="316"/>
      <c r="K210" s="316"/>
      <c r="L210" s="316"/>
      <c r="M210" s="316"/>
      <c r="N210" s="316"/>
      <c r="O210" s="316"/>
      <c r="P210" s="316"/>
      <c r="Q210" s="316"/>
      <c r="R210" s="316"/>
      <c r="S210" s="316"/>
      <c r="T210" s="351">
        <v>50771</v>
      </c>
      <c r="U210" s="272"/>
      <c r="V210" s="272"/>
      <c r="W210" s="275"/>
      <c r="X210" s="5"/>
    </row>
    <row r="211" spans="1:24" ht="15.6" x14ac:dyDescent="0.3">
      <c r="A211" s="349"/>
      <c r="B211" s="272" t="s">
        <v>75</v>
      </c>
      <c r="C211" s="350"/>
      <c r="D211" s="350"/>
      <c r="E211" s="350"/>
      <c r="F211" s="350"/>
      <c r="G211" s="316"/>
      <c r="H211" s="316"/>
      <c r="I211" s="316"/>
      <c r="J211" s="316"/>
      <c r="K211" s="316"/>
      <c r="L211" s="316"/>
      <c r="M211" s="316"/>
      <c r="N211" s="316"/>
      <c r="O211" s="316"/>
      <c r="P211" s="316"/>
      <c r="Q211" s="316"/>
      <c r="R211" s="316"/>
      <c r="S211" s="316"/>
      <c r="T211" s="313">
        <v>20.66</v>
      </c>
      <c r="U211" s="272" t="s">
        <v>113</v>
      </c>
      <c r="V211" s="272"/>
      <c r="W211" s="275"/>
      <c r="X211" s="5"/>
    </row>
    <row r="212" spans="1:24" ht="15.6" x14ac:dyDescent="0.3">
      <c r="A212" s="349"/>
      <c r="B212" s="272" t="s">
        <v>76</v>
      </c>
      <c r="C212" s="350"/>
      <c r="D212" s="350"/>
      <c r="E212" s="350"/>
      <c r="F212" s="350"/>
      <c r="G212" s="316"/>
      <c r="H212" s="316"/>
      <c r="I212" s="316"/>
      <c r="J212" s="316"/>
      <c r="K212" s="316"/>
      <c r="L212" s="316"/>
      <c r="M212" s="316"/>
      <c r="N212" s="316"/>
      <c r="O212" s="316"/>
      <c r="P212" s="316"/>
      <c r="Q212" s="316"/>
      <c r="R212" s="316"/>
      <c r="S212" s="316"/>
      <c r="T212" s="313">
        <v>13.06</v>
      </c>
      <c r="U212" s="272" t="s">
        <v>113</v>
      </c>
      <c r="V212" s="272"/>
      <c r="W212" s="275"/>
      <c r="X212" s="5"/>
    </row>
    <row r="213" spans="1:24" ht="15.6" x14ac:dyDescent="0.3">
      <c r="A213" s="349"/>
      <c r="B213" s="272" t="s">
        <v>77</v>
      </c>
      <c r="C213" s="350"/>
      <c r="D213" s="350"/>
      <c r="E213" s="350"/>
      <c r="F213" s="350"/>
      <c r="G213" s="316"/>
      <c r="H213" s="316"/>
      <c r="I213" s="316"/>
      <c r="J213" s="316"/>
      <c r="K213" s="316"/>
      <c r="L213" s="316"/>
      <c r="M213" s="316"/>
      <c r="N213" s="316"/>
      <c r="O213" s="316"/>
      <c r="P213" s="316"/>
      <c r="Q213" s="316"/>
      <c r="R213" s="316"/>
      <c r="S213" s="316"/>
      <c r="T213" s="307">
        <f>P68/N68</f>
        <v>1.1365601152676237E-2</v>
      </c>
      <c r="U213" s="272"/>
      <c r="V213" s="272"/>
      <c r="W213" s="275"/>
      <c r="X213" s="5"/>
    </row>
    <row r="214" spans="1:24" ht="15.6" x14ac:dyDescent="0.3">
      <c r="A214" s="349"/>
      <c r="B214" s="272" t="s">
        <v>78</v>
      </c>
      <c r="C214" s="350"/>
      <c r="D214" s="350"/>
      <c r="E214" s="350"/>
      <c r="F214" s="350"/>
      <c r="G214" s="316"/>
      <c r="H214" s="316"/>
      <c r="I214" s="316"/>
      <c r="J214" s="316"/>
      <c r="K214" s="316"/>
      <c r="L214" s="316"/>
      <c r="M214" s="316"/>
      <c r="N214" s="316"/>
      <c r="O214" s="316"/>
      <c r="P214" s="316"/>
      <c r="Q214" s="316"/>
      <c r="R214" s="316"/>
      <c r="S214" s="316"/>
      <c r="T214" s="307">
        <v>6.5299999999999997E-2</v>
      </c>
      <c r="U214" s="272"/>
      <c r="V214" s="272"/>
      <c r="W214" s="275"/>
      <c r="X214" s="5"/>
    </row>
    <row r="215" spans="1:24" ht="15.6" x14ac:dyDescent="0.3">
      <c r="A215" s="211"/>
      <c r="B215" s="347"/>
      <c r="C215" s="347"/>
      <c r="D215" s="347"/>
      <c r="E215" s="347"/>
      <c r="F215" s="347"/>
      <c r="G215" s="321"/>
      <c r="H215" s="321"/>
      <c r="I215" s="321"/>
      <c r="J215" s="321"/>
      <c r="K215" s="321"/>
      <c r="L215" s="321"/>
      <c r="M215" s="321"/>
      <c r="N215" s="321"/>
      <c r="O215" s="321"/>
      <c r="P215" s="321"/>
      <c r="Q215" s="321"/>
      <c r="R215" s="321"/>
      <c r="S215" s="321"/>
      <c r="T215" s="340"/>
      <c r="U215" s="321"/>
      <c r="V215" s="348"/>
      <c r="W215" s="321"/>
      <c r="X215" s="5"/>
    </row>
    <row r="216" spans="1:24" ht="15.6" x14ac:dyDescent="0.3">
      <c r="A216" s="215"/>
      <c r="B216" s="219" t="s">
        <v>79</v>
      </c>
      <c r="C216" s="224"/>
      <c r="D216" s="224"/>
      <c r="E216" s="224"/>
      <c r="F216" s="251"/>
      <c r="G216" s="224"/>
      <c r="H216" s="224"/>
      <c r="I216" s="224"/>
      <c r="J216" s="224"/>
      <c r="K216" s="224"/>
      <c r="L216" s="224"/>
      <c r="M216" s="224"/>
      <c r="N216" s="224"/>
      <c r="O216" s="224"/>
      <c r="P216" s="224"/>
      <c r="Q216" s="224"/>
      <c r="R216" s="224"/>
      <c r="S216" s="224" t="s">
        <v>103</v>
      </c>
      <c r="T216" s="251" t="s">
        <v>110</v>
      </c>
      <c r="U216" s="220"/>
      <c r="V216" s="220"/>
      <c r="W216" s="220"/>
      <c r="X216" s="5"/>
    </row>
    <row r="217" spans="1:24" ht="15.6" x14ac:dyDescent="0.3">
      <c r="A217" s="356"/>
      <c r="B217" s="272" t="s">
        <v>80</v>
      </c>
      <c r="C217" s="324"/>
      <c r="D217" s="324"/>
      <c r="E217" s="324"/>
      <c r="F217" s="272"/>
      <c r="G217" s="272"/>
      <c r="H217" s="280"/>
      <c r="I217" s="280"/>
      <c r="J217" s="280"/>
      <c r="K217" s="280"/>
      <c r="L217" s="280"/>
      <c r="M217" s="280"/>
      <c r="N217" s="280"/>
      <c r="O217" s="280"/>
      <c r="P217" s="280"/>
      <c r="Q217" s="280"/>
      <c r="R217" s="280"/>
      <c r="S217" s="280">
        <v>0</v>
      </c>
      <c r="T217" s="357">
        <v>0</v>
      </c>
      <c r="U217" s="272"/>
      <c r="V217" s="358"/>
      <c r="W217" s="359"/>
      <c r="X217" s="5"/>
    </row>
    <row r="218" spans="1:24" ht="15.6" x14ac:dyDescent="0.3">
      <c r="A218" s="356"/>
      <c r="B218" s="272" t="s">
        <v>148</v>
      </c>
      <c r="C218" s="324"/>
      <c r="D218" s="324"/>
      <c r="E218" s="324"/>
      <c r="F218" s="272"/>
      <c r="G218" s="272"/>
      <c r="H218" s="280"/>
      <c r="I218" s="280"/>
      <c r="J218" s="280"/>
      <c r="K218" s="280"/>
      <c r="L218" s="280"/>
      <c r="M218" s="280"/>
      <c r="N218" s="280"/>
      <c r="O218" s="280"/>
      <c r="P218" s="280"/>
      <c r="Q218" s="280"/>
      <c r="R218" s="280"/>
      <c r="S218" s="360">
        <f>+R270</f>
        <v>155</v>
      </c>
      <c r="T218" s="357">
        <f>+T270</f>
        <v>23881</v>
      </c>
      <c r="U218" s="272"/>
      <c r="V218" s="358"/>
      <c r="W218" s="359"/>
      <c r="X218" s="5"/>
    </row>
    <row r="219" spans="1:24" ht="15.6" x14ac:dyDescent="0.3">
      <c r="A219" s="356"/>
      <c r="B219" s="272" t="s">
        <v>81</v>
      </c>
      <c r="C219" s="324"/>
      <c r="D219" s="324"/>
      <c r="E219" s="324"/>
      <c r="F219" s="272"/>
      <c r="G219" s="272"/>
      <c r="H219" s="280"/>
      <c r="I219" s="280"/>
      <c r="J219" s="280"/>
      <c r="K219" s="280"/>
      <c r="L219" s="280"/>
      <c r="M219" s="280"/>
      <c r="N219" s="280"/>
      <c r="O219" s="280"/>
      <c r="P219" s="280"/>
      <c r="Q219" s="280"/>
      <c r="R219" s="280"/>
      <c r="S219" s="360">
        <f>+R282</f>
        <v>2</v>
      </c>
      <c r="T219" s="357">
        <f>+T282</f>
        <v>199</v>
      </c>
      <c r="U219" s="272"/>
      <c r="V219" s="358"/>
      <c r="W219" s="359"/>
      <c r="X219" s="5"/>
    </row>
    <row r="220" spans="1:24" ht="15.6" x14ac:dyDescent="0.3">
      <c r="A220" s="356"/>
      <c r="B220" s="297" t="s">
        <v>82</v>
      </c>
      <c r="C220" s="361"/>
      <c r="D220" s="361"/>
      <c r="E220" s="361"/>
      <c r="F220" s="298"/>
      <c r="G220" s="298"/>
      <c r="H220" s="298"/>
      <c r="I220" s="298"/>
      <c r="J220" s="298"/>
      <c r="K220" s="298"/>
      <c r="L220" s="298"/>
      <c r="M220" s="298"/>
      <c r="N220" s="298"/>
      <c r="O220" s="298"/>
      <c r="P220" s="298"/>
      <c r="Q220" s="298"/>
      <c r="R220" s="298"/>
      <c r="S220" s="298"/>
      <c r="T220" s="357">
        <v>0</v>
      </c>
      <c r="U220" s="298"/>
      <c r="V220" s="362"/>
      <c r="W220" s="363"/>
      <c r="X220" s="5"/>
    </row>
    <row r="221" spans="1:24" ht="15.6" x14ac:dyDescent="0.3">
      <c r="A221" s="356"/>
      <c r="B221" s="297" t="s">
        <v>275</v>
      </c>
      <c r="C221" s="361"/>
      <c r="D221" s="361"/>
      <c r="E221" s="361"/>
      <c r="F221" s="298"/>
      <c r="G221" s="298"/>
      <c r="H221" s="298"/>
      <c r="I221" s="298"/>
      <c r="J221" s="298"/>
      <c r="K221" s="298"/>
      <c r="L221" s="298"/>
      <c r="M221" s="298"/>
      <c r="N221" s="298"/>
      <c r="O221" s="298"/>
      <c r="P221" s="298"/>
      <c r="Q221" s="298"/>
      <c r="R221" s="298"/>
      <c r="S221" s="298"/>
      <c r="T221" s="357">
        <f>+N81</f>
        <v>0</v>
      </c>
      <c r="U221" s="298"/>
      <c r="V221" s="362"/>
      <c r="W221" s="363"/>
      <c r="X221" s="5"/>
    </row>
    <row r="222" spans="1:24" ht="15.6" x14ac:dyDescent="0.3">
      <c r="A222" s="364"/>
      <c r="B222" s="297" t="s">
        <v>83</v>
      </c>
      <c r="C222" s="365"/>
      <c r="D222" s="365"/>
      <c r="E222" s="365"/>
      <c r="F222" s="365"/>
      <c r="G222" s="298"/>
      <c r="H222" s="298"/>
      <c r="I222" s="298"/>
      <c r="J222" s="298"/>
      <c r="K222" s="298"/>
      <c r="L222" s="298"/>
      <c r="M222" s="298"/>
      <c r="N222" s="298"/>
      <c r="O222" s="298"/>
      <c r="P222" s="298"/>
      <c r="Q222" s="298"/>
      <c r="R222" s="298"/>
      <c r="S222" s="298"/>
      <c r="T222" s="366"/>
      <c r="U222" s="298"/>
      <c r="V222" s="362"/>
      <c r="W222" s="367"/>
      <c r="X222" s="5"/>
    </row>
    <row r="223" spans="1:24" ht="15.6" x14ac:dyDescent="0.3">
      <c r="A223" s="364"/>
      <c r="B223" s="272" t="s">
        <v>84</v>
      </c>
      <c r="C223" s="272"/>
      <c r="D223" s="272"/>
      <c r="E223" s="272"/>
      <c r="F223" s="272"/>
      <c r="G223" s="272"/>
      <c r="H223" s="272"/>
      <c r="I223" s="272"/>
      <c r="J223" s="272"/>
      <c r="K223" s="272"/>
      <c r="L223" s="272"/>
      <c r="M223" s="272"/>
      <c r="N223" s="272"/>
      <c r="O223" s="272"/>
      <c r="P223" s="272"/>
      <c r="Q223" s="272"/>
      <c r="R223" s="272"/>
      <c r="S223" s="280"/>
      <c r="T223" s="357">
        <f>V167</f>
        <v>353</v>
      </c>
      <c r="U223" s="272"/>
      <c r="V223" s="362"/>
      <c r="W223" s="367"/>
      <c r="X223" s="5"/>
    </row>
    <row r="224" spans="1:24" ht="15.6" x14ac:dyDescent="0.3">
      <c r="A224" s="356"/>
      <c r="B224" s="272" t="s">
        <v>85</v>
      </c>
      <c r="C224" s="324"/>
      <c r="D224" s="324"/>
      <c r="E224" s="324"/>
      <c r="F224" s="324"/>
      <c r="G224" s="272"/>
      <c r="H224" s="272"/>
      <c r="I224" s="272"/>
      <c r="J224" s="272"/>
      <c r="K224" s="272"/>
      <c r="L224" s="272"/>
      <c r="M224" s="272"/>
      <c r="N224" s="272"/>
      <c r="O224" s="272"/>
      <c r="P224" s="272"/>
      <c r="Q224" s="272"/>
      <c r="R224" s="272"/>
      <c r="S224" s="280"/>
      <c r="T224" s="357">
        <f>'Sept 14'!T224+T223</f>
        <v>6790</v>
      </c>
      <c r="U224" s="272"/>
      <c r="V224" s="362"/>
      <c r="W224" s="367"/>
      <c r="X224" s="5"/>
    </row>
    <row r="225" spans="1:25" ht="15.6" x14ac:dyDescent="0.3">
      <c r="A225" s="364"/>
      <c r="B225" s="297" t="s">
        <v>297</v>
      </c>
      <c r="C225" s="365"/>
      <c r="D225" s="365"/>
      <c r="E225" s="365"/>
      <c r="F225" s="365"/>
      <c r="G225" s="298"/>
      <c r="H225" s="298"/>
      <c r="I225" s="298"/>
      <c r="J225" s="298"/>
      <c r="K225" s="298"/>
      <c r="L225" s="298"/>
      <c r="M225" s="298"/>
      <c r="N225" s="298"/>
      <c r="O225" s="298"/>
      <c r="P225" s="298"/>
      <c r="Q225" s="298"/>
      <c r="R225" s="298"/>
      <c r="S225" s="302"/>
      <c r="T225" s="366"/>
      <c r="U225" s="298"/>
      <c r="V225" s="362"/>
      <c r="W225" s="367"/>
      <c r="X225" s="5"/>
    </row>
    <row r="226" spans="1:25" ht="15.6" x14ac:dyDescent="0.3">
      <c r="A226" s="364"/>
      <c r="B226" s="272" t="s">
        <v>295</v>
      </c>
      <c r="C226" s="365"/>
      <c r="D226" s="365"/>
      <c r="E226" s="365"/>
      <c r="F226" s="365"/>
      <c r="G226" s="298"/>
      <c r="H226" s="298"/>
      <c r="I226" s="298"/>
      <c r="J226" s="298"/>
      <c r="K226" s="298"/>
      <c r="L226" s="298"/>
      <c r="M226" s="298"/>
      <c r="N226" s="298"/>
      <c r="O226" s="298"/>
      <c r="P226" s="298"/>
      <c r="Q226" s="298"/>
      <c r="R226" s="298"/>
      <c r="S226" s="280">
        <v>0</v>
      </c>
      <c r="T226" s="357">
        <v>0</v>
      </c>
      <c r="U226" s="298"/>
      <c r="V226" s="362"/>
      <c r="W226" s="367"/>
      <c r="X226" s="5"/>
    </row>
    <row r="227" spans="1:25" ht="15.6" x14ac:dyDescent="0.3">
      <c r="A227" s="356"/>
      <c r="B227" s="272" t="s">
        <v>87</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72" t="s">
        <v>88</v>
      </c>
      <c r="C228" s="370"/>
      <c r="D228" s="370"/>
      <c r="E228" s="370"/>
      <c r="F228" s="371"/>
      <c r="G228" s="298"/>
      <c r="H228" s="298"/>
      <c r="I228" s="298"/>
      <c r="J228" s="298"/>
      <c r="K228" s="298"/>
      <c r="L228" s="298"/>
      <c r="M228" s="298"/>
      <c r="N228" s="298"/>
      <c r="O228" s="298"/>
      <c r="P228" s="298"/>
      <c r="Q228" s="298"/>
      <c r="R228" s="298"/>
      <c r="S228" s="272"/>
      <c r="T228" s="372">
        <v>0</v>
      </c>
      <c r="U228" s="298"/>
      <c r="V228" s="362"/>
      <c r="W228" s="367"/>
      <c r="X228" s="5"/>
    </row>
    <row r="229" spans="1:25" ht="15.6" x14ac:dyDescent="0.3">
      <c r="A229" s="356"/>
      <c r="B229" s="297" t="s">
        <v>220</v>
      </c>
      <c r="C229" s="370"/>
      <c r="D229" s="370"/>
      <c r="E229" s="370"/>
      <c r="F229" s="371"/>
      <c r="G229" s="298"/>
      <c r="H229" s="298"/>
      <c r="I229" s="298"/>
      <c r="J229" s="298"/>
      <c r="K229" s="298"/>
      <c r="L229" s="298"/>
      <c r="M229" s="298"/>
      <c r="N229" s="298"/>
      <c r="O229" s="298"/>
      <c r="P229" s="298"/>
      <c r="Q229" s="298"/>
      <c r="R229" s="298"/>
      <c r="S229" s="272"/>
      <c r="T229" s="373"/>
      <c r="U229" s="298"/>
      <c r="V229" s="362"/>
      <c r="W229" s="367"/>
      <c r="X229" s="5"/>
    </row>
    <row r="230" spans="1:25" ht="15.6" x14ac:dyDescent="0.3">
      <c r="A230" s="356"/>
      <c r="B230" s="272" t="s">
        <v>295</v>
      </c>
      <c r="C230" s="370"/>
      <c r="D230" s="370"/>
      <c r="E230" s="370"/>
      <c r="F230" s="371"/>
      <c r="G230" s="298"/>
      <c r="H230" s="298"/>
      <c r="I230" s="298"/>
      <c r="J230" s="298"/>
      <c r="K230" s="298"/>
      <c r="L230" s="298"/>
      <c r="M230" s="298"/>
      <c r="N230" s="298"/>
      <c r="O230" s="298"/>
      <c r="P230" s="298"/>
      <c r="Q230" s="298"/>
      <c r="R230" s="298"/>
      <c r="S230" s="280">
        <v>14</v>
      </c>
      <c r="T230" s="357">
        <v>1420</v>
      </c>
      <c r="U230" s="298"/>
      <c r="V230" s="362"/>
      <c r="W230" s="367"/>
      <c r="X230" s="5"/>
    </row>
    <row r="231" spans="1:25" ht="15.6" x14ac:dyDescent="0.3">
      <c r="A231" s="356"/>
      <c r="B231" s="272" t="s">
        <v>221</v>
      </c>
      <c r="C231" s="370"/>
      <c r="D231" s="370"/>
      <c r="E231" s="370"/>
      <c r="F231" s="371"/>
      <c r="G231" s="298"/>
      <c r="H231" s="298"/>
      <c r="I231" s="298"/>
      <c r="J231" s="298"/>
      <c r="K231" s="298"/>
      <c r="L231" s="298"/>
      <c r="M231" s="298"/>
      <c r="N231" s="298"/>
      <c r="O231" s="298"/>
      <c r="P231" s="298"/>
      <c r="Q231" s="298"/>
      <c r="R231" s="298"/>
      <c r="S231" s="272"/>
      <c r="T231" s="372">
        <v>3.49</v>
      </c>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5.6" x14ac:dyDescent="0.3">
      <c r="A233" s="356"/>
      <c r="B233" s="365"/>
      <c r="C233" s="370"/>
      <c r="D233" s="370"/>
      <c r="E233" s="370"/>
      <c r="F233" s="371"/>
      <c r="G233" s="298"/>
      <c r="H233" s="298"/>
      <c r="I233" s="298"/>
      <c r="J233" s="298"/>
      <c r="K233" s="298"/>
      <c r="L233" s="298"/>
      <c r="M233" s="298"/>
      <c r="N233" s="298"/>
      <c r="O233" s="298"/>
      <c r="P233" s="298"/>
      <c r="Q233" s="298"/>
      <c r="R233" s="298"/>
      <c r="S233" s="298"/>
      <c r="T233" s="374"/>
      <c r="U233" s="298"/>
      <c r="V233" s="362"/>
      <c r="W233" s="367"/>
      <c r="X233" s="5"/>
    </row>
    <row r="234" spans="1:25" ht="17.399999999999999" x14ac:dyDescent="0.3">
      <c r="A234" s="356"/>
      <c r="B234" s="375" t="s">
        <v>171</v>
      </c>
      <c r="C234" s="370"/>
      <c r="D234" s="370"/>
      <c r="E234" s="370"/>
      <c r="F234" s="371"/>
      <c r="G234" s="298"/>
      <c r="H234" s="298"/>
      <c r="I234" s="298"/>
      <c r="J234" s="298"/>
      <c r="K234" s="298"/>
      <c r="L234" s="298"/>
      <c r="M234" s="298"/>
      <c r="N234" s="298"/>
      <c r="O234" s="298"/>
      <c r="P234" s="376" t="s">
        <v>170</v>
      </c>
      <c r="Q234" s="298"/>
      <c r="R234" s="298"/>
      <c r="S234" s="298"/>
      <c r="T234" s="374"/>
      <c r="U234" s="298"/>
      <c r="V234" s="362"/>
      <c r="W234" s="367"/>
      <c r="X234" s="5"/>
    </row>
    <row r="235" spans="1:25" ht="15.6" x14ac:dyDescent="0.3">
      <c r="A235" s="215"/>
      <c r="B235" s="347"/>
      <c r="C235" s="352"/>
      <c r="D235" s="352"/>
      <c r="E235" s="352"/>
      <c r="F235" s="353"/>
      <c r="G235" s="321"/>
      <c r="H235" s="321"/>
      <c r="I235" s="321"/>
      <c r="J235" s="321"/>
      <c r="K235" s="321"/>
      <c r="L235" s="321"/>
      <c r="M235" s="321"/>
      <c r="N235" s="321"/>
      <c r="O235" s="321"/>
      <c r="P235" s="321"/>
      <c r="Q235" s="321"/>
      <c r="R235" s="321"/>
      <c r="S235" s="321"/>
      <c r="T235" s="354"/>
      <c r="U235" s="321"/>
      <c r="V235" s="348"/>
      <c r="W235" s="355"/>
      <c r="X235" s="5"/>
    </row>
    <row r="236" spans="1:25" ht="15.6" x14ac:dyDescent="0.3">
      <c r="A236" s="239"/>
      <c r="B236" s="253" t="s">
        <v>310</v>
      </c>
      <c r="C236" s="254"/>
      <c r="D236" s="254"/>
      <c r="E236" s="254"/>
      <c r="F236" s="255"/>
      <c r="G236" s="254"/>
      <c r="H236" s="254"/>
      <c r="I236" s="254"/>
      <c r="J236" s="254"/>
      <c r="K236" s="254"/>
      <c r="L236" s="254"/>
      <c r="M236" s="254"/>
      <c r="N236" s="254"/>
      <c r="O236" s="254"/>
      <c r="P236" s="254"/>
      <c r="Q236" s="254"/>
      <c r="R236" s="255" t="s">
        <v>103</v>
      </c>
      <c r="S236" s="254" t="s">
        <v>104</v>
      </c>
      <c r="T236" s="255" t="s">
        <v>111</v>
      </c>
      <c r="U236" s="254" t="s">
        <v>104</v>
      </c>
      <c r="V236" s="240"/>
      <c r="W236" s="253"/>
      <c r="X236" s="5"/>
    </row>
    <row r="237" spans="1:25" ht="15.6" x14ac:dyDescent="0.3">
      <c r="A237" s="192"/>
      <c r="B237" s="231" t="s">
        <v>89</v>
      </c>
      <c r="C237" s="260"/>
      <c r="D237" s="260"/>
      <c r="E237" s="260"/>
      <c r="F237" s="229"/>
      <c r="G237" s="260"/>
      <c r="H237" s="260"/>
      <c r="I237" s="260"/>
      <c r="J237" s="260"/>
      <c r="K237" s="260"/>
      <c r="L237" s="260"/>
      <c r="M237" s="260"/>
      <c r="N237" s="260"/>
      <c r="O237" s="260"/>
      <c r="P237" s="260"/>
      <c r="Q237" s="260"/>
      <c r="R237" s="324">
        <f t="shared" ref="R237:R244" si="1">+R249+R261+R273</f>
        <v>7184</v>
      </c>
      <c r="S237" s="381">
        <f t="shared" ref="S237:S244" si="2">R237/$R$246</f>
        <v>0.99308819463643905</v>
      </c>
      <c r="T237" s="325">
        <f t="shared" ref="T237:T244" si="3">+T249+T261+T273</f>
        <v>920925</v>
      </c>
      <c r="U237" s="381">
        <f t="shared" ref="U237:U244" si="4">T237/$T$246</f>
        <v>0.99367599424246811</v>
      </c>
      <c r="V237" s="252"/>
      <c r="W237" s="230"/>
      <c r="X237" s="5"/>
    </row>
    <row r="238" spans="1:25" ht="15.6" x14ac:dyDescent="0.3">
      <c r="A238" s="271"/>
      <c r="B238" s="324" t="s">
        <v>90</v>
      </c>
      <c r="C238" s="380"/>
      <c r="D238" s="380"/>
      <c r="E238" s="380"/>
      <c r="F238" s="272"/>
      <c r="G238" s="381"/>
      <c r="H238" s="380"/>
      <c r="I238" s="380"/>
      <c r="J238" s="380"/>
      <c r="K238" s="380"/>
      <c r="L238" s="380"/>
      <c r="M238" s="380"/>
      <c r="N238" s="380"/>
      <c r="O238" s="380"/>
      <c r="P238" s="380"/>
      <c r="Q238" s="380"/>
      <c r="R238" s="324">
        <f t="shared" si="1"/>
        <v>10</v>
      </c>
      <c r="S238" s="381">
        <f t="shared" si="2"/>
        <v>1.3823610727121925E-3</v>
      </c>
      <c r="T238" s="325">
        <f t="shared" si="3"/>
        <v>1007</v>
      </c>
      <c r="U238" s="381">
        <f t="shared" si="4"/>
        <v>1.0865507247627823E-3</v>
      </c>
      <c r="V238" s="358"/>
      <c r="W238" s="382"/>
      <c r="X238" s="5"/>
      <c r="Y238" s="109"/>
    </row>
    <row r="239" spans="1:25" ht="15.6" x14ac:dyDescent="0.3">
      <c r="A239" s="271"/>
      <c r="B239" s="324" t="s">
        <v>91</v>
      </c>
      <c r="C239" s="380"/>
      <c r="D239" s="380"/>
      <c r="E239" s="380"/>
      <c r="F239" s="272"/>
      <c r="G239" s="381"/>
      <c r="H239" s="380"/>
      <c r="I239" s="380"/>
      <c r="J239" s="380"/>
      <c r="K239" s="380"/>
      <c r="L239" s="380"/>
      <c r="M239" s="380"/>
      <c r="N239" s="380"/>
      <c r="O239" s="380"/>
      <c r="P239" s="380"/>
      <c r="Q239" s="380"/>
      <c r="R239" s="324">
        <f t="shared" si="1"/>
        <v>5</v>
      </c>
      <c r="S239" s="381">
        <f t="shared" si="2"/>
        <v>6.9118053635609626E-4</v>
      </c>
      <c r="T239" s="325">
        <f t="shared" si="3"/>
        <v>658</v>
      </c>
      <c r="U239" s="381">
        <f t="shared" si="4"/>
        <v>7.099805133008051E-4</v>
      </c>
      <c r="V239" s="358"/>
      <c r="W239" s="382"/>
      <c r="X239" s="5"/>
    </row>
    <row r="240" spans="1:25" ht="15.6" x14ac:dyDescent="0.3">
      <c r="A240" s="271"/>
      <c r="B240" s="324" t="s">
        <v>159</v>
      </c>
      <c r="C240" s="380"/>
      <c r="D240" s="380"/>
      <c r="E240" s="380"/>
      <c r="F240" s="272"/>
      <c r="G240" s="381"/>
      <c r="H240" s="380"/>
      <c r="I240" s="380"/>
      <c r="J240" s="380"/>
      <c r="K240" s="380"/>
      <c r="L240" s="380"/>
      <c r="M240" s="380"/>
      <c r="N240" s="380"/>
      <c r="O240" s="380"/>
      <c r="P240" s="380"/>
      <c r="Q240" s="380"/>
      <c r="R240" s="324">
        <f t="shared" si="1"/>
        <v>0</v>
      </c>
      <c r="S240" s="381">
        <f t="shared" si="2"/>
        <v>0</v>
      </c>
      <c r="T240" s="325">
        <f t="shared" si="3"/>
        <v>0</v>
      </c>
      <c r="U240" s="381">
        <f t="shared" si="4"/>
        <v>0</v>
      </c>
      <c r="V240" s="358"/>
      <c r="W240" s="382"/>
      <c r="X240" s="5"/>
      <c r="Y240" s="109"/>
    </row>
    <row r="241" spans="1:25" ht="15.6" x14ac:dyDescent="0.3">
      <c r="A241" s="271"/>
      <c r="B241" s="324" t="s">
        <v>160</v>
      </c>
      <c r="C241" s="380"/>
      <c r="D241" s="380"/>
      <c r="E241" s="380"/>
      <c r="F241" s="272"/>
      <c r="G241" s="381"/>
      <c r="H241" s="380"/>
      <c r="I241" s="380"/>
      <c r="J241" s="380"/>
      <c r="K241" s="380"/>
      <c r="L241" s="380"/>
      <c r="M241" s="380"/>
      <c r="N241" s="380"/>
      <c r="O241" s="380"/>
      <c r="P241" s="380"/>
      <c r="Q241" s="380"/>
      <c r="R241" s="324">
        <f t="shared" si="1"/>
        <v>4</v>
      </c>
      <c r="S241" s="381">
        <f t="shared" si="2"/>
        <v>5.5294442908487699E-4</v>
      </c>
      <c r="T241" s="325">
        <f t="shared" si="3"/>
        <v>426</v>
      </c>
      <c r="U241" s="381">
        <f t="shared" si="4"/>
        <v>4.5965303748653951E-4</v>
      </c>
      <c r="V241" s="358"/>
      <c r="W241" s="382"/>
      <c r="X241" s="5"/>
    </row>
    <row r="242" spans="1:25" ht="15.6" x14ac:dyDescent="0.3">
      <c r="A242" s="271"/>
      <c r="B242" s="324" t="s">
        <v>161</v>
      </c>
      <c r="C242" s="380"/>
      <c r="D242" s="380"/>
      <c r="E242" s="380"/>
      <c r="F242" s="272"/>
      <c r="G242" s="381"/>
      <c r="H242" s="380"/>
      <c r="I242" s="380"/>
      <c r="J242" s="380"/>
      <c r="K242" s="380"/>
      <c r="L242" s="380"/>
      <c r="M242" s="380"/>
      <c r="N242" s="380"/>
      <c r="O242" s="380"/>
      <c r="P242" s="380"/>
      <c r="Q242" s="380"/>
      <c r="R242" s="324">
        <f t="shared" si="1"/>
        <v>1</v>
      </c>
      <c r="S242" s="381">
        <f t="shared" si="2"/>
        <v>1.3823610727121925E-4</v>
      </c>
      <c r="T242" s="325">
        <f t="shared" si="3"/>
        <v>105</v>
      </c>
      <c r="U242" s="381">
        <f t="shared" si="4"/>
        <v>1.1329476276076678E-4</v>
      </c>
      <c r="V242" s="358"/>
      <c r="W242" s="382"/>
      <c r="X242" s="5"/>
      <c r="Y242" s="109"/>
    </row>
    <row r="243" spans="1:25" ht="15.6" x14ac:dyDescent="0.3">
      <c r="A243" s="271"/>
      <c r="B243" s="324" t="s">
        <v>162</v>
      </c>
      <c r="C243" s="380"/>
      <c r="D243" s="380"/>
      <c r="E243" s="380"/>
      <c r="F243" s="272"/>
      <c r="G243" s="381"/>
      <c r="H243" s="380"/>
      <c r="I243" s="380"/>
      <c r="J243" s="380"/>
      <c r="K243" s="380"/>
      <c r="L243" s="380"/>
      <c r="M243" s="380"/>
      <c r="N243" s="380"/>
      <c r="O243" s="380"/>
      <c r="P243" s="380"/>
      <c r="Q243" s="380"/>
      <c r="R243" s="324">
        <f t="shared" si="1"/>
        <v>4</v>
      </c>
      <c r="S243" s="381">
        <f t="shared" si="2"/>
        <v>5.5294442908487699E-4</v>
      </c>
      <c r="T243" s="325">
        <f t="shared" si="3"/>
        <v>324</v>
      </c>
      <c r="U243" s="381">
        <f t="shared" si="4"/>
        <v>3.4959526794750892E-4</v>
      </c>
      <c r="V243" s="358"/>
      <c r="W243" s="382"/>
      <c r="X243" s="5"/>
    </row>
    <row r="244" spans="1:25" ht="15.6" x14ac:dyDescent="0.3">
      <c r="A244" s="271"/>
      <c r="B244" s="324" t="s">
        <v>163</v>
      </c>
      <c r="C244" s="380"/>
      <c r="D244" s="380"/>
      <c r="E244" s="380"/>
      <c r="F244" s="272"/>
      <c r="G244" s="381"/>
      <c r="H244" s="380"/>
      <c r="I244" s="380"/>
      <c r="J244" s="380"/>
      <c r="K244" s="380"/>
      <c r="L244" s="380"/>
      <c r="M244" s="380"/>
      <c r="N244" s="380"/>
      <c r="O244" s="380"/>
      <c r="P244" s="380"/>
      <c r="Q244" s="380"/>
      <c r="R244" s="324">
        <f t="shared" si="1"/>
        <v>26</v>
      </c>
      <c r="S244" s="381">
        <f t="shared" si="2"/>
        <v>3.5941387890517005E-3</v>
      </c>
      <c r="T244" s="325">
        <f t="shared" si="3"/>
        <v>3341</v>
      </c>
      <c r="U244" s="381">
        <f t="shared" si="4"/>
        <v>3.6049314512735411E-3</v>
      </c>
      <c r="V244" s="358"/>
      <c r="W244" s="382"/>
      <c r="X244" s="5"/>
      <c r="Y244" s="109"/>
    </row>
    <row r="245" spans="1:25" ht="15.6" x14ac:dyDescent="0.3">
      <c r="A245" s="271"/>
      <c r="B245" s="324"/>
      <c r="C245" s="380"/>
      <c r="D245" s="380"/>
      <c r="E245" s="380"/>
      <c r="F245" s="272"/>
      <c r="G245" s="381"/>
      <c r="H245" s="380"/>
      <c r="I245" s="380"/>
      <c r="J245" s="380"/>
      <c r="K245" s="380"/>
      <c r="L245" s="380"/>
      <c r="M245" s="380"/>
      <c r="N245" s="380"/>
      <c r="O245" s="380"/>
      <c r="P245" s="380"/>
      <c r="Q245" s="380"/>
      <c r="R245" s="324"/>
      <c r="S245" s="381"/>
      <c r="T245" s="325"/>
      <c r="U245" s="381"/>
      <c r="V245" s="358"/>
      <c r="W245" s="382"/>
      <c r="X245" s="5"/>
    </row>
    <row r="246" spans="1:25" ht="15.6" x14ac:dyDescent="0.3">
      <c r="A246" s="271"/>
      <c r="B246" s="272" t="s">
        <v>117</v>
      </c>
      <c r="C246" s="272"/>
      <c r="D246" s="272"/>
      <c r="E246" s="272"/>
      <c r="F246" s="272"/>
      <c r="G246" s="272"/>
      <c r="H246" s="383"/>
      <c r="I246" s="383"/>
      <c r="J246" s="383"/>
      <c r="K246" s="383"/>
      <c r="L246" s="383"/>
      <c r="M246" s="383"/>
      <c r="N246" s="383"/>
      <c r="O246" s="383"/>
      <c r="P246" s="383"/>
      <c r="Q246" s="383"/>
      <c r="R246" s="324">
        <f>SUM(R237:R245)</f>
        <v>7234</v>
      </c>
      <c r="S246" s="381">
        <f>SUM(S237:S245)</f>
        <v>0.99999999999999989</v>
      </c>
      <c r="T246" s="325">
        <f>SUM(T237:T245)</f>
        <v>926786</v>
      </c>
      <c r="U246" s="381">
        <f>SUM(U237:U245)</f>
        <v>1.0000000000000002</v>
      </c>
      <c r="V246" s="272"/>
      <c r="W246" s="275"/>
      <c r="X246" s="5"/>
    </row>
    <row r="247" spans="1:25" ht="15.6" x14ac:dyDescent="0.3">
      <c r="A247" s="215"/>
      <c r="B247" s="347"/>
      <c r="C247" s="352"/>
      <c r="D247" s="352"/>
      <c r="E247" s="352"/>
      <c r="F247" s="353"/>
      <c r="G247" s="321"/>
      <c r="H247" s="321"/>
      <c r="I247" s="321"/>
      <c r="J247" s="321"/>
      <c r="K247" s="321"/>
      <c r="L247" s="321"/>
      <c r="M247" s="321"/>
      <c r="N247" s="321"/>
      <c r="O247" s="321"/>
      <c r="P247" s="321"/>
      <c r="Q247" s="321"/>
      <c r="R247" s="321"/>
      <c r="S247" s="321"/>
      <c r="T247" s="354"/>
      <c r="U247" s="321"/>
      <c r="V247" s="348"/>
      <c r="W247" s="355"/>
      <c r="X247" s="5"/>
    </row>
    <row r="248" spans="1:25" ht="15.6" x14ac:dyDescent="0.3">
      <c r="A248" s="239"/>
      <c r="B248" s="253" t="s">
        <v>165</v>
      </c>
      <c r="C248" s="254"/>
      <c r="D248" s="254"/>
      <c r="E248" s="254"/>
      <c r="F248" s="255"/>
      <c r="G248" s="254"/>
      <c r="H248" s="254"/>
      <c r="I248" s="254"/>
      <c r="J248" s="254"/>
      <c r="K248" s="254"/>
      <c r="L248" s="254"/>
      <c r="M248" s="254"/>
      <c r="N248" s="254"/>
      <c r="O248" s="254"/>
      <c r="P248" s="254"/>
      <c r="Q248" s="254"/>
      <c r="R248" s="255" t="s">
        <v>103</v>
      </c>
      <c r="S248" s="254" t="s">
        <v>104</v>
      </c>
      <c r="T248" s="255" t="s">
        <v>111</v>
      </c>
      <c r="U248" s="254" t="s">
        <v>104</v>
      </c>
      <c r="V248" s="240"/>
      <c r="W248" s="253"/>
      <c r="X248" s="5"/>
    </row>
    <row r="249" spans="1:25" ht="15.6" x14ac:dyDescent="0.3">
      <c r="A249" s="192"/>
      <c r="B249" s="231" t="s">
        <v>89</v>
      </c>
      <c r="C249" s="260"/>
      <c r="D249" s="260"/>
      <c r="E249" s="260"/>
      <c r="F249" s="229"/>
      <c r="G249" s="260"/>
      <c r="H249" s="260"/>
      <c r="I249" s="260"/>
      <c r="J249" s="260"/>
      <c r="K249" s="260"/>
      <c r="L249" s="260"/>
      <c r="M249" s="260"/>
      <c r="N249" s="260"/>
      <c r="O249" s="260"/>
      <c r="P249" s="260"/>
      <c r="Q249" s="260"/>
      <c r="R249" s="231">
        <v>7064</v>
      </c>
      <c r="S249" s="261">
        <f t="shared" ref="S249:S256" si="5">R249/$R$258</f>
        <v>0.99816306344496253</v>
      </c>
      <c r="T249" s="238">
        <v>901274</v>
      </c>
      <c r="U249" s="261">
        <f t="shared" ref="U249:U256" si="6">T249/$T$258</f>
        <v>0.99841365848903185</v>
      </c>
      <c r="V249" s="252"/>
      <c r="W249" s="230"/>
      <c r="X249" s="5"/>
    </row>
    <row r="250" spans="1:25" ht="15.6" x14ac:dyDescent="0.3">
      <c r="A250" s="271"/>
      <c r="B250" s="324" t="s">
        <v>90</v>
      </c>
      <c r="C250" s="380"/>
      <c r="D250" s="380"/>
      <c r="E250" s="380"/>
      <c r="F250" s="272"/>
      <c r="G250" s="381"/>
      <c r="H250" s="380"/>
      <c r="I250" s="380"/>
      <c r="J250" s="380"/>
      <c r="K250" s="380"/>
      <c r="L250" s="380"/>
      <c r="M250" s="380"/>
      <c r="N250" s="380"/>
      <c r="O250" s="380"/>
      <c r="P250" s="380"/>
      <c r="Q250" s="380"/>
      <c r="R250" s="324">
        <v>10</v>
      </c>
      <c r="S250" s="381">
        <f t="shared" si="5"/>
        <v>1.4130281192595733E-3</v>
      </c>
      <c r="T250" s="325">
        <v>1007</v>
      </c>
      <c r="U250" s="381">
        <f t="shared" si="6"/>
        <v>1.1155348474475631E-3</v>
      </c>
      <c r="V250" s="358"/>
      <c r="W250" s="382"/>
      <c r="X250" s="5"/>
      <c r="Y250" s="109"/>
    </row>
    <row r="251" spans="1:25" ht="15.6" x14ac:dyDescent="0.3">
      <c r="A251" s="271"/>
      <c r="B251" s="324" t="s">
        <v>91</v>
      </c>
      <c r="C251" s="380"/>
      <c r="D251" s="380"/>
      <c r="E251" s="380"/>
      <c r="F251" s="272"/>
      <c r="G251" s="381"/>
      <c r="H251" s="380"/>
      <c r="I251" s="380"/>
      <c r="J251" s="380"/>
      <c r="K251" s="380"/>
      <c r="L251" s="380"/>
      <c r="M251" s="380"/>
      <c r="N251" s="380"/>
      <c r="O251" s="380"/>
      <c r="P251" s="380"/>
      <c r="Q251" s="380"/>
      <c r="R251" s="324">
        <v>2</v>
      </c>
      <c r="S251" s="381">
        <f t="shared" si="5"/>
        <v>2.8260562385191464E-4</v>
      </c>
      <c r="T251" s="325">
        <v>307</v>
      </c>
      <c r="U251" s="381">
        <f t="shared" si="6"/>
        <v>3.4008857811956497E-4</v>
      </c>
      <c r="V251" s="358"/>
      <c r="W251" s="382"/>
      <c r="X251" s="5"/>
    </row>
    <row r="252" spans="1:25" ht="15.6" x14ac:dyDescent="0.3">
      <c r="A252" s="271"/>
      <c r="B252" s="324" t="s">
        <v>159</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c r="Y252" s="109"/>
    </row>
    <row r="253" spans="1:25" ht="15.6" x14ac:dyDescent="0.3">
      <c r="A253" s="271"/>
      <c r="B253" s="324" t="s">
        <v>160</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row>
    <row r="254" spans="1:25" ht="15.6" x14ac:dyDescent="0.3">
      <c r="A254" s="271"/>
      <c r="B254" s="324" t="s">
        <v>161</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c r="Y254" s="109"/>
    </row>
    <row r="255" spans="1:25" ht="15.6" x14ac:dyDescent="0.3">
      <c r="A255" s="271"/>
      <c r="B255" s="324" t="s">
        <v>162</v>
      </c>
      <c r="C255" s="380"/>
      <c r="D255" s="380"/>
      <c r="E255" s="380"/>
      <c r="F255" s="272"/>
      <c r="G255" s="381"/>
      <c r="H255" s="380"/>
      <c r="I255" s="380"/>
      <c r="J255" s="380"/>
      <c r="K255" s="380"/>
      <c r="L255" s="380"/>
      <c r="M255" s="380"/>
      <c r="N255" s="380"/>
      <c r="O255" s="380"/>
      <c r="P255" s="380"/>
      <c r="Q255" s="380"/>
      <c r="R255" s="324">
        <v>0</v>
      </c>
      <c r="S255" s="381">
        <f t="shared" si="5"/>
        <v>0</v>
      </c>
      <c r="T255" s="325">
        <v>0</v>
      </c>
      <c r="U255" s="381">
        <f t="shared" si="6"/>
        <v>0</v>
      </c>
      <c r="V255" s="358"/>
      <c r="W255" s="382"/>
      <c r="X255" s="5"/>
    </row>
    <row r="256" spans="1:25" ht="15.6" x14ac:dyDescent="0.3">
      <c r="A256" s="271"/>
      <c r="B256" s="324" t="s">
        <v>163</v>
      </c>
      <c r="C256" s="380"/>
      <c r="D256" s="380"/>
      <c r="E256" s="380"/>
      <c r="F256" s="272"/>
      <c r="G256" s="381"/>
      <c r="H256" s="380"/>
      <c r="I256" s="380"/>
      <c r="J256" s="380"/>
      <c r="K256" s="380"/>
      <c r="L256" s="380"/>
      <c r="M256" s="380"/>
      <c r="N256" s="380"/>
      <c r="O256" s="380"/>
      <c r="P256" s="380"/>
      <c r="Q256" s="380"/>
      <c r="R256" s="324">
        <v>1</v>
      </c>
      <c r="S256" s="381">
        <f t="shared" si="5"/>
        <v>1.4130281192595732E-4</v>
      </c>
      <c r="T256" s="325">
        <v>118</v>
      </c>
      <c r="U256" s="381">
        <f t="shared" si="6"/>
        <v>1.3071808540100543E-4</v>
      </c>
      <c r="V256" s="358"/>
      <c r="W256" s="382"/>
      <c r="X256" s="5"/>
      <c r="Y256" s="109"/>
    </row>
    <row r="257" spans="1:24" ht="15.6" x14ac:dyDescent="0.3">
      <c r="A257" s="271"/>
      <c r="B257" s="324"/>
      <c r="C257" s="380"/>
      <c r="D257" s="380"/>
      <c r="E257" s="380"/>
      <c r="F257" s="272"/>
      <c r="G257" s="381"/>
      <c r="H257" s="380"/>
      <c r="I257" s="380"/>
      <c r="J257" s="380"/>
      <c r="K257" s="380"/>
      <c r="L257" s="380"/>
      <c r="M257" s="380"/>
      <c r="N257" s="380"/>
      <c r="O257" s="380"/>
      <c r="P257" s="380"/>
      <c r="Q257" s="380"/>
      <c r="R257" s="324"/>
      <c r="S257" s="381"/>
      <c r="T257" s="325"/>
      <c r="U257" s="381"/>
      <c r="V257" s="358"/>
      <c r="W257" s="382"/>
      <c r="X257" s="5"/>
    </row>
    <row r="258" spans="1:24" ht="15.6" x14ac:dyDescent="0.3">
      <c r="A258" s="271"/>
      <c r="B258" s="272" t="s">
        <v>117</v>
      </c>
      <c r="C258" s="272"/>
      <c r="D258" s="272"/>
      <c r="E258" s="272"/>
      <c r="F258" s="272"/>
      <c r="G258" s="272"/>
      <c r="H258" s="383"/>
      <c r="I258" s="383"/>
      <c r="J258" s="383"/>
      <c r="K258" s="383"/>
      <c r="L258" s="383"/>
      <c r="M258" s="383"/>
      <c r="N258" s="383"/>
      <c r="O258" s="383"/>
      <c r="P258" s="383"/>
      <c r="Q258" s="383"/>
      <c r="R258" s="324">
        <f>SUM(R249:R257)</f>
        <v>7077</v>
      </c>
      <c r="S258" s="381">
        <f>SUM(S249:S257)</f>
        <v>1</v>
      </c>
      <c r="T258" s="325">
        <f>SUM(T249:T257)</f>
        <v>902706</v>
      </c>
      <c r="U258" s="381">
        <f>SUM(U249:U257)</f>
        <v>0.99999999999999989</v>
      </c>
      <c r="V258" s="272"/>
      <c r="W258" s="275"/>
      <c r="X258" s="5"/>
    </row>
    <row r="259" spans="1:24" ht="15.6" x14ac:dyDescent="0.3">
      <c r="A259" s="175"/>
      <c r="B259" s="321"/>
      <c r="C259" s="321"/>
      <c r="D259" s="321"/>
      <c r="E259" s="321"/>
      <c r="F259" s="321"/>
      <c r="G259" s="321"/>
      <c r="H259" s="377"/>
      <c r="I259" s="377"/>
      <c r="J259" s="377"/>
      <c r="K259" s="377"/>
      <c r="L259" s="377"/>
      <c r="M259" s="377"/>
      <c r="N259" s="377"/>
      <c r="O259" s="377"/>
      <c r="P259" s="377"/>
      <c r="Q259" s="377"/>
      <c r="R259" s="322"/>
      <c r="S259" s="378"/>
      <c r="T259" s="379"/>
      <c r="U259" s="378"/>
      <c r="V259" s="321"/>
      <c r="W259" s="321"/>
      <c r="X259" s="5"/>
    </row>
    <row r="260" spans="1:24" ht="15.6" x14ac:dyDescent="0.3">
      <c r="A260" s="256"/>
      <c r="B260" s="253" t="s">
        <v>279</v>
      </c>
      <c r="C260" s="254"/>
      <c r="D260" s="254"/>
      <c r="E260" s="254"/>
      <c r="F260" s="255"/>
      <c r="G260" s="254"/>
      <c r="H260" s="254"/>
      <c r="I260" s="254"/>
      <c r="J260" s="254"/>
      <c r="K260" s="254"/>
      <c r="L260" s="254"/>
      <c r="M260" s="254"/>
      <c r="N260" s="254"/>
      <c r="O260" s="254"/>
      <c r="P260" s="254"/>
      <c r="Q260" s="254"/>
      <c r="R260" s="255" t="s">
        <v>103</v>
      </c>
      <c r="S260" s="254" t="s">
        <v>104</v>
      </c>
      <c r="T260" s="255" t="s">
        <v>111</v>
      </c>
      <c r="U260" s="254" t="s">
        <v>104</v>
      </c>
      <c r="V260" s="257"/>
      <c r="W260" s="258"/>
      <c r="X260" s="5"/>
    </row>
    <row r="261" spans="1:24" ht="15.6" x14ac:dyDescent="0.3">
      <c r="A261" s="192"/>
      <c r="B261" s="231" t="s">
        <v>89</v>
      </c>
      <c r="C261" s="260"/>
      <c r="D261" s="260"/>
      <c r="E261" s="260"/>
      <c r="F261" s="229"/>
      <c r="G261" s="260"/>
      <c r="H261" s="260"/>
      <c r="I261" s="260"/>
      <c r="J261" s="260"/>
      <c r="K261" s="260"/>
      <c r="L261" s="260"/>
      <c r="M261" s="260"/>
      <c r="N261" s="260"/>
      <c r="O261" s="260"/>
      <c r="P261" s="260"/>
      <c r="Q261" s="260"/>
      <c r="R261" s="231">
        <v>120</v>
      </c>
      <c r="S261" s="261">
        <f>R261/$R$270</f>
        <v>0.77419354838709675</v>
      </c>
      <c r="T261" s="238">
        <v>19651</v>
      </c>
      <c r="U261" s="261">
        <f t="shared" ref="U261:U268" si="7">T261/$T$270</f>
        <v>0.82287173903940369</v>
      </c>
      <c r="V261" s="229"/>
      <c r="W261" s="193"/>
      <c r="X261" s="5"/>
    </row>
    <row r="262" spans="1:24" ht="15.6" x14ac:dyDescent="0.3">
      <c r="A262" s="271"/>
      <c r="B262" s="324" t="s">
        <v>90</v>
      </c>
      <c r="C262" s="380"/>
      <c r="D262" s="380"/>
      <c r="E262" s="380"/>
      <c r="F262" s="272"/>
      <c r="G262" s="381"/>
      <c r="H262" s="380"/>
      <c r="I262" s="380"/>
      <c r="J262" s="380"/>
      <c r="K262" s="380"/>
      <c r="L262" s="380"/>
      <c r="M262" s="380"/>
      <c r="N262" s="380"/>
      <c r="O262" s="380"/>
      <c r="P262" s="380"/>
      <c r="Q262" s="380"/>
      <c r="R262" s="324">
        <v>0</v>
      </c>
      <c r="S262" s="381">
        <f t="shared" ref="S262:S266" si="8">R262/$R$270</f>
        <v>0</v>
      </c>
      <c r="T262" s="325">
        <v>0</v>
      </c>
      <c r="U262" s="381">
        <f t="shared" si="7"/>
        <v>0</v>
      </c>
      <c r="V262" s="272"/>
      <c r="W262" s="304"/>
      <c r="X262" s="5"/>
    </row>
    <row r="263" spans="1:24" ht="15.6" x14ac:dyDescent="0.3">
      <c r="A263" s="271"/>
      <c r="B263" s="324" t="s">
        <v>91</v>
      </c>
      <c r="C263" s="380"/>
      <c r="D263" s="380"/>
      <c r="E263" s="380"/>
      <c r="F263" s="272"/>
      <c r="G263" s="381"/>
      <c r="H263" s="380"/>
      <c r="I263" s="380"/>
      <c r="J263" s="380"/>
      <c r="K263" s="380"/>
      <c r="L263" s="380"/>
      <c r="M263" s="380"/>
      <c r="N263" s="380"/>
      <c r="O263" s="380"/>
      <c r="P263" s="380"/>
      <c r="Q263" s="380"/>
      <c r="R263" s="324">
        <v>3</v>
      </c>
      <c r="S263" s="381">
        <f t="shared" si="8"/>
        <v>1.935483870967742E-2</v>
      </c>
      <c r="T263" s="325">
        <v>351</v>
      </c>
      <c r="U263" s="381">
        <f t="shared" si="7"/>
        <v>1.4697876973326075E-2</v>
      </c>
      <c r="V263" s="272"/>
      <c r="W263" s="304"/>
      <c r="X263" s="5"/>
    </row>
    <row r="264" spans="1:24" ht="15.6" x14ac:dyDescent="0.3">
      <c r="A264" s="271"/>
      <c r="B264" s="324" t="s">
        <v>159</v>
      </c>
      <c r="C264" s="380"/>
      <c r="D264" s="380"/>
      <c r="E264" s="380"/>
      <c r="F264" s="272"/>
      <c r="G264" s="381"/>
      <c r="H264" s="380"/>
      <c r="I264" s="380"/>
      <c r="J264" s="380"/>
      <c r="K264" s="380"/>
      <c r="L264" s="380"/>
      <c r="M264" s="380"/>
      <c r="N264" s="380"/>
      <c r="O264" s="380"/>
      <c r="P264" s="380"/>
      <c r="Q264" s="380"/>
      <c r="R264" s="324">
        <v>0</v>
      </c>
      <c r="S264" s="381">
        <f t="shared" si="8"/>
        <v>0</v>
      </c>
      <c r="T264" s="325">
        <v>0</v>
      </c>
      <c r="U264" s="381">
        <f t="shared" si="7"/>
        <v>0</v>
      </c>
      <c r="V264" s="272"/>
      <c r="W264" s="304"/>
      <c r="X264" s="5"/>
    </row>
    <row r="265" spans="1:24" ht="15.6" x14ac:dyDescent="0.3">
      <c r="A265" s="271"/>
      <c r="B265" s="324" t="s">
        <v>160</v>
      </c>
      <c r="C265" s="380"/>
      <c r="D265" s="380"/>
      <c r="E265" s="380"/>
      <c r="F265" s="272"/>
      <c r="G265" s="381"/>
      <c r="H265" s="380"/>
      <c r="I265" s="380"/>
      <c r="J265" s="380"/>
      <c r="K265" s="380"/>
      <c r="L265" s="380"/>
      <c r="M265" s="380"/>
      <c r="N265" s="380"/>
      <c r="O265" s="380"/>
      <c r="P265" s="380"/>
      <c r="Q265" s="380"/>
      <c r="R265" s="324">
        <v>4</v>
      </c>
      <c r="S265" s="381">
        <f t="shared" si="8"/>
        <v>2.5806451612903226E-2</v>
      </c>
      <c r="T265" s="325">
        <v>426</v>
      </c>
      <c r="U265" s="381">
        <f t="shared" si="7"/>
        <v>1.7838448976173527E-2</v>
      </c>
      <c r="V265" s="272"/>
      <c r="W265" s="304"/>
      <c r="X265" s="5"/>
    </row>
    <row r="266" spans="1:24" ht="15.6" x14ac:dyDescent="0.3">
      <c r="A266" s="271"/>
      <c r="B266" s="324" t="s">
        <v>161</v>
      </c>
      <c r="C266" s="380"/>
      <c r="D266" s="380"/>
      <c r="E266" s="380"/>
      <c r="F266" s="272"/>
      <c r="G266" s="381"/>
      <c r="H266" s="380"/>
      <c r="I266" s="380"/>
      <c r="J266" s="380"/>
      <c r="K266" s="380"/>
      <c r="L266" s="380"/>
      <c r="M266" s="380"/>
      <c r="N266" s="380"/>
      <c r="O266" s="380"/>
      <c r="P266" s="380"/>
      <c r="Q266" s="380"/>
      <c r="R266" s="324">
        <v>1</v>
      </c>
      <c r="S266" s="381">
        <f t="shared" si="8"/>
        <v>6.4516129032258064E-3</v>
      </c>
      <c r="T266" s="325">
        <v>105</v>
      </c>
      <c r="U266" s="381">
        <f t="shared" si="7"/>
        <v>4.3968008039864323E-3</v>
      </c>
      <c r="V266" s="272"/>
      <c r="W266" s="304"/>
      <c r="X266" s="5"/>
    </row>
    <row r="267" spans="1:24" ht="15.6" x14ac:dyDescent="0.3">
      <c r="A267" s="271"/>
      <c r="B267" s="324" t="s">
        <v>162</v>
      </c>
      <c r="C267" s="380"/>
      <c r="D267" s="380"/>
      <c r="E267" s="380"/>
      <c r="F267" s="272"/>
      <c r="G267" s="381"/>
      <c r="H267" s="380"/>
      <c r="I267" s="380"/>
      <c r="J267" s="380"/>
      <c r="K267" s="380"/>
      <c r="L267" s="380"/>
      <c r="M267" s="380"/>
      <c r="N267" s="380"/>
      <c r="O267" s="380"/>
      <c r="P267" s="380"/>
      <c r="Q267" s="380"/>
      <c r="R267" s="324">
        <v>3</v>
      </c>
      <c r="S267" s="381">
        <f>R267/$R$270</f>
        <v>1.935483870967742E-2</v>
      </c>
      <c r="T267" s="325">
        <v>252</v>
      </c>
      <c r="U267" s="381">
        <f t="shared" si="7"/>
        <v>1.0552321929567439E-2</v>
      </c>
      <c r="V267" s="272"/>
      <c r="W267" s="304"/>
      <c r="X267" s="5"/>
    </row>
    <row r="268" spans="1:24" ht="15.6" x14ac:dyDescent="0.3">
      <c r="A268" s="271"/>
      <c r="B268" s="324" t="s">
        <v>163</v>
      </c>
      <c r="C268" s="380"/>
      <c r="D268" s="380"/>
      <c r="E268" s="380"/>
      <c r="F268" s="272"/>
      <c r="G268" s="381"/>
      <c r="H268" s="380"/>
      <c r="I268" s="380"/>
      <c r="J268" s="380"/>
      <c r="K268" s="380"/>
      <c r="L268" s="380"/>
      <c r="M268" s="380"/>
      <c r="N268" s="380"/>
      <c r="O268" s="380"/>
      <c r="P268" s="380"/>
      <c r="Q268" s="380"/>
      <c r="R268" s="324">
        <v>24</v>
      </c>
      <c r="S268" s="381">
        <f>R268/$R$270</f>
        <v>0.15483870967741936</v>
      </c>
      <c r="T268" s="325">
        <v>3096</v>
      </c>
      <c r="U268" s="381">
        <f t="shared" si="7"/>
        <v>0.12964281227754282</v>
      </c>
      <c r="V268" s="272"/>
      <c r="W268" s="304"/>
      <c r="X268" s="5"/>
    </row>
    <row r="269" spans="1:24" ht="15.6" x14ac:dyDescent="0.3">
      <c r="A269" s="271"/>
      <c r="B269" s="324"/>
      <c r="C269" s="380"/>
      <c r="D269" s="380"/>
      <c r="E269" s="380"/>
      <c r="F269" s="272"/>
      <c r="G269" s="381"/>
      <c r="H269" s="380"/>
      <c r="I269" s="380"/>
      <c r="J269" s="380"/>
      <c r="K269" s="380"/>
      <c r="L269" s="380"/>
      <c r="M269" s="380"/>
      <c r="N269" s="380"/>
      <c r="O269" s="380"/>
      <c r="P269" s="380"/>
      <c r="Q269" s="380"/>
      <c r="R269" s="324"/>
      <c r="S269" s="381"/>
      <c r="T269" s="325"/>
      <c r="U269" s="381"/>
      <c r="V269" s="272"/>
      <c r="W269" s="304"/>
      <c r="X269" s="5"/>
    </row>
    <row r="270" spans="1:24" ht="15.6" x14ac:dyDescent="0.3">
      <c r="A270" s="271"/>
      <c r="B270" s="272" t="s">
        <v>117</v>
      </c>
      <c r="C270" s="272"/>
      <c r="D270" s="272"/>
      <c r="E270" s="272"/>
      <c r="F270" s="272"/>
      <c r="G270" s="272"/>
      <c r="H270" s="383"/>
      <c r="I270" s="383"/>
      <c r="J270" s="383"/>
      <c r="K270" s="383"/>
      <c r="L270" s="383"/>
      <c r="M270" s="383"/>
      <c r="N270" s="383"/>
      <c r="O270" s="383"/>
      <c r="P270" s="383"/>
      <c r="Q270" s="383"/>
      <c r="R270" s="324">
        <f>SUM(R261:R269)</f>
        <v>155</v>
      </c>
      <c r="S270" s="381">
        <f>SUM(S261:S269)</f>
        <v>1</v>
      </c>
      <c r="T270" s="325">
        <f>SUM(T261:T269)</f>
        <v>23881</v>
      </c>
      <c r="U270" s="381">
        <f>SUM(U261:U269)</f>
        <v>0.99999999999999989</v>
      </c>
      <c r="V270" s="272"/>
      <c r="W270" s="304"/>
      <c r="X270" s="5"/>
    </row>
    <row r="271" spans="1:24" ht="15.6" x14ac:dyDescent="0.3">
      <c r="A271" s="175"/>
      <c r="B271" s="321"/>
      <c r="C271" s="321"/>
      <c r="D271" s="321"/>
      <c r="E271" s="321"/>
      <c r="F271" s="321"/>
      <c r="G271" s="321"/>
      <c r="H271" s="377"/>
      <c r="I271" s="377"/>
      <c r="J271" s="377"/>
      <c r="K271" s="377"/>
      <c r="L271" s="377"/>
      <c r="M271" s="377"/>
      <c r="N271" s="377"/>
      <c r="O271" s="377"/>
      <c r="P271" s="377"/>
      <c r="Q271" s="377"/>
      <c r="R271" s="322"/>
      <c r="S271" s="378"/>
      <c r="T271" s="379"/>
      <c r="U271" s="378"/>
      <c r="V271" s="321"/>
      <c r="W271" s="321"/>
      <c r="X271" s="5"/>
    </row>
    <row r="272" spans="1:24" ht="15.6" x14ac:dyDescent="0.3">
      <c r="A272" s="256"/>
      <c r="B272" s="253" t="s">
        <v>166</v>
      </c>
      <c r="C272" s="257"/>
      <c r="D272" s="257"/>
      <c r="E272" s="257"/>
      <c r="F272" s="257"/>
      <c r="G272" s="257"/>
      <c r="H272" s="259"/>
      <c r="I272" s="259"/>
      <c r="J272" s="259"/>
      <c r="K272" s="259"/>
      <c r="L272" s="259"/>
      <c r="M272" s="259"/>
      <c r="N272" s="259"/>
      <c r="O272" s="259"/>
      <c r="P272" s="259"/>
      <c r="Q272" s="259"/>
      <c r="R272" s="255" t="s">
        <v>103</v>
      </c>
      <c r="S272" s="254" t="s">
        <v>104</v>
      </c>
      <c r="T272" s="255" t="s">
        <v>111</v>
      </c>
      <c r="U272" s="254" t="s">
        <v>104</v>
      </c>
      <c r="V272" s="257"/>
      <c r="W272" s="258"/>
      <c r="X272" s="5"/>
    </row>
    <row r="273" spans="1:24" ht="15.6" x14ac:dyDescent="0.3">
      <c r="A273" s="192"/>
      <c r="B273" s="231" t="s">
        <v>89</v>
      </c>
      <c r="C273" s="229"/>
      <c r="D273" s="229"/>
      <c r="E273" s="229"/>
      <c r="F273" s="229"/>
      <c r="G273" s="229"/>
      <c r="H273" s="262"/>
      <c r="I273" s="262"/>
      <c r="J273" s="262"/>
      <c r="K273" s="262"/>
      <c r="L273" s="262"/>
      <c r="M273" s="262"/>
      <c r="N273" s="262"/>
      <c r="O273" s="262"/>
      <c r="P273" s="262"/>
      <c r="Q273" s="262"/>
      <c r="R273" s="231">
        <v>0</v>
      </c>
      <c r="S273" s="261">
        <v>0</v>
      </c>
      <c r="T273" s="238">
        <v>0</v>
      </c>
      <c r="U273" s="261">
        <v>0</v>
      </c>
      <c r="V273" s="229"/>
      <c r="W273" s="229"/>
      <c r="X273" s="5"/>
    </row>
    <row r="274" spans="1:24" ht="15.6" x14ac:dyDescent="0.3">
      <c r="A274" s="271"/>
      <c r="B274" s="324" t="s">
        <v>90</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91</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159</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160</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161</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162</v>
      </c>
      <c r="C279" s="272"/>
      <c r="D279" s="272"/>
      <c r="E279" s="272"/>
      <c r="F279" s="272"/>
      <c r="G279" s="272"/>
      <c r="H279" s="383"/>
      <c r="I279" s="383"/>
      <c r="J279" s="383"/>
      <c r="K279" s="383"/>
      <c r="L279" s="383"/>
      <c r="M279" s="383"/>
      <c r="N279" s="383"/>
      <c r="O279" s="383"/>
      <c r="P279" s="383"/>
      <c r="Q279" s="383"/>
      <c r="R279" s="324">
        <v>1</v>
      </c>
      <c r="S279" s="381">
        <f>+R279/$R$282</f>
        <v>0.5</v>
      </c>
      <c r="T279" s="325">
        <v>72</v>
      </c>
      <c r="U279" s="381">
        <f>+T279/$T$282</f>
        <v>0.36180904522613067</v>
      </c>
      <c r="V279" s="272"/>
      <c r="W279" s="275"/>
      <c r="X279" s="5"/>
    </row>
    <row r="280" spans="1:24" ht="15.6" x14ac:dyDescent="0.3">
      <c r="A280" s="271"/>
      <c r="B280" s="324" t="s">
        <v>163</v>
      </c>
      <c r="C280" s="272"/>
      <c r="D280" s="272"/>
      <c r="E280" s="272"/>
      <c r="F280" s="272"/>
      <c r="G280" s="272"/>
      <c r="H280" s="383"/>
      <c r="I280" s="383"/>
      <c r="J280" s="383"/>
      <c r="K280" s="383"/>
      <c r="L280" s="383"/>
      <c r="M280" s="383"/>
      <c r="N280" s="383"/>
      <c r="O280" s="383"/>
      <c r="P280" s="383"/>
      <c r="Q280" s="383"/>
      <c r="R280" s="324">
        <v>1</v>
      </c>
      <c r="S280" s="381">
        <f>+R280/$R$282</f>
        <v>0.5</v>
      </c>
      <c r="T280" s="325">
        <v>127</v>
      </c>
      <c r="U280" s="381">
        <f>+T280/$T$282</f>
        <v>0.63819095477386933</v>
      </c>
      <c r="V280" s="272"/>
      <c r="W280" s="275"/>
      <c r="X280" s="5"/>
    </row>
    <row r="281" spans="1:24" ht="15.6" x14ac:dyDescent="0.3">
      <c r="A281" s="271"/>
      <c r="B281" s="324"/>
      <c r="C281" s="272"/>
      <c r="D281" s="272"/>
      <c r="E281" s="272"/>
      <c r="F281" s="272"/>
      <c r="G281" s="272"/>
      <c r="H281" s="383"/>
      <c r="I281" s="383"/>
      <c r="J281" s="383"/>
      <c r="K281" s="383"/>
      <c r="L281" s="383"/>
      <c r="M281" s="383"/>
      <c r="N281" s="383"/>
      <c r="O281" s="383"/>
      <c r="P281" s="383"/>
      <c r="Q281" s="383"/>
      <c r="R281" s="324"/>
      <c r="S281" s="381"/>
      <c r="T281" s="325"/>
      <c r="U281" s="381"/>
      <c r="V281" s="272"/>
      <c r="W281" s="275"/>
      <c r="X281" s="5"/>
    </row>
    <row r="282" spans="1:24" ht="15.6" x14ac:dyDescent="0.3">
      <c r="A282" s="271"/>
      <c r="B282" s="272" t="s">
        <v>117</v>
      </c>
      <c r="C282" s="272"/>
      <c r="D282" s="272"/>
      <c r="E282" s="272"/>
      <c r="F282" s="272"/>
      <c r="G282" s="272"/>
      <c r="H282" s="383"/>
      <c r="I282" s="383"/>
      <c r="J282" s="383"/>
      <c r="K282" s="383"/>
      <c r="L282" s="383"/>
      <c r="M282" s="383"/>
      <c r="N282" s="383"/>
      <c r="O282" s="383"/>
      <c r="P282" s="383"/>
      <c r="Q282" s="383"/>
      <c r="R282" s="324">
        <f>SUM(R273:R280)</f>
        <v>2</v>
      </c>
      <c r="S282" s="381">
        <f>SUM(S273:S280)</f>
        <v>1</v>
      </c>
      <c r="T282" s="325">
        <f>SUM(T273:T280)</f>
        <v>199</v>
      </c>
      <c r="U282" s="381">
        <f>SUM(U273:U280)</f>
        <v>1</v>
      </c>
      <c r="V282" s="272"/>
      <c r="W282" s="275"/>
      <c r="X282" s="5"/>
    </row>
    <row r="283" spans="1:24" ht="15.6" x14ac:dyDescent="0.3">
      <c r="A283" s="271"/>
      <c r="B283" s="272"/>
      <c r="C283" s="272"/>
      <c r="D283" s="272"/>
      <c r="E283" s="272"/>
      <c r="F283" s="272"/>
      <c r="G283" s="272"/>
      <c r="H283" s="383"/>
      <c r="I283" s="383"/>
      <c r="J283" s="383"/>
      <c r="K283" s="383"/>
      <c r="L283" s="383"/>
      <c r="M283" s="383"/>
      <c r="N283" s="383"/>
      <c r="O283" s="383"/>
      <c r="P283" s="383"/>
      <c r="Q283" s="383"/>
      <c r="R283" s="324"/>
      <c r="S283" s="381"/>
      <c r="T283" s="325"/>
      <c r="U283" s="381"/>
      <c r="V283" s="272"/>
      <c r="W283" s="275"/>
      <c r="X283" s="5"/>
    </row>
    <row r="284" spans="1:24" ht="15.6" x14ac:dyDescent="0.3">
      <c r="A284" s="271"/>
      <c r="B284" s="279" t="s">
        <v>167</v>
      </c>
      <c r="C284" s="272"/>
      <c r="D284" s="272"/>
      <c r="E284" s="272"/>
      <c r="F284" s="272"/>
      <c r="G284" s="272"/>
      <c r="H284" s="383"/>
      <c r="I284" s="383"/>
      <c r="J284" s="383"/>
      <c r="K284" s="383"/>
      <c r="L284" s="383"/>
      <c r="M284" s="383"/>
      <c r="N284" s="383"/>
      <c r="O284" s="383"/>
      <c r="P284" s="383"/>
      <c r="Q284" s="383"/>
      <c r="R284" s="390">
        <f>R282+R270+R258</f>
        <v>7234</v>
      </c>
      <c r="S284" s="381"/>
      <c r="T284" s="387">
        <f>+T282+T270+T258</f>
        <v>926786</v>
      </c>
      <c r="U284" s="381"/>
      <c r="V284" s="272"/>
      <c r="W284" s="275"/>
      <c r="X284" s="5"/>
    </row>
    <row r="285" spans="1:24" ht="15.6" x14ac:dyDescent="0.3">
      <c r="A285" s="175"/>
      <c r="B285" s="268"/>
      <c r="C285" s="268"/>
      <c r="D285" s="268"/>
      <c r="E285" s="268"/>
      <c r="F285" s="268"/>
      <c r="G285" s="268"/>
      <c r="H285" s="384"/>
      <c r="I285" s="384"/>
      <c r="J285" s="384"/>
      <c r="K285" s="384"/>
      <c r="L285" s="384"/>
      <c r="M285" s="384"/>
      <c r="N285" s="384"/>
      <c r="O285" s="384"/>
      <c r="P285" s="384"/>
      <c r="Q285" s="384"/>
      <c r="R285" s="384"/>
      <c r="S285" s="384"/>
      <c r="T285" s="385"/>
      <c r="U285" s="384"/>
      <c r="V285" s="268"/>
      <c r="W285" s="268"/>
      <c r="X285" s="5"/>
    </row>
    <row r="286" spans="1:24" ht="15.6" x14ac:dyDescent="0.3">
      <c r="A286" s="175"/>
      <c r="B286" s="220"/>
      <c r="C286" s="220"/>
      <c r="D286" s="220"/>
      <c r="E286" s="220"/>
      <c r="F286" s="220"/>
      <c r="G286" s="220"/>
      <c r="H286" s="263"/>
      <c r="I286" s="263"/>
      <c r="J286" s="263"/>
      <c r="K286" s="263"/>
      <c r="L286" s="263"/>
      <c r="M286" s="263"/>
      <c r="N286" s="263"/>
      <c r="O286" s="263"/>
      <c r="P286" s="263"/>
      <c r="Q286" s="263"/>
      <c r="R286" s="263"/>
      <c r="S286" s="263"/>
      <c r="T286" s="264"/>
      <c r="U286" s="263"/>
      <c r="V286" s="220"/>
      <c r="W286" s="220"/>
      <c r="X286" s="5"/>
    </row>
    <row r="287" spans="1:24" ht="15.6" x14ac:dyDescent="0.3">
      <c r="A287" s="216"/>
      <c r="B287" s="219" t="s">
        <v>92</v>
      </c>
      <c r="C287" s="220"/>
      <c r="D287" s="220"/>
      <c r="E287" s="220"/>
      <c r="F287" s="224" t="s">
        <v>98</v>
      </c>
      <c r="G287" s="220"/>
      <c r="H287" s="219" t="s">
        <v>100</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335</v>
      </c>
      <c r="C288" s="220"/>
      <c r="D288" s="220"/>
      <c r="E288" s="220"/>
      <c r="F288" s="265" t="s">
        <v>151</v>
      </c>
      <c r="G288" s="220"/>
      <c r="H288" s="219" t="s">
        <v>155</v>
      </c>
      <c r="I288" s="219"/>
      <c r="J288" s="219"/>
      <c r="K288" s="227"/>
      <c r="L288" s="227"/>
      <c r="M288" s="227"/>
      <c r="N288" s="227"/>
      <c r="O288" s="227"/>
      <c r="P288" s="227"/>
      <c r="Q288" s="227"/>
      <c r="R288" s="227"/>
      <c r="S288" s="227"/>
      <c r="T288" s="227"/>
      <c r="U288" s="227"/>
      <c r="V288" s="227"/>
      <c r="W288" s="227"/>
      <c r="X288" s="5"/>
    </row>
    <row r="289" spans="1:24" ht="15.6" x14ac:dyDescent="0.3">
      <c r="A289" s="216"/>
      <c r="B289" s="219" t="s">
        <v>336</v>
      </c>
      <c r="C289" s="219"/>
      <c r="D289" s="219"/>
      <c r="E289" s="219"/>
      <c r="F289" s="265" t="s">
        <v>282</v>
      </c>
      <c r="G289" s="219"/>
      <c r="H289" s="219" t="s">
        <v>283</v>
      </c>
      <c r="I289" s="227"/>
      <c r="J289" s="219"/>
      <c r="K289" s="227"/>
      <c r="L289" s="227"/>
      <c r="M289" s="227"/>
      <c r="N289" s="227"/>
      <c r="O289" s="227"/>
      <c r="P289" s="227"/>
      <c r="Q289" s="227"/>
      <c r="R289" s="227"/>
      <c r="S289" s="227"/>
      <c r="T289" s="227"/>
      <c r="U289" s="227"/>
      <c r="V289" s="227"/>
      <c r="W289" s="227"/>
      <c r="X289" s="5"/>
    </row>
    <row r="290" spans="1:24" ht="15.6" x14ac:dyDescent="0.3">
      <c r="A290" s="216"/>
      <c r="B290" s="219" t="s">
        <v>337</v>
      </c>
      <c r="C290" s="219"/>
      <c r="D290" s="219"/>
      <c r="E290" s="219"/>
      <c r="F290" s="265" t="s">
        <v>150</v>
      </c>
      <c r="G290" s="219"/>
      <c r="H290" s="219" t="s">
        <v>156</v>
      </c>
      <c r="I290" s="219"/>
      <c r="J290" s="219"/>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5.6" x14ac:dyDescent="0.3">
      <c r="A292" s="216"/>
      <c r="B292" s="219"/>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ht="18" thickBot="1" x14ac:dyDescent="0.35">
      <c r="A293" s="216"/>
      <c r="B293" s="267" t="str">
        <f>B198</f>
        <v>PM13 INVESTOR REPORT QUARTER ENDING DECEMBER 2014</v>
      </c>
      <c r="C293" s="219"/>
      <c r="D293" s="219"/>
      <c r="E293" s="219"/>
      <c r="F293" s="219"/>
      <c r="G293" s="266"/>
      <c r="H293" s="227"/>
      <c r="I293" s="227"/>
      <c r="J293" s="227"/>
      <c r="K293" s="227"/>
      <c r="L293" s="227"/>
      <c r="M293" s="227"/>
      <c r="N293" s="227"/>
      <c r="O293" s="227"/>
      <c r="P293" s="227"/>
      <c r="Q293" s="227"/>
      <c r="R293" s="227"/>
      <c r="S293" s="227"/>
      <c r="T293" s="227"/>
      <c r="U293" s="227"/>
      <c r="V293" s="227"/>
      <c r="W293" s="227"/>
      <c r="X293" s="5"/>
    </row>
    <row r="294" spans="1:24" x14ac:dyDescent="0.25">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row>
  </sheetData>
  <hyperlinks>
    <hyperlink ref="P234" r:id="rId1" xr:uid="{00000000-0004-0000-2000-000000000000}"/>
    <hyperlink ref="I9" r:id="rId2" xr:uid="{00000000-0004-0000-2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2" man="1"/>
    <brk id="138" max="22" man="1"/>
    <brk id="198" max="22" man="1"/>
  </row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2D2926"/>
  </sheetPr>
  <dimension ref="A1:Z294"/>
  <sheetViews>
    <sheetView showGridLines="0" showOutlineSymbols="0" topLeftCell="A7"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0.64880000000000004</v>
      </c>
      <c r="T16" s="224" t="s">
        <v>143</v>
      </c>
      <c r="U16" s="223">
        <v>0.35120000000000001</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42116</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395"/>
      <c r="B22" s="396"/>
      <c r="C22" s="397"/>
      <c r="D22" s="397" t="s">
        <v>180</v>
      </c>
      <c r="E22" s="397"/>
      <c r="F22" s="397" t="s">
        <v>181</v>
      </c>
      <c r="G22" s="397"/>
      <c r="H22" s="397" t="s">
        <v>182</v>
      </c>
      <c r="I22" s="397"/>
      <c r="J22" s="397" t="s">
        <v>223</v>
      </c>
      <c r="K22" s="397"/>
      <c r="L22" s="397" t="s">
        <v>183</v>
      </c>
      <c r="M22" s="397"/>
      <c r="N22" s="397" t="s">
        <v>184</v>
      </c>
      <c r="O22" s="397"/>
      <c r="P22" s="397" t="s">
        <v>224</v>
      </c>
      <c r="Q22" s="397"/>
      <c r="R22" s="397" t="s">
        <v>185</v>
      </c>
      <c r="S22" s="398"/>
      <c r="T22" s="398"/>
      <c r="U22" s="399"/>
      <c r="V22" s="399"/>
      <c r="W22" s="396"/>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323</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321</v>
      </c>
      <c r="E27" s="389"/>
      <c r="F27" s="389" t="s">
        <v>168</v>
      </c>
      <c r="G27" s="389"/>
      <c r="H27" s="389" t="s">
        <v>168</v>
      </c>
      <c r="I27" s="389"/>
      <c r="J27" s="389" t="s">
        <v>168</v>
      </c>
      <c r="K27" s="389"/>
      <c r="L27" s="389" t="s">
        <v>324</v>
      </c>
      <c r="M27" s="389"/>
      <c r="N27" s="389" t="s">
        <v>324</v>
      </c>
      <c r="O27" s="389"/>
      <c r="P27" s="389" t="s">
        <v>325</v>
      </c>
      <c r="Q27" s="389"/>
      <c r="R27" s="389" t="s">
        <v>325</v>
      </c>
      <c r="S27" s="273"/>
      <c r="T27" s="280"/>
      <c r="U27" s="274"/>
      <c r="V27" s="274"/>
      <c r="W27" s="275"/>
      <c r="X27" s="5"/>
    </row>
    <row r="28" spans="1:24" ht="15.6" x14ac:dyDescent="0.3">
      <c r="A28" s="271"/>
      <c r="B28" s="279" t="s">
        <v>195</v>
      </c>
      <c r="C28" s="273"/>
      <c r="D28" s="389" t="s">
        <v>319</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848625.45000000007</v>
      </c>
      <c r="E32" s="282"/>
      <c r="F32" s="283">
        <f>F31*F38</f>
        <v>70719.025000000009</v>
      </c>
      <c r="G32" s="283"/>
      <c r="H32" s="288">
        <f>H31*H38</f>
        <v>178211.943</v>
      </c>
      <c r="I32" s="288"/>
      <c r="J32" s="287">
        <f>J31*J38</f>
        <v>198012.60500000001</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838964.25</v>
      </c>
      <c r="E33" s="286"/>
      <c r="F33" s="289">
        <f>F37*F31</f>
        <v>69913.925000000003</v>
      </c>
      <c r="G33" s="289"/>
      <c r="H33" s="292">
        <f>H31*H37</f>
        <v>176183.09100000001</v>
      </c>
      <c r="I33" s="292"/>
      <c r="J33" s="291">
        <f>J37*J31</f>
        <v>195758.32500000001</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451396.32336160005</v>
      </c>
      <c r="E35" s="282"/>
      <c r="F35" s="283">
        <f>F34*F38</f>
        <v>70719.025000000009</v>
      </c>
      <c r="G35" s="283"/>
      <c r="H35" s="283">
        <f>H34*H38</f>
        <v>119605.10684980001</v>
      </c>
      <c r="I35" s="283"/>
      <c r="J35" s="283">
        <f>J34*J38</f>
        <v>105325.733351</v>
      </c>
      <c r="K35" s="283"/>
      <c r="L35" s="283">
        <f>L34*L38</f>
        <v>56000</v>
      </c>
      <c r="M35" s="283"/>
      <c r="N35" s="283">
        <f>N34*N38</f>
        <v>56376</v>
      </c>
      <c r="O35" s="283"/>
      <c r="P35" s="283">
        <f>P34*P38</f>
        <v>13000</v>
      </c>
      <c r="Q35" s="283"/>
      <c r="R35" s="283">
        <f>R34*R38</f>
        <v>54363</v>
      </c>
      <c r="S35" s="283"/>
      <c r="T35" s="283"/>
      <c r="U35" s="284"/>
      <c r="V35" s="283">
        <f>SUM(C35:R35)+1</f>
        <v>926786.18856240006</v>
      </c>
      <c r="W35" s="285"/>
      <c r="X35" s="5"/>
    </row>
    <row r="36" spans="1:24" ht="15.6" x14ac:dyDescent="0.3">
      <c r="A36" s="276"/>
      <c r="B36" s="279" t="s">
        <v>304</v>
      </c>
      <c r="C36" s="286"/>
      <c r="D36" s="289">
        <f>D34*D37</f>
        <v>446257.38938400004</v>
      </c>
      <c r="E36" s="286"/>
      <c r="F36" s="289">
        <f>F34*F37</f>
        <v>69913.925000000003</v>
      </c>
      <c r="G36" s="289"/>
      <c r="H36" s="289">
        <f>H34*H37</f>
        <v>118243.4637626</v>
      </c>
      <c r="I36" s="289"/>
      <c r="J36" s="289">
        <f>J34*J37</f>
        <v>104126.649615</v>
      </c>
      <c r="K36" s="289"/>
      <c r="L36" s="289">
        <v>56000</v>
      </c>
      <c r="M36" s="289"/>
      <c r="N36" s="289">
        <v>56376</v>
      </c>
      <c r="O36" s="289"/>
      <c r="P36" s="289">
        <v>13000</v>
      </c>
      <c r="Q36" s="289"/>
      <c r="R36" s="289">
        <v>54363</v>
      </c>
      <c r="S36" s="314"/>
      <c r="T36" s="314"/>
      <c r="U36" s="284"/>
      <c r="V36" s="289">
        <f>SUM(C36:R36)+1</f>
        <v>918281.4277616</v>
      </c>
      <c r="W36" s="285"/>
      <c r="X36" s="5"/>
    </row>
    <row r="37" spans="1:24" ht="15.6" x14ac:dyDescent="0.3">
      <c r="A37" s="271"/>
      <c r="B37" s="297" t="s">
        <v>133</v>
      </c>
      <c r="C37" s="298"/>
      <c r="D37" s="299">
        <v>0.55930950000000001</v>
      </c>
      <c r="E37" s="300"/>
      <c r="F37" s="299">
        <v>0.55931140000000001</v>
      </c>
      <c r="G37" s="301"/>
      <c r="H37" s="299">
        <v>0.55931140000000001</v>
      </c>
      <c r="I37" s="301"/>
      <c r="J37" s="299">
        <v>0.55930950000000001</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0.56575030000000004</v>
      </c>
      <c r="E38" s="300"/>
      <c r="F38" s="299">
        <v>0.56575220000000004</v>
      </c>
      <c r="G38" s="301"/>
      <c r="H38" s="299">
        <v>0.56575220000000004</v>
      </c>
      <c r="I38" s="301"/>
      <c r="J38" s="299">
        <v>0.56575030000000004</v>
      </c>
      <c r="K38" s="301"/>
      <c r="L38" s="299">
        <v>1</v>
      </c>
      <c r="M38" s="301"/>
      <c r="N38" s="299">
        <v>1</v>
      </c>
      <c r="O38" s="301"/>
      <c r="P38" s="299">
        <v>1</v>
      </c>
      <c r="Q38" s="301"/>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4.1450000000000002E-3</v>
      </c>
      <c r="E40" s="272"/>
      <c r="F40" s="308">
        <v>7.9968999999999995E-3</v>
      </c>
      <c r="G40" s="307"/>
      <c r="H40" s="308">
        <v>3.1099999999999999E-3</v>
      </c>
      <c r="I40" s="308"/>
      <c r="J40" s="308">
        <v>4.333E-3</v>
      </c>
      <c r="K40" s="307"/>
      <c r="L40" s="308">
        <v>9.5969000000000002E-3</v>
      </c>
      <c r="M40" s="307"/>
      <c r="N40" s="308">
        <v>4.5100000000000001E-3</v>
      </c>
      <c r="O40" s="307"/>
      <c r="P40" s="308">
        <v>1.35969E-2</v>
      </c>
      <c r="Q40" s="307"/>
      <c r="R40" s="308">
        <v>8.5100000000000002E-3</v>
      </c>
      <c r="S40" s="307"/>
      <c r="T40" s="308"/>
      <c r="U40" s="274"/>
      <c r="V40" s="280"/>
      <c r="W40" s="275"/>
      <c r="X40" s="5"/>
    </row>
    <row r="41" spans="1:24" ht="15.6" x14ac:dyDescent="0.3">
      <c r="A41" s="271"/>
      <c r="B41" s="272" t="s">
        <v>13</v>
      </c>
      <c r="C41" s="272"/>
      <c r="D41" s="308">
        <v>4.0080000000000003E-3</v>
      </c>
      <c r="E41" s="272"/>
      <c r="F41" s="308">
        <v>7.9962999999999996E-3</v>
      </c>
      <c r="G41" s="307"/>
      <c r="H41" s="308">
        <v>3.2200000000000002E-3</v>
      </c>
      <c r="I41" s="308"/>
      <c r="J41" s="308">
        <v>4.1060000000000003E-3</v>
      </c>
      <c r="K41" s="307"/>
      <c r="L41" s="308">
        <v>9.5963000000000003E-3</v>
      </c>
      <c r="M41" s="307"/>
      <c r="N41" s="308">
        <v>4.62E-3</v>
      </c>
      <c r="O41" s="307"/>
      <c r="P41" s="308">
        <v>1.35963E-2</v>
      </c>
      <c r="Q41" s="307"/>
      <c r="R41" s="308">
        <v>8.6199999999999992E-3</v>
      </c>
      <c r="S41" s="307"/>
      <c r="T41" s="308"/>
      <c r="U41" s="274"/>
      <c r="V41" s="307" t="s">
        <v>196</v>
      </c>
      <c r="W41" s="275"/>
      <c r="X41" s="5"/>
    </row>
    <row r="42" spans="1:24" ht="15.6" x14ac:dyDescent="0.3">
      <c r="A42" s="271"/>
      <c r="B42" s="272" t="s">
        <v>300</v>
      </c>
      <c r="C42" s="272"/>
      <c r="D42" s="280" t="s">
        <v>327</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v>8.3589000000000007E-3</v>
      </c>
      <c r="E43" s="308"/>
      <c r="F43" s="308">
        <f>+F40</f>
        <v>7.9968999999999995E-3</v>
      </c>
      <c r="G43" s="308"/>
      <c r="H43" s="308">
        <v>8.2409000000000007E-3</v>
      </c>
      <c r="I43" s="308"/>
      <c r="J43" s="308">
        <v>8.0768999999999997E-3</v>
      </c>
      <c r="K43" s="308"/>
      <c r="L43" s="308">
        <f>+L40</f>
        <v>9.5969000000000002E-3</v>
      </c>
      <c r="M43" s="308"/>
      <c r="N43" s="308">
        <v>9.7768999999999998E-3</v>
      </c>
      <c r="O43" s="308"/>
      <c r="P43" s="308">
        <f>+P40</f>
        <v>1.35969E-2</v>
      </c>
      <c r="Q43" s="307"/>
      <c r="R43" s="308">
        <v>1.39969E-2</v>
      </c>
      <c r="S43" s="280"/>
      <c r="T43" s="280"/>
      <c r="U43" s="274"/>
      <c r="V43" s="307">
        <f>SUMPRODUCT(D43:R43,D35:R35)/V35</f>
        <v>8.8492373207812378E-3</v>
      </c>
      <c r="W43" s="275"/>
      <c r="X43" s="5"/>
    </row>
    <row r="44" spans="1:24" ht="15.6" x14ac:dyDescent="0.3">
      <c r="A44" s="271"/>
      <c r="B44" s="272" t="s">
        <v>302</v>
      </c>
      <c r="C44" s="309"/>
      <c r="D44" s="308">
        <v>8.3583000000000008E-3</v>
      </c>
      <c r="E44" s="308"/>
      <c r="F44" s="308">
        <f>+F41</f>
        <v>7.9962999999999996E-3</v>
      </c>
      <c r="G44" s="308"/>
      <c r="H44" s="308">
        <v>8.2403000000000007E-3</v>
      </c>
      <c r="I44" s="308"/>
      <c r="J44" s="308">
        <v>8.0762999999999998E-3</v>
      </c>
      <c r="K44" s="308"/>
      <c r="L44" s="308">
        <f>+L41</f>
        <v>9.5963000000000003E-3</v>
      </c>
      <c r="M44" s="308"/>
      <c r="N44" s="308">
        <v>9.7762999999999999E-3</v>
      </c>
      <c r="O44" s="308"/>
      <c r="P44" s="308">
        <f>+P41</f>
        <v>1.35963E-2</v>
      </c>
      <c r="Q44" s="307"/>
      <c r="R44" s="308">
        <v>1.39963E-2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328</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0.24337023387402915</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42109</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92</v>
      </c>
      <c r="S57" s="318"/>
      <c r="T57" s="319">
        <v>41927</v>
      </c>
      <c r="U57" s="320"/>
      <c r="V57" s="319">
        <v>42018</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90</v>
      </c>
      <c r="S58" s="272"/>
      <c r="T58" s="319">
        <v>42019</v>
      </c>
      <c r="U58" s="320"/>
      <c r="V58" s="319">
        <v>42108</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42095</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345</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926786</v>
      </c>
      <c r="O68" s="324"/>
      <c r="P68" s="324">
        <f>8505+673+3+69</f>
        <v>9250</v>
      </c>
      <c r="Q68" s="324"/>
      <c r="R68" s="324">
        <f>673+3+69</f>
        <v>745</v>
      </c>
      <c r="S68" s="324"/>
      <c r="T68" s="324">
        <v>0</v>
      </c>
      <c r="U68" s="324"/>
      <c r="V68" s="325">
        <f>+N68-P68+R68-T68</f>
        <v>918281</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926786</v>
      </c>
      <c r="O71" s="324"/>
      <c r="P71" s="324">
        <f>SUM(P68:P70)</f>
        <v>9250</v>
      </c>
      <c r="Q71" s="324"/>
      <c r="R71" s="324">
        <f>SUM(R68:R70)</f>
        <v>745</v>
      </c>
      <c r="S71" s="324"/>
      <c r="T71" s="324">
        <f>SUM(T68:T70)</f>
        <v>0</v>
      </c>
      <c r="U71" s="324"/>
      <c r="V71" s="324">
        <f>SUM(V68:V70)</f>
        <v>918281</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926786</v>
      </c>
      <c r="O84" s="328"/>
      <c r="P84" s="328"/>
      <c r="Q84" s="328"/>
      <c r="R84" s="328"/>
      <c r="S84" s="328"/>
      <c r="T84" s="328"/>
      <c r="U84" s="328"/>
      <c r="V84" s="328">
        <f>SUM(V71:V83)</f>
        <v>918281</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+T199</f>
        <v>42094</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9250-563</f>
        <v>8687</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4208+2797-822-854</f>
        <v>5329</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280+69</f>
        <v>349</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40</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233</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8687</v>
      </c>
      <c r="U96" s="272"/>
      <c r="V96" s="324">
        <f>SUM(V88:V95)</f>
        <v>5951</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0</v>
      </c>
      <c r="U97" s="272"/>
      <c r="V97" s="324">
        <v>0</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158</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8687</v>
      </c>
      <c r="U100" s="272"/>
      <c r="V100" s="324">
        <f>V96+V98+V97+V99</f>
        <v>6109</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331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343" t="s">
        <v>332</v>
      </c>
      <c r="C104" s="272"/>
      <c r="D104" s="272"/>
      <c r="E104" s="272"/>
      <c r="F104" s="272"/>
      <c r="G104" s="272"/>
      <c r="H104" s="272"/>
      <c r="I104" s="272"/>
      <c r="J104" s="272"/>
      <c r="K104" s="272"/>
      <c r="L104" s="272"/>
      <c r="M104" s="272"/>
      <c r="N104" s="272"/>
      <c r="O104" s="272"/>
      <c r="P104" s="272"/>
      <c r="Q104" s="272"/>
      <c r="R104" s="272"/>
      <c r="S104" s="272"/>
      <c r="T104" s="272"/>
      <c r="U104" s="272"/>
      <c r="V104" s="325">
        <f>-348-223-12</f>
        <v>-583</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0</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-1522+139</f>
        <v>-1383</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-139</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0</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-136</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-132</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-188</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-43</v>
      </c>
      <c r="W112" s="275"/>
      <c r="X112" s="5"/>
      <c r="Y112" s="109"/>
    </row>
    <row r="113" spans="1:25" ht="15.6" x14ac:dyDescent="0.3">
      <c r="A113" s="392">
        <v>7</v>
      </c>
      <c r="B113" s="343" t="s">
        <v>333</v>
      </c>
      <c r="C113" s="343"/>
      <c r="D113" s="343"/>
      <c r="E113" s="343"/>
      <c r="F113" s="343"/>
      <c r="G113" s="272"/>
      <c r="H113" s="272"/>
      <c r="I113" s="272"/>
      <c r="J113" s="272"/>
      <c r="K113" s="272"/>
      <c r="L113" s="272"/>
      <c r="M113" s="272"/>
      <c r="N113" s="272"/>
      <c r="O113" s="272"/>
      <c r="P113" s="272"/>
      <c r="Q113" s="272"/>
      <c r="R113" s="272"/>
      <c r="S113" s="272"/>
      <c r="T113" s="272"/>
      <c r="U113" s="272"/>
      <c r="V113" s="325">
        <v>0</v>
      </c>
      <c r="W113" s="275"/>
      <c r="X113" s="5"/>
      <c r="Y113" s="109"/>
    </row>
    <row r="114" spans="1:25" ht="15.6" x14ac:dyDescent="0.3">
      <c r="A114" s="338">
        <f t="shared" ref="A114:A121" si="0">+A113+1</f>
        <v>8</v>
      </c>
      <c r="B114" s="272" t="s">
        <v>35</v>
      </c>
      <c r="C114" s="272"/>
      <c r="D114" s="272"/>
      <c r="E114" s="272"/>
      <c r="F114" s="272"/>
      <c r="G114" s="272"/>
      <c r="H114" s="272"/>
      <c r="I114" s="272"/>
      <c r="J114" s="272"/>
      <c r="K114" s="272"/>
      <c r="L114" s="272"/>
      <c r="M114" s="272"/>
      <c r="N114" s="272"/>
      <c r="O114" s="272"/>
      <c r="P114" s="272"/>
      <c r="Q114" s="272"/>
      <c r="R114" s="272"/>
      <c r="S114" s="272"/>
      <c r="T114" s="272"/>
      <c r="U114" s="272"/>
      <c r="V114" s="325">
        <v>-10</v>
      </c>
      <c r="W114" s="275"/>
      <c r="X114" s="5"/>
    </row>
    <row r="115" spans="1:25" ht="15.6" x14ac:dyDescent="0.3">
      <c r="A115" s="338">
        <f t="shared" si="0"/>
        <v>9</v>
      </c>
      <c r="B115" s="272" t="s">
        <v>45</v>
      </c>
      <c r="C115" s="272"/>
      <c r="D115" s="272"/>
      <c r="E115" s="272"/>
      <c r="F115" s="272"/>
      <c r="G115" s="272"/>
      <c r="H115" s="272"/>
      <c r="I115" s="272"/>
      <c r="J115" s="272"/>
      <c r="K115" s="272"/>
      <c r="L115" s="272"/>
      <c r="M115" s="272"/>
      <c r="N115" s="272"/>
      <c r="O115" s="272"/>
      <c r="P115" s="272"/>
      <c r="Q115" s="272"/>
      <c r="R115" s="272"/>
      <c r="S115" s="272"/>
      <c r="T115" s="324">
        <f>-V115</f>
        <v>563</v>
      </c>
      <c r="U115" s="272"/>
      <c r="V115" s="325">
        <v>-563</v>
      </c>
      <c r="W115" s="275"/>
      <c r="X115" s="5"/>
    </row>
    <row r="116" spans="1:25" ht="15.6" x14ac:dyDescent="0.3">
      <c r="A116" s="338">
        <f t="shared" si="0"/>
        <v>10</v>
      </c>
      <c r="B116" s="272" t="s">
        <v>128</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5" ht="15.6" x14ac:dyDescent="0.3">
      <c r="A117" s="338">
        <f t="shared" si="0"/>
        <v>11</v>
      </c>
      <c r="B117" s="272" t="s">
        <v>271</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5" ht="15.6" x14ac:dyDescent="0.3">
      <c r="A118" s="338">
        <f t="shared" si="0"/>
        <v>12</v>
      </c>
      <c r="B118" s="272" t="s">
        <v>36</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5" ht="15.6" x14ac:dyDescent="0.3">
      <c r="A119" s="338">
        <f t="shared" si="0"/>
        <v>13</v>
      </c>
      <c r="B119" s="272" t="s">
        <v>270</v>
      </c>
      <c r="C119" s="272"/>
      <c r="D119" s="272"/>
      <c r="E119" s="272"/>
      <c r="F119" s="272"/>
      <c r="G119" s="272"/>
      <c r="H119" s="272"/>
      <c r="I119" s="272"/>
      <c r="J119" s="272"/>
      <c r="K119" s="272"/>
      <c r="L119" s="272"/>
      <c r="M119" s="272"/>
      <c r="N119" s="272"/>
      <c r="O119" s="272"/>
      <c r="P119" s="272"/>
      <c r="Q119" s="272"/>
      <c r="R119" s="272"/>
      <c r="S119" s="272"/>
      <c r="T119" s="272"/>
      <c r="U119" s="272"/>
      <c r="V119" s="325">
        <v>0</v>
      </c>
      <c r="W119" s="275"/>
      <c r="X119" s="5"/>
    </row>
    <row r="120" spans="1:25" ht="15.6" x14ac:dyDescent="0.3">
      <c r="A120" s="338">
        <f t="shared" si="0"/>
        <v>14</v>
      </c>
      <c r="B120" s="272" t="s">
        <v>152</v>
      </c>
      <c r="C120" s="272"/>
      <c r="D120" s="272"/>
      <c r="E120" s="272"/>
      <c r="F120" s="272"/>
      <c r="G120" s="272"/>
      <c r="H120" s="272"/>
      <c r="I120" s="272"/>
      <c r="J120" s="272"/>
      <c r="K120" s="272"/>
      <c r="L120" s="272"/>
      <c r="M120" s="272"/>
      <c r="N120" s="272"/>
      <c r="O120" s="272"/>
      <c r="P120" s="272"/>
      <c r="Q120" s="272"/>
      <c r="R120" s="272"/>
      <c r="S120" s="272"/>
      <c r="T120" s="272"/>
      <c r="U120" s="272"/>
      <c r="V120" s="325">
        <v>-347</v>
      </c>
      <c r="W120" s="275"/>
      <c r="X120" s="5"/>
    </row>
    <row r="121" spans="1:25" ht="15.6" x14ac:dyDescent="0.3">
      <c r="A121" s="338">
        <f t="shared" si="0"/>
        <v>15</v>
      </c>
      <c r="B121" s="272" t="s">
        <v>129</v>
      </c>
      <c r="C121" s="272"/>
      <c r="D121" s="272"/>
      <c r="E121" s="272"/>
      <c r="F121" s="272"/>
      <c r="G121" s="272"/>
      <c r="H121" s="272"/>
      <c r="I121" s="272"/>
      <c r="J121" s="272"/>
      <c r="K121" s="272"/>
      <c r="L121" s="272"/>
      <c r="M121" s="272"/>
      <c r="N121" s="272"/>
      <c r="O121" s="272"/>
      <c r="P121" s="272"/>
      <c r="Q121" s="272"/>
      <c r="R121" s="272"/>
      <c r="S121" s="272"/>
      <c r="T121" s="272"/>
      <c r="U121" s="272"/>
      <c r="V121" s="325">
        <f>-V100-SUM(V102:V120)</f>
        <v>-2583</v>
      </c>
      <c r="W121" s="275"/>
      <c r="X121" s="5"/>
    </row>
    <row r="122" spans="1:25" ht="15.6" x14ac:dyDescent="0.3">
      <c r="A122" s="271"/>
      <c r="B122" s="335" t="s">
        <v>37</v>
      </c>
      <c r="C122" s="298"/>
      <c r="D122" s="298"/>
      <c r="E122" s="298"/>
      <c r="F122" s="298"/>
      <c r="G122" s="298"/>
      <c r="H122" s="298"/>
      <c r="I122" s="298"/>
      <c r="J122" s="298"/>
      <c r="K122" s="298"/>
      <c r="L122" s="298"/>
      <c r="M122" s="298"/>
      <c r="N122" s="298"/>
      <c r="O122" s="298"/>
      <c r="P122" s="298"/>
      <c r="Q122" s="298"/>
      <c r="R122" s="298"/>
      <c r="S122" s="298"/>
      <c r="T122" s="298"/>
      <c r="U122" s="298"/>
      <c r="V122" s="339"/>
      <c r="W122" s="304"/>
      <c r="X122" s="5"/>
    </row>
    <row r="123" spans="1:25" ht="15.6" x14ac:dyDescent="0.3">
      <c r="A123" s="338"/>
      <c r="B123" s="272" t="s">
        <v>176</v>
      </c>
      <c r="C123" s="272"/>
      <c r="D123" s="272"/>
      <c r="E123" s="272"/>
      <c r="F123" s="272"/>
      <c r="G123" s="272"/>
      <c r="H123" s="272"/>
      <c r="I123" s="272"/>
      <c r="J123" s="272"/>
      <c r="K123" s="272"/>
      <c r="L123" s="272"/>
      <c r="M123" s="272"/>
      <c r="N123" s="272"/>
      <c r="O123" s="272"/>
      <c r="P123" s="272"/>
      <c r="Q123" s="272"/>
      <c r="R123" s="272"/>
      <c r="S123" s="272"/>
      <c r="T123" s="324">
        <f>-T183</f>
        <v>-3</v>
      </c>
      <c r="U123" s="324"/>
      <c r="V123" s="325"/>
      <c r="W123" s="275"/>
      <c r="X123" s="5"/>
    </row>
    <row r="124" spans="1:25" ht="15.6" x14ac:dyDescent="0.3">
      <c r="A124" s="338"/>
      <c r="B124" s="272" t="s">
        <v>177</v>
      </c>
      <c r="C124" s="272"/>
      <c r="D124" s="272"/>
      <c r="E124" s="272"/>
      <c r="F124" s="272"/>
      <c r="G124" s="272"/>
      <c r="H124" s="272"/>
      <c r="I124" s="272"/>
      <c r="J124" s="272"/>
      <c r="K124" s="272"/>
      <c r="L124" s="272"/>
      <c r="M124" s="272"/>
      <c r="N124" s="272"/>
      <c r="O124" s="272"/>
      <c r="P124" s="272"/>
      <c r="Q124" s="272"/>
      <c r="R124" s="272"/>
      <c r="S124" s="272"/>
      <c r="T124" s="324">
        <v>0</v>
      </c>
      <c r="U124" s="324"/>
      <c r="V124" s="325"/>
      <c r="W124" s="275"/>
      <c r="X124" s="5"/>
    </row>
    <row r="125" spans="1:25" ht="15.6" x14ac:dyDescent="0.3">
      <c r="A125" s="338"/>
      <c r="B125" s="272" t="s">
        <v>38</v>
      </c>
      <c r="C125" s="272"/>
      <c r="D125" s="272"/>
      <c r="E125" s="272"/>
      <c r="F125" s="272"/>
      <c r="G125" s="272"/>
      <c r="H125" s="272"/>
      <c r="I125" s="272"/>
      <c r="J125" s="272"/>
      <c r="K125" s="272"/>
      <c r="L125" s="272"/>
      <c r="M125" s="272"/>
      <c r="N125" s="272"/>
      <c r="O125" s="272"/>
      <c r="P125" s="272"/>
      <c r="Q125" s="272"/>
      <c r="R125" s="272"/>
      <c r="S125" s="272"/>
      <c r="T125" s="324">
        <f>-S183</f>
        <v>-742</v>
      </c>
      <c r="U125" s="324"/>
      <c r="V125" s="325"/>
      <c r="W125" s="275"/>
      <c r="X125" s="5"/>
    </row>
    <row r="126" spans="1:25" ht="15.6" x14ac:dyDescent="0.3">
      <c r="A126" s="338"/>
      <c r="B126" s="272" t="s">
        <v>200</v>
      </c>
      <c r="C126" s="272"/>
      <c r="D126" s="272"/>
      <c r="E126" s="272"/>
      <c r="F126" s="272"/>
      <c r="G126" s="272"/>
      <c r="H126" s="272"/>
      <c r="I126" s="272"/>
      <c r="J126" s="272"/>
      <c r="K126" s="272"/>
      <c r="L126" s="272"/>
      <c r="M126" s="272"/>
      <c r="N126" s="272"/>
      <c r="O126" s="272"/>
      <c r="P126" s="272"/>
      <c r="Q126" s="272"/>
      <c r="R126" s="272"/>
      <c r="S126" s="272"/>
      <c r="T126" s="324">
        <v>-5139</v>
      </c>
      <c r="U126" s="324"/>
      <c r="V126" s="325"/>
      <c r="W126" s="275"/>
      <c r="X126" s="5"/>
    </row>
    <row r="127" spans="1:25" ht="15.6" x14ac:dyDescent="0.3">
      <c r="A127" s="338"/>
      <c r="B127" s="272" t="s">
        <v>198</v>
      </c>
      <c r="C127" s="272"/>
      <c r="D127" s="272"/>
      <c r="E127" s="272"/>
      <c r="F127" s="272"/>
      <c r="G127" s="272"/>
      <c r="H127" s="272"/>
      <c r="I127" s="272"/>
      <c r="J127" s="272"/>
      <c r="K127" s="272"/>
      <c r="L127" s="272"/>
      <c r="M127" s="272"/>
      <c r="N127" s="272"/>
      <c r="O127" s="272"/>
      <c r="P127" s="272"/>
      <c r="Q127" s="272"/>
      <c r="R127" s="272"/>
      <c r="S127" s="272"/>
      <c r="T127" s="324">
        <v>-805</v>
      </c>
      <c r="U127" s="324"/>
      <c r="V127" s="325"/>
      <c r="W127" s="275"/>
      <c r="X127" s="5"/>
    </row>
    <row r="128" spans="1:25" ht="15.6" x14ac:dyDescent="0.3">
      <c r="A128" s="338"/>
      <c r="B128" s="272" t="s">
        <v>197</v>
      </c>
      <c r="C128" s="272"/>
      <c r="D128" s="272"/>
      <c r="E128" s="272"/>
      <c r="F128" s="272"/>
      <c r="G128" s="272"/>
      <c r="H128" s="272"/>
      <c r="I128" s="272"/>
      <c r="J128" s="272"/>
      <c r="K128" s="272"/>
      <c r="L128" s="272"/>
      <c r="M128" s="272"/>
      <c r="N128" s="272"/>
      <c r="O128" s="272"/>
      <c r="P128" s="272"/>
      <c r="Q128" s="272"/>
      <c r="R128" s="272"/>
      <c r="S128" s="272"/>
      <c r="T128" s="324">
        <v>-1362</v>
      </c>
      <c r="U128" s="324"/>
      <c r="V128" s="325"/>
      <c r="W128" s="275"/>
      <c r="X128" s="5"/>
    </row>
    <row r="129" spans="1:24" ht="15.6" x14ac:dyDescent="0.3">
      <c r="A129" s="338"/>
      <c r="B129" s="272" t="s">
        <v>232</v>
      </c>
      <c r="C129" s="272"/>
      <c r="D129" s="272"/>
      <c r="E129" s="272"/>
      <c r="F129" s="272"/>
      <c r="G129" s="272"/>
      <c r="H129" s="272"/>
      <c r="I129" s="272"/>
      <c r="J129" s="272"/>
      <c r="K129" s="272"/>
      <c r="L129" s="272"/>
      <c r="M129" s="272"/>
      <c r="N129" s="272"/>
      <c r="O129" s="272"/>
      <c r="P129" s="272"/>
      <c r="Q129" s="272"/>
      <c r="R129" s="272"/>
      <c r="S129" s="272"/>
      <c r="T129" s="324">
        <v>-1199</v>
      </c>
      <c r="U129" s="324"/>
      <c r="V129" s="325"/>
      <c r="W129" s="275"/>
      <c r="X129" s="5"/>
    </row>
    <row r="130" spans="1:24" ht="15.6" x14ac:dyDescent="0.3">
      <c r="A130" s="338"/>
      <c r="B130" s="272" t="s">
        <v>192</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191</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233</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190</v>
      </c>
      <c r="C133" s="272"/>
      <c r="D133" s="272"/>
      <c r="E133" s="272"/>
      <c r="F133" s="272"/>
      <c r="G133" s="272"/>
      <c r="H133" s="272"/>
      <c r="I133" s="272"/>
      <c r="J133" s="272"/>
      <c r="K133" s="272"/>
      <c r="L133" s="272"/>
      <c r="M133" s="272"/>
      <c r="N133" s="272"/>
      <c r="O133" s="272"/>
      <c r="P133" s="272"/>
      <c r="Q133" s="272"/>
      <c r="R133" s="272"/>
      <c r="S133" s="272"/>
      <c r="T133" s="324">
        <v>0</v>
      </c>
      <c r="U133" s="324"/>
      <c r="V133" s="325"/>
      <c r="W133" s="275"/>
      <c r="X133" s="5"/>
    </row>
    <row r="134" spans="1:24" ht="15.6" x14ac:dyDescent="0.3">
      <c r="A134" s="338"/>
      <c r="B134" s="272" t="s">
        <v>39</v>
      </c>
      <c r="C134" s="272"/>
      <c r="D134" s="272"/>
      <c r="E134" s="272"/>
      <c r="F134" s="272"/>
      <c r="G134" s="272"/>
      <c r="H134" s="272"/>
      <c r="I134" s="272"/>
      <c r="J134" s="272"/>
      <c r="K134" s="272"/>
      <c r="L134" s="272"/>
      <c r="M134" s="272"/>
      <c r="N134" s="272"/>
      <c r="O134" s="272"/>
      <c r="P134" s="272"/>
      <c r="Q134" s="272"/>
      <c r="R134" s="272"/>
      <c r="S134" s="272"/>
      <c r="T134" s="324">
        <f>SUM(T123:T133)</f>
        <v>-9250</v>
      </c>
      <c r="U134" s="324"/>
      <c r="V134" s="324">
        <f>SUM(V101:V131)</f>
        <v>-6109</v>
      </c>
      <c r="W134" s="275"/>
      <c r="X134" s="5"/>
    </row>
    <row r="135" spans="1:24" ht="15.6" x14ac:dyDescent="0.3">
      <c r="A135" s="338"/>
      <c r="B135" s="272" t="s">
        <v>40</v>
      </c>
      <c r="C135" s="272"/>
      <c r="D135" s="272"/>
      <c r="E135" s="272"/>
      <c r="F135" s="272"/>
      <c r="G135" s="272"/>
      <c r="H135" s="272"/>
      <c r="I135" s="272"/>
      <c r="J135" s="272"/>
      <c r="K135" s="272"/>
      <c r="L135" s="272"/>
      <c r="M135" s="272"/>
      <c r="N135" s="272"/>
      <c r="O135" s="272"/>
      <c r="P135" s="272"/>
      <c r="Q135" s="272"/>
      <c r="R135" s="272"/>
      <c r="S135" s="272"/>
      <c r="T135" s="324">
        <f>T100+T134+T115</f>
        <v>0</v>
      </c>
      <c r="U135" s="324"/>
      <c r="V135" s="324">
        <f>V100+V134</f>
        <v>0</v>
      </c>
      <c r="W135" s="275"/>
      <c r="X135" s="5"/>
    </row>
    <row r="136" spans="1:24" ht="15.6" x14ac:dyDescent="0.3">
      <c r="A136" s="242"/>
      <c r="B136" s="268"/>
      <c r="C136" s="268"/>
      <c r="D136" s="268"/>
      <c r="E136" s="268"/>
      <c r="F136" s="268"/>
      <c r="G136" s="268"/>
      <c r="H136" s="268"/>
      <c r="I136" s="268"/>
      <c r="J136" s="268"/>
      <c r="K136" s="268"/>
      <c r="L136" s="268"/>
      <c r="M136" s="268"/>
      <c r="N136" s="268"/>
      <c r="O136" s="268"/>
      <c r="P136" s="268"/>
      <c r="Q136" s="268"/>
      <c r="R136" s="268"/>
      <c r="S136" s="268"/>
      <c r="T136" s="332"/>
      <c r="U136" s="332"/>
      <c r="V136" s="332"/>
      <c r="W136" s="268"/>
      <c r="X136" s="5"/>
    </row>
    <row r="137" spans="1:24" ht="15.6" x14ac:dyDescent="0.3">
      <c r="A137" s="242"/>
      <c r="B137" s="220"/>
      <c r="C137" s="220"/>
      <c r="D137" s="220"/>
      <c r="E137" s="220"/>
      <c r="F137" s="220"/>
      <c r="G137" s="220"/>
      <c r="H137" s="220"/>
      <c r="I137" s="220"/>
      <c r="J137" s="220"/>
      <c r="K137" s="220"/>
      <c r="L137" s="220"/>
      <c r="M137" s="220"/>
      <c r="N137" s="220"/>
      <c r="O137" s="220"/>
      <c r="P137" s="220"/>
      <c r="Q137" s="220"/>
      <c r="R137" s="220"/>
      <c r="S137" s="220"/>
      <c r="T137" s="220"/>
      <c r="U137" s="220"/>
      <c r="V137" s="243"/>
      <c r="W137" s="220"/>
      <c r="X137" s="5"/>
    </row>
    <row r="138" spans="1:24" ht="18" thickBot="1" x14ac:dyDescent="0.35">
      <c r="A138" s="244"/>
      <c r="B138" s="234" t="str">
        <f>B64</f>
        <v>PM13 INVESTOR REPORT QUARTER ENDING MARCH 2015</v>
      </c>
      <c r="C138" s="235"/>
      <c r="D138" s="235"/>
      <c r="E138" s="235"/>
      <c r="F138" s="235"/>
      <c r="G138" s="235"/>
      <c r="H138" s="235"/>
      <c r="I138" s="235"/>
      <c r="J138" s="235"/>
      <c r="K138" s="235"/>
      <c r="L138" s="235"/>
      <c r="M138" s="235"/>
      <c r="N138" s="235"/>
      <c r="O138" s="235"/>
      <c r="P138" s="235"/>
      <c r="Q138" s="235"/>
      <c r="R138" s="235"/>
      <c r="S138" s="235"/>
      <c r="T138" s="235"/>
      <c r="U138" s="235"/>
      <c r="V138" s="245"/>
      <c r="W138" s="237"/>
      <c r="X138" s="5"/>
    </row>
    <row r="139" spans="1:24" ht="15.6" x14ac:dyDescent="0.3">
      <c r="A139" s="246"/>
      <c r="B139" s="388" t="s">
        <v>41</v>
      </c>
      <c r="C139" s="247"/>
      <c r="D139" s="247"/>
      <c r="E139" s="247"/>
      <c r="F139" s="247"/>
      <c r="G139" s="247"/>
      <c r="H139" s="247"/>
      <c r="I139" s="247"/>
      <c r="J139" s="247"/>
      <c r="K139" s="247"/>
      <c r="L139" s="247"/>
      <c r="M139" s="247"/>
      <c r="N139" s="247"/>
      <c r="O139" s="247"/>
      <c r="P139" s="247"/>
      <c r="Q139" s="247"/>
      <c r="R139" s="247"/>
      <c r="S139" s="247"/>
      <c r="T139" s="247"/>
      <c r="U139" s="247"/>
      <c r="V139" s="248"/>
      <c r="W139" s="247"/>
      <c r="X139" s="5"/>
    </row>
    <row r="140" spans="1:24" ht="15.6" x14ac:dyDescent="0.3">
      <c r="A140" s="175"/>
      <c r="B140" s="186"/>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175"/>
      <c r="B141" s="203" t="s">
        <v>42</v>
      </c>
      <c r="C141" s="177"/>
      <c r="D141" s="177"/>
      <c r="E141" s="177"/>
      <c r="F141" s="177"/>
      <c r="G141" s="177"/>
      <c r="H141" s="177"/>
      <c r="I141" s="177"/>
      <c r="J141" s="177"/>
      <c r="K141" s="177"/>
      <c r="L141" s="177"/>
      <c r="M141" s="177"/>
      <c r="N141" s="177"/>
      <c r="O141" s="177"/>
      <c r="P141" s="177"/>
      <c r="Q141" s="177"/>
      <c r="R141" s="177"/>
      <c r="S141" s="177"/>
      <c r="T141" s="177"/>
      <c r="U141" s="177"/>
      <c r="V141" s="196"/>
      <c r="W141" s="177"/>
      <c r="X141" s="5"/>
    </row>
    <row r="142" spans="1:24" ht="15.6" x14ac:dyDescent="0.3">
      <c r="A142" s="271"/>
      <c r="B142" s="272" t="s">
        <v>43</v>
      </c>
      <c r="C142" s="272"/>
      <c r="D142" s="272"/>
      <c r="E142" s="272"/>
      <c r="F142" s="272"/>
      <c r="G142" s="272"/>
      <c r="H142" s="272"/>
      <c r="I142" s="272"/>
      <c r="J142" s="272"/>
      <c r="K142" s="272"/>
      <c r="L142" s="272"/>
      <c r="M142" s="272"/>
      <c r="N142" s="272"/>
      <c r="O142" s="272"/>
      <c r="P142" s="272"/>
      <c r="Q142" s="272"/>
      <c r="R142" s="272"/>
      <c r="S142" s="272"/>
      <c r="T142" s="272"/>
      <c r="U142" s="272"/>
      <c r="V142" s="325">
        <f>+V34*0.019</f>
        <v>28503.61</v>
      </c>
      <c r="W142" s="275"/>
      <c r="X142" s="5"/>
    </row>
    <row r="143" spans="1:24" ht="15.6" x14ac:dyDescent="0.3">
      <c r="A143" s="271"/>
      <c r="B143" s="272" t="s">
        <v>44</v>
      </c>
      <c r="C143" s="272"/>
      <c r="D143" s="272"/>
      <c r="E143" s="272"/>
      <c r="F143" s="272"/>
      <c r="G143" s="272"/>
      <c r="H143" s="272"/>
      <c r="I143" s="272"/>
      <c r="J143" s="272"/>
      <c r="K143" s="272"/>
      <c r="L143" s="272"/>
      <c r="M143" s="272"/>
      <c r="N143" s="272"/>
      <c r="O143" s="272"/>
      <c r="P143" s="272"/>
      <c r="Q143" s="272"/>
      <c r="R143" s="272"/>
      <c r="S143" s="272"/>
      <c r="T143" s="272"/>
      <c r="U143" s="272"/>
      <c r="V143" s="325">
        <v>28504</v>
      </c>
      <c r="W143" s="275"/>
      <c r="X143" s="5"/>
    </row>
    <row r="144" spans="1:24" ht="15.6" x14ac:dyDescent="0.3">
      <c r="A144" s="271"/>
      <c r="B144" s="272" t="s">
        <v>139</v>
      </c>
      <c r="C144" s="272"/>
      <c r="D144" s="272"/>
      <c r="E144" s="272"/>
      <c r="F144" s="272"/>
      <c r="G144" s="272"/>
      <c r="H144" s="272"/>
      <c r="I144" s="272"/>
      <c r="J144" s="272"/>
      <c r="K144" s="272"/>
      <c r="L144" s="272"/>
      <c r="M144" s="272"/>
      <c r="N144" s="272"/>
      <c r="O144" s="272"/>
      <c r="P144" s="272"/>
      <c r="Q144" s="272"/>
      <c r="R144" s="272"/>
      <c r="S144" s="272"/>
      <c r="T144" s="272"/>
      <c r="U144" s="272"/>
      <c r="V144" s="325"/>
      <c r="W144" s="275"/>
      <c r="X144" s="5"/>
    </row>
    <row r="145" spans="1:25" ht="15.6" x14ac:dyDescent="0.3">
      <c r="A145" s="271"/>
      <c r="B145" s="272" t="s">
        <v>126</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127</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178</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45</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132</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row>
    <row r="150" spans="1:25" ht="15.6" x14ac:dyDescent="0.3">
      <c r="A150" s="271"/>
      <c r="B150" s="272" t="s">
        <v>267</v>
      </c>
      <c r="C150" s="272"/>
      <c r="D150" s="272"/>
      <c r="E150" s="272"/>
      <c r="F150" s="272"/>
      <c r="G150" s="272"/>
      <c r="H150" s="272"/>
      <c r="I150" s="272"/>
      <c r="J150" s="272"/>
      <c r="K150" s="272"/>
      <c r="L150" s="272"/>
      <c r="M150" s="272"/>
      <c r="N150" s="272"/>
      <c r="O150" s="272"/>
      <c r="P150" s="272"/>
      <c r="Q150" s="272"/>
      <c r="R150" s="272"/>
      <c r="S150" s="272"/>
      <c r="T150" s="272"/>
      <c r="U150" s="272"/>
      <c r="V150" s="325">
        <v>0</v>
      </c>
      <c r="W150" s="275"/>
      <c r="X150" s="5"/>
      <c r="Y150" s="109"/>
    </row>
    <row r="151" spans="1:25" ht="15.6" x14ac:dyDescent="0.3">
      <c r="A151" s="271"/>
      <c r="B151" s="272" t="s">
        <v>46</v>
      </c>
      <c r="C151" s="272"/>
      <c r="D151" s="272"/>
      <c r="E151" s="272"/>
      <c r="F151" s="272"/>
      <c r="G151" s="272"/>
      <c r="H151" s="272"/>
      <c r="I151" s="272"/>
      <c r="J151" s="272"/>
      <c r="K151" s="272"/>
      <c r="L151" s="272"/>
      <c r="M151" s="272"/>
      <c r="N151" s="272"/>
      <c r="O151" s="272"/>
      <c r="P151" s="272"/>
      <c r="Q151" s="272"/>
      <c r="R151" s="272"/>
      <c r="S151" s="272"/>
      <c r="T151" s="272"/>
      <c r="U151" s="272"/>
      <c r="V151" s="325">
        <f>SUM(V143:V150)</f>
        <v>28504</v>
      </c>
      <c r="W151" s="275"/>
      <c r="X151" s="5"/>
    </row>
    <row r="152" spans="1:25" ht="15.6" x14ac:dyDescent="0.3">
      <c r="A152" s="271"/>
      <c r="B152" s="298"/>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335" t="s">
        <v>268</v>
      </c>
      <c r="C153" s="298"/>
      <c r="D153" s="298"/>
      <c r="E153" s="298"/>
      <c r="F153" s="298"/>
      <c r="G153" s="298"/>
      <c r="H153" s="298"/>
      <c r="I153" s="298"/>
      <c r="J153" s="298"/>
      <c r="K153" s="298"/>
      <c r="L153" s="298"/>
      <c r="M153" s="298"/>
      <c r="N153" s="298"/>
      <c r="O153" s="298"/>
      <c r="P153" s="298"/>
      <c r="Q153" s="298"/>
      <c r="R153" s="298"/>
      <c r="S153" s="298"/>
      <c r="T153" s="298"/>
      <c r="U153" s="298"/>
      <c r="V153" s="337"/>
      <c r="W153" s="304"/>
      <c r="X153" s="5"/>
    </row>
    <row r="154" spans="1:25" ht="15.6" x14ac:dyDescent="0.3">
      <c r="A154" s="271"/>
      <c r="B154" s="272" t="s">
        <v>158</v>
      </c>
      <c r="C154" s="272"/>
      <c r="D154" s="272"/>
      <c r="E154" s="272"/>
      <c r="F154" s="272"/>
      <c r="G154" s="272"/>
      <c r="H154" s="272"/>
      <c r="I154" s="272"/>
      <c r="J154" s="272"/>
      <c r="K154" s="272"/>
      <c r="L154" s="272"/>
      <c r="M154" s="272"/>
      <c r="N154" s="272"/>
      <c r="O154" s="272"/>
      <c r="P154" s="272"/>
      <c r="Q154" s="272"/>
      <c r="R154" s="272"/>
      <c r="S154" s="272"/>
      <c r="T154" s="272"/>
      <c r="U154" s="272"/>
      <c r="V154" s="325">
        <v>15000</v>
      </c>
      <c r="W154" s="275"/>
      <c r="X154" s="5"/>
    </row>
    <row r="155" spans="1:25" ht="15.6" x14ac:dyDescent="0.3">
      <c r="A155" s="271"/>
      <c r="B155" s="272" t="s">
        <v>175</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72" t="s">
        <v>341</v>
      </c>
      <c r="C156" s="272"/>
      <c r="D156" s="272"/>
      <c r="E156" s="272"/>
      <c r="F156" s="272"/>
      <c r="G156" s="272"/>
      <c r="H156" s="272"/>
      <c r="I156" s="272"/>
      <c r="J156" s="272"/>
      <c r="K156" s="272"/>
      <c r="L156" s="272"/>
      <c r="M156" s="272"/>
      <c r="N156" s="272"/>
      <c r="O156" s="272"/>
      <c r="P156" s="272"/>
      <c r="Q156" s="272"/>
      <c r="R156" s="272"/>
      <c r="S156" s="272"/>
      <c r="T156" s="272"/>
      <c r="U156" s="272"/>
      <c r="V156" s="325">
        <v>0</v>
      </c>
      <c r="W156" s="275"/>
      <c r="X156" s="5"/>
    </row>
    <row r="157" spans="1:25" ht="15.6" x14ac:dyDescent="0.3">
      <c r="A157" s="271"/>
      <c r="B157" s="298"/>
      <c r="C157" s="298"/>
      <c r="D157" s="298"/>
      <c r="E157" s="298"/>
      <c r="F157" s="298"/>
      <c r="G157" s="298"/>
      <c r="H157" s="298"/>
      <c r="I157" s="298"/>
      <c r="J157" s="298"/>
      <c r="K157" s="298"/>
      <c r="L157" s="298"/>
      <c r="M157" s="298"/>
      <c r="N157" s="298"/>
      <c r="O157" s="298"/>
      <c r="P157" s="298"/>
      <c r="Q157" s="298"/>
      <c r="R157" s="298"/>
      <c r="S157" s="298"/>
      <c r="T157" s="298"/>
      <c r="U157" s="298"/>
      <c r="V157" s="337"/>
      <c r="W157" s="304"/>
      <c r="X157" s="5"/>
    </row>
    <row r="158" spans="1:25" ht="15.6" x14ac:dyDescent="0.3">
      <c r="A158" s="175"/>
      <c r="B158" s="321"/>
      <c r="C158" s="321"/>
      <c r="D158" s="321"/>
      <c r="E158" s="321"/>
      <c r="F158" s="321"/>
      <c r="G158" s="321"/>
      <c r="H158" s="321"/>
      <c r="I158" s="321"/>
      <c r="J158" s="321"/>
      <c r="K158" s="321"/>
      <c r="L158" s="321"/>
      <c r="M158" s="321"/>
      <c r="N158" s="321"/>
      <c r="O158" s="321"/>
      <c r="P158" s="321"/>
      <c r="Q158" s="321"/>
      <c r="R158" s="321"/>
      <c r="S158" s="321"/>
      <c r="T158" s="321"/>
      <c r="U158" s="321"/>
      <c r="V158" s="340"/>
      <c r="W158" s="321"/>
      <c r="X158" s="5"/>
    </row>
    <row r="159" spans="1:25" ht="15.6" x14ac:dyDescent="0.3">
      <c r="A159" s="175"/>
      <c r="B159" s="203" t="s">
        <v>24</v>
      </c>
      <c r="C159" s="177"/>
      <c r="D159" s="177"/>
      <c r="E159" s="177"/>
      <c r="F159" s="177"/>
      <c r="G159" s="177"/>
      <c r="H159" s="177"/>
      <c r="I159" s="177"/>
      <c r="J159" s="177"/>
      <c r="K159" s="177"/>
      <c r="L159" s="177"/>
      <c r="M159" s="177"/>
      <c r="N159" s="177"/>
      <c r="O159" s="177"/>
      <c r="P159" s="177"/>
      <c r="Q159" s="177"/>
      <c r="R159" s="177"/>
      <c r="S159" s="177"/>
      <c r="T159" s="177"/>
      <c r="U159" s="177"/>
      <c r="V159" s="196"/>
      <c r="W159" s="177"/>
      <c r="X159" s="5"/>
    </row>
    <row r="160" spans="1:25" ht="15.6" x14ac:dyDescent="0.3">
      <c r="A160" s="271"/>
      <c r="B160" s="272" t="s">
        <v>47</v>
      </c>
      <c r="C160" s="272"/>
      <c r="D160" s="272"/>
      <c r="E160" s="272"/>
      <c r="F160" s="272"/>
      <c r="G160" s="272"/>
      <c r="H160" s="272"/>
      <c r="I160" s="272"/>
      <c r="J160" s="272"/>
      <c r="K160" s="272"/>
      <c r="L160" s="272"/>
      <c r="M160" s="272"/>
      <c r="N160" s="272"/>
      <c r="O160" s="272"/>
      <c r="P160" s="272"/>
      <c r="Q160" s="272"/>
      <c r="R160" s="272"/>
      <c r="S160" s="272"/>
      <c r="T160" s="272"/>
      <c r="U160" s="272"/>
      <c r="V160" s="341" t="s">
        <v>121</v>
      </c>
      <c r="W160" s="275"/>
      <c r="X160" s="5"/>
    </row>
    <row r="161" spans="1:24" ht="15.6" x14ac:dyDescent="0.3">
      <c r="A161" s="271"/>
      <c r="B161" s="272" t="s">
        <v>48</v>
      </c>
      <c r="C161" s="274"/>
      <c r="D161" s="274"/>
      <c r="E161" s="274"/>
      <c r="F161" s="274"/>
      <c r="G161" s="274"/>
      <c r="H161" s="274"/>
      <c r="I161" s="274"/>
      <c r="J161" s="274"/>
      <c r="K161" s="274"/>
      <c r="L161" s="274"/>
      <c r="M161" s="274"/>
      <c r="N161" s="274"/>
      <c r="O161" s="274"/>
      <c r="P161" s="274"/>
      <c r="Q161" s="274"/>
      <c r="R161" s="274"/>
      <c r="S161" s="274"/>
      <c r="T161" s="274"/>
      <c r="U161" s="274"/>
      <c r="V161" s="341" t="s">
        <v>121</v>
      </c>
      <c r="W161" s="275"/>
      <c r="X161" s="5"/>
    </row>
    <row r="162" spans="1:24" ht="15.6" x14ac:dyDescent="0.3">
      <c r="A162" s="271"/>
      <c r="B162" s="272" t="s">
        <v>49</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271"/>
      <c r="B163" s="272" t="s">
        <v>50</v>
      </c>
      <c r="C163" s="272"/>
      <c r="D163" s="272"/>
      <c r="E163" s="272"/>
      <c r="F163" s="272"/>
      <c r="G163" s="272"/>
      <c r="H163" s="272"/>
      <c r="I163" s="272"/>
      <c r="J163" s="272"/>
      <c r="K163" s="272"/>
      <c r="L163" s="272"/>
      <c r="M163" s="272"/>
      <c r="N163" s="272"/>
      <c r="O163" s="272"/>
      <c r="P163" s="272"/>
      <c r="Q163" s="272"/>
      <c r="R163" s="272"/>
      <c r="S163" s="272"/>
      <c r="T163" s="272"/>
      <c r="U163" s="272"/>
      <c r="V163" s="341" t="s">
        <v>121</v>
      </c>
      <c r="W163" s="275"/>
      <c r="X163" s="5"/>
    </row>
    <row r="164" spans="1:24" ht="15.6" x14ac:dyDescent="0.3">
      <c r="A164" s="175"/>
      <c r="B164" s="321"/>
      <c r="C164" s="321"/>
      <c r="D164" s="321"/>
      <c r="E164" s="321"/>
      <c r="F164" s="321"/>
      <c r="G164" s="321"/>
      <c r="H164" s="321"/>
      <c r="I164" s="321"/>
      <c r="J164" s="321"/>
      <c r="K164" s="321"/>
      <c r="L164" s="321"/>
      <c r="M164" s="321"/>
      <c r="N164" s="321"/>
      <c r="O164" s="321"/>
      <c r="P164" s="321"/>
      <c r="Q164" s="321"/>
      <c r="R164" s="321"/>
      <c r="S164" s="321"/>
      <c r="T164" s="321"/>
      <c r="U164" s="321"/>
      <c r="V164" s="340"/>
      <c r="W164" s="321"/>
      <c r="X164" s="5"/>
    </row>
    <row r="165" spans="1:24" ht="15.6" x14ac:dyDescent="0.3">
      <c r="A165" s="175"/>
      <c r="B165" s="203" t="s">
        <v>51</v>
      </c>
      <c r="C165" s="177"/>
      <c r="D165" s="177"/>
      <c r="E165" s="177"/>
      <c r="F165" s="177"/>
      <c r="G165" s="177"/>
      <c r="H165" s="177"/>
      <c r="I165" s="177"/>
      <c r="J165" s="177"/>
      <c r="K165" s="177"/>
      <c r="L165" s="177"/>
      <c r="M165" s="177"/>
      <c r="N165" s="177"/>
      <c r="O165" s="177"/>
      <c r="P165" s="177"/>
      <c r="Q165" s="177"/>
      <c r="R165" s="177"/>
      <c r="S165" s="177"/>
      <c r="T165" s="177"/>
      <c r="U165" s="177"/>
      <c r="V165" s="204"/>
      <c r="W165" s="177"/>
      <c r="X165" s="5"/>
    </row>
    <row r="166" spans="1:24" ht="15.6" x14ac:dyDescent="0.3">
      <c r="A166" s="342"/>
      <c r="B166" s="343" t="s">
        <v>52</v>
      </c>
      <c r="C166" s="343"/>
      <c r="D166" s="343"/>
      <c r="E166" s="343"/>
      <c r="F166" s="343"/>
      <c r="G166" s="343"/>
      <c r="H166" s="343"/>
      <c r="I166" s="343"/>
      <c r="J166" s="343"/>
      <c r="K166" s="343"/>
      <c r="L166" s="343"/>
      <c r="M166" s="343"/>
      <c r="N166" s="343"/>
      <c r="O166" s="343"/>
      <c r="P166" s="343"/>
      <c r="Q166" s="343"/>
      <c r="R166" s="343"/>
      <c r="S166" s="343"/>
      <c r="T166" s="343"/>
      <c r="U166" s="343"/>
      <c r="V166" s="344">
        <v>0</v>
      </c>
      <c r="W166" s="345"/>
      <c r="X166" s="5"/>
    </row>
    <row r="167" spans="1:24" ht="15.6" x14ac:dyDescent="0.3">
      <c r="A167" s="342"/>
      <c r="B167" s="343" t="s">
        <v>53</v>
      </c>
      <c r="C167" s="343"/>
      <c r="D167" s="343"/>
      <c r="E167" s="343"/>
      <c r="F167" s="343"/>
      <c r="G167" s="343"/>
      <c r="H167" s="343"/>
      <c r="I167" s="343"/>
      <c r="J167" s="343"/>
      <c r="K167" s="343"/>
      <c r="L167" s="343"/>
      <c r="M167" s="343"/>
      <c r="N167" s="343"/>
      <c r="O167" s="343"/>
      <c r="P167" s="343"/>
      <c r="Q167" s="343"/>
      <c r="R167" s="343"/>
      <c r="S167" s="343"/>
      <c r="T167" s="343"/>
      <c r="U167" s="343"/>
      <c r="V167" s="344">
        <v>563</v>
      </c>
      <c r="W167" s="345"/>
      <c r="X167" s="5"/>
    </row>
    <row r="168" spans="1:24" ht="15.6" x14ac:dyDescent="0.3">
      <c r="A168" s="342"/>
      <c r="B168" s="343" t="s">
        <v>54</v>
      </c>
      <c r="C168" s="343"/>
      <c r="D168" s="343"/>
      <c r="E168" s="343"/>
      <c r="F168" s="343"/>
      <c r="G168" s="343"/>
      <c r="H168" s="343"/>
      <c r="I168" s="343"/>
      <c r="J168" s="343"/>
      <c r="K168" s="343"/>
      <c r="L168" s="343"/>
      <c r="M168" s="343"/>
      <c r="N168" s="343"/>
      <c r="O168" s="343"/>
      <c r="P168" s="343"/>
      <c r="Q168" s="343"/>
      <c r="R168" s="343"/>
      <c r="S168" s="343"/>
      <c r="T168" s="343"/>
      <c r="U168" s="343"/>
      <c r="V168" s="344">
        <f>V167+V166</f>
        <v>563</v>
      </c>
      <c r="W168" s="345"/>
      <c r="X168" s="5"/>
    </row>
    <row r="169" spans="1:24" ht="15.6" x14ac:dyDescent="0.3">
      <c r="A169" s="342"/>
      <c r="B169" s="272" t="s">
        <v>318</v>
      </c>
      <c r="C169" s="343"/>
      <c r="D169" s="343"/>
      <c r="E169" s="343"/>
      <c r="F169" s="343"/>
      <c r="G169" s="343"/>
      <c r="H169" s="343"/>
      <c r="I169" s="343"/>
      <c r="J169" s="343"/>
      <c r="K169" s="343"/>
      <c r="L169" s="343"/>
      <c r="M169" s="343"/>
      <c r="N169" s="343"/>
      <c r="O169" s="343"/>
      <c r="P169" s="343"/>
      <c r="Q169" s="343"/>
      <c r="R169" s="343"/>
      <c r="S169" s="343"/>
      <c r="T169" s="343"/>
      <c r="U169" s="343"/>
      <c r="V169" s="344">
        <f>V115</f>
        <v>-563</v>
      </c>
      <c r="W169" s="345"/>
      <c r="X169" s="5"/>
    </row>
    <row r="170" spans="1:24" ht="15.6" x14ac:dyDescent="0.3">
      <c r="A170" s="342"/>
      <c r="B170" s="343" t="s">
        <v>55</v>
      </c>
      <c r="C170" s="343"/>
      <c r="D170" s="343"/>
      <c r="E170" s="343"/>
      <c r="F170" s="343"/>
      <c r="G170" s="343"/>
      <c r="H170" s="343"/>
      <c r="I170" s="343"/>
      <c r="J170" s="343"/>
      <c r="K170" s="343"/>
      <c r="L170" s="343"/>
      <c r="M170" s="343"/>
      <c r="N170" s="343"/>
      <c r="O170" s="343"/>
      <c r="P170" s="343"/>
      <c r="Q170" s="343"/>
      <c r="R170" s="343"/>
      <c r="S170" s="343"/>
      <c r="T170" s="343"/>
      <c r="U170" s="343"/>
      <c r="V170" s="344">
        <f>V168+V169</f>
        <v>0</v>
      </c>
      <c r="W170" s="345"/>
      <c r="X170" s="5"/>
    </row>
    <row r="171" spans="1:24" ht="15.6" x14ac:dyDescent="0.3">
      <c r="A171" s="342"/>
      <c r="B171" s="343" t="s">
        <v>288</v>
      </c>
      <c r="C171" s="343"/>
      <c r="D171" s="343"/>
      <c r="E171" s="343"/>
      <c r="F171" s="343"/>
      <c r="G171" s="343"/>
      <c r="H171" s="343"/>
      <c r="I171" s="343"/>
      <c r="J171" s="343"/>
      <c r="K171" s="343"/>
      <c r="L171" s="343"/>
      <c r="M171" s="343"/>
      <c r="N171" s="343"/>
      <c r="O171" s="343"/>
      <c r="P171" s="343"/>
      <c r="Q171" s="343"/>
      <c r="R171" s="343"/>
      <c r="S171" s="343"/>
      <c r="T171" s="343"/>
      <c r="U171" s="343"/>
      <c r="V171" s="344">
        <v>0</v>
      </c>
      <c r="W171" s="345"/>
      <c r="X171" s="5"/>
    </row>
    <row r="172" spans="1:24" ht="16.2" thickBot="1" x14ac:dyDescent="0.35">
      <c r="A172" s="175"/>
      <c r="B172" s="321"/>
      <c r="C172" s="321"/>
      <c r="D172" s="321"/>
      <c r="E172" s="321"/>
      <c r="F172" s="321"/>
      <c r="G172" s="321"/>
      <c r="H172" s="321"/>
      <c r="I172" s="321"/>
      <c r="J172" s="321"/>
      <c r="K172" s="321"/>
      <c r="L172" s="321"/>
      <c r="M172" s="321"/>
      <c r="N172" s="321"/>
      <c r="O172" s="321"/>
      <c r="P172" s="321"/>
      <c r="Q172" s="321"/>
      <c r="R172" s="321"/>
      <c r="S172" s="321"/>
      <c r="T172" s="321"/>
      <c r="U172" s="321"/>
      <c r="V172" s="340"/>
      <c r="W172" s="321"/>
      <c r="X172" s="5"/>
    </row>
    <row r="173" spans="1:24"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74"/>
      <c r="U173" s="174"/>
      <c r="V173" s="195"/>
      <c r="W173" s="174"/>
      <c r="X173" s="5"/>
    </row>
    <row r="174" spans="1:24" ht="15.6" x14ac:dyDescent="0.3">
      <c r="A174" s="175"/>
      <c r="B174" s="203" t="s">
        <v>56</v>
      </c>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175"/>
      <c r="B175" s="186"/>
      <c r="C175" s="177"/>
      <c r="D175" s="177"/>
      <c r="E175" s="177"/>
      <c r="F175" s="177"/>
      <c r="G175" s="177"/>
      <c r="H175" s="177"/>
      <c r="I175" s="177"/>
      <c r="J175" s="177"/>
      <c r="K175" s="177"/>
      <c r="L175" s="177"/>
      <c r="M175" s="177"/>
      <c r="N175" s="177"/>
      <c r="O175" s="177"/>
      <c r="P175" s="177"/>
      <c r="Q175" s="177"/>
      <c r="R175" s="177"/>
      <c r="S175" s="177"/>
      <c r="T175" s="177"/>
      <c r="U175" s="177"/>
      <c r="V175" s="196"/>
      <c r="W175" s="177"/>
      <c r="X175" s="5"/>
    </row>
    <row r="176" spans="1:24" ht="15.6" x14ac:dyDescent="0.3">
      <c r="A176" s="271"/>
      <c r="B176" s="272" t="s">
        <v>57</v>
      </c>
      <c r="C176" s="272"/>
      <c r="D176" s="272"/>
      <c r="E176" s="272"/>
      <c r="F176" s="272"/>
      <c r="G176" s="272"/>
      <c r="H176" s="272"/>
      <c r="I176" s="272"/>
      <c r="J176" s="272"/>
      <c r="K176" s="272"/>
      <c r="L176" s="272"/>
      <c r="M176" s="272"/>
      <c r="N176" s="272"/>
      <c r="O176" s="272"/>
      <c r="P176" s="272"/>
      <c r="Q176" s="272"/>
      <c r="R176" s="272"/>
      <c r="S176" s="272"/>
      <c r="T176" s="272"/>
      <c r="U176" s="272"/>
      <c r="V176" s="325">
        <f>V71</f>
        <v>918281</v>
      </c>
      <c r="W176" s="275"/>
      <c r="X176" s="5"/>
    </row>
    <row r="177" spans="1:24" ht="15.6" x14ac:dyDescent="0.3">
      <c r="A177" s="271"/>
      <c r="B177" s="272" t="s">
        <v>58</v>
      </c>
      <c r="C177" s="272"/>
      <c r="D177" s="272"/>
      <c r="E177" s="272"/>
      <c r="F177" s="272"/>
      <c r="G177" s="272"/>
      <c r="H177" s="272"/>
      <c r="I177" s="272"/>
      <c r="J177" s="272"/>
      <c r="K177" s="272"/>
      <c r="L177" s="272"/>
      <c r="M177" s="272"/>
      <c r="N177" s="272"/>
      <c r="O177" s="272"/>
      <c r="P177" s="272"/>
      <c r="Q177" s="272"/>
      <c r="R177" s="272"/>
      <c r="S177" s="272"/>
      <c r="T177" s="272"/>
      <c r="U177" s="272"/>
      <c r="V177" s="325">
        <f>V84</f>
        <v>918281</v>
      </c>
      <c r="W177" s="275"/>
      <c r="X177" s="5"/>
    </row>
    <row r="178" spans="1:24" ht="16.2" thickBot="1" x14ac:dyDescent="0.35">
      <c r="A178" s="175"/>
      <c r="B178" s="321"/>
      <c r="C178" s="321"/>
      <c r="D178" s="321"/>
      <c r="E178" s="321"/>
      <c r="F178" s="321"/>
      <c r="G178" s="321"/>
      <c r="H178" s="321"/>
      <c r="I178" s="321"/>
      <c r="J178" s="321"/>
      <c r="K178" s="321"/>
      <c r="L178" s="321"/>
      <c r="M178" s="321"/>
      <c r="N178" s="321"/>
      <c r="O178" s="321"/>
      <c r="P178" s="321"/>
      <c r="Q178" s="321"/>
      <c r="R178" s="321"/>
      <c r="S178" s="321"/>
      <c r="T178" s="321"/>
      <c r="U178" s="321"/>
      <c r="V178" s="340"/>
      <c r="W178" s="321"/>
      <c r="X178" s="5"/>
    </row>
    <row r="179" spans="1:24" ht="15.6" x14ac:dyDescent="0.3">
      <c r="A179" s="173"/>
      <c r="B179" s="174"/>
      <c r="C179" s="174"/>
      <c r="D179" s="174"/>
      <c r="E179" s="174"/>
      <c r="F179" s="174"/>
      <c r="G179" s="174"/>
      <c r="H179" s="174"/>
      <c r="I179" s="174"/>
      <c r="J179" s="174"/>
      <c r="K179" s="174"/>
      <c r="L179" s="174"/>
      <c r="M179" s="174"/>
      <c r="N179" s="174"/>
      <c r="O179" s="174"/>
      <c r="P179" s="174"/>
      <c r="Q179" s="174"/>
      <c r="R179" s="174"/>
      <c r="S179" s="174"/>
      <c r="T179" s="174"/>
      <c r="U179" s="174"/>
      <c r="V179" s="195"/>
      <c r="W179" s="174"/>
      <c r="X179" s="5"/>
    </row>
    <row r="180" spans="1:24" ht="15.6" x14ac:dyDescent="0.3">
      <c r="A180" s="175"/>
      <c r="B180" s="203" t="s">
        <v>59</v>
      </c>
      <c r="C180" s="200"/>
      <c r="D180" s="200"/>
      <c r="E180" s="200"/>
      <c r="F180" s="200"/>
      <c r="G180" s="200"/>
      <c r="H180" s="205"/>
      <c r="I180" s="205"/>
      <c r="J180" s="205"/>
      <c r="K180" s="205"/>
      <c r="L180" s="205"/>
      <c r="M180" s="205"/>
      <c r="N180" s="205"/>
      <c r="O180" s="205"/>
      <c r="P180" s="205"/>
      <c r="Q180" s="205"/>
      <c r="R180" s="205"/>
      <c r="S180" s="205" t="s">
        <v>102</v>
      </c>
      <c r="T180" s="205" t="s">
        <v>179</v>
      </c>
      <c r="U180" s="179"/>
      <c r="V180" s="206" t="s">
        <v>117</v>
      </c>
      <c r="W180" s="207"/>
      <c r="X180" s="5"/>
    </row>
    <row r="181" spans="1:24" ht="15.6" x14ac:dyDescent="0.3">
      <c r="A181" s="271"/>
      <c r="B181" s="272" t="s">
        <v>60</v>
      </c>
      <c r="C181" s="272"/>
      <c r="D181" s="272"/>
      <c r="E181" s="272"/>
      <c r="F181" s="272"/>
      <c r="G181" s="272"/>
      <c r="H181" s="272"/>
      <c r="I181" s="272"/>
      <c r="J181" s="272"/>
      <c r="K181" s="272"/>
      <c r="L181" s="272"/>
      <c r="M181" s="272"/>
      <c r="N181" s="272"/>
      <c r="O181" s="272"/>
      <c r="P181" s="272"/>
      <c r="Q181" s="272"/>
      <c r="R181" s="272"/>
      <c r="S181" s="325">
        <f>+V34*0.16</f>
        <v>240030.4</v>
      </c>
      <c r="T181" s="311"/>
      <c r="U181" s="272"/>
      <c r="V181" s="325"/>
      <c r="W181" s="275"/>
      <c r="X181" s="5"/>
    </row>
    <row r="182" spans="1:24" ht="15.6" x14ac:dyDescent="0.3">
      <c r="A182" s="271"/>
      <c r="B182" s="272" t="s">
        <v>61</v>
      </c>
      <c r="C182" s="272"/>
      <c r="D182" s="272"/>
      <c r="E182" s="272"/>
      <c r="F182" s="272"/>
      <c r="G182" s="272"/>
      <c r="H182" s="272"/>
      <c r="I182" s="272"/>
      <c r="J182" s="272"/>
      <c r="K182" s="272"/>
      <c r="L182" s="272"/>
      <c r="M182" s="272"/>
      <c r="N182" s="272"/>
      <c r="O182" s="272"/>
      <c r="P182" s="272"/>
      <c r="Q182" s="272"/>
      <c r="R182" s="272"/>
      <c r="S182" s="325">
        <f>+'Dec 14'!S184</f>
        <v>49231</v>
      </c>
      <c r="T182" s="325">
        <f>+'Dec 14'!T184</f>
        <v>9733</v>
      </c>
      <c r="U182" s="272"/>
      <c r="V182" s="325">
        <f>S182+T182</f>
        <v>58964</v>
      </c>
      <c r="W182" s="275"/>
      <c r="X182" s="5"/>
    </row>
    <row r="183" spans="1:24" ht="15.6" x14ac:dyDescent="0.3">
      <c r="A183" s="271"/>
      <c r="B183" s="272" t="s">
        <v>62</v>
      </c>
      <c r="C183" s="272"/>
      <c r="D183" s="272"/>
      <c r="E183" s="272"/>
      <c r="F183" s="272"/>
      <c r="G183" s="272"/>
      <c r="H183" s="272"/>
      <c r="I183" s="272"/>
      <c r="J183" s="272"/>
      <c r="K183" s="272"/>
      <c r="L183" s="272"/>
      <c r="M183" s="272"/>
      <c r="N183" s="272"/>
      <c r="O183" s="272"/>
      <c r="P183" s="272"/>
      <c r="Q183" s="272"/>
      <c r="R183" s="272"/>
      <c r="S183" s="324">
        <f>673+69</f>
        <v>742</v>
      </c>
      <c r="T183" s="324">
        <v>3</v>
      </c>
      <c r="U183" s="272"/>
      <c r="V183" s="325">
        <f>S183+T183</f>
        <v>745</v>
      </c>
      <c r="W183" s="275"/>
      <c r="X183" s="5"/>
    </row>
    <row r="184" spans="1:24" ht="15.6" x14ac:dyDescent="0.3">
      <c r="A184" s="271"/>
      <c r="B184" s="272" t="s">
        <v>63</v>
      </c>
      <c r="C184" s="272"/>
      <c r="D184" s="272"/>
      <c r="E184" s="272"/>
      <c r="F184" s="272"/>
      <c r="G184" s="272"/>
      <c r="H184" s="272"/>
      <c r="I184" s="272"/>
      <c r="J184" s="272"/>
      <c r="K184" s="272"/>
      <c r="L184" s="272"/>
      <c r="M184" s="272"/>
      <c r="N184" s="272"/>
      <c r="O184" s="272"/>
      <c r="P184" s="272"/>
      <c r="Q184" s="272"/>
      <c r="R184" s="272"/>
      <c r="S184" s="325">
        <f>+S182+S183</f>
        <v>49973</v>
      </c>
      <c r="T184" s="325">
        <f>T183+T182</f>
        <v>9736</v>
      </c>
      <c r="U184" s="272"/>
      <c r="V184" s="325">
        <f>S184+T184</f>
        <v>59709</v>
      </c>
      <c r="W184" s="275"/>
      <c r="X184" s="5"/>
    </row>
    <row r="185" spans="1:24" ht="15.6" x14ac:dyDescent="0.3">
      <c r="A185" s="271"/>
      <c r="B185" s="272" t="s">
        <v>64</v>
      </c>
      <c r="C185" s="272"/>
      <c r="D185" s="272"/>
      <c r="E185" s="272"/>
      <c r="F185" s="272"/>
      <c r="G185" s="272"/>
      <c r="H185" s="272"/>
      <c r="I185" s="272"/>
      <c r="J185" s="272"/>
      <c r="K185" s="272"/>
      <c r="L185" s="272"/>
      <c r="M185" s="272"/>
      <c r="N185" s="272"/>
      <c r="O185" s="272"/>
      <c r="P185" s="272"/>
      <c r="Q185" s="272"/>
      <c r="R185" s="272"/>
      <c r="S185" s="325">
        <f>S181-S184-T184</f>
        <v>180321.4</v>
      </c>
      <c r="T185" s="311"/>
      <c r="U185" s="272"/>
      <c r="V185" s="325"/>
      <c r="W185" s="275"/>
      <c r="X185" s="5"/>
    </row>
    <row r="186" spans="1:24" ht="16.2" thickBot="1" x14ac:dyDescent="0.35">
      <c r="A186" s="175"/>
      <c r="B186" s="321"/>
      <c r="C186" s="321"/>
      <c r="D186" s="321"/>
      <c r="E186" s="321"/>
      <c r="F186" s="321"/>
      <c r="G186" s="321"/>
      <c r="H186" s="321"/>
      <c r="I186" s="321"/>
      <c r="J186" s="321"/>
      <c r="K186" s="321"/>
      <c r="L186" s="321"/>
      <c r="M186" s="321"/>
      <c r="N186" s="321"/>
      <c r="O186" s="321"/>
      <c r="P186" s="321"/>
      <c r="Q186" s="321"/>
      <c r="R186" s="321"/>
      <c r="S186" s="321"/>
      <c r="T186" s="321"/>
      <c r="U186" s="321"/>
      <c r="V186" s="340"/>
      <c r="W186" s="321"/>
      <c r="X186" s="5"/>
    </row>
    <row r="187" spans="1:24" ht="15.6" x14ac:dyDescent="0.3">
      <c r="A187" s="173"/>
      <c r="B187" s="174"/>
      <c r="C187" s="174"/>
      <c r="D187" s="174"/>
      <c r="E187" s="174"/>
      <c r="F187" s="174"/>
      <c r="G187" s="174"/>
      <c r="H187" s="174"/>
      <c r="I187" s="174"/>
      <c r="J187" s="174"/>
      <c r="K187" s="174"/>
      <c r="L187" s="174"/>
      <c r="M187" s="174"/>
      <c r="N187" s="174"/>
      <c r="O187" s="174"/>
      <c r="P187" s="174"/>
      <c r="Q187" s="174"/>
      <c r="R187" s="174"/>
      <c r="S187" s="174"/>
      <c r="T187" s="174"/>
      <c r="U187" s="174"/>
      <c r="V187" s="195"/>
      <c r="W187" s="174"/>
      <c r="X187" s="5"/>
    </row>
    <row r="188" spans="1:24" ht="15.6" x14ac:dyDescent="0.3">
      <c r="A188" s="175"/>
      <c r="B188" s="203" t="s">
        <v>65</v>
      </c>
      <c r="C188" s="177"/>
      <c r="D188" s="177"/>
      <c r="E188" s="177"/>
      <c r="F188" s="177"/>
      <c r="G188" s="177"/>
      <c r="H188" s="177"/>
      <c r="I188" s="177"/>
      <c r="J188" s="177"/>
      <c r="K188" s="177"/>
      <c r="L188" s="177"/>
      <c r="M188" s="177"/>
      <c r="N188" s="177"/>
      <c r="O188" s="177"/>
      <c r="P188" s="177"/>
      <c r="Q188" s="177"/>
      <c r="R188" s="177"/>
      <c r="S188" s="177"/>
      <c r="T188" s="177"/>
      <c r="U188" s="177"/>
      <c r="V188" s="208"/>
      <c r="W188" s="177"/>
      <c r="X188" s="5"/>
    </row>
    <row r="189" spans="1:24" ht="15.6" x14ac:dyDescent="0.3">
      <c r="A189" s="271"/>
      <c r="B189" s="272" t="s">
        <v>66</v>
      </c>
      <c r="C189" s="272"/>
      <c r="D189" s="272"/>
      <c r="E189" s="272"/>
      <c r="F189" s="272"/>
      <c r="G189" s="272"/>
      <c r="H189" s="272"/>
      <c r="I189" s="272"/>
      <c r="J189" s="272"/>
      <c r="K189" s="272"/>
      <c r="L189" s="272"/>
      <c r="M189" s="272"/>
      <c r="N189" s="272"/>
      <c r="O189" s="272"/>
      <c r="P189" s="272"/>
      <c r="Q189" s="272"/>
      <c r="R189" s="272"/>
      <c r="S189" s="272"/>
      <c r="T189" s="272"/>
      <c r="U189" s="272"/>
      <c r="V189" s="341">
        <f>(V100+V102+V103+V104+V105)/-(V106+V107)</f>
        <v>3.6294349540078845</v>
      </c>
      <c r="W189" s="275" t="s">
        <v>118</v>
      </c>
      <c r="X189" s="5"/>
    </row>
    <row r="190" spans="1:24" ht="15.6" x14ac:dyDescent="0.3">
      <c r="A190" s="271"/>
      <c r="B190" s="272" t="s">
        <v>67</v>
      </c>
      <c r="C190" s="272"/>
      <c r="D190" s="272"/>
      <c r="E190" s="272"/>
      <c r="F190" s="272"/>
      <c r="G190" s="272"/>
      <c r="H190" s="272"/>
      <c r="I190" s="272"/>
      <c r="J190" s="272"/>
      <c r="K190" s="272"/>
      <c r="L190" s="272"/>
      <c r="M190" s="272"/>
      <c r="N190" s="272"/>
      <c r="O190" s="272"/>
      <c r="P190" s="272"/>
      <c r="Q190" s="272"/>
      <c r="R190" s="272"/>
      <c r="S190" s="272"/>
      <c r="T190" s="272"/>
      <c r="U190" s="272"/>
      <c r="V190" s="346">
        <v>1.77</v>
      </c>
      <c r="W190" s="275" t="s">
        <v>118</v>
      </c>
      <c r="X190" s="5"/>
    </row>
    <row r="191" spans="1:24" ht="15.6" x14ac:dyDescent="0.3">
      <c r="A191" s="271"/>
      <c r="B191" s="272" t="s">
        <v>68</v>
      </c>
      <c r="C191" s="272"/>
      <c r="D191" s="272"/>
      <c r="E191" s="272"/>
      <c r="F191" s="272"/>
      <c r="G191" s="272"/>
      <c r="H191" s="272"/>
      <c r="I191" s="272"/>
      <c r="J191" s="272"/>
      <c r="K191" s="272"/>
      <c r="L191" s="272"/>
      <c r="M191" s="272"/>
      <c r="N191" s="272"/>
      <c r="O191" s="272"/>
      <c r="P191" s="272"/>
      <c r="Q191" s="272"/>
      <c r="R191" s="272"/>
      <c r="S191" s="272"/>
      <c r="T191" s="272"/>
      <c r="U191" s="272"/>
      <c r="V191" s="341">
        <f>(V100+V102+V103+V104+V105+V106+V107)/-(V109+V110)</f>
        <v>14.932835820895523</v>
      </c>
      <c r="W191" s="275" t="s">
        <v>118</v>
      </c>
      <c r="X191" s="5"/>
    </row>
    <row r="192" spans="1:24" ht="15.6" x14ac:dyDescent="0.3">
      <c r="A192" s="271"/>
      <c r="B192" s="272" t="s">
        <v>69</v>
      </c>
      <c r="C192" s="272"/>
      <c r="D192" s="272"/>
      <c r="E192" s="272"/>
      <c r="F192" s="272"/>
      <c r="G192" s="272"/>
      <c r="H192" s="272"/>
      <c r="I192" s="272"/>
      <c r="J192" s="272"/>
      <c r="K192" s="272"/>
      <c r="L192" s="272"/>
      <c r="M192" s="272"/>
      <c r="N192" s="272"/>
      <c r="O192" s="272"/>
      <c r="P192" s="272"/>
      <c r="Q192" s="272"/>
      <c r="R192" s="272"/>
      <c r="S192" s="272"/>
      <c r="T192" s="272"/>
      <c r="U192" s="272"/>
      <c r="V192" s="346">
        <v>7.02</v>
      </c>
      <c r="W192" s="275" t="s">
        <v>118</v>
      </c>
      <c r="X192" s="5"/>
    </row>
    <row r="193" spans="1:24" ht="15.6" x14ac:dyDescent="0.3">
      <c r="A193" s="271"/>
      <c r="B193" s="272" t="s">
        <v>201</v>
      </c>
      <c r="C193" s="272"/>
      <c r="D193" s="272"/>
      <c r="E193" s="272"/>
      <c r="F193" s="272"/>
      <c r="G193" s="272"/>
      <c r="H193" s="272"/>
      <c r="I193" s="272"/>
      <c r="J193" s="272"/>
      <c r="K193" s="272"/>
      <c r="L193" s="272"/>
      <c r="M193" s="272"/>
      <c r="N193" s="272"/>
      <c r="O193" s="272"/>
      <c r="P193" s="272"/>
      <c r="Q193" s="272"/>
      <c r="R193" s="272"/>
      <c r="S193" s="272"/>
      <c r="T193" s="272"/>
      <c r="U193" s="272"/>
      <c r="V193" s="341">
        <f>(V100+V102+V103+V104+V105+V106+V107+V109+V110)/-(V111+V112)</f>
        <v>16.164502164502164</v>
      </c>
      <c r="W193" s="275" t="s">
        <v>118</v>
      </c>
      <c r="X193" s="5"/>
    </row>
    <row r="194" spans="1:24" ht="15.6" x14ac:dyDescent="0.3">
      <c r="A194" s="271"/>
      <c r="B194" s="272" t="s">
        <v>202</v>
      </c>
      <c r="C194" s="272"/>
      <c r="D194" s="272"/>
      <c r="E194" s="272"/>
      <c r="F194" s="272"/>
      <c r="G194" s="272"/>
      <c r="H194" s="272"/>
      <c r="I194" s="272"/>
      <c r="J194" s="272"/>
      <c r="K194" s="272"/>
      <c r="L194" s="272"/>
      <c r="M194" s="272"/>
      <c r="N194" s="272"/>
      <c r="O194" s="272"/>
      <c r="P194" s="272"/>
      <c r="Q194" s="272"/>
      <c r="R194" s="272"/>
      <c r="S194" s="272"/>
      <c r="T194" s="272"/>
      <c r="U194" s="272"/>
      <c r="V194" s="346">
        <v>8.93</v>
      </c>
      <c r="W194" s="275" t="s">
        <v>118</v>
      </c>
      <c r="X194" s="5"/>
    </row>
    <row r="195" spans="1:24" ht="15.6" x14ac:dyDescent="0.3">
      <c r="A195" s="271"/>
      <c r="B195" s="298"/>
      <c r="C195" s="298"/>
      <c r="D195" s="298"/>
      <c r="E195" s="298"/>
      <c r="F195" s="298"/>
      <c r="G195" s="298"/>
      <c r="H195" s="298"/>
      <c r="I195" s="298"/>
      <c r="J195" s="298"/>
      <c r="K195" s="298"/>
      <c r="L195" s="298"/>
      <c r="M195" s="298"/>
      <c r="N195" s="298"/>
      <c r="O195" s="298"/>
      <c r="P195" s="298"/>
      <c r="Q195" s="298"/>
      <c r="R195" s="298"/>
      <c r="S195" s="298"/>
      <c r="T195" s="298"/>
      <c r="U195" s="298"/>
      <c r="V195" s="298"/>
      <c r="W195" s="304"/>
      <c r="X195" s="5"/>
    </row>
    <row r="196" spans="1:24" ht="15.6" x14ac:dyDescent="0.3">
      <c r="A196" s="175"/>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5"/>
    </row>
    <row r="197" spans="1:24" ht="15.6" x14ac:dyDescent="0.3">
      <c r="A197" s="175"/>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5"/>
    </row>
    <row r="198" spans="1:24" ht="18" thickBot="1" x14ac:dyDescent="0.35">
      <c r="A198" s="194"/>
      <c r="B198" s="234" t="str">
        <f>B138</f>
        <v>PM13 INVESTOR REPORT QUARTER ENDING MARCH 2015</v>
      </c>
      <c r="C198" s="209"/>
      <c r="D198" s="209"/>
      <c r="E198" s="209"/>
      <c r="F198" s="209"/>
      <c r="G198" s="209"/>
      <c r="H198" s="209"/>
      <c r="I198" s="209"/>
      <c r="J198" s="209"/>
      <c r="K198" s="209"/>
      <c r="L198" s="209"/>
      <c r="M198" s="209"/>
      <c r="N198" s="209"/>
      <c r="O198" s="209"/>
      <c r="P198" s="209"/>
      <c r="Q198" s="209"/>
      <c r="R198" s="209"/>
      <c r="S198" s="209"/>
      <c r="T198" s="209"/>
      <c r="U198" s="209"/>
      <c r="V198" s="209"/>
      <c r="W198" s="210"/>
      <c r="X198" s="5"/>
    </row>
    <row r="199" spans="1:24" ht="15.6" x14ac:dyDescent="0.3">
      <c r="A199" s="246"/>
      <c r="B199" s="388" t="s">
        <v>70</v>
      </c>
      <c r="C199" s="249"/>
      <c r="D199" s="249"/>
      <c r="E199" s="249"/>
      <c r="F199" s="249"/>
      <c r="G199" s="250"/>
      <c r="H199" s="250"/>
      <c r="I199" s="250"/>
      <c r="J199" s="250"/>
      <c r="K199" s="250"/>
      <c r="L199" s="250"/>
      <c r="M199" s="250"/>
      <c r="N199" s="250"/>
      <c r="O199" s="250"/>
      <c r="P199" s="250"/>
      <c r="Q199" s="250"/>
      <c r="R199" s="250"/>
      <c r="S199" s="250"/>
      <c r="T199" s="250">
        <v>42094</v>
      </c>
      <c r="U199" s="247"/>
      <c r="V199" s="247"/>
      <c r="W199" s="247"/>
      <c r="X199" s="5"/>
    </row>
    <row r="200" spans="1:24" ht="15.6" x14ac:dyDescent="0.3">
      <c r="A200" s="211"/>
      <c r="B200" s="212"/>
      <c r="C200" s="213"/>
      <c r="D200" s="213"/>
      <c r="E200" s="213"/>
      <c r="F200" s="213"/>
      <c r="G200" s="214"/>
      <c r="H200" s="214"/>
      <c r="I200" s="214"/>
      <c r="J200" s="214"/>
      <c r="K200" s="214"/>
      <c r="L200" s="214"/>
      <c r="M200" s="214"/>
      <c r="N200" s="214"/>
      <c r="O200" s="214"/>
      <c r="P200" s="214"/>
      <c r="Q200" s="214"/>
      <c r="R200" s="214"/>
      <c r="S200" s="214"/>
      <c r="T200" s="214"/>
      <c r="U200" s="177"/>
      <c r="V200" s="177"/>
      <c r="W200" s="177"/>
      <c r="X200" s="5"/>
    </row>
    <row r="201" spans="1:24" ht="15.6" x14ac:dyDescent="0.3">
      <c r="A201" s="349"/>
      <c r="B201" s="272" t="s">
        <v>71</v>
      </c>
      <c r="C201" s="350"/>
      <c r="D201" s="350"/>
      <c r="E201" s="350"/>
      <c r="F201" s="350"/>
      <c r="G201" s="316"/>
      <c r="H201" s="316"/>
      <c r="I201" s="316"/>
      <c r="J201" s="316"/>
      <c r="K201" s="316"/>
      <c r="L201" s="316"/>
      <c r="M201" s="316"/>
      <c r="N201" s="316"/>
      <c r="O201" s="316"/>
      <c r="P201" s="316"/>
      <c r="Q201" s="316"/>
      <c r="R201" s="316"/>
      <c r="S201" s="316"/>
      <c r="T201" s="307">
        <v>5.4539999999999998E-2</v>
      </c>
      <c r="U201" s="272"/>
      <c r="V201" s="272"/>
      <c r="W201" s="275"/>
      <c r="X201" s="5"/>
    </row>
    <row r="202" spans="1:24" ht="15.6" x14ac:dyDescent="0.3">
      <c r="A202" s="349"/>
      <c r="B202" s="272" t="s">
        <v>154</v>
      </c>
      <c r="C202" s="350"/>
      <c r="D202" s="350"/>
      <c r="E202" s="350"/>
      <c r="F202" s="350"/>
      <c r="G202" s="316"/>
      <c r="H202" s="316"/>
      <c r="I202" s="316"/>
      <c r="J202" s="316"/>
      <c r="K202" s="316"/>
      <c r="L202" s="316"/>
      <c r="M202" s="316"/>
      <c r="N202" s="316"/>
      <c r="O202" s="316"/>
      <c r="P202" s="316"/>
      <c r="Q202" s="316"/>
      <c r="R202" s="316"/>
      <c r="S202" s="316"/>
      <c r="T202" s="307">
        <f>'Dec 06'!T199</f>
        <v>5.238600504269459E-2</v>
      </c>
      <c r="U202" s="272"/>
      <c r="V202" s="272"/>
      <c r="W202" s="275"/>
      <c r="X202" s="5"/>
    </row>
    <row r="203" spans="1:24" ht="15.6" x14ac:dyDescent="0.3">
      <c r="A203" s="349"/>
      <c r="B203" s="272" t="s">
        <v>72</v>
      </c>
      <c r="C203" s="350"/>
      <c r="D203" s="350"/>
      <c r="E203" s="350"/>
      <c r="F203" s="350"/>
      <c r="G203" s="316"/>
      <c r="H203" s="316"/>
      <c r="I203" s="316"/>
      <c r="J203" s="316"/>
      <c r="K203" s="316"/>
      <c r="L203" s="316"/>
      <c r="M203" s="316"/>
      <c r="N203" s="316"/>
      <c r="O203" s="316"/>
      <c r="P203" s="316"/>
      <c r="Q203" s="316"/>
      <c r="R203" s="316"/>
      <c r="S203" s="316"/>
      <c r="T203" s="307">
        <f>+T201-T202</f>
        <v>2.1539949573054079E-3</v>
      </c>
      <c r="U203" s="272"/>
      <c r="V203" s="272"/>
      <c r="W203" s="275"/>
      <c r="X203" s="5"/>
    </row>
    <row r="204" spans="1:24" ht="15.6" x14ac:dyDescent="0.3">
      <c r="A204" s="349"/>
      <c r="B204" s="272" t="s">
        <v>73</v>
      </c>
      <c r="C204" s="350"/>
      <c r="D204" s="350"/>
      <c r="E204" s="350"/>
      <c r="F204" s="350"/>
      <c r="G204" s="316"/>
      <c r="H204" s="316"/>
      <c r="I204" s="316"/>
      <c r="J204" s="316"/>
      <c r="K204" s="316"/>
      <c r="L204" s="316"/>
      <c r="M204" s="316"/>
      <c r="N204" s="316"/>
      <c r="O204" s="316"/>
      <c r="P204" s="316"/>
      <c r="Q204" s="316"/>
      <c r="R204" s="316"/>
      <c r="S204" s="316"/>
      <c r="T204" s="307">
        <v>2.2880000000000001E-2</v>
      </c>
      <c r="U204" s="272"/>
      <c r="V204" s="272"/>
      <c r="W204" s="275"/>
      <c r="X204" s="5"/>
    </row>
    <row r="205" spans="1:24" ht="15.6" x14ac:dyDescent="0.3">
      <c r="A205" s="349"/>
      <c r="B205" s="272" t="s">
        <v>222</v>
      </c>
      <c r="C205" s="350"/>
      <c r="D205" s="350"/>
      <c r="E205" s="350"/>
      <c r="F205" s="350"/>
      <c r="G205" s="316"/>
      <c r="H205" s="316"/>
      <c r="I205" s="316"/>
      <c r="J205" s="316"/>
      <c r="K205" s="316"/>
      <c r="L205" s="316"/>
      <c r="M205" s="316"/>
      <c r="N205" s="316"/>
      <c r="O205" s="316"/>
      <c r="P205" s="316"/>
      <c r="Q205" s="316"/>
      <c r="R205" s="316"/>
      <c r="S205" s="316"/>
      <c r="T205" s="307">
        <f>V43</f>
        <v>8.8492373207812378E-3</v>
      </c>
      <c r="U205" s="272"/>
      <c r="V205" s="272"/>
      <c r="W205" s="275"/>
      <c r="X205" s="5"/>
    </row>
    <row r="206" spans="1:24" ht="15.6" x14ac:dyDescent="0.3">
      <c r="A206" s="349"/>
      <c r="B206" s="272" t="s">
        <v>74</v>
      </c>
      <c r="C206" s="350"/>
      <c r="D206" s="350"/>
      <c r="E206" s="350"/>
      <c r="F206" s="350"/>
      <c r="G206" s="316"/>
      <c r="H206" s="316"/>
      <c r="I206" s="316"/>
      <c r="J206" s="316"/>
      <c r="K206" s="316"/>
      <c r="L206" s="316"/>
      <c r="M206" s="316"/>
      <c r="N206" s="316"/>
      <c r="O206" s="316"/>
      <c r="P206" s="316"/>
      <c r="Q206" s="316"/>
      <c r="R206" s="316"/>
      <c r="S206" s="316"/>
      <c r="T206" s="307">
        <f>T204-T205</f>
        <v>1.4030762679218763E-2</v>
      </c>
      <c r="U206" s="272"/>
      <c r="V206" s="272"/>
      <c r="W206" s="275"/>
      <c r="X206" s="5"/>
    </row>
    <row r="207" spans="1:24" ht="15.6" x14ac:dyDescent="0.3">
      <c r="A207" s="349"/>
      <c r="B207" s="272" t="s">
        <v>274</v>
      </c>
      <c r="C207" s="350"/>
      <c r="D207" s="350"/>
      <c r="E207" s="350"/>
      <c r="F207" s="350"/>
      <c r="G207" s="316"/>
      <c r="H207" s="316"/>
      <c r="I207" s="316"/>
      <c r="J207" s="316"/>
      <c r="K207" s="316"/>
      <c r="L207" s="316"/>
      <c r="M207" s="316"/>
      <c r="N207" s="316"/>
      <c r="O207" s="316"/>
      <c r="P207" s="316"/>
      <c r="Q207" s="316"/>
      <c r="R207" s="316"/>
      <c r="S207" s="316"/>
      <c r="T207" s="307">
        <f>+V100/N71</f>
        <v>6.5915971971954694E-3</v>
      </c>
      <c r="U207" s="272"/>
      <c r="V207" s="272"/>
      <c r="W207" s="275"/>
      <c r="X207" s="5"/>
    </row>
    <row r="208" spans="1:24" ht="15.6" x14ac:dyDescent="0.3">
      <c r="A208" s="349"/>
      <c r="B208" s="272" t="s">
        <v>211</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212</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213</v>
      </c>
      <c r="C210" s="350"/>
      <c r="D210" s="350"/>
      <c r="E210" s="350"/>
      <c r="F210" s="350"/>
      <c r="G210" s="316"/>
      <c r="H210" s="316"/>
      <c r="I210" s="316"/>
      <c r="J210" s="316"/>
      <c r="K210" s="316"/>
      <c r="L210" s="316"/>
      <c r="M210" s="316"/>
      <c r="N210" s="316"/>
      <c r="O210" s="316"/>
      <c r="P210" s="316"/>
      <c r="Q210" s="316"/>
      <c r="R210" s="316"/>
      <c r="S210" s="316"/>
      <c r="T210" s="351">
        <v>50771</v>
      </c>
      <c r="U210" s="272"/>
      <c r="V210" s="272"/>
      <c r="W210" s="275"/>
      <c r="X210" s="5"/>
    </row>
    <row r="211" spans="1:24" ht="15.6" x14ac:dyDescent="0.3">
      <c r="A211" s="349"/>
      <c r="B211" s="272" t="s">
        <v>75</v>
      </c>
      <c r="C211" s="350"/>
      <c r="D211" s="350"/>
      <c r="E211" s="350"/>
      <c r="F211" s="350"/>
      <c r="G211" s="316"/>
      <c r="H211" s="316"/>
      <c r="I211" s="316"/>
      <c r="J211" s="316"/>
      <c r="K211" s="316"/>
      <c r="L211" s="316"/>
      <c r="M211" s="316"/>
      <c r="N211" s="316"/>
      <c r="O211" s="316"/>
      <c r="P211" s="316"/>
      <c r="Q211" s="316"/>
      <c r="R211" s="316"/>
      <c r="S211" s="316"/>
      <c r="T211" s="313">
        <v>20.66</v>
      </c>
      <c r="U211" s="272" t="s">
        <v>113</v>
      </c>
      <c r="V211" s="272"/>
      <c r="W211" s="275"/>
      <c r="X211" s="5"/>
    </row>
    <row r="212" spans="1:24" ht="15.6" x14ac:dyDescent="0.3">
      <c r="A212" s="349"/>
      <c r="B212" s="272" t="s">
        <v>76</v>
      </c>
      <c r="C212" s="350"/>
      <c r="D212" s="350"/>
      <c r="E212" s="350"/>
      <c r="F212" s="350"/>
      <c r="G212" s="316"/>
      <c r="H212" s="316"/>
      <c r="I212" s="316"/>
      <c r="J212" s="316"/>
      <c r="K212" s="316"/>
      <c r="L212" s="316"/>
      <c r="M212" s="316"/>
      <c r="N212" s="316"/>
      <c r="O212" s="316"/>
      <c r="P212" s="316"/>
      <c r="Q212" s="316"/>
      <c r="R212" s="316"/>
      <c r="S212" s="316"/>
      <c r="T212" s="313">
        <v>12.82</v>
      </c>
      <c r="U212" s="272" t="s">
        <v>113</v>
      </c>
      <c r="V212" s="272"/>
      <c r="W212" s="275"/>
      <c r="X212" s="5"/>
    </row>
    <row r="213" spans="1:24" ht="15.6" x14ac:dyDescent="0.3">
      <c r="A213" s="349"/>
      <c r="B213" s="272" t="s">
        <v>77</v>
      </c>
      <c r="C213" s="350"/>
      <c r="D213" s="350"/>
      <c r="E213" s="350"/>
      <c r="F213" s="350"/>
      <c r="G213" s="316"/>
      <c r="H213" s="316"/>
      <c r="I213" s="316"/>
      <c r="J213" s="316"/>
      <c r="K213" s="316"/>
      <c r="L213" s="316"/>
      <c r="M213" s="316"/>
      <c r="N213" s="316"/>
      <c r="O213" s="316"/>
      <c r="P213" s="316"/>
      <c r="Q213" s="316"/>
      <c r="R213" s="316"/>
      <c r="S213" s="316"/>
      <c r="T213" s="307">
        <f>P68/N68</f>
        <v>9.9807291003532646E-3</v>
      </c>
      <c r="U213" s="272"/>
      <c r="V213" s="272"/>
      <c r="W213" s="275"/>
      <c r="X213" s="5"/>
    </row>
    <row r="214" spans="1:24" ht="15.6" x14ac:dyDescent="0.3">
      <c r="A214" s="349"/>
      <c r="B214" s="272" t="s">
        <v>78</v>
      </c>
      <c r="C214" s="350"/>
      <c r="D214" s="350"/>
      <c r="E214" s="350"/>
      <c r="F214" s="350"/>
      <c r="G214" s="316"/>
      <c r="H214" s="316"/>
      <c r="I214" s="316"/>
      <c r="J214" s="316"/>
      <c r="K214" s="316"/>
      <c r="L214" s="316"/>
      <c r="M214" s="316"/>
      <c r="N214" s="316"/>
      <c r="O214" s="316"/>
      <c r="P214" s="316"/>
      <c r="Q214" s="316"/>
      <c r="R214" s="316"/>
      <c r="S214" s="316"/>
      <c r="T214" s="307">
        <v>6.4600000000000005E-2</v>
      </c>
      <c r="U214" s="272"/>
      <c r="V214" s="272"/>
      <c r="W214" s="275"/>
      <c r="X214" s="5"/>
    </row>
    <row r="215" spans="1:24" ht="15.6" x14ac:dyDescent="0.3">
      <c r="A215" s="211"/>
      <c r="B215" s="347"/>
      <c r="C215" s="347"/>
      <c r="D215" s="347"/>
      <c r="E215" s="347"/>
      <c r="F215" s="347"/>
      <c r="G215" s="321"/>
      <c r="H215" s="321"/>
      <c r="I215" s="321"/>
      <c r="J215" s="321"/>
      <c r="K215" s="321"/>
      <c r="L215" s="321"/>
      <c r="M215" s="321"/>
      <c r="N215" s="321"/>
      <c r="O215" s="321"/>
      <c r="P215" s="321"/>
      <c r="Q215" s="321"/>
      <c r="R215" s="321"/>
      <c r="S215" s="321"/>
      <c r="T215" s="340"/>
      <c r="U215" s="321"/>
      <c r="V215" s="348"/>
      <c r="W215" s="321"/>
      <c r="X215" s="5"/>
    </row>
    <row r="216" spans="1:24" ht="15.6" x14ac:dyDescent="0.3">
      <c r="A216" s="215"/>
      <c r="B216" s="219" t="s">
        <v>79</v>
      </c>
      <c r="C216" s="224"/>
      <c r="D216" s="224"/>
      <c r="E216" s="224"/>
      <c r="F216" s="251"/>
      <c r="G216" s="224"/>
      <c r="H216" s="224"/>
      <c r="I216" s="224"/>
      <c r="J216" s="224"/>
      <c r="K216" s="224"/>
      <c r="L216" s="224"/>
      <c r="M216" s="224"/>
      <c r="N216" s="224"/>
      <c r="O216" s="224"/>
      <c r="P216" s="224"/>
      <c r="Q216" s="224"/>
      <c r="R216" s="224"/>
      <c r="S216" s="224" t="s">
        <v>103</v>
      </c>
      <c r="T216" s="251" t="s">
        <v>110</v>
      </c>
      <c r="U216" s="220"/>
      <c r="V216" s="220"/>
      <c r="W216" s="220"/>
      <c r="X216" s="5"/>
    </row>
    <row r="217" spans="1:24" ht="15.6" x14ac:dyDescent="0.3">
      <c r="A217" s="356"/>
      <c r="B217" s="272" t="s">
        <v>80</v>
      </c>
      <c r="C217" s="324"/>
      <c r="D217" s="324"/>
      <c r="E217" s="324"/>
      <c r="F217" s="272"/>
      <c r="G217" s="272"/>
      <c r="H217" s="280"/>
      <c r="I217" s="280"/>
      <c r="J217" s="280"/>
      <c r="K217" s="280"/>
      <c r="L217" s="280"/>
      <c r="M217" s="280"/>
      <c r="N217" s="280"/>
      <c r="O217" s="280"/>
      <c r="P217" s="280"/>
      <c r="Q217" s="280"/>
      <c r="R217" s="280"/>
      <c r="S217" s="280">
        <v>2</v>
      </c>
      <c r="T217" s="357">
        <v>204</v>
      </c>
      <c r="U217" s="272"/>
      <c r="V217" s="358"/>
      <c r="W217" s="359"/>
      <c r="X217" s="5"/>
    </row>
    <row r="218" spans="1:24" ht="15.6" x14ac:dyDescent="0.3">
      <c r="A218" s="356"/>
      <c r="B218" s="272" t="s">
        <v>148</v>
      </c>
      <c r="C218" s="324"/>
      <c r="D218" s="324"/>
      <c r="E218" s="324"/>
      <c r="F218" s="272"/>
      <c r="G218" s="272"/>
      <c r="H218" s="280"/>
      <c r="I218" s="280"/>
      <c r="J218" s="280"/>
      <c r="K218" s="280"/>
      <c r="L218" s="280"/>
      <c r="M218" s="280"/>
      <c r="N218" s="280"/>
      <c r="O218" s="280"/>
      <c r="P218" s="280"/>
      <c r="Q218" s="280"/>
      <c r="R218" s="280"/>
      <c r="S218" s="360">
        <f>+R270</f>
        <v>146</v>
      </c>
      <c r="T218" s="357">
        <f>+T270</f>
        <v>23002</v>
      </c>
      <c r="U218" s="272"/>
      <c r="V218" s="358"/>
      <c r="W218" s="359"/>
      <c r="X218" s="5"/>
    </row>
    <row r="219" spans="1:24" ht="15.6" x14ac:dyDescent="0.3">
      <c r="A219" s="356"/>
      <c r="B219" s="272" t="s">
        <v>81</v>
      </c>
      <c r="C219" s="324"/>
      <c r="D219" s="324"/>
      <c r="E219" s="324"/>
      <c r="F219" s="272"/>
      <c r="G219" s="272"/>
      <c r="H219" s="280"/>
      <c r="I219" s="280"/>
      <c r="J219" s="280"/>
      <c r="K219" s="280"/>
      <c r="L219" s="280"/>
      <c r="M219" s="280"/>
      <c r="N219" s="280"/>
      <c r="O219" s="280"/>
      <c r="P219" s="280"/>
      <c r="Q219" s="280"/>
      <c r="R219" s="280"/>
      <c r="S219" s="360">
        <f>+R282</f>
        <v>2</v>
      </c>
      <c r="T219" s="357">
        <f>+T282</f>
        <v>149</v>
      </c>
      <c r="U219" s="272"/>
      <c r="V219" s="358"/>
      <c r="W219" s="359"/>
      <c r="X219" s="5"/>
    </row>
    <row r="220" spans="1:24" ht="15.6" x14ac:dyDescent="0.3">
      <c r="A220" s="356"/>
      <c r="B220" s="297" t="s">
        <v>82</v>
      </c>
      <c r="C220" s="361"/>
      <c r="D220" s="361"/>
      <c r="E220" s="361"/>
      <c r="F220" s="298"/>
      <c r="G220" s="298"/>
      <c r="H220" s="298"/>
      <c r="I220" s="298"/>
      <c r="J220" s="298"/>
      <c r="K220" s="298"/>
      <c r="L220" s="298"/>
      <c r="M220" s="298"/>
      <c r="N220" s="298"/>
      <c r="O220" s="298"/>
      <c r="P220" s="298"/>
      <c r="Q220" s="298"/>
      <c r="R220" s="298"/>
      <c r="S220" s="298"/>
      <c r="T220" s="357">
        <v>0</v>
      </c>
      <c r="U220" s="298"/>
      <c r="V220" s="362"/>
      <c r="W220" s="363"/>
      <c r="X220" s="5"/>
    </row>
    <row r="221" spans="1:24" ht="15.6" x14ac:dyDescent="0.3">
      <c r="A221" s="356"/>
      <c r="B221" s="297" t="s">
        <v>275</v>
      </c>
      <c r="C221" s="361"/>
      <c r="D221" s="361"/>
      <c r="E221" s="361"/>
      <c r="F221" s="298"/>
      <c r="G221" s="298"/>
      <c r="H221" s="298"/>
      <c r="I221" s="298"/>
      <c r="J221" s="298"/>
      <c r="K221" s="298"/>
      <c r="L221" s="298"/>
      <c r="M221" s="298"/>
      <c r="N221" s="298"/>
      <c r="O221" s="298"/>
      <c r="P221" s="298"/>
      <c r="Q221" s="298"/>
      <c r="R221" s="298"/>
      <c r="S221" s="298"/>
      <c r="T221" s="357">
        <f>+N81</f>
        <v>0</v>
      </c>
      <c r="U221" s="298"/>
      <c r="V221" s="362"/>
      <c r="W221" s="363"/>
      <c r="X221" s="5"/>
    </row>
    <row r="222" spans="1:24" ht="15.6" x14ac:dyDescent="0.3">
      <c r="A222" s="364"/>
      <c r="B222" s="297" t="s">
        <v>83</v>
      </c>
      <c r="C222" s="365"/>
      <c r="D222" s="365"/>
      <c r="E222" s="365"/>
      <c r="F222" s="365"/>
      <c r="G222" s="298"/>
      <c r="H222" s="298"/>
      <c r="I222" s="298"/>
      <c r="J222" s="298"/>
      <c r="K222" s="298"/>
      <c r="L222" s="298"/>
      <c r="M222" s="298"/>
      <c r="N222" s="298"/>
      <c r="O222" s="298"/>
      <c r="P222" s="298"/>
      <c r="Q222" s="298"/>
      <c r="R222" s="298"/>
      <c r="S222" s="298"/>
      <c r="T222" s="366"/>
      <c r="U222" s="298"/>
      <c r="V222" s="362"/>
      <c r="W222" s="367"/>
      <c r="X222" s="5"/>
    </row>
    <row r="223" spans="1:24" ht="15.6" x14ac:dyDescent="0.3">
      <c r="A223" s="364"/>
      <c r="B223" s="272" t="s">
        <v>84</v>
      </c>
      <c r="C223" s="272"/>
      <c r="D223" s="272"/>
      <c r="E223" s="272"/>
      <c r="F223" s="272"/>
      <c r="G223" s="272"/>
      <c r="H223" s="272"/>
      <c r="I223" s="272"/>
      <c r="J223" s="272"/>
      <c r="K223" s="272"/>
      <c r="L223" s="272"/>
      <c r="M223" s="272"/>
      <c r="N223" s="272"/>
      <c r="O223" s="272"/>
      <c r="P223" s="272"/>
      <c r="Q223" s="272"/>
      <c r="R223" s="272"/>
      <c r="S223" s="280"/>
      <c r="T223" s="357">
        <f>V167</f>
        <v>563</v>
      </c>
      <c r="U223" s="272"/>
      <c r="V223" s="362"/>
      <c r="W223" s="367"/>
      <c r="X223" s="5"/>
    </row>
    <row r="224" spans="1:24" ht="15.6" x14ac:dyDescent="0.3">
      <c r="A224" s="356"/>
      <c r="B224" s="272" t="s">
        <v>85</v>
      </c>
      <c r="C224" s="324"/>
      <c r="D224" s="324"/>
      <c r="E224" s="324"/>
      <c r="F224" s="324"/>
      <c r="G224" s="272"/>
      <c r="H224" s="272"/>
      <c r="I224" s="272"/>
      <c r="J224" s="272"/>
      <c r="K224" s="272"/>
      <c r="L224" s="272"/>
      <c r="M224" s="272"/>
      <c r="N224" s="272"/>
      <c r="O224" s="272"/>
      <c r="P224" s="272"/>
      <c r="Q224" s="272"/>
      <c r="R224" s="272"/>
      <c r="S224" s="280"/>
      <c r="T224" s="357">
        <f>'Dec 14'!T224+T223</f>
        <v>7353</v>
      </c>
      <c r="U224" s="272"/>
      <c r="V224" s="362"/>
      <c r="W224" s="367"/>
      <c r="X224" s="5"/>
    </row>
    <row r="225" spans="1:25" ht="15.6" x14ac:dyDescent="0.3">
      <c r="A225" s="364"/>
      <c r="B225" s="297" t="s">
        <v>297</v>
      </c>
      <c r="C225" s="365"/>
      <c r="D225" s="365"/>
      <c r="E225" s="365"/>
      <c r="F225" s="365"/>
      <c r="G225" s="298"/>
      <c r="H225" s="298"/>
      <c r="I225" s="298"/>
      <c r="J225" s="298"/>
      <c r="K225" s="298"/>
      <c r="L225" s="298"/>
      <c r="M225" s="298"/>
      <c r="N225" s="298"/>
      <c r="O225" s="298"/>
      <c r="P225" s="298"/>
      <c r="Q225" s="298"/>
      <c r="R225" s="298"/>
      <c r="S225" s="302"/>
      <c r="T225" s="366"/>
      <c r="U225" s="298"/>
      <c r="V225" s="362"/>
      <c r="W225" s="367"/>
      <c r="X225" s="5"/>
    </row>
    <row r="226" spans="1:25" ht="15.6" x14ac:dyDescent="0.3">
      <c r="A226" s="364"/>
      <c r="B226" s="272" t="s">
        <v>295</v>
      </c>
      <c r="C226" s="365"/>
      <c r="D226" s="365"/>
      <c r="E226" s="365"/>
      <c r="F226" s="365"/>
      <c r="G226" s="298"/>
      <c r="H226" s="298"/>
      <c r="I226" s="298"/>
      <c r="J226" s="298"/>
      <c r="K226" s="298"/>
      <c r="L226" s="298"/>
      <c r="M226" s="298"/>
      <c r="N226" s="298"/>
      <c r="O226" s="298"/>
      <c r="P226" s="298"/>
      <c r="Q226" s="298"/>
      <c r="R226" s="298"/>
      <c r="S226" s="280">
        <v>0</v>
      </c>
      <c r="T226" s="357">
        <v>0</v>
      </c>
      <c r="U226" s="298"/>
      <c r="V226" s="362"/>
      <c r="W226" s="367"/>
      <c r="X226" s="5"/>
    </row>
    <row r="227" spans="1:25" ht="15.6" x14ac:dyDescent="0.3">
      <c r="A227" s="356"/>
      <c r="B227" s="272" t="s">
        <v>87</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72" t="s">
        <v>88</v>
      </c>
      <c r="C228" s="370"/>
      <c r="D228" s="370"/>
      <c r="E228" s="370"/>
      <c r="F228" s="371"/>
      <c r="G228" s="298"/>
      <c r="H228" s="298"/>
      <c r="I228" s="298"/>
      <c r="J228" s="298"/>
      <c r="K228" s="298"/>
      <c r="L228" s="298"/>
      <c r="M228" s="298"/>
      <c r="N228" s="298"/>
      <c r="O228" s="298"/>
      <c r="P228" s="298"/>
      <c r="Q228" s="298"/>
      <c r="R228" s="298"/>
      <c r="S228" s="272"/>
      <c r="T228" s="372">
        <v>0</v>
      </c>
      <c r="U228" s="298"/>
      <c r="V228" s="362"/>
      <c r="W228" s="367"/>
      <c r="X228" s="5"/>
    </row>
    <row r="229" spans="1:25" ht="15.6" x14ac:dyDescent="0.3">
      <c r="A229" s="356"/>
      <c r="B229" s="297" t="s">
        <v>220</v>
      </c>
      <c r="C229" s="370"/>
      <c r="D229" s="370"/>
      <c r="E229" s="370"/>
      <c r="F229" s="371"/>
      <c r="G229" s="298"/>
      <c r="H229" s="298"/>
      <c r="I229" s="298"/>
      <c r="J229" s="298"/>
      <c r="K229" s="298"/>
      <c r="L229" s="298"/>
      <c r="M229" s="298"/>
      <c r="N229" s="298"/>
      <c r="O229" s="298"/>
      <c r="P229" s="298"/>
      <c r="Q229" s="298"/>
      <c r="R229" s="298"/>
      <c r="S229" s="272"/>
      <c r="T229" s="373"/>
      <c r="U229" s="298"/>
      <c r="V229" s="362"/>
      <c r="W229" s="367"/>
      <c r="X229" s="5"/>
    </row>
    <row r="230" spans="1:25" ht="15.6" x14ac:dyDescent="0.3">
      <c r="A230" s="356"/>
      <c r="B230" s="272" t="s">
        <v>295</v>
      </c>
      <c r="C230" s="370"/>
      <c r="D230" s="370"/>
      <c r="E230" s="370"/>
      <c r="F230" s="371"/>
      <c r="G230" s="298"/>
      <c r="H230" s="298"/>
      <c r="I230" s="298"/>
      <c r="J230" s="298"/>
      <c r="K230" s="298"/>
      <c r="L230" s="298"/>
      <c r="M230" s="298"/>
      <c r="N230" s="298"/>
      <c r="O230" s="298"/>
      <c r="P230" s="298"/>
      <c r="Q230" s="298"/>
      <c r="R230" s="298"/>
      <c r="S230" s="280">
        <v>17</v>
      </c>
      <c r="T230" s="357">
        <v>1684</v>
      </c>
      <c r="U230" s="298"/>
      <c r="V230" s="362"/>
      <c r="W230" s="367"/>
      <c r="X230" s="5"/>
    </row>
    <row r="231" spans="1:25" ht="15.6" x14ac:dyDescent="0.3">
      <c r="A231" s="356"/>
      <c r="B231" s="272" t="s">
        <v>221</v>
      </c>
      <c r="C231" s="370"/>
      <c r="D231" s="370"/>
      <c r="E231" s="370"/>
      <c r="F231" s="371"/>
      <c r="G231" s="298"/>
      <c r="H231" s="298"/>
      <c r="I231" s="298"/>
      <c r="J231" s="298"/>
      <c r="K231" s="298"/>
      <c r="L231" s="298"/>
      <c r="M231" s="298"/>
      <c r="N231" s="298"/>
      <c r="O231" s="298"/>
      <c r="P231" s="298"/>
      <c r="Q231" s="298"/>
      <c r="R231" s="298"/>
      <c r="S231" s="272"/>
      <c r="T231" s="372">
        <v>1</v>
      </c>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5.6" x14ac:dyDescent="0.3">
      <c r="A233" s="356"/>
      <c r="B233" s="365"/>
      <c r="C233" s="370"/>
      <c r="D233" s="370"/>
      <c r="E233" s="370"/>
      <c r="F233" s="371"/>
      <c r="G233" s="298"/>
      <c r="H233" s="298"/>
      <c r="I233" s="298"/>
      <c r="J233" s="298"/>
      <c r="K233" s="298"/>
      <c r="L233" s="298"/>
      <c r="M233" s="298"/>
      <c r="N233" s="298"/>
      <c r="O233" s="298"/>
      <c r="P233" s="298"/>
      <c r="Q233" s="298"/>
      <c r="R233" s="298"/>
      <c r="S233" s="298"/>
      <c r="T233" s="374"/>
      <c r="U233" s="298"/>
      <c r="V233" s="362"/>
      <c r="W233" s="367"/>
      <c r="X233" s="5"/>
    </row>
    <row r="234" spans="1:25" ht="17.399999999999999" x14ac:dyDescent="0.3">
      <c r="A234" s="356"/>
      <c r="B234" s="375" t="s">
        <v>171</v>
      </c>
      <c r="C234" s="370"/>
      <c r="D234" s="370"/>
      <c r="E234" s="370"/>
      <c r="F234" s="371"/>
      <c r="G234" s="298"/>
      <c r="H234" s="298"/>
      <c r="I234" s="298"/>
      <c r="J234" s="298"/>
      <c r="K234" s="298"/>
      <c r="L234" s="298"/>
      <c r="M234" s="298"/>
      <c r="N234" s="298"/>
      <c r="O234" s="298"/>
      <c r="P234" s="376" t="s">
        <v>170</v>
      </c>
      <c r="Q234" s="298"/>
      <c r="R234" s="298"/>
      <c r="S234" s="298"/>
      <c r="T234" s="374"/>
      <c r="U234" s="298"/>
      <c r="V234" s="362"/>
      <c r="W234" s="367"/>
      <c r="X234" s="5"/>
    </row>
    <row r="235" spans="1:25" ht="15.6" x14ac:dyDescent="0.3">
      <c r="A235" s="215"/>
      <c r="B235" s="347"/>
      <c r="C235" s="352"/>
      <c r="D235" s="352"/>
      <c r="E235" s="352"/>
      <c r="F235" s="353"/>
      <c r="G235" s="321"/>
      <c r="H235" s="321"/>
      <c r="I235" s="321"/>
      <c r="J235" s="321"/>
      <c r="K235" s="321"/>
      <c r="L235" s="321"/>
      <c r="M235" s="321"/>
      <c r="N235" s="321"/>
      <c r="O235" s="321"/>
      <c r="P235" s="321"/>
      <c r="Q235" s="321"/>
      <c r="R235" s="321"/>
      <c r="S235" s="321"/>
      <c r="T235" s="354"/>
      <c r="U235" s="321"/>
      <c r="V235" s="348"/>
      <c r="W235" s="355"/>
      <c r="X235" s="5"/>
    </row>
    <row r="236" spans="1:25" ht="15.6" x14ac:dyDescent="0.3">
      <c r="A236" s="239"/>
      <c r="B236" s="253" t="s">
        <v>310</v>
      </c>
      <c r="C236" s="254"/>
      <c r="D236" s="254"/>
      <c r="E236" s="254"/>
      <c r="F236" s="255"/>
      <c r="G236" s="254"/>
      <c r="H236" s="254"/>
      <c r="I236" s="254"/>
      <c r="J236" s="254"/>
      <c r="K236" s="254"/>
      <c r="L236" s="254"/>
      <c r="M236" s="254"/>
      <c r="N236" s="254"/>
      <c r="O236" s="254"/>
      <c r="P236" s="254"/>
      <c r="Q236" s="254"/>
      <c r="R236" s="255" t="s">
        <v>103</v>
      </c>
      <c r="S236" s="254" t="s">
        <v>104</v>
      </c>
      <c r="T236" s="255" t="s">
        <v>111</v>
      </c>
      <c r="U236" s="254" t="s">
        <v>104</v>
      </c>
      <c r="V236" s="240"/>
      <c r="W236" s="253"/>
      <c r="X236" s="5"/>
    </row>
    <row r="237" spans="1:25" ht="15.6" x14ac:dyDescent="0.3">
      <c r="A237" s="192"/>
      <c r="B237" s="231" t="s">
        <v>89</v>
      </c>
      <c r="C237" s="260"/>
      <c r="D237" s="260"/>
      <c r="E237" s="260"/>
      <c r="F237" s="229"/>
      <c r="G237" s="260"/>
      <c r="H237" s="260"/>
      <c r="I237" s="260"/>
      <c r="J237" s="260"/>
      <c r="K237" s="260"/>
      <c r="L237" s="260"/>
      <c r="M237" s="260"/>
      <c r="N237" s="260"/>
      <c r="O237" s="260"/>
      <c r="P237" s="260"/>
      <c r="Q237" s="260"/>
      <c r="R237" s="324">
        <f t="shared" ref="R237:R244" si="1">+R249+R261+R273</f>
        <v>7103</v>
      </c>
      <c r="S237" s="381">
        <f t="shared" ref="S237:S244" si="2">R237/$R$246</f>
        <v>0.99231628946633132</v>
      </c>
      <c r="T237" s="325">
        <f t="shared" ref="T237:T244" si="3">+T249+T261+T273</f>
        <v>911722</v>
      </c>
      <c r="U237" s="381">
        <f t="shared" ref="U237:U244" si="4">T237/$T$246</f>
        <v>0.99285730620583457</v>
      </c>
      <c r="V237" s="252"/>
      <c r="W237" s="230"/>
      <c r="X237" s="5"/>
    </row>
    <row r="238" spans="1:25" ht="15.6" x14ac:dyDescent="0.3">
      <c r="A238" s="271"/>
      <c r="B238" s="324" t="s">
        <v>90</v>
      </c>
      <c r="C238" s="380"/>
      <c r="D238" s="380"/>
      <c r="E238" s="380"/>
      <c r="F238" s="272"/>
      <c r="G238" s="381"/>
      <c r="H238" s="380"/>
      <c r="I238" s="380"/>
      <c r="J238" s="380"/>
      <c r="K238" s="380"/>
      <c r="L238" s="380"/>
      <c r="M238" s="380"/>
      <c r="N238" s="380"/>
      <c r="O238" s="380"/>
      <c r="P238" s="380"/>
      <c r="Q238" s="380"/>
      <c r="R238" s="324">
        <f t="shared" si="1"/>
        <v>11</v>
      </c>
      <c r="S238" s="381">
        <f t="shared" si="2"/>
        <v>1.5367421067337245E-3</v>
      </c>
      <c r="T238" s="325">
        <f t="shared" si="3"/>
        <v>1277</v>
      </c>
      <c r="U238" s="381">
        <f t="shared" si="4"/>
        <v>1.3906418623493245E-3</v>
      </c>
      <c r="V238" s="358"/>
      <c r="W238" s="382"/>
      <c r="X238" s="5"/>
      <c r="Y238" s="109"/>
    </row>
    <row r="239" spans="1:25" ht="15.6" x14ac:dyDescent="0.3">
      <c r="A239" s="271"/>
      <c r="B239" s="324" t="s">
        <v>91</v>
      </c>
      <c r="C239" s="380"/>
      <c r="D239" s="380"/>
      <c r="E239" s="380"/>
      <c r="F239" s="272"/>
      <c r="G239" s="381"/>
      <c r="H239" s="380"/>
      <c r="I239" s="380"/>
      <c r="J239" s="380"/>
      <c r="K239" s="380"/>
      <c r="L239" s="380"/>
      <c r="M239" s="380"/>
      <c r="N239" s="380"/>
      <c r="O239" s="380"/>
      <c r="P239" s="380"/>
      <c r="Q239" s="380"/>
      <c r="R239" s="324">
        <f t="shared" si="1"/>
        <v>9</v>
      </c>
      <c r="S239" s="381">
        <f t="shared" si="2"/>
        <v>1.2573344509639564E-3</v>
      </c>
      <c r="T239" s="325">
        <f t="shared" si="3"/>
        <v>1026</v>
      </c>
      <c r="U239" s="381">
        <f t="shared" si="4"/>
        <v>1.1173050515038425E-3</v>
      </c>
      <c r="V239" s="358"/>
      <c r="W239" s="382"/>
      <c r="X239" s="5"/>
    </row>
    <row r="240" spans="1:25" ht="15.6" x14ac:dyDescent="0.3">
      <c r="A240" s="271"/>
      <c r="B240" s="324" t="s">
        <v>159</v>
      </c>
      <c r="C240" s="380"/>
      <c r="D240" s="380"/>
      <c r="E240" s="380"/>
      <c r="F240" s="272"/>
      <c r="G240" s="381"/>
      <c r="H240" s="380"/>
      <c r="I240" s="380"/>
      <c r="J240" s="380"/>
      <c r="K240" s="380"/>
      <c r="L240" s="380"/>
      <c r="M240" s="380"/>
      <c r="N240" s="380"/>
      <c r="O240" s="380"/>
      <c r="P240" s="380"/>
      <c r="Q240" s="380"/>
      <c r="R240" s="324">
        <f t="shared" si="1"/>
        <v>3</v>
      </c>
      <c r="S240" s="381">
        <f t="shared" si="2"/>
        <v>4.1911148365465214E-4</v>
      </c>
      <c r="T240" s="325">
        <f t="shared" si="3"/>
        <v>306</v>
      </c>
      <c r="U240" s="381">
        <f t="shared" si="4"/>
        <v>3.332313311502688E-4</v>
      </c>
      <c r="V240" s="358"/>
      <c r="W240" s="382"/>
      <c r="X240" s="5"/>
      <c r="Y240" s="109"/>
    </row>
    <row r="241" spans="1:25" ht="15.6" x14ac:dyDescent="0.3">
      <c r="A241" s="271"/>
      <c r="B241" s="324" t="s">
        <v>160</v>
      </c>
      <c r="C241" s="380"/>
      <c r="D241" s="380"/>
      <c r="E241" s="380"/>
      <c r="F241" s="272"/>
      <c r="G241" s="381"/>
      <c r="H241" s="380"/>
      <c r="I241" s="380"/>
      <c r="J241" s="380"/>
      <c r="K241" s="380"/>
      <c r="L241" s="380"/>
      <c r="M241" s="380"/>
      <c r="N241" s="380"/>
      <c r="O241" s="380"/>
      <c r="P241" s="380"/>
      <c r="Q241" s="380"/>
      <c r="R241" s="324">
        <f t="shared" si="1"/>
        <v>1</v>
      </c>
      <c r="S241" s="381">
        <f t="shared" si="2"/>
        <v>1.3970382788488405E-4</v>
      </c>
      <c r="T241" s="325">
        <f t="shared" si="3"/>
        <v>44</v>
      </c>
      <c r="U241" s="381">
        <f t="shared" si="4"/>
        <v>4.7915616243829502E-5</v>
      </c>
      <c r="V241" s="358"/>
      <c r="W241" s="382"/>
      <c r="X241" s="5"/>
    </row>
    <row r="242" spans="1:25" ht="15.6" x14ac:dyDescent="0.3">
      <c r="A242" s="271"/>
      <c r="B242" s="324" t="s">
        <v>161</v>
      </c>
      <c r="C242" s="380"/>
      <c r="D242" s="380"/>
      <c r="E242" s="380"/>
      <c r="F242" s="272"/>
      <c r="G242" s="381"/>
      <c r="H242" s="380"/>
      <c r="I242" s="380"/>
      <c r="J242" s="380"/>
      <c r="K242" s="380"/>
      <c r="L242" s="380"/>
      <c r="M242" s="380"/>
      <c r="N242" s="380"/>
      <c r="O242" s="380"/>
      <c r="P242" s="380"/>
      <c r="Q242" s="380"/>
      <c r="R242" s="324">
        <f t="shared" si="1"/>
        <v>1</v>
      </c>
      <c r="S242" s="381">
        <f t="shared" si="2"/>
        <v>1.3970382788488405E-4</v>
      </c>
      <c r="T242" s="325">
        <f t="shared" si="3"/>
        <v>105</v>
      </c>
      <c r="U242" s="381">
        <f t="shared" si="4"/>
        <v>1.1434408421822949E-4</v>
      </c>
      <c r="V242" s="358"/>
      <c r="W242" s="382"/>
      <c r="X242" s="5"/>
      <c r="Y242" s="109"/>
    </row>
    <row r="243" spans="1:25" ht="15.6" x14ac:dyDescent="0.3">
      <c r="A243" s="271"/>
      <c r="B243" s="324" t="s">
        <v>162</v>
      </c>
      <c r="C243" s="380"/>
      <c r="D243" s="380"/>
      <c r="E243" s="380"/>
      <c r="F243" s="272"/>
      <c r="G243" s="381"/>
      <c r="H243" s="380"/>
      <c r="I243" s="380"/>
      <c r="J243" s="380"/>
      <c r="K243" s="380"/>
      <c r="L243" s="380"/>
      <c r="M243" s="380"/>
      <c r="N243" s="380"/>
      <c r="O243" s="380"/>
      <c r="P243" s="380"/>
      <c r="Q243" s="380"/>
      <c r="R243" s="324">
        <f t="shared" si="1"/>
        <v>5</v>
      </c>
      <c r="S243" s="381">
        <f t="shared" si="2"/>
        <v>6.9851913942442024E-4</v>
      </c>
      <c r="T243" s="325">
        <f t="shared" si="3"/>
        <v>643</v>
      </c>
      <c r="U243" s="381">
        <f t="shared" si="4"/>
        <v>7.0022139192687204E-4</v>
      </c>
      <c r="V243" s="358"/>
      <c r="W243" s="382"/>
      <c r="X243" s="5"/>
    </row>
    <row r="244" spans="1:25" ht="15.6" x14ac:dyDescent="0.3">
      <c r="A244" s="271"/>
      <c r="B244" s="324" t="s">
        <v>163</v>
      </c>
      <c r="C244" s="380"/>
      <c r="D244" s="380"/>
      <c r="E244" s="380"/>
      <c r="F244" s="272"/>
      <c r="G244" s="381"/>
      <c r="H244" s="380"/>
      <c r="I244" s="380"/>
      <c r="J244" s="380"/>
      <c r="K244" s="380"/>
      <c r="L244" s="380"/>
      <c r="M244" s="380"/>
      <c r="N244" s="380"/>
      <c r="O244" s="380"/>
      <c r="P244" s="380"/>
      <c r="Q244" s="380"/>
      <c r="R244" s="324">
        <f t="shared" si="1"/>
        <v>25</v>
      </c>
      <c r="S244" s="381">
        <f t="shared" si="2"/>
        <v>3.4925956971221012E-3</v>
      </c>
      <c r="T244" s="325">
        <f t="shared" si="3"/>
        <v>3158</v>
      </c>
      <c r="U244" s="381">
        <f t="shared" si="4"/>
        <v>3.4390344567730357E-3</v>
      </c>
      <c r="V244" s="358"/>
      <c r="W244" s="382"/>
      <c r="X244" s="5"/>
      <c r="Y244" s="109"/>
    </row>
    <row r="245" spans="1:25" ht="15.6" x14ac:dyDescent="0.3">
      <c r="A245" s="271"/>
      <c r="B245" s="324"/>
      <c r="C245" s="380"/>
      <c r="D245" s="380"/>
      <c r="E245" s="380"/>
      <c r="F245" s="272"/>
      <c r="G245" s="381"/>
      <c r="H245" s="380"/>
      <c r="I245" s="380"/>
      <c r="J245" s="380"/>
      <c r="K245" s="380"/>
      <c r="L245" s="380"/>
      <c r="M245" s="380"/>
      <c r="N245" s="380"/>
      <c r="O245" s="380"/>
      <c r="P245" s="380"/>
      <c r="Q245" s="380"/>
      <c r="R245" s="324"/>
      <c r="S245" s="381"/>
      <c r="T245" s="325"/>
      <c r="U245" s="381"/>
      <c r="V245" s="358"/>
      <c r="W245" s="382"/>
      <c r="X245" s="5"/>
    </row>
    <row r="246" spans="1:25" ht="15.6" x14ac:dyDescent="0.3">
      <c r="A246" s="271"/>
      <c r="B246" s="272" t="s">
        <v>117</v>
      </c>
      <c r="C246" s="272"/>
      <c r="D246" s="272"/>
      <c r="E246" s="272"/>
      <c r="F246" s="272"/>
      <c r="G246" s="272"/>
      <c r="H246" s="383"/>
      <c r="I246" s="383"/>
      <c r="J246" s="383"/>
      <c r="K246" s="383"/>
      <c r="L246" s="383"/>
      <c r="M246" s="383"/>
      <c r="N246" s="383"/>
      <c r="O246" s="383"/>
      <c r="P246" s="383"/>
      <c r="Q246" s="383"/>
      <c r="R246" s="324">
        <f>SUM(R237:R245)</f>
        <v>7158</v>
      </c>
      <c r="S246" s="381">
        <f>SUM(S237:S245)</f>
        <v>1</v>
      </c>
      <c r="T246" s="325">
        <f>SUM(T237:T245)</f>
        <v>918281</v>
      </c>
      <c r="U246" s="381">
        <f>SUM(U237:U245)</f>
        <v>0.99999999999999989</v>
      </c>
      <c r="V246" s="272"/>
      <c r="W246" s="275"/>
      <c r="X246" s="5"/>
    </row>
    <row r="247" spans="1:25" ht="15.6" x14ac:dyDescent="0.3">
      <c r="A247" s="215"/>
      <c r="B247" s="347"/>
      <c r="C247" s="352"/>
      <c r="D247" s="352"/>
      <c r="E247" s="352"/>
      <c r="F247" s="353"/>
      <c r="G247" s="321"/>
      <c r="H247" s="321"/>
      <c r="I247" s="321"/>
      <c r="J247" s="321"/>
      <c r="K247" s="321"/>
      <c r="L247" s="321"/>
      <c r="M247" s="321"/>
      <c r="N247" s="321"/>
      <c r="O247" s="321"/>
      <c r="P247" s="321"/>
      <c r="Q247" s="321"/>
      <c r="R247" s="321"/>
      <c r="S247" s="321"/>
      <c r="T247" s="354"/>
      <c r="U247" s="321"/>
      <c r="V247" s="348"/>
      <c r="W247" s="355"/>
      <c r="X247" s="5"/>
    </row>
    <row r="248" spans="1:25" ht="15.6" x14ac:dyDescent="0.3">
      <c r="A248" s="239"/>
      <c r="B248" s="253" t="s">
        <v>165</v>
      </c>
      <c r="C248" s="254"/>
      <c r="D248" s="254"/>
      <c r="E248" s="254"/>
      <c r="F248" s="255"/>
      <c r="G248" s="254"/>
      <c r="H248" s="254"/>
      <c r="I248" s="254"/>
      <c r="J248" s="254"/>
      <c r="K248" s="254"/>
      <c r="L248" s="254"/>
      <c r="M248" s="254"/>
      <c r="N248" s="254"/>
      <c r="O248" s="254"/>
      <c r="P248" s="254"/>
      <c r="Q248" s="254"/>
      <c r="R248" s="255" t="s">
        <v>103</v>
      </c>
      <c r="S248" s="254" t="s">
        <v>104</v>
      </c>
      <c r="T248" s="255" t="s">
        <v>111</v>
      </c>
      <c r="U248" s="254" t="s">
        <v>104</v>
      </c>
      <c r="V248" s="240"/>
      <c r="W248" s="253"/>
      <c r="X248" s="5"/>
    </row>
    <row r="249" spans="1:25" ht="15.6" x14ac:dyDescent="0.3">
      <c r="A249" s="192"/>
      <c r="B249" s="231" t="s">
        <v>89</v>
      </c>
      <c r="C249" s="260"/>
      <c r="D249" s="260"/>
      <c r="E249" s="260"/>
      <c r="F249" s="229"/>
      <c r="G249" s="260"/>
      <c r="H249" s="260"/>
      <c r="I249" s="260"/>
      <c r="J249" s="260"/>
      <c r="K249" s="260"/>
      <c r="L249" s="260"/>
      <c r="M249" s="260"/>
      <c r="N249" s="260"/>
      <c r="O249" s="260"/>
      <c r="P249" s="260"/>
      <c r="Q249" s="260"/>
      <c r="R249" s="231">
        <v>6996</v>
      </c>
      <c r="S249" s="261">
        <f t="shared" ref="S249:S256" si="5">R249/$R$258</f>
        <v>0.99800285306704706</v>
      </c>
      <c r="T249" s="238">
        <v>893524</v>
      </c>
      <c r="U249" s="261">
        <f t="shared" ref="U249:U256" si="6">T249/$T$258</f>
        <v>0.99820584719537941</v>
      </c>
      <c r="V249" s="252"/>
      <c r="W249" s="230"/>
      <c r="X249" s="5"/>
    </row>
    <row r="250" spans="1:25" ht="15.6" x14ac:dyDescent="0.3">
      <c r="A250" s="271"/>
      <c r="B250" s="324" t="s">
        <v>90</v>
      </c>
      <c r="C250" s="380"/>
      <c r="D250" s="380"/>
      <c r="E250" s="380"/>
      <c r="F250" s="272"/>
      <c r="G250" s="381"/>
      <c r="H250" s="380"/>
      <c r="I250" s="380"/>
      <c r="J250" s="380"/>
      <c r="K250" s="380"/>
      <c r="L250" s="380"/>
      <c r="M250" s="380"/>
      <c r="N250" s="380"/>
      <c r="O250" s="380"/>
      <c r="P250" s="380"/>
      <c r="Q250" s="380"/>
      <c r="R250" s="324">
        <v>10</v>
      </c>
      <c r="S250" s="381">
        <f t="shared" si="5"/>
        <v>1.4265335235378032E-3</v>
      </c>
      <c r="T250" s="325">
        <v>1146</v>
      </c>
      <c r="U250" s="381">
        <f t="shared" si="6"/>
        <v>1.280260967680672E-3</v>
      </c>
      <c r="V250" s="358"/>
      <c r="W250" s="382"/>
      <c r="X250" s="5"/>
      <c r="Y250" s="109"/>
    </row>
    <row r="251" spans="1:25" ht="15.6" x14ac:dyDescent="0.3">
      <c r="A251" s="271"/>
      <c r="B251" s="324" t="s">
        <v>91</v>
      </c>
      <c r="C251" s="380"/>
      <c r="D251" s="380"/>
      <c r="E251" s="380"/>
      <c r="F251" s="272"/>
      <c r="G251" s="381"/>
      <c r="H251" s="380"/>
      <c r="I251" s="380"/>
      <c r="J251" s="380"/>
      <c r="K251" s="380"/>
      <c r="L251" s="380"/>
      <c r="M251" s="380"/>
      <c r="N251" s="380"/>
      <c r="O251" s="380"/>
      <c r="P251" s="380"/>
      <c r="Q251" s="380"/>
      <c r="R251" s="324">
        <v>1</v>
      </c>
      <c r="S251" s="381">
        <f t="shared" si="5"/>
        <v>1.4265335235378031E-4</v>
      </c>
      <c r="T251" s="325">
        <v>184</v>
      </c>
      <c r="U251" s="381">
        <f t="shared" si="6"/>
        <v>2.0555673477595432E-4</v>
      </c>
      <c r="V251" s="358"/>
      <c r="W251" s="382"/>
      <c r="X251" s="5"/>
    </row>
    <row r="252" spans="1:25" ht="15.6" x14ac:dyDescent="0.3">
      <c r="A252" s="271"/>
      <c r="B252" s="324" t="s">
        <v>159</v>
      </c>
      <c r="C252" s="380"/>
      <c r="D252" s="380"/>
      <c r="E252" s="380"/>
      <c r="F252" s="272"/>
      <c r="G252" s="381"/>
      <c r="H252" s="380"/>
      <c r="I252" s="380"/>
      <c r="J252" s="380"/>
      <c r="K252" s="380"/>
      <c r="L252" s="380"/>
      <c r="M252" s="380"/>
      <c r="N252" s="380"/>
      <c r="O252" s="380"/>
      <c r="P252" s="380"/>
      <c r="Q252" s="380"/>
      <c r="R252" s="324">
        <v>1</v>
      </c>
      <c r="S252" s="381">
        <f t="shared" si="5"/>
        <v>1.4265335235378031E-4</v>
      </c>
      <c r="T252" s="325">
        <v>101</v>
      </c>
      <c r="U252" s="381">
        <f t="shared" si="6"/>
        <v>1.1283277289332275E-4</v>
      </c>
      <c r="V252" s="358"/>
      <c r="W252" s="382"/>
      <c r="X252" s="5"/>
      <c r="Y252" s="109"/>
    </row>
    <row r="253" spans="1:25" ht="15.6" x14ac:dyDescent="0.3">
      <c r="A253" s="271"/>
      <c r="B253" s="324" t="s">
        <v>160</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row>
    <row r="254" spans="1:25" ht="15.6" x14ac:dyDescent="0.3">
      <c r="A254" s="271"/>
      <c r="B254" s="324" t="s">
        <v>161</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c r="Y254" s="109"/>
    </row>
    <row r="255" spans="1:25" ht="15.6" x14ac:dyDescent="0.3">
      <c r="A255" s="271"/>
      <c r="B255" s="324" t="s">
        <v>162</v>
      </c>
      <c r="C255" s="380"/>
      <c r="D255" s="380"/>
      <c r="E255" s="380"/>
      <c r="F255" s="272"/>
      <c r="G255" s="381"/>
      <c r="H255" s="380"/>
      <c r="I255" s="380"/>
      <c r="J255" s="380"/>
      <c r="K255" s="380"/>
      <c r="L255" s="380"/>
      <c r="M255" s="380"/>
      <c r="N255" s="380"/>
      <c r="O255" s="380"/>
      <c r="P255" s="380"/>
      <c r="Q255" s="380"/>
      <c r="R255" s="324">
        <v>0</v>
      </c>
      <c r="S255" s="381">
        <f t="shared" si="5"/>
        <v>0</v>
      </c>
      <c r="T255" s="325">
        <v>0</v>
      </c>
      <c r="U255" s="381">
        <f t="shared" si="6"/>
        <v>0</v>
      </c>
      <c r="V255" s="358"/>
      <c r="W255" s="382"/>
      <c r="X255" s="5"/>
    </row>
    <row r="256" spans="1:25" ht="15.6" x14ac:dyDescent="0.3">
      <c r="A256" s="271"/>
      <c r="B256" s="324" t="s">
        <v>163</v>
      </c>
      <c r="C256" s="380"/>
      <c r="D256" s="380"/>
      <c r="E256" s="380"/>
      <c r="F256" s="272"/>
      <c r="G256" s="381"/>
      <c r="H256" s="380"/>
      <c r="I256" s="380"/>
      <c r="J256" s="380"/>
      <c r="K256" s="380"/>
      <c r="L256" s="380"/>
      <c r="M256" s="380"/>
      <c r="N256" s="380"/>
      <c r="O256" s="380"/>
      <c r="P256" s="380"/>
      <c r="Q256" s="380"/>
      <c r="R256" s="324">
        <v>2</v>
      </c>
      <c r="S256" s="381">
        <f t="shared" si="5"/>
        <v>2.8530670470756063E-4</v>
      </c>
      <c r="T256" s="325">
        <v>175</v>
      </c>
      <c r="U256" s="381">
        <f t="shared" si="6"/>
        <v>1.9550232927060873E-4</v>
      </c>
      <c r="V256" s="358"/>
      <c r="W256" s="382"/>
      <c r="X256" s="5"/>
      <c r="Y256" s="109"/>
    </row>
    <row r="257" spans="1:24" ht="15.6" x14ac:dyDescent="0.3">
      <c r="A257" s="271"/>
      <c r="B257" s="324"/>
      <c r="C257" s="380"/>
      <c r="D257" s="380"/>
      <c r="E257" s="380"/>
      <c r="F257" s="272"/>
      <c r="G257" s="381"/>
      <c r="H257" s="380"/>
      <c r="I257" s="380"/>
      <c r="J257" s="380"/>
      <c r="K257" s="380"/>
      <c r="L257" s="380"/>
      <c r="M257" s="380"/>
      <c r="N257" s="380"/>
      <c r="O257" s="380"/>
      <c r="P257" s="380"/>
      <c r="Q257" s="380"/>
      <c r="R257" s="324"/>
      <c r="S257" s="381"/>
      <c r="T257" s="325"/>
      <c r="U257" s="381"/>
      <c r="V257" s="358"/>
      <c r="W257" s="382"/>
      <c r="X257" s="5"/>
    </row>
    <row r="258" spans="1:24" ht="15.6" x14ac:dyDescent="0.3">
      <c r="A258" s="271"/>
      <c r="B258" s="272" t="s">
        <v>117</v>
      </c>
      <c r="C258" s="272"/>
      <c r="D258" s="272"/>
      <c r="E258" s="272"/>
      <c r="F258" s="272"/>
      <c r="G258" s="272"/>
      <c r="H258" s="383"/>
      <c r="I258" s="383"/>
      <c r="J258" s="383"/>
      <c r="K258" s="383"/>
      <c r="L258" s="383"/>
      <c r="M258" s="383"/>
      <c r="N258" s="383"/>
      <c r="O258" s="383"/>
      <c r="P258" s="383"/>
      <c r="Q258" s="383"/>
      <c r="R258" s="324">
        <f>SUM(R249:R257)</f>
        <v>7010</v>
      </c>
      <c r="S258" s="381">
        <f>SUM(S249:S257)</f>
        <v>1</v>
      </c>
      <c r="T258" s="325">
        <f>SUM(T249:T257)</f>
        <v>895130</v>
      </c>
      <c r="U258" s="381">
        <f>SUM(U249:U257)</f>
        <v>0.99999999999999989</v>
      </c>
      <c r="V258" s="272"/>
      <c r="W258" s="275"/>
      <c r="X258" s="5"/>
    </row>
    <row r="259" spans="1:24" ht="15.6" x14ac:dyDescent="0.3">
      <c r="A259" s="175"/>
      <c r="B259" s="321"/>
      <c r="C259" s="321"/>
      <c r="D259" s="321"/>
      <c r="E259" s="321"/>
      <c r="F259" s="321"/>
      <c r="G259" s="321"/>
      <c r="H259" s="377"/>
      <c r="I259" s="377"/>
      <c r="J259" s="377"/>
      <c r="K259" s="377"/>
      <c r="L259" s="377"/>
      <c r="M259" s="377"/>
      <c r="N259" s="377"/>
      <c r="O259" s="377"/>
      <c r="P259" s="377"/>
      <c r="Q259" s="377"/>
      <c r="R259" s="322"/>
      <c r="S259" s="378"/>
      <c r="T259" s="379"/>
      <c r="U259" s="378"/>
      <c r="V259" s="321"/>
      <c r="W259" s="321"/>
      <c r="X259" s="5"/>
    </row>
    <row r="260" spans="1:24" ht="15.6" x14ac:dyDescent="0.3">
      <c r="A260" s="256"/>
      <c r="B260" s="253" t="s">
        <v>279</v>
      </c>
      <c r="C260" s="254"/>
      <c r="D260" s="254"/>
      <c r="E260" s="254"/>
      <c r="F260" s="255"/>
      <c r="G260" s="254"/>
      <c r="H260" s="254"/>
      <c r="I260" s="254"/>
      <c r="J260" s="254"/>
      <c r="K260" s="254"/>
      <c r="L260" s="254"/>
      <c r="M260" s="254"/>
      <c r="N260" s="254"/>
      <c r="O260" s="254"/>
      <c r="P260" s="254"/>
      <c r="Q260" s="254"/>
      <c r="R260" s="255" t="s">
        <v>103</v>
      </c>
      <c r="S260" s="254" t="s">
        <v>104</v>
      </c>
      <c r="T260" s="255" t="s">
        <v>111</v>
      </c>
      <c r="U260" s="254" t="s">
        <v>104</v>
      </c>
      <c r="V260" s="257"/>
      <c r="W260" s="258"/>
      <c r="X260" s="5"/>
    </row>
    <row r="261" spans="1:24" ht="15.6" x14ac:dyDescent="0.3">
      <c r="A261" s="192"/>
      <c r="B261" s="231" t="s">
        <v>89</v>
      </c>
      <c r="C261" s="260"/>
      <c r="D261" s="260"/>
      <c r="E261" s="260"/>
      <c r="F261" s="229"/>
      <c r="G261" s="260"/>
      <c r="H261" s="260"/>
      <c r="I261" s="260"/>
      <c r="J261" s="260"/>
      <c r="K261" s="260"/>
      <c r="L261" s="260"/>
      <c r="M261" s="260"/>
      <c r="N261" s="260"/>
      <c r="O261" s="260"/>
      <c r="P261" s="260"/>
      <c r="Q261" s="260"/>
      <c r="R261" s="231">
        <v>106</v>
      </c>
      <c r="S261" s="261">
        <f>R261/$R$270</f>
        <v>0.72602739726027399</v>
      </c>
      <c r="T261" s="238">
        <v>18176</v>
      </c>
      <c r="U261" s="261">
        <f t="shared" ref="U261:U268" si="7">T261/$T$270</f>
        <v>0.79019215720372138</v>
      </c>
      <c r="V261" s="229"/>
      <c r="W261" s="193"/>
      <c r="X261" s="5"/>
    </row>
    <row r="262" spans="1:24" ht="15.6" x14ac:dyDescent="0.3">
      <c r="A262" s="271"/>
      <c r="B262" s="324" t="s">
        <v>90</v>
      </c>
      <c r="C262" s="380"/>
      <c r="D262" s="380"/>
      <c r="E262" s="380"/>
      <c r="F262" s="272"/>
      <c r="G262" s="381"/>
      <c r="H262" s="380"/>
      <c r="I262" s="380"/>
      <c r="J262" s="380"/>
      <c r="K262" s="380"/>
      <c r="L262" s="380"/>
      <c r="M262" s="380"/>
      <c r="N262" s="380"/>
      <c r="O262" s="380"/>
      <c r="P262" s="380"/>
      <c r="Q262" s="380"/>
      <c r="R262" s="324">
        <v>1</v>
      </c>
      <c r="S262" s="381">
        <f t="shared" ref="S262:S266" si="8">R262/$R$270</f>
        <v>6.8493150684931503E-3</v>
      </c>
      <c r="T262" s="325">
        <v>131</v>
      </c>
      <c r="U262" s="381">
        <f t="shared" si="7"/>
        <v>5.6951569428745326E-3</v>
      </c>
      <c r="V262" s="272"/>
      <c r="W262" s="304"/>
      <c r="X262" s="5"/>
    </row>
    <row r="263" spans="1:24" ht="15.6" x14ac:dyDescent="0.3">
      <c r="A263" s="271"/>
      <c r="B263" s="324" t="s">
        <v>91</v>
      </c>
      <c r="C263" s="380"/>
      <c r="D263" s="380"/>
      <c r="E263" s="380"/>
      <c r="F263" s="272"/>
      <c r="G263" s="381"/>
      <c r="H263" s="380"/>
      <c r="I263" s="380"/>
      <c r="J263" s="380"/>
      <c r="K263" s="380"/>
      <c r="L263" s="380"/>
      <c r="M263" s="380"/>
      <c r="N263" s="380"/>
      <c r="O263" s="380"/>
      <c r="P263" s="380"/>
      <c r="Q263" s="380"/>
      <c r="R263" s="324">
        <v>8</v>
      </c>
      <c r="S263" s="381">
        <f t="shared" si="8"/>
        <v>5.4794520547945202E-2</v>
      </c>
      <c r="T263" s="325">
        <v>842</v>
      </c>
      <c r="U263" s="381">
        <f t="shared" si="7"/>
        <v>3.6605512564124858E-2</v>
      </c>
      <c r="V263" s="272"/>
      <c r="W263" s="304"/>
      <c r="X263" s="5"/>
    </row>
    <row r="264" spans="1:24" ht="15.6" x14ac:dyDescent="0.3">
      <c r="A264" s="271"/>
      <c r="B264" s="324" t="s">
        <v>159</v>
      </c>
      <c r="C264" s="380"/>
      <c r="D264" s="380"/>
      <c r="E264" s="380"/>
      <c r="F264" s="272"/>
      <c r="G264" s="381"/>
      <c r="H264" s="380"/>
      <c r="I264" s="380"/>
      <c r="J264" s="380"/>
      <c r="K264" s="380"/>
      <c r="L264" s="380"/>
      <c r="M264" s="380"/>
      <c r="N264" s="380"/>
      <c r="O264" s="380"/>
      <c r="P264" s="380"/>
      <c r="Q264" s="380"/>
      <c r="R264" s="324">
        <v>2</v>
      </c>
      <c r="S264" s="381">
        <f t="shared" si="8"/>
        <v>1.3698630136986301E-2</v>
      </c>
      <c r="T264" s="325">
        <v>205</v>
      </c>
      <c r="U264" s="381">
        <f t="shared" si="7"/>
        <v>8.9122684983914437E-3</v>
      </c>
      <c r="V264" s="272"/>
      <c r="W264" s="304"/>
      <c r="X264" s="5"/>
    </row>
    <row r="265" spans="1:24" ht="15.6" x14ac:dyDescent="0.3">
      <c r="A265" s="271"/>
      <c r="B265" s="324" t="s">
        <v>160</v>
      </c>
      <c r="C265" s="380"/>
      <c r="D265" s="380"/>
      <c r="E265" s="380"/>
      <c r="F265" s="272"/>
      <c r="G265" s="381"/>
      <c r="H265" s="380"/>
      <c r="I265" s="380"/>
      <c r="J265" s="380"/>
      <c r="K265" s="380"/>
      <c r="L265" s="380"/>
      <c r="M265" s="380"/>
      <c r="N265" s="380"/>
      <c r="O265" s="380"/>
      <c r="P265" s="380"/>
      <c r="Q265" s="380"/>
      <c r="R265" s="324">
        <v>1</v>
      </c>
      <c r="S265" s="381">
        <f t="shared" si="8"/>
        <v>6.8493150684931503E-3</v>
      </c>
      <c r="T265" s="325">
        <v>44</v>
      </c>
      <c r="U265" s="381">
        <f t="shared" si="7"/>
        <v>1.9128771411181637E-3</v>
      </c>
      <c r="V265" s="272"/>
      <c r="W265" s="304"/>
      <c r="X265" s="5"/>
    </row>
    <row r="266" spans="1:24" ht="15.6" x14ac:dyDescent="0.3">
      <c r="A266" s="271"/>
      <c r="B266" s="324" t="s">
        <v>161</v>
      </c>
      <c r="C266" s="380"/>
      <c r="D266" s="380"/>
      <c r="E266" s="380"/>
      <c r="F266" s="272"/>
      <c r="G266" s="381"/>
      <c r="H266" s="380"/>
      <c r="I266" s="380"/>
      <c r="J266" s="380"/>
      <c r="K266" s="380"/>
      <c r="L266" s="380"/>
      <c r="M266" s="380"/>
      <c r="N266" s="380"/>
      <c r="O266" s="380"/>
      <c r="P266" s="380"/>
      <c r="Q266" s="380"/>
      <c r="R266" s="324">
        <v>1</v>
      </c>
      <c r="S266" s="381">
        <f t="shared" si="8"/>
        <v>6.8493150684931503E-3</v>
      </c>
      <c r="T266" s="325">
        <v>105</v>
      </c>
      <c r="U266" s="381">
        <f t="shared" si="7"/>
        <v>4.5648204503956182E-3</v>
      </c>
      <c r="V266" s="272"/>
      <c r="W266" s="304"/>
      <c r="X266" s="5"/>
    </row>
    <row r="267" spans="1:24" ht="15.6" x14ac:dyDescent="0.3">
      <c r="A267" s="271"/>
      <c r="B267" s="324" t="s">
        <v>162</v>
      </c>
      <c r="C267" s="380"/>
      <c r="D267" s="380"/>
      <c r="E267" s="380"/>
      <c r="F267" s="272"/>
      <c r="G267" s="381"/>
      <c r="H267" s="380"/>
      <c r="I267" s="380"/>
      <c r="J267" s="380"/>
      <c r="K267" s="380"/>
      <c r="L267" s="380"/>
      <c r="M267" s="380"/>
      <c r="N267" s="380"/>
      <c r="O267" s="380"/>
      <c r="P267" s="380"/>
      <c r="Q267" s="380"/>
      <c r="R267" s="324">
        <v>5</v>
      </c>
      <c r="S267" s="381">
        <f>R267/$R$270</f>
        <v>3.4246575342465752E-2</v>
      </c>
      <c r="T267" s="325">
        <v>643</v>
      </c>
      <c r="U267" s="381">
        <f t="shared" si="7"/>
        <v>2.7954090948613165E-2</v>
      </c>
      <c r="V267" s="272"/>
      <c r="W267" s="304"/>
      <c r="X267" s="5"/>
    </row>
    <row r="268" spans="1:24" ht="15.6" x14ac:dyDescent="0.3">
      <c r="A268" s="271"/>
      <c r="B268" s="324" t="s">
        <v>163</v>
      </c>
      <c r="C268" s="380"/>
      <c r="D268" s="380"/>
      <c r="E268" s="380"/>
      <c r="F268" s="272"/>
      <c r="G268" s="381"/>
      <c r="H268" s="380"/>
      <c r="I268" s="380"/>
      <c r="J268" s="380"/>
      <c r="K268" s="380"/>
      <c r="L268" s="380"/>
      <c r="M268" s="380"/>
      <c r="N268" s="380"/>
      <c r="O268" s="380"/>
      <c r="P268" s="380"/>
      <c r="Q268" s="380"/>
      <c r="R268" s="324">
        <v>22</v>
      </c>
      <c r="S268" s="381">
        <f>R268/$R$270</f>
        <v>0.15068493150684931</v>
      </c>
      <c r="T268" s="325">
        <v>2856</v>
      </c>
      <c r="U268" s="381">
        <f t="shared" si="7"/>
        <v>0.1241631162507608</v>
      </c>
      <c r="V268" s="272"/>
      <c r="W268" s="304"/>
      <c r="X268" s="5"/>
    </row>
    <row r="269" spans="1:24" ht="15.6" x14ac:dyDescent="0.3">
      <c r="A269" s="271"/>
      <c r="B269" s="324"/>
      <c r="C269" s="380"/>
      <c r="D269" s="380"/>
      <c r="E269" s="380"/>
      <c r="F269" s="272"/>
      <c r="G269" s="381"/>
      <c r="H269" s="380"/>
      <c r="I269" s="380"/>
      <c r="J269" s="380"/>
      <c r="K269" s="380"/>
      <c r="L269" s="380"/>
      <c r="M269" s="380"/>
      <c r="N269" s="380"/>
      <c r="O269" s="380"/>
      <c r="P269" s="380"/>
      <c r="Q269" s="380"/>
      <c r="R269" s="324"/>
      <c r="S269" s="381"/>
      <c r="T269" s="325"/>
      <c r="U269" s="381"/>
      <c r="V269" s="272"/>
      <c r="W269" s="304"/>
      <c r="X269" s="5"/>
    </row>
    <row r="270" spans="1:24" ht="15.6" x14ac:dyDescent="0.3">
      <c r="A270" s="271"/>
      <c r="B270" s="272" t="s">
        <v>117</v>
      </c>
      <c r="C270" s="272"/>
      <c r="D270" s="272"/>
      <c r="E270" s="272"/>
      <c r="F270" s="272"/>
      <c r="G270" s="272"/>
      <c r="H270" s="383"/>
      <c r="I270" s="383"/>
      <c r="J270" s="383"/>
      <c r="K270" s="383"/>
      <c r="L270" s="383"/>
      <c r="M270" s="383"/>
      <c r="N270" s="383"/>
      <c r="O270" s="383"/>
      <c r="P270" s="383"/>
      <c r="Q270" s="383"/>
      <c r="R270" s="324">
        <f>SUM(R261:R269)</f>
        <v>146</v>
      </c>
      <c r="S270" s="381">
        <f>SUM(S261:S269)</f>
        <v>1.0000000000000002</v>
      </c>
      <c r="T270" s="325">
        <f>SUM(T261:T269)</f>
        <v>23002</v>
      </c>
      <c r="U270" s="381">
        <f>SUM(U261:U269)</f>
        <v>0.99999999999999989</v>
      </c>
      <c r="V270" s="272"/>
      <c r="W270" s="304"/>
      <c r="X270" s="5"/>
    </row>
    <row r="271" spans="1:24" ht="15.6" x14ac:dyDescent="0.3">
      <c r="A271" s="175"/>
      <c r="B271" s="321"/>
      <c r="C271" s="321"/>
      <c r="D271" s="321"/>
      <c r="E271" s="321"/>
      <c r="F271" s="321"/>
      <c r="G271" s="321"/>
      <c r="H271" s="377"/>
      <c r="I271" s="377"/>
      <c r="J271" s="377"/>
      <c r="K271" s="377"/>
      <c r="L271" s="377"/>
      <c r="M271" s="377"/>
      <c r="N271" s="377"/>
      <c r="O271" s="377"/>
      <c r="P271" s="377"/>
      <c r="Q271" s="377"/>
      <c r="R271" s="322"/>
      <c r="S271" s="378"/>
      <c r="T271" s="379"/>
      <c r="U271" s="378"/>
      <c r="V271" s="321"/>
      <c r="W271" s="321"/>
      <c r="X271" s="5"/>
    </row>
    <row r="272" spans="1:24" ht="15.6" x14ac:dyDescent="0.3">
      <c r="A272" s="256"/>
      <c r="B272" s="253" t="s">
        <v>166</v>
      </c>
      <c r="C272" s="257"/>
      <c r="D272" s="257"/>
      <c r="E272" s="257"/>
      <c r="F272" s="257"/>
      <c r="G272" s="257"/>
      <c r="H272" s="259"/>
      <c r="I272" s="259"/>
      <c r="J272" s="259"/>
      <c r="K272" s="259"/>
      <c r="L272" s="259"/>
      <c r="M272" s="259"/>
      <c r="N272" s="259"/>
      <c r="O272" s="259"/>
      <c r="P272" s="259"/>
      <c r="Q272" s="259"/>
      <c r="R272" s="255" t="s">
        <v>103</v>
      </c>
      <c r="S272" s="254" t="s">
        <v>104</v>
      </c>
      <c r="T272" s="255" t="s">
        <v>111</v>
      </c>
      <c r="U272" s="254" t="s">
        <v>104</v>
      </c>
      <c r="V272" s="257"/>
      <c r="W272" s="258"/>
      <c r="X272" s="5"/>
    </row>
    <row r="273" spans="1:24" ht="15.6" x14ac:dyDescent="0.3">
      <c r="A273" s="192"/>
      <c r="B273" s="231" t="s">
        <v>89</v>
      </c>
      <c r="C273" s="229"/>
      <c r="D273" s="229"/>
      <c r="E273" s="229"/>
      <c r="F273" s="229"/>
      <c r="G273" s="229"/>
      <c r="H273" s="262"/>
      <c r="I273" s="262"/>
      <c r="J273" s="262"/>
      <c r="K273" s="262"/>
      <c r="L273" s="262"/>
      <c r="M273" s="262"/>
      <c r="N273" s="262"/>
      <c r="O273" s="262"/>
      <c r="P273" s="262"/>
      <c r="Q273" s="262"/>
      <c r="R273" s="231">
        <v>1</v>
      </c>
      <c r="S273" s="261">
        <f>R273/R282</f>
        <v>0.5</v>
      </c>
      <c r="T273" s="238">
        <v>22</v>
      </c>
      <c r="U273" s="261">
        <f>T273/T282</f>
        <v>0.1476510067114094</v>
      </c>
      <c r="V273" s="229"/>
      <c r="W273" s="229"/>
      <c r="X273" s="5"/>
    </row>
    <row r="274" spans="1:24" ht="15.6" x14ac:dyDescent="0.3">
      <c r="A274" s="271"/>
      <c r="B274" s="324" t="s">
        <v>90</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91</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159</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160</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161</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162</v>
      </c>
      <c r="C279" s="272"/>
      <c r="D279" s="272"/>
      <c r="E279" s="272"/>
      <c r="F279" s="272"/>
      <c r="G279" s="272"/>
      <c r="H279" s="383"/>
      <c r="I279" s="383"/>
      <c r="J279" s="383"/>
      <c r="K279" s="383"/>
      <c r="L279" s="383"/>
      <c r="M279" s="383"/>
      <c r="N279" s="383"/>
      <c r="O279" s="383"/>
      <c r="P279" s="383"/>
      <c r="Q279" s="383"/>
      <c r="R279" s="324">
        <v>0</v>
      </c>
      <c r="S279" s="381">
        <f>+R279/$R$282</f>
        <v>0</v>
      </c>
      <c r="T279" s="325">
        <v>0</v>
      </c>
      <c r="U279" s="381">
        <f>+T279/$T$282</f>
        <v>0</v>
      </c>
      <c r="V279" s="272"/>
      <c r="W279" s="275"/>
      <c r="X279" s="5"/>
    </row>
    <row r="280" spans="1:24" ht="15.6" x14ac:dyDescent="0.3">
      <c r="A280" s="271"/>
      <c r="B280" s="324" t="s">
        <v>163</v>
      </c>
      <c r="C280" s="272"/>
      <c r="D280" s="272"/>
      <c r="E280" s="272"/>
      <c r="F280" s="272"/>
      <c r="G280" s="272"/>
      <c r="H280" s="383"/>
      <c r="I280" s="383"/>
      <c r="J280" s="383"/>
      <c r="K280" s="383"/>
      <c r="L280" s="383"/>
      <c r="M280" s="383"/>
      <c r="N280" s="383"/>
      <c r="O280" s="383"/>
      <c r="P280" s="383"/>
      <c r="Q280" s="383"/>
      <c r="R280" s="324">
        <v>1</v>
      </c>
      <c r="S280" s="381">
        <f>+R280/$R$282</f>
        <v>0.5</v>
      </c>
      <c r="T280" s="325">
        <v>127</v>
      </c>
      <c r="U280" s="381">
        <f>+T280/$T$282</f>
        <v>0.8523489932885906</v>
      </c>
      <c r="V280" s="272"/>
      <c r="W280" s="275"/>
      <c r="X280" s="5"/>
    </row>
    <row r="281" spans="1:24" ht="15.6" x14ac:dyDescent="0.3">
      <c r="A281" s="271"/>
      <c r="B281" s="324"/>
      <c r="C281" s="272"/>
      <c r="D281" s="272"/>
      <c r="E281" s="272"/>
      <c r="F281" s="272"/>
      <c r="G281" s="272"/>
      <c r="H281" s="383"/>
      <c r="I281" s="383"/>
      <c r="J281" s="383"/>
      <c r="K281" s="383"/>
      <c r="L281" s="383"/>
      <c r="M281" s="383"/>
      <c r="N281" s="383"/>
      <c r="O281" s="383"/>
      <c r="P281" s="383"/>
      <c r="Q281" s="383"/>
      <c r="R281" s="324"/>
      <c r="S281" s="381"/>
      <c r="T281" s="325"/>
      <c r="U281" s="381"/>
      <c r="V281" s="272"/>
      <c r="W281" s="275"/>
      <c r="X281" s="5"/>
    </row>
    <row r="282" spans="1:24" ht="15.6" x14ac:dyDescent="0.3">
      <c r="A282" s="271"/>
      <c r="B282" s="272" t="s">
        <v>117</v>
      </c>
      <c r="C282" s="272"/>
      <c r="D282" s="272"/>
      <c r="E282" s="272"/>
      <c r="F282" s="272"/>
      <c r="G282" s="272"/>
      <c r="H282" s="383"/>
      <c r="I282" s="383"/>
      <c r="J282" s="383"/>
      <c r="K282" s="383"/>
      <c r="L282" s="383"/>
      <c r="M282" s="383"/>
      <c r="N282" s="383"/>
      <c r="O282" s="383"/>
      <c r="P282" s="383"/>
      <c r="Q282" s="383"/>
      <c r="R282" s="324">
        <f>SUM(R273:R280)</f>
        <v>2</v>
      </c>
      <c r="S282" s="381">
        <f>SUM(S273:S280)</f>
        <v>1</v>
      </c>
      <c r="T282" s="325">
        <f>SUM(T273:T280)</f>
        <v>149</v>
      </c>
      <c r="U282" s="381">
        <f>SUM(U273:U280)</f>
        <v>1</v>
      </c>
      <c r="V282" s="272"/>
      <c r="W282" s="275"/>
      <c r="X282" s="5"/>
    </row>
    <row r="283" spans="1:24" ht="15.6" x14ac:dyDescent="0.3">
      <c r="A283" s="271"/>
      <c r="B283" s="272"/>
      <c r="C283" s="272"/>
      <c r="D283" s="272"/>
      <c r="E283" s="272"/>
      <c r="F283" s="272"/>
      <c r="G283" s="272"/>
      <c r="H283" s="383"/>
      <c r="I283" s="383"/>
      <c r="J283" s="383"/>
      <c r="K283" s="383"/>
      <c r="L283" s="383"/>
      <c r="M283" s="383"/>
      <c r="N283" s="383"/>
      <c r="O283" s="383"/>
      <c r="P283" s="383"/>
      <c r="Q283" s="383"/>
      <c r="R283" s="324"/>
      <c r="S283" s="381"/>
      <c r="T283" s="325"/>
      <c r="U283" s="381"/>
      <c r="V283" s="272"/>
      <c r="W283" s="275"/>
      <c r="X283" s="5"/>
    </row>
    <row r="284" spans="1:24" ht="15.6" x14ac:dyDescent="0.3">
      <c r="A284" s="271"/>
      <c r="B284" s="279" t="s">
        <v>167</v>
      </c>
      <c r="C284" s="272"/>
      <c r="D284" s="272"/>
      <c r="E284" s="272"/>
      <c r="F284" s="272"/>
      <c r="G284" s="272"/>
      <c r="H284" s="383"/>
      <c r="I284" s="383"/>
      <c r="J284" s="383"/>
      <c r="K284" s="383"/>
      <c r="L284" s="383"/>
      <c r="M284" s="383"/>
      <c r="N284" s="383"/>
      <c r="O284" s="383"/>
      <c r="P284" s="383"/>
      <c r="Q284" s="383"/>
      <c r="R284" s="390">
        <f>R282+R270+R258</f>
        <v>7158</v>
      </c>
      <c r="S284" s="381"/>
      <c r="T284" s="387">
        <f>+T282+T270+T258</f>
        <v>918281</v>
      </c>
      <c r="U284" s="381"/>
      <c r="V284" s="272"/>
      <c r="W284" s="275"/>
      <c r="X284" s="5"/>
    </row>
    <row r="285" spans="1:24" ht="15.6" x14ac:dyDescent="0.3">
      <c r="A285" s="175"/>
      <c r="B285" s="268"/>
      <c r="C285" s="268"/>
      <c r="D285" s="268"/>
      <c r="E285" s="268"/>
      <c r="F285" s="268"/>
      <c r="G285" s="268"/>
      <c r="H285" s="384"/>
      <c r="I285" s="384"/>
      <c r="J285" s="384"/>
      <c r="K285" s="384"/>
      <c r="L285" s="384"/>
      <c r="M285" s="384"/>
      <c r="N285" s="384"/>
      <c r="O285" s="384"/>
      <c r="P285" s="384"/>
      <c r="Q285" s="384"/>
      <c r="R285" s="384"/>
      <c r="S285" s="384"/>
      <c r="T285" s="385"/>
      <c r="U285" s="384"/>
      <c r="V285" s="268"/>
      <c r="W285" s="268"/>
      <c r="X285" s="5"/>
    </row>
    <row r="286" spans="1:24" ht="15.6" x14ac:dyDescent="0.3">
      <c r="A286" s="175"/>
      <c r="B286" s="220"/>
      <c r="C286" s="220"/>
      <c r="D286" s="220"/>
      <c r="E286" s="220"/>
      <c r="F286" s="220"/>
      <c r="G286" s="220"/>
      <c r="H286" s="263"/>
      <c r="I286" s="263"/>
      <c r="J286" s="263"/>
      <c r="K286" s="263"/>
      <c r="L286" s="263"/>
      <c r="M286" s="263"/>
      <c r="N286" s="263"/>
      <c r="O286" s="263"/>
      <c r="P286" s="263"/>
      <c r="Q286" s="263"/>
      <c r="R286" s="263"/>
      <c r="S286" s="263"/>
      <c r="T286" s="264"/>
      <c r="U286" s="263"/>
      <c r="V286" s="220"/>
      <c r="W286" s="220"/>
      <c r="X286" s="5"/>
    </row>
    <row r="287" spans="1:24" ht="15.6" x14ac:dyDescent="0.3">
      <c r="A287" s="216"/>
      <c r="B287" s="219" t="s">
        <v>92</v>
      </c>
      <c r="C287" s="220"/>
      <c r="D287" s="220"/>
      <c r="E287" s="220"/>
      <c r="F287" s="224" t="s">
        <v>98</v>
      </c>
      <c r="G287" s="220"/>
      <c r="H287" s="219" t="s">
        <v>100</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335</v>
      </c>
      <c r="C288" s="220"/>
      <c r="D288" s="220"/>
      <c r="E288" s="220"/>
      <c r="F288" s="265" t="s">
        <v>151</v>
      </c>
      <c r="G288" s="220"/>
      <c r="H288" s="219" t="s">
        <v>155</v>
      </c>
      <c r="I288" s="219"/>
      <c r="J288" s="219"/>
      <c r="K288" s="227"/>
      <c r="L288" s="227"/>
      <c r="M288" s="227"/>
      <c r="N288" s="227"/>
      <c r="O288" s="227"/>
      <c r="P288" s="227"/>
      <c r="Q288" s="227"/>
      <c r="R288" s="227"/>
      <c r="S288" s="227"/>
      <c r="T288" s="227"/>
      <c r="U288" s="227"/>
      <c r="V288" s="227"/>
      <c r="W288" s="227"/>
      <c r="X288" s="5"/>
    </row>
    <row r="289" spans="1:24" ht="15.6" x14ac:dyDescent="0.3">
      <c r="A289" s="216"/>
      <c r="B289" s="219" t="s">
        <v>336</v>
      </c>
      <c r="C289" s="219"/>
      <c r="D289" s="219"/>
      <c r="E289" s="219"/>
      <c r="F289" s="265" t="s">
        <v>282</v>
      </c>
      <c r="G289" s="219"/>
      <c r="H289" s="219" t="s">
        <v>283</v>
      </c>
      <c r="I289" s="227"/>
      <c r="J289" s="219"/>
      <c r="K289" s="227"/>
      <c r="L289" s="227"/>
      <c r="M289" s="227"/>
      <c r="N289" s="227"/>
      <c r="O289" s="227"/>
      <c r="P289" s="227"/>
      <c r="Q289" s="227"/>
      <c r="R289" s="227"/>
      <c r="S289" s="227"/>
      <c r="T289" s="227"/>
      <c r="U289" s="227"/>
      <c r="V289" s="227"/>
      <c r="W289" s="227"/>
      <c r="X289" s="5"/>
    </row>
    <row r="290" spans="1:24" ht="15.6" x14ac:dyDescent="0.3">
      <c r="A290" s="216"/>
      <c r="B290" s="219" t="s">
        <v>337</v>
      </c>
      <c r="C290" s="219"/>
      <c r="D290" s="219"/>
      <c r="E290" s="219"/>
      <c r="F290" s="265" t="s">
        <v>150</v>
      </c>
      <c r="G290" s="219"/>
      <c r="H290" s="219" t="s">
        <v>156</v>
      </c>
      <c r="I290" s="219"/>
      <c r="J290" s="219"/>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5.6" x14ac:dyDescent="0.3">
      <c r="A292" s="216"/>
      <c r="B292" s="219"/>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ht="18" thickBot="1" x14ac:dyDescent="0.35">
      <c r="A293" s="216"/>
      <c r="B293" s="267" t="str">
        <f>B198</f>
        <v>PM13 INVESTOR REPORT QUARTER ENDING MARCH 2015</v>
      </c>
      <c r="C293" s="219"/>
      <c r="D293" s="219"/>
      <c r="E293" s="219"/>
      <c r="F293" s="219"/>
      <c r="G293" s="266"/>
      <c r="H293" s="227"/>
      <c r="I293" s="227"/>
      <c r="J293" s="227"/>
      <c r="K293" s="227"/>
      <c r="L293" s="227"/>
      <c r="M293" s="227"/>
      <c r="N293" s="227"/>
      <c r="O293" s="227"/>
      <c r="P293" s="227"/>
      <c r="Q293" s="227"/>
      <c r="R293" s="227"/>
      <c r="S293" s="227"/>
      <c r="T293" s="227"/>
      <c r="U293" s="227"/>
      <c r="V293" s="227"/>
      <c r="W293" s="227"/>
      <c r="X293" s="5"/>
    </row>
    <row r="294" spans="1:24" x14ac:dyDescent="0.25">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row>
  </sheetData>
  <hyperlinks>
    <hyperlink ref="P234" r:id="rId1" xr:uid="{00000000-0004-0000-2100-000000000000}"/>
    <hyperlink ref="I9" r:id="rId2" xr:uid="{00000000-0004-0000-2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2" man="1"/>
    <brk id="138" max="22" man="1"/>
    <brk id="198" max="22" man="1"/>
  </rowBreaks>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89CB31"/>
  </sheetPr>
  <dimension ref="A1:Z294"/>
  <sheetViews>
    <sheetView showGridLines="0" showOutlineSymbols="0" topLeftCell="A13"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0.65049999999999997</v>
      </c>
      <c r="T16" s="224" t="s">
        <v>143</v>
      </c>
      <c r="U16" s="223">
        <v>0.34939999999999999</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42207</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395"/>
      <c r="B22" s="396"/>
      <c r="C22" s="397"/>
      <c r="D22" s="397" t="s">
        <v>180</v>
      </c>
      <c r="E22" s="397"/>
      <c r="F22" s="397" t="s">
        <v>181</v>
      </c>
      <c r="G22" s="397"/>
      <c r="H22" s="397" t="s">
        <v>182</v>
      </c>
      <c r="I22" s="397"/>
      <c r="J22" s="397" t="s">
        <v>223</v>
      </c>
      <c r="K22" s="397"/>
      <c r="L22" s="397" t="s">
        <v>183</v>
      </c>
      <c r="M22" s="397"/>
      <c r="N22" s="397" t="s">
        <v>184</v>
      </c>
      <c r="O22" s="397"/>
      <c r="P22" s="397" t="s">
        <v>224</v>
      </c>
      <c r="Q22" s="397"/>
      <c r="R22" s="397" t="s">
        <v>185</v>
      </c>
      <c r="S22" s="398"/>
      <c r="T22" s="398"/>
      <c r="U22" s="399"/>
      <c r="V22" s="399"/>
      <c r="W22" s="396"/>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323</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347</v>
      </c>
      <c r="E27" s="389"/>
      <c r="F27" s="389" t="s">
        <v>168</v>
      </c>
      <c r="G27" s="389"/>
      <c r="H27" s="389" t="s">
        <v>168</v>
      </c>
      <c r="I27" s="389"/>
      <c r="J27" s="389" t="s">
        <v>168</v>
      </c>
      <c r="K27" s="389"/>
      <c r="L27" s="389" t="s">
        <v>324</v>
      </c>
      <c r="M27" s="389"/>
      <c r="N27" s="389" t="s">
        <v>324</v>
      </c>
      <c r="O27" s="389"/>
      <c r="P27" s="389" t="s">
        <v>349</v>
      </c>
      <c r="Q27" s="389"/>
      <c r="R27" s="389" t="s">
        <v>349</v>
      </c>
      <c r="S27" s="273"/>
      <c r="T27" s="280"/>
      <c r="U27" s="274"/>
      <c r="V27" s="274"/>
      <c r="W27" s="275"/>
      <c r="X27" s="5"/>
    </row>
    <row r="28" spans="1:24" ht="15.6" x14ac:dyDescent="0.3">
      <c r="A28" s="271"/>
      <c r="B28" s="279" t="s">
        <v>195</v>
      </c>
      <c r="C28" s="273"/>
      <c r="D28" s="389" t="s">
        <v>319</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838964.25</v>
      </c>
      <c r="E32" s="282"/>
      <c r="F32" s="283">
        <f>F31*F38</f>
        <v>69913.925000000003</v>
      </c>
      <c r="G32" s="283"/>
      <c r="H32" s="288">
        <f>H31*H38</f>
        <v>176183.09100000001</v>
      </c>
      <c r="I32" s="288"/>
      <c r="J32" s="287">
        <f>J31*J38</f>
        <v>195758.32500000001</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291">
        <f>D37*D31</f>
        <v>824163.9</v>
      </c>
      <c r="E33" s="286"/>
      <c r="F33" s="289">
        <f>F37*F31</f>
        <v>68680.574999999997</v>
      </c>
      <c r="G33" s="289"/>
      <c r="H33" s="292">
        <f>H31*H37</f>
        <v>173075.04899999997</v>
      </c>
      <c r="I33" s="292"/>
      <c r="J33" s="291">
        <f>J37*J31</f>
        <v>192304.91</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446257.38938400004</v>
      </c>
      <c r="E35" s="282"/>
      <c r="F35" s="283">
        <f>F34*F38</f>
        <v>69913.925000000003</v>
      </c>
      <c r="G35" s="283"/>
      <c r="H35" s="283">
        <f>H34*H38</f>
        <v>118243.4637626</v>
      </c>
      <c r="I35" s="283"/>
      <c r="J35" s="283">
        <f>J34*J38</f>
        <v>104126.649615</v>
      </c>
      <c r="K35" s="283"/>
      <c r="L35" s="283">
        <f>L34*L38</f>
        <v>56000</v>
      </c>
      <c r="M35" s="283"/>
      <c r="N35" s="283">
        <f>N34*N38</f>
        <v>56376</v>
      </c>
      <c r="O35" s="283"/>
      <c r="P35" s="283">
        <f>P34*P38</f>
        <v>13000</v>
      </c>
      <c r="Q35" s="283"/>
      <c r="R35" s="283">
        <f>R34*R38</f>
        <v>54363</v>
      </c>
      <c r="S35" s="283"/>
      <c r="T35" s="283"/>
      <c r="U35" s="284"/>
      <c r="V35" s="283">
        <f>SUM(C35:R35)+1</f>
        <v>918281.4277616</v>
      </c>
      <c r="W35" s="285"/>
      <c r="X35" s="5"/>
    </row>
    <row r="36" spans="1:24" ht="15.6" x14ac:dyDescent="0.3">
      <c r="A36" s="276"/>
      <c r="B36" s="279" t="s">
        <v>304</v>
      </c>
      <c r="C36" s="286"/>
      <c r="D36" s="289">
        <f>D34*D37</f>
        <v>438384.86614719999</v>
      </c>
      <c r="E36" s="286"/>
      <c r="F36" s="289">
        <f>F34*F37</f>
        <v>68680.574999999997</v>
      </c>
      <c r="G36" s="289"/>
      <c r="H36" s="289">
        <f>H34*H37</f>
        <v>116157.5334414</v>
      </c>
      <c r="I36" s="289"/>
      <c r="J36" s="289">
        <f>J34*J37</f>
        <v>102289.728842</v>
      </c>
      <c r="K36" s="289"/>
      <c r="L36" s="289">
        <v>56000</v>
      </c>
      <c r="M36" s="289"/>
      <c r="N36" s="289">
        <v>56376</v>
      </c>
      <c r="O36" s="289"/>
      <c r="P36" s="289">
        <v>13000</v>
      </c>
      <c r="Q36" s="289"/>
      <c r="R36" s="289">
        <v>54363</v>
      </c>
      <c r="S36" s="314"/>
      <c r="T36" s="314"/>
      <c r="U36" s="284"/>
      <c r="V36" s="289">
        <f>SUM(C36:R36)</f>
        <v>905251.7034306</v>
      </c>
      <c r="W36" s="285"/>
      <c r="X36" s="5"/>
    </row>
    <row r="37" spans="1:24" ht="15.6" x14ac:dyDescent="0.3">
      <c r="A37" s="271"/>
      <c r="B37" s="297" t="s">
        <v>133</v>
      </c>
      <c r="C37" s="298"/>
      <c r="D37" s="299">
        <v>0.5494426</v>
      </c>
      <c r="E37" s="300"/>
      <c r="F37" s="299">
        <v>0.54944459999999995</v>
      </c>
      <c r="G37" s="301"/>
      <c r="H37" s="299">
        <v>0.54944459999999995</v>
      </c>
      <c r="I37" s="301"/>
      <c r="J37" s="299">
        <v>0.5494426</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0.55930950000000001</v>
      </c>
      <c r="E38" s="300"/>
      <c r="F38" s="299">
        <v>0.55931140000000001</v>
      </c>
      <c r="G38" s="301"/>
      <c r="H38" s="299">
        <v>0.55931140000000001</v>
      </c>
      <c r="I38" s="301"/>
      <c r="J38" s="299">
        <v>0.55930950000000001</v>
      </c>
      <c r="K38" s="301"/>
      <c r="L38" s="299">
        <v>1</v>
      </c>
      <c r="M38" s="301"/>
      <c r="N38" s="299">
        <v>1</v>
      </c>
      <c r="O38" s="301"/>
      <c r="P38" s="299">
        <v>1</v>
      </c>
      <c r="Q38" s="301"/>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4.2550000000000001E-3</v>
      </c>
      <c r="E40" s="272"/>
      <c r="F40" s="308">
        <v>8.1212999999999997E-3</v>
      </c>
      <c r="G40" s="307"/>
      <c r="H40" s="308">
        <v>2.5100000000000001E-3</v>
      </c>
      <c r="I40" s="308"/>
      <c r="J40" s="308">
        <v>4.5529999999999998E-3</v>
      </c>
      <c r="K40" s="307"/>
      <c r="L40" s="308">
        <v>9.7213000000000004E-3</v>
      </c>
      <c r="M40" s="307"/>
      <c r="N40" s="308">
        <v>3.9100000000000003E-3</v>
      </c>
      <c r="O40" s="307"/>
      <c r="P40" s="308">
        <v>1.3721300000000001E-2</v>
      </c>
      <c r="Q40" s="307"/>
      <c r="R40" s="308">
        <v>7.9100000000000004E-3</v>
      </c>
      <c r="S40" s="307"/>
      <c r="T40" s="308"/>
      <c r="U40" s="274"/>
      <c r="V40" s="280"/>
      <c r="W40" s="275"/>
      <c r="X40" s="5"/>
    </row>
    <row r="41" spans="1:24" ht="15.6" x14ac:dyDescent="0.3">
      <c r="A41" s="271"/>
      <c r="B41" s="272" t="s">
        <v>13</v>
      </c>
      <c r="C41" s="272"/>
      <c r="D41" s="308">
        <v>4.1450000000000002E-3</v>
      </c>
      <c r="E41" s="272"/>
      <c r="F41" s="308">
        <v>7.9968999999999995E-3</v>
      </c>
      <c r="G41" s="307"/>
      <c r="H41" s="308">
        <v>3.1099999999999999E-3</v>
      </c>
      <c r="I41" s="308"/>
      <c r="J41" s="308">
        <v>4.333E-3</v>
      </c>
      <c r="K41" s="307"/>
      <c r="L41" s="308">
        <v>9.5969000000000002E-3</v>
      </c>
      <c r="M41" s="307"/>
      <c r="N41" s="308">
        <v>4.5100000000000001E-3</v>
      </c>
      <c r="O41" s="307"/>
      <c r="P41" s="308">
        <v>1.35969E-2</v>
      </c>
      <c r="Q41" s="307"/>
      <c r="R41" s="308">
        <v>8.5100000000000002E-3</v>
      </c>
      <c r="S41" s="307"/>
      <c r="T41" s="308"/>
      <c r="U41" s="274"/>
      <c r="V41" s="307" t="s">
        <v>196</v>
      </c>
      <c r="W41" s="275"/>
      <c r="X41" s="5"/>
    </row>
    <row r="42" spans="1:24" ht="15.6" x14ac:dyDescent="0.3">
      <c r="A42" s="271"/>
      <c r="B42" s="272" t="s">
        <v>300</v>
      </c>
      <c r="C42" s="272"/>
      <c r="D42" s="280" t="s">
        <v>327</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v>8.4832999999999992E-3</v>
      </c>
      <c r="E43" s="308"/>
      <c r="F43" s="308">
        <f>+F40</f>
        <v>8.1212999999999997E-3</v>
      </c>
      <c r="G43" s="308"/>
      <c r="H43" s="308">
        <v>8.3653000000000009E-3</v>
      </c>
      <c r="I43" s="308"/>
      <c r="J43" s="308">
        <v>8.2012999999999999E-3</v>
      </c>
      <c r="K43" s="308"/>
      <c r="L43" s="308">
        <f>+L40</f>
        <v>9.7213000000000004E-3</v>
      </c>
      <c r="M43" s="308"/>
      <c r="N43" s="308">
        <v>9.9013E-3</v>
      </c>
      <c r="O43" s="308"/>
      <c r="P43" s="308">
        <f>+P40</f>
        <v>1.3721300000000001E-2</v>
      </c>
      <c r="Q43" s="307"/>
      <c r="R43" s="308">
        <v>1.41213E-2</v>
      </c>
      <c r="S43" s="280"/>
      <c r="T43" s="280"/>
      <c r="U43" s="274"/>
      <c r="V43" s="307">
        <f>SUMPRODUCT(D43:R43,D35:R35)/V35</f>
        <v>8.9790390840891188E-3</v>
      </c>
      <c r="W43" s="275"/>
      <c r="X43" s="5"/>
    </row>
    <row r="44" spans="1:24" ht="15.6" x14ac:dyDescent="0.3">
      <c r="A44" s="271"/>
      <c r="B44" s="272" t="s">
        <v>302</v>
      </c>
      <c r="C44" s="309"/>
      <c r="D44" s="308">
        <v>8.3589000000000007E-3</v>
      </c>
      <c r="E44" s="308"/>
      <c r="F44" s="308">
        <f>+F41</f>
        <v>7.9968999999999995E-3</v>
      </c>
      <c r="G44" s="308"/>
      <c r="H44" s="308">
        <v>8.2409000000000007E-3</v>
      </c>
      <c r="I44" s="308"/>
      <c r="J44" s="308">
        <v>8.0768999999999997E-3</v>
      </c>
      <c r="K44" s="308"/>
      <c r="L44" s="308">
        <f>+L41</f>
        <v>9.5969000000000002E-3</v>
      </c>
      <c r="M44" s="308"/>
      <c r="N44" s="308">
        <v>9.7768999999999998E-3</v>
      </c>
      <c r="O44" s="308"/>
      <c r="P44" s="308">
        <f>+P41</f>
        <v>1.35969E-2</v>
      </c>
      <c r="Q44" s="307"/>
      <c r="R44" s="308">
        <v>1.39969E-2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328</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0.24774066553225171</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205</v>
      </c>
      <c r="C54" s="272"/>
      <c r="D54" s="272"/>
      <c r="E54" s="272"/>
      <c r="F54" s="272"/>
      <c r="G54" s="272"/>
      <c r="H54" s="272"/>
      <c r="I54" s="272"/>
      <c r="J54" s="272"/>
      <c r="K54" s="272"/>
      <c r="L54" s="272"/>
      <c r="M54" s="272"/>
      <c r="N54" s="272"/>
      <c r="O54" s="272"/>
      <c r="P54" s="272"/>
      <c r="Q54" s="272"/>
      <c r="R54" s="272"/>
      <c r="S54" s="272"/>
      <c r="T54" s="272"/>
      <c r="U54" s="272"/>
      <c r="V54" s="314" t="s">
        <v>206</v>
      </c>
      <c r="W54" s="275"/>
      <c r="X54" s="5"/>
    </row>
    <row r="55" spans="1:25" ht="15.6" x14ac:dyDescent="0.3">
      <c r="A55" s="271"/>
      <c r="B55" s="272" t="s">
        <v>236</v>
      </c>
      <c r="C55" s="272"/>
      <c r="D55" s="272"/>
      <c r="E55" s="272"/>
      <c r="F55" s="272"/>
      <c r="G55" s="272"/>
      <c r="H55" s="272"/>
      <c r="I55" s="272"/>
      <c r="J55" s="272"/>
      <c r="K55" s="272"/>
      <c r="L55" s="272"/>
      <c r="M55" s="272"/>
      <c r="N55" s="272"/>
      <c r="O55" s="272"/>
      <c r="P55" s="272"/>
      <c r="Q55" s="272"/>
      <c r="R55" s="272"/>
      <c r="S55" s="272"/>
      <c r="T55" s="280"/>
      <c r="U55" s="280"/>
      <c r="V55" s="315" t="s">
        <v>114</v>
      </c>
      <c r="W55" s="275"/>
      <c r="X55" s="5"/>
    </row>
    <row r="56" spans="1:25" ht="15.6" x14ac:dyDescent="0.3">
      <c r="A56" s="271"/>
      <c r="B56" s="279" t="s">
        <v>204</v>
      </c>
      <c r="C56" s="279"/>
      <c r="D56" s="279"/>
      <c r="E56" s="279"/>
      <c r="F56" s="279"/>
      <c r="G56" s="279"/>
      <c r="H56" s="279"/>
      <c r="I56" s="279"/>
      <c r="J56" s="279"/>
      <c r="K56" s="279"/>
      <c r="L56" s="279"/>
      <c r="M56" s="279"/>
      <c r="N56" s="279"/>
      <c r="O56" s="279"/>
      <c r="P56" s="279"/>
      <c r="Q56" s="279"/>
      <c r="R56" s="279"/>
      <c r="S56" s="279"/>
      <c r="T56" s="316"/>
      <c r="U56" s="316"/>
      <c r="V56" s="317">
        <v>42200</v>
      </c>
      <c r="W56" s="275"/>
      <c r="X56" s="5"/>
    </row>
    <row r="57" spans="1:25" ht="15.6" x14ac:dyDescent="0.3">
      <c r="A57" s="271"/>
      <c r="B57" s="272" t="s">
        <v>124</v>
      </c>
      <c r="C57" s="272"/>
      <c r="D57" s="272"/>
      <c r="E57" s="272"/>
      <c r="F57" s="272"/>
      <c r="G57" s="272"/>
      <c r="H57" s="318"/>
      <c r="I57" s="318"/>
      <c r="J57" s="318"/>
      <c r="K57" s="318"/>
      <c r="L57" s="318"/>
      <c r="M57" s="318"/>
      <c r="N57" s="318"/>
      <c r="O57" s="318"/>
      <c r="P57" s="318"/>
      <c r="Q57" s="318"/>
      <c r="R57" s="272">
        <f>+V57-T57+1</f>
        <v>90</v>
      </c>
      <c r="S57" s="318"/>
      <c r="T57" s="319">
        <v>42019</v>
      </c>
      <c r="U57" s="320"/>
      <c r="V57" s="319">
        <v>42108</v>
      </c>
      <c r="W57" s="275"/>
      <c r="X57" s="5"/>
    </row>
    <row r="58" spans="1:25" ht="15.6" x14ac:dyDescent="0.3">
      <c r="A58" s="271"/>
      <c r="B58" s="272" t="s">
        <v>125</v>
      </c>
      <c r="C58" s="272"/>
      <c r="D58" s="272"/>
      <c r="E58" s="272"/>
      <c r="F58" s="272"/>
      <c r="G58" s="272"/>
      <c r="H58" s="272"/>
      <c r="I58" s="272"/>
      <c r="J58" s="272"/>
      <c r="K58" s="272"/>
      <c r="L58" s="272"/>
      <c r="M58" s="272"/>
      <c r="N58" s="272"/>
      <c r="O58" s="272"/>
      <c r="P58" s="272"/>
      <c r="Q58" s="272"/>
      <c r="R58" s="272">
        <f>+V58-T58+1</f>
        <v>91</v>
      </c>
      <c r="S58" s="272"/>
      <c r="T58" s="319">
        <v>42109</v>
      </c>
      <c r="U58" s="320"/>
      <c r="V58" s="319">
        <v>42199</v>
      </c>
      <c r="W58" s="275"/>
      <c r="X58" s="5"/>
    </row>
    <row r="59" spans="1:25" ht="15.6" x14ac:dyDescent="0.3">
      <c r="A59" s="271"/>
      <c r="B59" s="272" t="s">
        <v>235</v>
      </c>
      <c r="C59" s="272"/>
      <c r="D59" s="272"/>
      <c r="E59" s="272"/>
      <c r="F59" s="272"/>
      <c r="G59" s="272"/>
      <c r="H59" s="272"/>
      <c r="I59" s="272"/>
      <c r="J59" s="272"/>
      <c r="K59" s="272"/>
      <c r="L59" s="272"/>
      <c r="M59" s="272"/>
      <c r="N59" s="272"/>
      <c r="O59" s="272"/>
      <c r="P59" s="272"/>
      <c r="Q59" s="272"/>
      <c r="R59" s="272"/>
      <c r="S59" s="272"/>
      <c r="T59" s="319"/>
      <c r="U59" s="320"/>
      <c r="V59" s="319" t="s">
        <v>123</v>
      </c>
      <c r="W59" s="275"/>
      <c r="X59" s="5"/>
    </row>
    <row r="60" spans="1:25" ht="15.6" x14ac:dyDescent="0.3">
      <c r="A60" s="271"/>
      <c r="B60" s="272" t="s">
        <v>234</v>
      </c>
      <c r="C60" s="272"/>
      <c r="D60" s="272"/>
      <c r="E60" s="272"/>
      <c r="F60" s="272"/>
      <c r="G60" s="272"/>
      <c r="H60" s="272"/>
      <c r="I60" s="272"/>
      <c r="J60" s="272"/>
      <c r="K60" s="272"/>
      <c r="L60" s="272"/>
      <c r="M60" s="272"/>
      <c r="N60" s="272"/>
      <c r="O60" s="272"/>
      <c r="P60" s="272"/>
      <c r="Q60" s="272"/>
      <c r="R60" s="272"/>
      <c r="S60" s="272"/>
      <c r="T60" s="319"/>
      <c r="U60" s="320"/>
      <c r="V60" s="319" t="s">
        <v>157</v>
      </c>
      <c r="W60" s="275"/>
      <c r="X60" s="5"/>
      <c r="Y60" s="134"/>
    </row>
    <row r="61" spans="1:25" ht="15.6" x14ac:dyDescent="0.3">
      <c r="A61" s="271"/>
      <c r="B61" s="272" t="s">
        <v>16</v>
      </c>
      <c r="C61" s="272"/>
      <c r="D61" s="272"/>
      <c r="E61" s="272"/>
      <c r="F61" s="272"/>
      <c r="G61" s="272"/>
      <c r="H61" s="272"/>
      <c r="I61" s="272"/>
      <c r="J61" s="272"/>
      <c r="K61" s="272"/>
      <c r="L61" s="272"/>
      <c r="M61" s="272"/>
      <c r="N61" s="272"/>
      <c r="O61" s="272"/>
      <c r="P61" s="272"/>
      <c r="Q61" s="272"/>
      <c r="R61" s="272"/>
      <c r="S61" s="272"/>
      <c r="T61" s="319"/>
      <c r="U61" s="320"/>
      <c r="V61" s="319">
        <v>42186</v>
      </c>
      <c r="W61" s="275"/>
      <c r="X61" s="5"/>
    </row>
    <row r="62" spans="1:25" ht="15.6" x14ac:dyDescent="0.3">
      <c r="A62" s="175"/>
      <c r="B62" s="268"/>
      <c r="C62" s="268"/>
      <c r="D62" s="268"/>
      <c r="E62" s="268"/>
      <c r="F62" s="268"/>
      <c r="G62" s="268"/>
      <c r="H62" s="268"/>
      <c r="I62" s="268"/>
      <c r="J62" s="268"/>
      <c r="K62" s="268"/>
      <c r="L62" s="268"/>
      <c r="M62" s="268"/>
      <c r="N62" s="268"/>
      <c r="O62" s="268"/>
      <c r="P62" s="268"/>
      <c r="Q62" s="268"/>
      <c r="R62" s="268"/>
      <c r="S62" s="268"/>
      <c r="T62" s="269"/>
      <c r="U62" s="270"/>
      <c r="V62" s="269"/>
      <c r="W62" s="268"/>
      <c r="X62" s="5"/>
    </row>
    <row r="63" spans="1:25" ht="15.6" x14ac:dyDescent="0.3">
      <c r="A63" s="175"/>
      <c r="B63" s="220"/>
      <c r="C63" s="220"/>
      <c r="D63" s="220"/>
      <c r="E63" s="220"/>
      <c r="F63" s="220"/>
      <c r="G63" s="220"/>
      <c r="H63" s="220"/>
      <c r="I63" s="220"/>
      <c r="J63" s="220"/>
      <c r="K63" s="220"/>
      <c r="L63" s="220"/>
      <c r="M63" s="220"/>
      <c r="N63" s="220"/>
      <c r="O63" s="220"/>
      <c r="P63" s="220"/>
      <c r="Q63" s="220"/>
      <c r="R63" s="220"/>
      <c r="S63" s="220"/>
      <c r="T63" s="232"/>
      <c r="U63" s="233"/>
      <c r="V63" s="232"/>
      <c r="W63" s="220"/>
      <c r="X63" s="5"/>
    </row>
    <row r="64" spans="1:25" ht="18" thickBot="1" x14ac:dyDescent="0.35">
      <c r="A64" s="194"/>
      <c r="B64" s="234" t="s">
        <v>346</v>
      </c>
      <c r="C64" s="235"/>
      <c r="D64" s="235"/>
      <c r="E64" s="235"/>
      <c r="F64" s="235"/>
      <c r="G64" s="235"/>
      <c r="H64" s="235"/>
      <c r="I64" s="235"/>
      <c r="J64" s="235"/>
      <c r="K64" s="235"/>
      <c r="L64" s="235"/>
      <c r="M64" s="235"/>
      <c r="N64" s="235"/>
      <c r="O64" s="235"/>
      <c r="P64" s="235"/>
      <c r="Q64" s="235"/>
      <c r="R64" s="235"/>
      <c r="S64" s="235"/>
      <c r="T64" s="235"/>
      <c r="U64" s="235"/>
      <c r="V64" s="236"/>
      <c r="W64" s="237"/>
      <c r="X64" s="5"/>
    </row>
    <row r="65" spans="1:24" ht="15.6" x14ac:dyDescent="0.3">
      <c r="A65" s="239"/>
      <c r="B65" s="253" t="s">
        <v>17</v>
      </c>
      <c r="C65" s="240"/>
      <c r="D65" s="240"/>
      <c r="E65" s="240"/>
      <c r="F65" s="240"/>
      <c r="G65" s="240"/>
      <c r="H65" s="240"/>
      <c r="I65" s="240"/>
      <c r="J65" s="240"/>
      <c r="K65" s="240"/>
      <c r="L65" s="240"/>
      <c r="M65" s="240"/>
      <c r="N65" s="240"/>
      <c r="O65" s="240"/>
      <c r="P65" s="240"/>
      <c r="Q65" s="240"/>
      <c r="R65" s="240"/>
      <c r="S65" s="240"/>
      <c r="T65" s="240"/>
      <c r="U65" s="240"/>
      <c r="V65" s="241"/>
      <c r="W65" s="240"/>
      <c r="X65" s="5"/>
    </row>
    <row r="66" spans="1:24" ht="15.6" x14ac:dyDescent="0.3">
      <c r="A66" s="175"/>
      <c r="B66" s="183"/>
      <c r="C66" s="177"/>
      <c r="D66" s="177"/>
      <c r="E66" s="177"/>
      <c r="F66" s="177"/>
      <c r="G66" s="177"/>
      <c r="H66" s="177"/>
      <c r="I66" s="177"/>
      <c r="J66" s="177"/>
      <c r="K66" s="177"/>
      <c r="L66" s="177"/>
      <c r="M66" s="177"/>
      <c r="N66" s="177"/>
      <c r="O66" s="177"/>
      <c r="P66" s="177"/>
      <c r="Q66" s="177"/>
      <c r="R66" s="177"/>
      <c r="S66" s="177"/>
      <c r="T66" s="177"/>
      <c r="U66" s="177"/>
      <c r="V66" s="196"/>
      <c r="W66" s="177"/>
      <c r="X66" s="5"/>
    </row>
    <row r="67" spans="1:24" ht="46.8" x14ac:dyDescent="0.3">
      <c r="A67" s="175"/>
      <c r="B67" s="197" t="s">
        <v>18</v>
      </c>
      <c r="C67" s="198"/>
      <c r="D67" s="198"/>
      <c r="E67" s="198"/>
      <c r="F67" s="198"/>
      <c r="G67" s="198"/>
      <c r="H67" s="198"/>
      <c r="I67" s="198"/>
      <c r="J67" s="198"/>
      <c r="K67" s="198"/>
      <c r="L67" s="198" t="s">
        <v>95</v>
      </c>
      <c r="M67" s="198"/>
      <c r="N67" s="198" t="s">
        <v>97</v>
      </c>
      <c r="O67" s="198"/>
      <c r="P67" s="198" t="s">
        <v>99</v>
      </c>
      <c r="Q67" s="198"/>
      <c r="R67" s="198" t="s">
        <v>101</v>
      </c>
      <c r="S67" s="198"/>
      <c r="T67" s="198" t="s">
        <v>108</v>
      </c>
      <c r="U67" s="198"/>
      <c r="V67" s="199" t="s">
        <v>115</v>
      </c>
      <c r="W67" s="200"/>
      <c r="X67" s="5"/>
    </row>
    <row r="68" spans="1:24" ht="15.6" x14ac:dyDescent="0.3">
      <c r="A68" s="271"/>
      <c r="B68" s="272" t="s">
        <v>19</v>
      </c>
      <c r="C68" s="324"/>
      <c r="D68" s="324"/>
      <c r="E68" s="324"/>
      <c r="F68" s="324"/>
      <c r="G68" s="324"/>
      <c r="H68" s="324"/>
      <c r="I68" s="324"/>
      <c r="J68" s="324"/>
      <c r="K68" s="324"/>
      <c r="L68" s="324">
        <f>1085286</f>
        <v>1085286</v>
      </c>
      <c r="M68" s="324"/>
      <c r="N68" s="325">
        <v>918281</v>
      </c>
      <c r="O68" s="324"/>
      <c r="P68" s="324">
        <f>13029+294+39</f>
        <v>13362</v>
      </c>
      <c r="Q68" s="324"/>
      <c r="R68" s="324">
        <f>294+39</f>
        <v>333</v>
      </c>
      <c r="S68" s="324"/>
      <c r="T68" s="324">
        <v>0</v>
      </c>
      <c r="U68" s="324"/>
      <c r="V68" s="325">
        <f>+N68-P68+R68-T68</f>
        <v>905252</v>
      </c>
      <c r="W68" s="275"/>
      <c r="X68" s="5"/>
    </row>
    <row r="69" spans="1:24" ht="15.6" x14ac:dyDescent="0.3">
      <c r="A69" s="271"/>
      <c r="B69" s="272" t="s">
        <v>20</v>
      </c>
      <c r="C69" s="324"/>
      <c r="D69" s="324"/>
      <c r="E69" s="324"/>
      <c r="F69" s="324"/>
      <c r="G69" s="324"/>
      <c r="H69" s="324"/>
      <c r="I69" s="324"/>
      <c r="J69" s="324"/>
      <c r="K69" s="324"/>
      <c r="L69" s="324">
        <v>35</v>
      </c>
      <c r="M69" s="324"/>
      <c r="N69" s="325">
        <v>0</v>
      </c>
      <c r="O69" s="324"/>
      <c r="P69" s="324">
        <v>0</v>
      </c>
      <c r="Q69" s="324"/>
      <c r="R69" s="324">
        <v>0</v>
      </c>
      <c r="S69" s="324"/>
      <c r="T69" s="324">
        <v>0</v>
      </c>
      <c r="U69" s="324"/>
      <c r="V69" s="325">
        <f>+N69-P69</f>
        <v>0</v>
      </c>
      <c r="W69" s="275"/>
      <c r="X69" s="5"/>
    </row>
    <row r="70" spans="1:24" ht="15.6" x14ac:dyDescent="0.3">
      <c r="A70" s="271"/>
      <c r="B70" s="272"/>
      <c r="C70" s="324"/>
      <c r="D70" s="324"/>
      <c r="E70" s="324"/>
      <c r="F70" s="324"/>
      <c r="G70" s="324"/>
      <c r="H70" s="324"/>
      <c r="I70" s="324"/>
      <c r="J70" s="324"/>
      <c r="K70" s="324"/>
      <c r="L70" s="324"/>
      <c r="M70" s="324"/>
      <c r="N70" s="325"/>
      <c r="O70" s="324"/>
      <c r="P70" s="324"/>
      <c r="Q70" s="324"/>
      <c r="R70" s="324"/>
      <c r="S70" s="324"/>
      <c r="T70" s="324"/>
      <c r="U70" s="324"/>
      <c r="V70" s="325"/>
      <c r="W70" s="275"/>
      <c r="X70" s="5"/>
    </row>
    <row r="71" spans="1:24" ht="15.6" x14ac:dyDescent="0.3">
      <c r="A71" s="271"/>
      <c r="B71" s="272" t="s">
        <v>21</v>
      </c>
      <c r="C71" s="324"/>
      <c r="D71" s="324"/>
      <c r="E71" s="324"/>
      <c r="F71" s="324"/>
      <c r="G71" s="324"/>
      <c r="H71" s="324"/>
      <c r="I71" s="324"/>
      <c r="J71" s="324"/>
      <c r="K71" s="324"/>
      <c r="L71" s="324">
        <f>SUM(L68:L70)</f>
        <v>1085321</v>
      </c>
      <c r="M71" s="324"/>
      <c r="N71" s="324">
        <f>N68+N69</f>
        <v>918281</v>
      </c>
      <c r="O71" s="324"/>
      <c r="P71" s="324">
        <f>SUM(P68:P70)</f>
        <v>13362</v>
      </c>
      <c r="Q71" s="324"/>
      <c r="R71" s="324">
        <f>SUM(R68:R70)</f>
        <v>333</v>
      </c>
      <c r="S71" s="324"/>
      <c r="T71" s="324">
        <f>SUM(T68:T70)</f>
        <v>0</v>
      </c>
      <c r="U71" s="324"/>
      <c r="V71" s="324">
        <f>SUM(V68:V70)</f>
        <v>905252</v>
      </c>
      <c r="W71" s="275"/>
      <c r="X71" s="5"/>
    </row>
    <row r="72" spans="1:24" ht="15.6" x14ac:dyDescent="0.3">
      <c r="A72" s="175"/>
      <c r="B72" s="321"/>
      <c r="C72" s="322"/>
      <c r="D72" s="322"/>
      <c r="E72" s="322"/>
      <c r="F72" s="322"/>
      <c r="G72" s="322"/>
      <c r="H72" s="322"/>
      <c r="I72" s="322"/>
      <c r="J72" s="322"/>
      <c r="K72" s="322"/>
      <c r="L72" s="322"/>
      <c r="M72" s="322"/>
      <c r="N72" s="322"/>
      <c r="O72" s="322"/>
      <c r="P72" s="322"/>
      <c r="Q72" s="322"/>
      <c r="R72" s="322"/>
      <c r="S72" s="322"/>
      <c r="T72" s="322"/>
      <c r="U72" s="322"/>
      <c r="V72" s="323"/>
      <c r="W72" s="321"/>
      <c r="X72" s="5"/>
    </row>
    <row r="73" spans="1:24" ht="15.6" x14ac:dyDescent="0.3">
      <c r="A73" s="175"/>
      <c r="B73" s="179" t="s">
        <v>22</v>
      </c>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175"/>
      <c r="B74" s="177"/>
      <c r="C74" s="201"/>
      <c r="D74" s="201"/>
      <c r="E74" s="201"/>
      <c r="F74" s="201"/>
      <c r="G74" s="201"/>
      <c r="H74" s="201"/>
      <c r="I74" s="201"/>
      <c r="J74" s="201"/>
      <c r="K74" s="201"/>
      <c r="L74" s="201"/>
      <c r="M74" s="201"/>
      <c r="N74" s="201"/>
      <c r="O74" s="201"/>
      <c r="P74" s="201"/>
      <c r="Q74" s="201"/>
      <c r="R74" s="201"/>
      <c r="S74" s="201"/>
      <c r="T74" s="201"/>
      <c r="U74" s="201"/>
      <c r="V74" s="202"/>
      <c r="W74" s="177"/>
      <c r="X74" s="5"/>
    </row>
    <row r="75" spans="1:24" ht="15.6" x14ac:dyDescent="0.3">
      <c r="A75" s="271"/>
      <c r="B75" s="272" t="s">
        <v>19</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t="s">
        <v>20</v>
      </c>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t="s">
        <v>21</v>
      </c>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c r="C79" s="324"/>
      <c r="D79" s="324"/>
      <c r="E79" s="324"/>
      <c r="F79" s="324"/>
      <c r="G79" s="324"/>
      <c r="H79" s="324"/>
      <c r="I79" s="324"/>
      <c r="J79" s="324"/>
      <c r="K79" s="324"/>
      <c r="L79" s="324"/>
      <c r="M79" s="324"/>
      <c r="N79" s="324"/>
      <c r="O79" s="324"/>
      <c r="P79" s="324"/>
      <c r="Q79" s="324"/>
      <c r="R79" s="324"/>
      <c r="S79" s="324"/>
      <c r="T79" s="324"/>
      <c r="U79" s="324"/>
      <c r="V79" s="324"/>
      <c r="W79" s="275"/>
      <c r="X79" s="5"/>
    </row>
    <row r="80" spans="1:24" ht="15.6" x14ac:dyDescent="0.3">
      <c r="A80" s="271"/>
      <c r="B80" s="272" t="s">
        <v>23</v>
      </c>
      <c r="C80" s="324"/>
      <c r="D80" s="324"/>
      <c r="E80" s="324"/>
      <c r="F80" s="324"/>
      <c r="G80" s="324"/>
      <c r="H80" s="324"/>
      <c r="I80" s="324"/>
      <c r="J80" s="324"/>
      <c r="K80" s="324"/>
      <c r="L80" s="324">
        <v>0</v>
      </c>
      <c r="M80" s="324"/>
      <c r="N80" s="324">
        <v>0</v>
      </c>
      <c r="O80" s="324"/>
      <c r="P80" s="324"/>
      <c r="Q80" s="324"/>
      <c r="R80" s="324"/>
      <c r="S80" s="324"/>
      <c r="T80" s="324"/>
      <c r="U80" s="324"/>
      <c r="V80" s="325">
        <v>0</v>
      </c>
      <c r="W80" s="275"/>
      <c r="X80" s="5"/>
    </row>
    <row r="81" spans="1:24" ht="15.6" x14ac:dyDescent="0.3">
      <c r="A81" s="271"/>
      <c r="B81" s="272" t="s">
        <v>120</v>
      </c>
      <c r="C81" s="324"/>
      <c r="D81" s="324"/>
      <c r="E81" s="324"/>
      <c r="F81" s="324"/>
      <c r="G81" s="324"/>
      <c r="H81" s="324"/>
      <c r="I81" s="324"/>
      <c r="J81" s="324"/>
      <c r="K81" s="324"/>
      <c r="L81" s="324">
        <f>414862+7</f>
        <v>414869</v>
      </c>
      <c r="M81" s="324"/>
      <c r="N81" s="324">
        <v>0</v>
      </c>
      <c r="O81" s="324"/>
      <c r="P81" s="324">
        <v>0</v>
      </c>
      <c r="Q81" s="324"/>
      <c r="R81" s="324"/>
      <c r="S81" s="324"/>
      <c r="T81" s="324"/>
      <c r="U81" s="324"/>
      <c r="V81" s="324">
        <f>SUM(N81:R81)</f>
        <v>0</v>
      </c>
      <c r="W81" s="275"/>
      <c r="X81" s="5"/>
    </row>
    <row r="82" spans="1:24" ht="15.6" x14ac:dyDescent="0.3">
      <c r="A82" s="271"/>
      <c r="B82" s="272" t="s">
        <v>149</v>
      </c>
      <c r="C82" s="324"/>
      <c r="D82" s="324"/>
      <c r="E82" s="324"/>
      <c r="F82" s="324"/>
      <c r="G82" s="324"/>
      <c r="H82" s="324"/>
      <c r="I82" s="324"/>
      <c r="J82" s="324"/>
      <c r="K82" s="324"/>
      <c r="L82" s="324">
        <v>0</v>
      </c>
      <c r="M82" s="324"/>
      <c r="N82" s="324">
        <v>0</v>
      </c>
      <c r="O82" s="324"/>
      <c r="P82" s="324">
        <v>0</v>
      </c>
      <c r="Q82" s="324"/>
      <c r="R82" s="324"/>
      <c r="S82" s="324"/>
      <c r="T82" s="324"/>
      <c r="U82" s="324"/>
      <c r="V82" s="324">
        <f>+N82+P82</f>
        <v>0</v>
      </c>
      <c r="W82" s="275"/>
      <c r="X82" s="5"/>
    </row>
    <row r="83" spans="1:24" ht="15.6" x14ac:dyDescent="0.3">
      <c r="A83" s="271"/>
      <c r="B83" s="272" t="s">
        <v>25</v>
      </c>
      <c r="C83" s="324"/>
      <c r="D83" s="324"/>
      <c r="E83" s="324"/>
      <c r="F83" s="324"/>
      <c r="G83" s="324"/>
      <c r="H83" s="324"/>
      <c r="I83" s="324"/>
      <c r="J83" s="324"/>
      <c r="K83" s="324"/>
      <c r="L83" s="324">
        <v>0</v>
      </c>
      <c r="M83" s="324"/>
      <c r="N83" s="324">
        <v>0</v>
      </c>
      <c r="O83" s="324"/>
      <c r="P83" s="324"/>
      <c r="Q83" s="324"/>
      <c r="R83" s="324"/>
      <c r="S83" s="324"/>
      <c r="T83" s="324"/>
      <c r="U83" s="324"/>
      <c r="V83" s="324">
        <v>0</v>
      </c>
      <c r="W83" s="275"/>
      <c r="X83" s="5"/>
    </row>
    <row r="84" spans="1:24" ht="15.6" x14ac:dyDescent="0.3">
      <c r="A84" s="326"/>
      <c r="B84" s="327" t="s">
        <v>26</v>
      </c>
      <c r="C84" s="328"/>
      <c r="D84" s="328"/>
      <c r="E84" s="328"/>
      <c r="F84" s="328"/>
      <c r="G84" s="328"/>
      <c r="H84" s="328"/>
      <c r="I84" s="328"/>
      <c r="J84" s="328"/>
      <c r="K84" s="328"/>
      <c r="L84" s="328">
        <f>SUM(L71:L83)</f>
        <v>1500190</v>
      </c>
      <c r="M84" s="328"/>
      <c r="N84" s="328">
        <f>SUM(N71:N83)</f>
        <v>918281</v>
      </c>
      <c r="O84" s="328"/>
      <c r="P84" s="328"/>
      <c r="Q84" s="328"/>
      <c r="R84" s="328"/>
      <c r="S84" s="328"/>
      <c r="T84" s="328"/>
      <c r="U84" s="328"/>
      <c r="V84" s="328">
        <f>SUM(V71:V83)</f>
        <v>905252</v>
      </c>
      <c r="W84" s="329"/>
      <c r="X84" s="5"/>
    </row>
    <row r="85" spans="1:24" ht="15.6" x14ac:dyDescent="0.3">
      <c r="A85" s="192"/>
      <c r="B85" s="229"/>
      <c r="C85" s="231"/>
      <c r="D85" s="231"/>
      <c r="E85" s="231"/>
      <c r="F85" s="231"/>
      <c r="G85" s="231"/>
      <c r="H85" s="231"/>
      <c r="I85" s="231"/>
      <c r="J85" s="231"/>
      <c r="K85" s="231"/>
      <c r="L85" s="231"/>
      <c r="M85" s="231"/>
      <c r="N85" s="231"/>
      <c r="O85" s="231"/>
      <c r="P85" s="231"/>
      <c r="Q85" s="231"/>
      <c r="R85" s="231"/>
      <c r="S85" s="231"/>
      <c r="T85" s="231"/>
      <c r="U85" s="231"/>
      <c r="V85" s="231"/>
      <c r="W85" s="229"/>
      <c r="X85" s="5"/>
    </row>
    <row r="86" spans="1:24" ht="15.6" x14ac:dyDescent="0.3">
      <c r="A86" s="175"/>
      <c r="B86" s="220"/>
      <c r="C86" s="220"/>
      <c r="D86" s="220"/>
      <c r="E86" s="220"/>
      <c r="F86" s="220"/>
      <c r="G86" s="220"/>
      <c r="H86" s="220"/>
      <c r="I86" s="220"/>
      <c r="J86" s="220"/>
      <c r="K86" s="220"/>
      <c r="L86" s="220"/>
      <c r="M86" s="220"/>
      <c r="N86" s="220"/>
      <c r="O86" s="220"/>
      <c r="P86" s="220"/>
      <c r="Q86" s="220"/>
      <c r="R86" s="220"/>
      <c r="S86" s="220"/>
      <c r="T86" s="220"/>
      <c r="U86" s="220"/>
      <c r="V86" s="220"/>
      <c r="W86" s="220"/>
      <c r="X86" s="5"/>
    </row>
    <row r="87" spans="1:24" ht="15.6" x14ac:dyDescent="0.3">
      <c r="A87" s="239"/>
      <c r="B87" s="253" t="s">
        <v>27</v>
      </c>
      <c r="C87" s="253"/>
      <c r="D87" s="253"/>
      <c r="E87" s="253"/>
      <c r="F87" s="253"/>
      <c r="G87" s="253"/>
      <c r="H87" s="254"/>
      <c r="I87" s="254"/>
      <c r="J87" s="254"/>
      <c r="K87" s="254"/>
      <c r="L87" s="330" t="s">
        <v>96</v>
      </c>
      <c r="M87" s="254"/>
      <c r="N87" s="331">
        <f>+T199</f>
        <v>42185</v>
      </c>
      <c r="O87" s="254"/>
      <c r="P87" s="254"/>
      <c r="Q87" s="254"/>
      <c r="R87" s="254"/>
      <c r="S87" s="254"/>
      <c r="T87" s="254" t="s">
        <v>109</v>
      </c>
      <c r="U87" s="254"/>
      <c r="V87" s="254" t="s">
        <v>116</v>
      </c>
      <c r="W87" s="240"/>
      <c r="X87" s="5"/>
    </row>
    <row r="88" spans="1:24" ht="15.6" x14ac:dyDescent="0.3">
      <c r="A88" s="271"/>
      <c r="B88" s="272" t="s">
        <v>28</v>
      </c>
      <c r="C88" s="272"/>
      <c r="D88" s="272"/>
      <c r="E88" s="272"/>
      <c r="F88" s="272"/>
      <c r="G88" s="272"/>
      <c r="H88" s="272"/>
      <c r="I88" s="272"/>
      <c r="J88" s="272"/>
      <c r="K88" s="272"/>
      <c r="L88" s="272"/>
      <c r="M88" s="272"/>
      <c r="N88" s="272"/>
      <c r="O88" s="272"/>
      <c r="P88" s="272"/>
      <c r="Q88" s="272"/>
      <c r="R88" s="272"/>
      <c r="S88" s="272"/>
      <c r="T88" s="324">
        <v>0</v>
      </c>
      <c r="U88" s="272"/>
      <c r="V88" s="325">
        <v>0</v>
      </c>
      <c r="W88" s="275"/>
      <c r="X88" s="5"/>
    </row>
    <row r="89" spans="1:24" ht="15.6" x14ac:dyDescent="0.3">
      <c r="A89" s="271"/>
      <c r="B89" s="272" t="s">
        <v>29</v>
      </c>
      <c r="C89" s="272"/>
      <c r="D89" s="272"/>
      <c r="E89" s="272"/>
      <c r="F89" s="272"/>
      <c r="G89" s="272"/>
      <c r="H89" s="311"/>
      <c r="I89" s="311"/>
      <c r="J89" s="311"/>
      <c r="K89" s="333"/>
      <c r="L89" s="311"/>
      <c r="M89" s="272"/>
      <c r="N89" s="334"/>
      <c r="O89" s="272"/>
      <c r="P89" s="272"/>
      <c r="Q89" s="272"/>
      <c r="R89" s="272"/>
      <c r="S89" s="272"/>
      <c r="T89" s="324">
        <f>13362-468</f>
        <v>12894</v>
      </c>
      <c r="U89" s="272"/>
      <c r="V89" s="325"/>
      <c r="W89" s="275"/>
      <c r="X89" s="5"/>
    </row>
    <row r="90" spans="1:24" ht="15.6" x14ac:dyDescent="0.3">
      <c r="A90" s="271"/>
      <c r="B90" s="272" t="s">
        <v>219</v>
      </c>
      <c r="C90" s="272"/>
      <c r="D90" s="272"/>
      <c r="E90" s="272"/>
      <c r="F90" s="272"/>
      <c r="G90" s="272"/>
      <c r="H90" s="311"/>
      <c r="I90" s="311"/>
      <c r="J90" s="311"/>
      <c r="K90" s="333"/>
      <c r="L90" s="311"/>
      <c r="M90" s="272"/>
      <c r="N90" s="334"/>
      <c r="O90" s="272"/>
      <c r="P90" s="272"/>
      <c r="Q90" s="272"/>
      <c r="R90" s="272"/>
      <c r="S90" s="272"/>
      <c r="T90" s="324"/>
      <c r="U90" s="272"/>
      <c r="V90" s="325">
        <f>4363+2835-897-886</f>
        <v>5415</v>
      </c>
      <c r="W90" s="275"/>
      <c r="X90" s="5"/>
    </row>
    <row r="91" spans="1:24" ht="15.6" x14ac:dyDescent="0.3">
      <c r="A91" s="271"/>
      <c r="B91" s="272" t="s">
        <v>214</v>
      </c>
      <c r="C91" s="272"/>
      <c r="D91" s="272"/>
      <c r="E91" s="272"/>
      <c r="F91" s="272"/>
      <c r="G91" s="272"/>
      <c r="H91" s="311"/>
      <c r="I91" s="311"/>
      <c r="J91" s="311"/>
      <c r="K91" s="333"/>
      <c r="L91" s="311"/>
      <c r="M91" s="272"/>
      <c r="N91" s="334"/>
      <c r="O91" s="272"/>
      <c r="P91" s="272"/>
      <c r="Q91" s="272"/>
      <c r="R91" s="272"/>
      <c r="S91" s="272"/>
      <c r="T91" s="324"/>
      <c r="U91" s="272"/>
      <c r="V91" s="325">
        <f>223+28</f>
        <v>251</v>
      </c>
      <c r="W91" s="275"/>
      <c r="X91" s="5"/>
    </row>
    <row r="92" spans="1:24" ht="15.6" x14ac:dyDescent="0.3">
      <c r="A92" s="271"/>
      <c r="B92" s="272" t="s">
        <v>215</v>
      </c>
      <c r="C92" s="272"/>
      <c r="D92" s="272"/>
      <c r="E92" s="272"/>
      <c r="F92" s="272"/>
      <c r="G92" s="272"/>
      <c r="H92" s="311"/>
      <c r="I92" s="311"/>
      <c r="J92" s="311"/>
      <c r="K92" s="333"/>
      <c r="L92" s="311"/>
      <c r="M92" s="272"/>
      <c r="N92" s="334"/>
      <c r="O92" s="272"/>
      <c r="P92" s="272"/>
      <c r="Q92" s="272"/>
      <c r="R92" s="272"/>
      <c r="S92" s="272"/>
      <c r="T92" s="324"/>
      <c r="U92" s="272"/>
      <c r="V92" s="325">
        <v>36</v>
      </c>
      <c r="W92" s="275"/>
      <c r="X92" s="5"/>
    </row>
    <row r="93" spans="1:24" ht="15.6" x14ac:dyDescent="0.3">
      <c r="A93" s="271"/>
      <c r="B93" s="272" t="s">
        <v>277</v>
      </c>
      <c r="C93" s="272"/>
      <c r="D93" s="272"/>
      <c r="E93" s="272"/>
      <c r="F93" s="272"/>
      <c r="G93" s="272"/>
      <c r="H93" s="311"/>
      <c r="I93" s="311"/>
      <c r="J93" s="311"/>
      <c r="K93" s="333"/>
      <c r="L93" s="311"/>
      <c r="M93" s="272"/>
      <c r="N93" s="334"/>
      <c r="O93" s="272"/>
      <c r="P93" s="272"/>
      <c r="Q93" s="272"/>
      <c r="R93" s="272"/>
      <c r="S93" s="272"/>
      <c r="T93" s="324"/>
      <c r="U93" s="272"/>
      <c r="V93" s="325">
        <v>0</v>
      </c>
      <c r="W93" s="275"/>
      <c r="X93" s="5"/>
    </row>
    <row r="94" spans="1:24" ht="15.6" x14ac:dyDescent="0.3">
      <c r="A94" s="271"/>
      <c r="B94" s="272" t="s">
        <v>138</v>
      </c>
      <c r="C94" s="272"/>
      <c r="D94" s="272"/>
      <c r="E94" s="272"/>
      <c r="F94" s="272"/>
      <c r="G94" s="272"/>
      <c r="H94" s="272"/>
      <c r="I94" s="272"/>
      <c r="J94" s="272"/>
      <c r="K94" s="272"/>
      <c r="L94" s="272"/>
      <c r="M94" s="272"/>
      <c r="N94" s="272"/>
      <c r="O94" s="272"/>
      <c r="P94" s="272"/>
      <c r="Q94" s="272"/>
      <c r="R94" s="272"/>
      <c r="S94" s="272"/>
      <c r="T94" s="324"/>
      <c r="U94" s="272"/>
      <c r="V94" s="325">
        <v>0</v>
      </c>
      <c r="W94" s="275"/>
      <c r="X94" s="5"/>
    </row>
    <row r="95" spans="1:24" ht="15.6" x14ac:dyDescent="0.3">
      <c r="A95" s="271"/>
      <c r="B95" s="272" t="s">
        <v>265</v>
      </c>
      <c r="C95" s="272"/>
      <c r="D95" s="272"/>
      <c r="E95" s="272"/>
      <c r="F95" s="272"/>
      <c r="G95" s="272"/>
      <c r="H95" s="272"/>
      <c r="I95" s="272"/>
      <c r="J95" s="272"/>
      <c r="K95" s="272"/>
      <c r="L95" s="272"/>
      <c r="M95" s="272"/>
      <c r="N95" s="272"/>
      <c r="O95" s="272"/>
      <c r="P95" s="272"/>
      <c r="Q95" s="272"/>
      <c r="R95" s="272"/>
      <c r="S95" s="272"/>
      <c r="T95" s="324"/>
      <c r="U95" s="272"/>
      <c r="V95" s="325">
        <v>359</v>
      </c>
      <c r="W95" s="275"/>
      <c r="X95" s="5"/>
    </row>
    <row r="96" spans="1:24" ht="15.6" x14ac:dyDescent="0.3">
      <c r="A96" s="271"/>
      <c r="B96" s="272" t="s">
        <v>30</v>
      </c>
      <c r="C96" s="272"/>
      <c r="D96" s="272"/>
      <c r="E96" s="272"/>
      <c r="F96" s="272"/>
      <c r="G96" s="272"/>
      <c r="H96" s="272"/>
      <c r="I96" s="272"/>
      <c r="J96" s="272"/>
      <c r="K96" s="272"/>
      <c r="L96" s="272"/>
      <c r="M96" s="272"/>
      <c r="N96" s="272"/>
      <c r="O96" s="272"/>
      <c r="P96" s="272"/>
      <c r="Q96" s="272"/>
      <c r="R96" s="272"/>
      <c r="S96" s="272"/>
      <c r="T96" s="324">
        <f>SUM(T88:T95)</f>
        <v>12894</v>
      </c>
      <c r="U96" s="272"/>
      <c r="V96" s="324">
        <f>SUM(V88:V95)</f>
        <v>6061</v>
      </c>
      <c r="W96" s="275"/>
      <c r="X96" s="5"/>
    </row>
    <row r="97" spans="1:26" ht="15.6" x14ac:dyDescent="0.3">
      <c r="A97" s="271"/>
      <c r="B97" s="272" t="s">
        <v>164</v>
      </c>
      <c r="C97" s="272"/>
      <c r="D97" s="272"/>
      <c r="E97" s="272"/>
      <c r="F97" s="272"/>
      <c r="G97" s="272"/>
      <c r="H97" s="272"/>
      <c r="I97" s="272"/>
      <c r="J97" s="272"/>
      <c r="K97" s="272"/>
      <c r="L97" s="272"/>
      <c r="M97" s="272"/>
      <c r="N97" s="272"/>
      <c r="O97" s="272"/>
      <c r="P97" s="272"/>
      <c r="Q97" s="272"/>
      <c r="R97" s="272"/>
      <c r="S97" s="272"/>
      <c r="T97" s="324">
        <f>-V97</f>
        <v>0</v>
      </c>
      <c r="U97" s="272"/>
      <c r="V97" s="324">
        <v>0</v>
      </c>
      <c r="W97" s="275"/>
      <c r="X97" s="5"/>
    </row>
    <row r="98" spans="1:26" ht="15.6" x14ac:dyDescent="0.3">
      <c r="A98" s="271"/>
      <c r="B98" s="272" t="s">
        <v>31</v>
      </c>
      <c r="C98" s="272"/>
      <c r="D98" s="272"/>
      <c r="E98" s="272"/>
      <c r="F98" s="272"/>
      <c r="G98" s="272"/>
      <c r="H98" s="272"/>
      <c r="I98" s="272"/>
      <c r="J98" s="272"/>
      <c r="K98" s="272"/>
      <c r="L98" s="272"/>
      <c r="M98" s="272"/>
      <c r="N98" s="272"/>
      <c r="O98" s="272"/>
      <c r="P98" s="272"/>
      <c r="Q98" s="272"/>
      <c r="R98" s="272"/>
      <c r="S98" s="272"/>
      <c r="T98" s="324">
        <f>-V98</f>
        <v>0</v>
      </c>
      <c r="U98" s="272"/>
      <c r="V98" s="325">
        <v>0</v>
      </c>
      <c r="W98" s="275"/>
      <c r="X98" s="5"/>
    </row>
    <row r="99" spans="1:26" ht="15.6" x14ac:dyDescent="0.3">
      <c r="A99" s="271"/>
      <c r="B99" s="272" t="s">
        <v>288</v>
      </c>
      <c r="C99" s="272"/>
      <c r="D99" s="272"/>
      <c r="E99" s="272"/>
      <c r="F99" s="272"/>
      <c r="G99" s="272"/>
      <c r="H99" s="272"/>
      <c r="I99" s="272"/>
      <c r="J99" s="272"/>
      <c r="K99" s="272"/>
      <c r="L99" s="272"/>
      <c r="M99" s="272"/>
      <c r="N99" s="272"/>
      <c r="O99" s="272"/>
      <c r="P99" s="272"/>
      <c r="Q99" s="272"/>
      <c r="R99" s="272"/>
      <c r="S99" s="272"/>
      <c r="T99" s="324"/>
      <c r="U99" s="272"/>
      <c r="V99" s="325">
        <v>254</v>
      </c>
      <c r="W99" s="275"/>
      <c r="X99" s="5"/>
    </row>
    <row r="100" spans="1:26" ht="15.6" x14ac:dyDescent="0.3">
      <c r="A100" s="271"/>
      <c r="B100" s="272" t="s">
        <v>32</v>
      </c>
      <c r="C100" s="272"/>
      <c r="D100" s="272"/>
      <c r="E100" s="272"/>
      <c r="F100" s="272"/>
      <c r="G100" s="272"/>
      <c r="H100" s="272"/>
      <c r="I100" s="272"/>
      <c r="J100" s="272"/>
      <c r="K100" s="272"/>
      <c r="L100" s="272"/>
      <c r="M100" s="272"/>
      <c r="N100" s="272"/>
      <c r="O100" s="272"/>
      <c r="P100" s="272"/>
      <c r="Q100" s="272"/>
      <c r="R100" s="272"/>
      <c r="S100" s="272"/>
      <c r="T100" s="324">
        <f>T96+T98+T97</f>
        <v>12894</v>
      </c>
      <c r="U100" s="272"/>
      <c r="V100" s="324">
        <f>V96+V98+V97+V99</f>
        <v>6315</v>
      </c>
      <c r="W100" s="275"/>
      <c r="X100" s="5"/>
    </row>
    <row r="101" spans="1:26" ht="15.6" x14ac:dyDescent="0.3">
      <c r="A101" s="271"/>
      <c r="B101" s="335" t="s">
        <v>33</v>
      </c>
      <c r="C101" s="298"/>
      <c r="D101" s="298"/>
      <c r="E101" s="298"/>
      <c r="F101" s="298"/>
      <c r="G101" s="298"/>
      <c r="H101" s="298"/>
      <c r="I101" s="298"/>
      <c r="J101" s="298"/>
      <c r="K101" s="298"/>
      <c r="L101" s="298"/>
      <c r="M101" s="298"/>
      <c r="N101" s="298"/>
      <c r="O101" s="298"/>
      <c r="P101" s="298"/>
      <c r="Q101" s="298"/>
      <c r="R101" s="298"/>
      <c r="S101" s="298"/>
      <c r="T101" s="336"/>
      <c r="U101" s="298"/>
      <c r="V101" s="337"/>
      <c r="W101" s="304"/>
      <c r="X101" s="5"/>
    </row>
    <row r="102" spans="1:26" ht="15.6" x14ac:dyDescent="0.3">
      <c r="A102" s="338">
        <v>1</v>
      </c>
      <c r="B102" s="272" t="s">
        <v>34</v>
      </c>
      <c r="C102" s="272"/>
      <c r="D102" s="272"/>
      <c r="E102" s="272"/>
      <c r="F102" s="272"/>
      <c r="G102" s="272"/>
      <c r="H102" s="272"/>
      <c r="I102" s="272"/>
      <c r="J102" s="272"/>
      <c r="K102" s="272"/>
      <c r="L102" s="272"/>
      <c r="M102" s="272"/>
      <c r="N102" s="272"/>
      <c r="O102" s="272"/>
      <c r="P102" s="272"/>
      <c r="Q102" s="272"/>
      <c r="R102" s="272"/>
      <c r="S102" s="272"/>
      <c r="T102" s="272"/>
      <c r="U102" s="272"/>
      <c r="V102" s="325">
        <v>0</v>
      </c>
      <c r="W102" s="275"/>
      <c r="X102" s="5"/>
    </row>
    <row r="103" spans="1:26" ht="15.6" x14ac:dyDescent="0.3">
      <c r="A103" s="338">
        <f>+A102+1</f>
        <v>2</v>
      </c>
      <c r="B103" s="272" t="s">
        <v>331</v>
      </c>
      <c r="C103" s="272"/>
      <c r="D103" s="272"/>
      <c r="E103" s="272"/>
      <c r="F103" s="272"/>
      <c r="G103" s="272"/>
      <c r="H103" s="272"/>
      <c r="I103" s="272"/>
      <c r="J103" s="272"/>
      <c r="K103" s="272"/>
      <c r="L103" s="272"/>
      <c r="M103" s="272"/>
      <c r="N103" s="272"/>
      <c r="O103" s="272"/>
      <c r="P103" s="272"/>
      <c r="Q103" s="272"/>
      <c r="R103" s="272"/>
      <c r="S103" s="272"/>
      <c r="T103" s="272"/>
      <c r="U103" s="272"/>
      <c r="V103" s="325">
        <f>-2</f>
        <v>-2</v>
      </c>
      <c r="W103" s="275"/>
      <c r="X103" s="5"/>
    </row>
    <row r="104" spans="1:26" ht="15.6" x14ac:dyDescent="0.3">
      <c r="A104" s="338">
        <f>+A103+1</f>
        <v>3</v>
      </c>
      <c r="B104" s="343" t="s">
        <v>332</v>
      </c>
      <c r="C104" s="272"/>
      <c r="D104" s="272"/>
      <c r="E104" s="272"/>
      <c r="F104" s="272"/>
      <c r="G104" s="272"/>
      <c r="H104" s="272"/>
      <c r="I104" s="272"/>
      <c r="J104" s="272"/>
      <c r="K104" s="272"/>
      <c r="L104" s="272"/>
      <c r="M104" s="272"/>
      <c r="N104" s="272"/>
      <c r="O104" s="272"/>
      <c r="P104" s="272"/>
      <c r="Q104" s="272"/>
      <c r="R104" s="272"/>
      <c r="S104" s="272"/>
      <c r="T104" s="272"/>
      <c r="U104" s="272"/>
      <c r="V104" s="325">
        <f>-348-186-12</f>
        <v>-546</v>
      </c>
      <c r="W104" s="275"/>
      <c r="X104" s="5"/>
    </row>
    <row r="105" spans="1:26" ht="15.6" x14ac:dyDescent="0.3">
      <c r="A105" s="338" t="s">
        <v>130</v>
      </c>
      <c r="B105" s="272" t="s">
        <v>119</v>
      </c>
      <c r="C105" s="272"/>
      <c r="D105" s="272"/>
      <c r="E105" s="272"/>
      <c r="F105" s="272"/>
      <c r="G105" s="272"/>
      <c r="H105" s="272"/>
      <c r="I105" s="272"/>
      <c r="J105" s="272"/>
      <c r="K105" s="272"/>
      <c r="L105" s="272"/>
      <c r="M105" s="272"/>
      <c r="N105" s="272"/>
      <c r="O105" s="272"/>
      <c r="P105" s="272"/>
      <c r="Q105" s="272"/>
      <c r="R105" s="272"/>
      <c r="S105" s="272"/>
      <c r="T105" s="272"/>
      <c r="U105" s="272"/>
      <c r="V105" s="325">
        <v>0</v>
      </c>
      <c r="W105" s="275"/>
      <c r="X105" s="5"/>
    </row>
    <row r="106" spans="1:26" ht="15.6" x14ac:dyDescent="0.3">
      <c r="A106" s="338" t="s">
        <v>131</v>
      </c>
      <c r="B106" s="272" t="s">
        <v>228</v>
      </c>
      <c r="C106" s="272"/>
      <c r="D106" s="272"/>
      <c r="E106" s="272"/>
      <c r="F106" s="272"/>
      <c r="G106" s="272"/>
      <c r="H106" s="272"/>
      <c r="I106" s="272"/>
      <c r="J106" s="272"/>
      <c r="K106" s="272"/>
      <c r="L106" s="272"/>
      <c r="M106" s="272"/>
      <c r="N106" s="272"/>
      <c r="O106" s="272"/>
      <c r="P106" s="272"/>
      <c r="Q106" s="272"/>
      <c r="R106" s="272"/>
      <c r="S106" s="272"/>
      <c r="T106" s="272"/>
      <c r="U106" s="272"/>
      <c r="V106" s="325">
        <f>-1545+142</f>
        <v>-1403</v>
      </c>
      <c r="W106" s="275"/>
      <c r="X106" s="5"/>
      <c r="Y106" s="109"/>
      <c r="Z106" s="109"/>
    </row>
    <row r="107" spans="1:26" ht="15.6" x14ac:dyDescent="0.3">
      <c r="A107" s="338" t="s">
        <v>153</v>
      </c>
      <c r="B107" s="272" t="s">
        <v>187</v>
      </c>
      <c r="C107" s="272"/>
      <c r="D107" s="272"/>
      <c r="E107" s="272"/>
      <c r="F107" s="272"/>
      <c r="G107" s="272"/>
      <c r="H107" s="272"/>
      <c r="I107" s="272"/>
      <c r="J107" s="272"/>
      <c r="K107" s="272"/>
      <c r="L107" s="272"/>
      <c r="M107" s="272"/>
      <c r="N107" s="272"/>
      <c r="O107" s="272"/>
      <c r="P107" s="272"/>
      <c r="Q107" s="272"/>
      <c r="R107" s="272"/>
      <c r="S107" s="272"/>
      <c r="T107" s="272"/>
      <c r="U107" s="272"/>
      <c r="V107" s="325">
        <v>-142</v>
      </c>
      <c r="W107" s="275"/>
      <c r="X107" s="5"/>
      <c r="Y107" s="109"/>
    </row>
    <row r="108" spans="1:26" ht="15.6" x14ac:dyDescent="0.3">
      <c r="A108" s="338" t="s">
        <v>266</v>
      </c>
      <c r="B108" s="272" t="s">
        <v>269</v>
      </c>
      <c r="C108" s="272"/>
      <c r="D108" s="272"/>
      <c r="E108" s="272"/>
      <c r="F108" s="272"/>
      <c r="G108" s="272"/>
      <c r="H108" s="272"/>
      <c r="I108" s="272"/>
      <c r="J108" s="272"/>
      <c r="K108" s="272"/>
      <c r="L108" s="272"/>
      <c r="M108" s="272"/>
      <c r="N108" s="272"/>
      <c r="O108" s="272"/>
      <c r="P108" s="272"/>
      <c r="Q108" s="272"/>
      <c r="R108" s="272"/>
      <c r="S108" s="272"/>
      <c r="T108" s="272"/>
      <c r="U108" s="272"/>
      <c r="V108" s="325">
        <v>0</v>
      </c>
      <c r="W108" s="275"/>
      <c r="X108" s="5"/>
    </row>
    <row r="109" spans="1:26" ht="15.6" x14ac:dyDescent="0.3">
      <c r="A109" s="338" t="s">
        <v>208</v>
      </c>
      <c r="B109" s="272" t="s">
        <v>188</v>
      </c>
      <c r="C109" s="272"/>
      <c r="D109" s="272"/>
      <c r="E109" s="272"/>
      <c r="F109" s="272"/>
      <c r="G109" s="272"/>
      <c r="H109" s="272"/>
      <c r="I109" s="272"/>
      <c r="J109" s="272"/>
      <c r="K109" s="272"/>
      <c r="L109" s="272"/>
      <c r="M109" s="272"/>
      <c r="N109" s="272"/>
      <c r="O109" s="272"/>
      <c r="P109" s="272"/>
      <c r="Q109" s="272"/>
      <c r="R109" s="272"/>
      <c r="S109" s="272"/>
      <c r="T109" s="272"/>
      <c r="U109" s="272"/>
      <c r="V109" s="325">
        <v>-139</v>
      </c>
      <c r="W109" s="275"/>
      <c r="X109" s="5"/>
      <c r="Y109" s="109"/>
    </row>
    <row r="110" spans="1:26" ht="15.6" x14ac:dyDescent="0.3">
      <c r="A110" s="338" t="s">
        <v>209</v>
      </c>
      <c r="B110" s="272" t="s">
        <v>189</v>
      </c>
      <c r="C110" s="272"/>
      <c r="D110" s="272"/>
      <c r="E110" s="272"/>
      <c r="F110" s="272"/>
      <c r="G110" s="272"/>
      <c r="H110" s="272"/>
      <c r="I110" s="272"/>
      <c r="J110" s="272"/>
      <c r="K110" s="272"/>
      <c r="L110" s="272"/>
      <c r="M110" s="272"/>
      <c r="N110" s="272"/>
      <c r="O110" s="272"/>
      <c r="P110" s="272"/>
      <c r="Q110" s="272"/>
      <c r="R110" s="272"/>
      <c r="S110" s="272"/>
      <c r="T110" s="272"/>
      <c r="U110" s="272"/>
      <c r="V110" s="325">
        <v>-136</v>
      </c>
      <c r="W110" s="275"/>
      <c r="X110" s="5"/>
      <c r="Y110" s="109"/>
    </row>
    <row r="111" spans="1:26" ht="15.6" x14ac:dyDescent="0.3">
      <c r="A111" s="338" t="s">
        <v>210</v>
      </c>
      <c r="B111" s="272" t="s">
        <v>199</v>
      </c>
      <c r="C111" s="272"/>
      <c r="D111" s="272"/>
      <c r="E111" s="272"/>
      <c r="F111" s="272"/>
      <c r="G111" s="272"/>
      <c r="H111" s="272"/>
      <c r="I111" s="272"/>
      <c r="J111" s="272"/>
      <c r="K111" s="272"/>
      <c r="L111" s="272"/>
      <c r="M111" s="272"/>
      <c r="N111" s="272"/>
      <c r="O111" s="272"/>
      <c r="P111" s="272"/>
      <c r="Q111" s="272"/>
      <c r="R111" s="272"/>
      <c r="S111" s="272"/>
      <c r="T111" s="272"/>
      <c r="U111" s="272"/>
      <c r="V111" s="325">
        <v>-191</v>
      </c>
      <c r="W111" s="275"/>
      <c r="X111" s="5"/>
      <c r="Y111" s="109"/>
    </row>
    <row r="112" spans="1:26" ht="15.6" x14ac:dyDescent="0.3">
      <c r="A112" s="338" t="s">
        <v>230</v>
      </c>
      <c r="B112" s="272" t="s">
        <v>229</v>
      </c>
      <c r="C112" s="272"/>
      <c r="D112" s="272"/>
      <c r="E112" s="272"/>
      <c r="F112" s="272"/>
      <c r="G112" s="272"/>
      <c r="H112" s="272"/>
      <c r="I112" s="272"/>
      <c r="J112" s="272"/>
      <c r="K112" s="272"/>
      <c r="L112" s="272"/>
      <c r="M112" s="272"/>
      <c r="N112" s="272"/>
      <c r="O112" s="272"/>
      <c r="P112" s="272"/>
      <c r="Q112" s="272"/>
      <c r="R112" s="272"/>
      <c r="S112" s="272"/>
      <c r="T112" s="272"/>
      <c r="U112" s="272"/>
      <c r="V112" s="325">
        <v>-45</v>
      </c>
      <c r="W112" s="275"/>
      <c r="X112" s="5"/>
      <c r="Y112" s="109"/>
    </row>
    <row r="113" spans="1:25" ht="15.6" x14ac:dyDescent="0.3">
      <c r="A113" s="392">
        <v>7</v>
      </c>
      <c r="B113" s="343" t="s">
        <v>333</v>
      </c>
      <c r="C113" s="343"/>
      <c r="D113" s="343"/>
      <c r="E113" s="343"/>
      <c r="F113" s="343"/>
      <c r="G113" s="272"/>
      <c r="H113" s="272"/>
      <c r="I113" s="272"/>
      <c r="J113" s="272"/>
      <c r="K113" s="272"/>
      <c r="L113" s="272"/>
      <c r="M113" s="272"/>
      <c r="N113" s="272"/>
      <c r="O113" s="272"/>
      <c r="P113" s="272"/>
      <c r="Q113" s="272"/>
      <c r="R113" s="272"/>
      <c r="S113" s="272"/>
      <c r="T113" s="272"/>
      <c r="U113" s="272"/>
      <c r="V113" s="325">
        <v>0</v>
      </c>
      <c r="W113" s="275"/>
      <c r="X113" s="5"/>
      <c r="Y113" s="109"/>
    </row>
    <row r="114" spans="1:25" ht="15.6" x14ac:dyDescent="0.3">
      <c r="A114" s="338">
        <f t="shared" ref="A114:A121" si="0">+A113+1</f>
        <v>8</v>
      </c>
      <c r="B114" s="272" t="s">
        <v>35</v>
      </c>
      <c r="C114" s="272"/>
      <c r="D114" s="272"/>
      <c r="E114" s="272"/>
      <c r="F114" s="272"/>
      <c r="G114" s="272"/>
      <c r="H114" s="272"/>
      <c r="I114" s="272"/>
      <c r="J114" s="272"/>
      <c r="K114" s="272"/>
      <c r="L114" s="272"/>
      <c r="M114" s="272"/>
      <c r="N114" s="272"/>
      <c r="O114" s="272"/>
      <c r="P114" s="272"/>
      <c r="Q114" s="272"/>
      <c r="R114" s="272"/>
      <c r="S114" s="272"/>
      <c r="T114" s="272"/>
      <c r="U114" s="272"/>
      <c r="V114" s="325">
        <v>-10</v>
      </c>
      <c r="W114" s="275"/>
      <c r="X114" s="5"/>
    </row>
    <row r="115" spans="1:25" ht="15.6" x14ac:dyDescent="0.3">
      <c r="A115" s="338">
        <f t="shared" si="0"/>
        <v>9</v>
      </c>
      <c r="B115" s="272" t="s">
        <v>45</v>
      </c>
      <c r="C115" s="272"/>
      <c r="D115" s="272"/>
      <c r="E115" s="272"/>
      <c r="F115" s="272"/>
      <c r="G115" s="272"/>
      <c r="H115" s="272"/>
      <c r="I115" s="272"/>
      <c r="J115" s="272"/>
      <c r="K115" s="272"/>
      <c r="L115" s="272"/>
      <c r="M115" s="272"/>
      <c r="N115" s="272"/>
      <c r="O115" s="272"/>
      <c r="P115" s="272"/>
      <c r="Q115" s="272"/>
      <c r="R115" s="272"/>
      <c r="S115" s="272"/>
      <c r="T115" s="324">
        <f>-V115</f>
        <v>468</v>
      </c>
      <c r="U115" s="272"/>
      <c r="V115" s="325">
        <v>-468</v>
      </c>
      <c r="W115" s="275"/>
      <c r="X115" s="5"/>
    </row>
    <row r="116" spans="1:25" ht="15.6" x14ac:dyDescent="0.3">
      <c r="A116" s="338">
        <f t="shared" si="0"/>
        <v>10</v>
      </c>
      <c r="B116" s="272" t="s">
        <v>128</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5" ht="15.6" x14ac:dyDescent="0.3">
      <c r="A117" s="338">
        <f t="shared" si="0"/>
        <v>11</v>
      </c>
      <c r="B117" s="272" t="s">
        <v>271</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5" ht="15.6" x14ac:dyDescent="0.3">
      <c r="A118" s="338">
        <f t="shared" si="0"/>
        <v>12</v>
      </c>
      <c r="B118" s="272" t="s">
        <v>36</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5" ht="15.6" x14ac:dyDescent="0.3">
      <c r="A119" s="338">
        <f t="shared" si="0"/>
        <v>13</v>
      </c>
      <c r="B119" s="272" t="s">
        <v>270</v>
      </c>
      <c r="C119" s="272"/>
      <c r="D119" s="272"/>
      <c r="E119" s="272"/>
      <c r="F119" s="272"/>
      <c r="G119" s="272"/>
      <c r="H119" s="272"/>
      <c r="I119" s="272"/>
      <c r="J119" s="272"/>
      <c r="K119" s="272"/>
      <c r="L119" s="272"/>
      <c r="M119" s="272"/>
      <c r="N119" s="272"/>
      <c r="O119" s="272"/>
      <c r="P119" s="272"/>
      <c r="Q119" s="272"/>
      <c r="R119" s="272"/>
      <c r="S119" s="272"/>
      <c r="T119" s="272"/>
      <c r="U119" s="272"/>
      <c r="V119" s="325">
        <v>0</v>
      </c>
      <c r="W119" s="275"/>
      <c r="X119" s="5"/>
    </row>
    <row r="120" spans="1:25" ht="15.6" x14ac:dyDescent="0.3">
      <c r="A120" s="338">
        <f t="shared" si="0"/>
        <v>14</v>
      </c>
      <c r="B120" s="272" t="s">
        <v>152</v>
      </c>
      <c r="C120" s="272"/>
      <c r="D120" s="272"/>
      <c r="E120" s="272"/>
      <c r="F120" s="272"/>
      <c r="G120" s="272"/>
      <c r="H120" s="272"/>
      <c r="I120" s="272"/>
      <c r="J120" s="272"/>
      <c r="K120" s="272"/>
      <c r="L120" s="272"/>
      <c r="M120" s="272"/>
      <c r="N120" s="272"/>
      <c r="O120" s="272"/>
      <c r="P120" s="272"/>
      <c r="Q120" s="272"/>
      <c r="R120" s="272"/>
      <c r="S120" s="272"/>
      <c r="T120" s="272"/>
      <c r="U120" s="272"/>
      <c r="V120" s="325">
        <v>-348</v>
      </c>
      <c r="W120" s="275"/>
      <c r="X120" s="5"/>
    </row>
    <row r="121" spans="1:25" ht="15.6" x14ac:dyDescent="0.3">
      <c r="A121" s="338">
        <f t="shared" si="0"/>
        <v>15</v>
      </c>
      <c r="B121" s="272" t="s">
        <v>129</v>
      </c>
      <c r="C121" s="272"/>
      <c r="D121" s="272"/>
      <c r="E121" s="272"/>
      <c r="F121" s="272"/>
      <c r="G121" s="272"/>
      <c r="H121" s="272"/>
      <c r="I121" s="272"/>
      <c r="J121" s="272"/>
      <c r="K121" s="272"/>
      <c r="L121" s="272"/>
      <c r="M121" s="272"/>
      <c r="N121" s="272"/>
      <c r="O121" s="272"/>
      <c r="P121" s="272"/>
      <c r="Q121" s="272"/>
      <c r="R121" s="272"/>
      <c r="S121" s="272"/>
      <c r="T121" s="272"/>
      <c r="U121" s="272"/>
      <c r="V121" s="325">
        <f>-V100-SUM(V102:V120)</f>
        <v>-2885</v>
      </c>
      <c r="W121" s="275"/>
      <c r="X121" s="5"/>
    </row>
    <row r="122" spans="1:25" ht="15.6" x14ac:dyDescent="0.3">
      <c r="A122" s="271"/>
      <c r="B122" s="335" t="s">
        <v>37</v>
      </c>
      <c r="C122" s="298"/>
      <c r="D122" s="298"/>
      <c r="E122" s="298"/>
      <c r="F122" s="298"/>
      <c r="G122" s="298"/>
      <c r="H122" s="298"/>
      <c r="I122" s="298"/>
      <c r="J122" s="298"/>
      <c r="K122" s="298"/>
      <c r="L122" s="298"/>
      <c r="M122" s="298"/>
      <c r="N122" s="298"/>
      <c r="O122" s="298"/>
      <c r="P122" s="298"/>
      <c r="Q122" s="298"/>
      <c r="R122" s="298"/>
      <c r="S122" s="298"/>
      <c r="T122" s="298"/>
      <c r="U122" s="298"/>
      <c r="V122" s="339"/>
      <c r="W122" s="304"/>
      <c r="X122" s="5"/>
    </row>
    <row r="123" spans="1:25" ht="15.6" x14ac:dyDescent="0.3">
      <c r="A123" s="338"/>
      <c r="B123" s="272" t="s">
        <v>176</v>
      </c>
      <c r="C123" s="272"/>
      <c r="D123" s="272"/>
      <c r="E123" s="272"/>
      <c r="F123" s="272"/>
      <c r="G123" s="272"/>
      <c r="H123" s="272"/>
      <c r="I123" s="272"/>
      <c r="J123" s="272"/>
      <c r="K123" s="272"/>
      <c r="L123" s="272"/>
      <c r="M123" s="272"/>
      <c r="N123" s="272"/>
      <c r="O123" s="272"/>
      <c r="P123" s="272"/>
      <c r="Q123" s="272"/>
      <c r="R123" s="272"/>
      <c r="S123" s="272"/>
      <c r="T123" s="324">
        <f>-T183</f>
        <v>0</v>
      </c>
      <c r="U123" s="324"/>
      <c r="V123" s="325"/>
      <c r="W123" s="275"/>
      <c r="X123" s="5"/>
    </row>
    <row r="124" spans="1:25" ht="15.6" x14ac:dyDescent="0.3">
      <c r="A124" s="338"/>
      <c r="B124" s="272" t="s">
        <v>177</v>
      </c>
      <c r="C124" s="272"/>
      <c r="D124" s="272"/>
      <c r="E124" s="272"/>
      <c r="F124" s="272"/>
      <c r="G124" s="272"/>
      <c r="H124" s="272"/>
      <c r="I124" s="272"/>
      <c r="J124" s="272"/>
      <c r="K124" s="272"/>
      <c r="L124" s="272"/>
      <c r="M124" s="272"/>
      <c r="N124" s="272"/>
      <c r="O124" s="272"/>
      <c r="P124" s="272"/>
      <c r="Q124" s="272"/>
      <c r="R124" s="272"/>
      <c r="S124" s="272"/>
      <c r="T124" s="324">
        <v>-7</v>
      </c>
      <c r="U124" s="324"/>
      <c r="V124" s="325"/>
      <c r="W124" s="275"/>
      <c r="X124" s="5"/>
    </row>
    <row r="125" spans="1:25" ht="15.6" x14ac:dyDescent="0.3">
      <c r="A125" s="338"/>
      <c r="B125" s="272" t="s">
        <v>38</v>
      </c>
      <c r="C125" s="272"/>
      <c r="D125" s="272"/>
      <c r="E125" s="272"/>
      <c r="F125" s="272"/>
      <c r="G125" s="272"/>
      <c r="H125" s="272"/>
      <c r="I125" s="272"/>
      <c r="J125" s="272"/>
      <c r="K125" s="272"/>
      <c r="L125" s="272"/>
      <c r="M125" s="272"/>
      <c r="N125" s="272"/>
      <c r="O125" s="272"/>
      <c r="P125" s="272"/>
      <c r="Q125" s="272"/>
      <c r="R125" s="272"/>
      <c r="S125" s="272"/>
      <c r="T125" s="324">
        <f>-S183</f>
        <v>-326</v>
      </c>
      <c r="U125" s="324"/>
      <c r="V125" s="325"/>
      <c r="W125" s="275"/>
      <c r="X125" s="5"/>
    </row>
    <row r="126" spans="1:25" ht="15.6" x14ac:dyDescent="0.3">
      <c r="A126" s="338"/>
      <c r="B126" s="272" t="s">
        <v>200</v>
      </c>
      <c r="C126" s="272"/>
      <c r="D126" s="272"/>
      <c r="E126" s="272"/>
      <c r="F126" s="272"/>
      <c r="G126" s="272"/>
      <c r="H126" s="272"/>
      <c r="I126" s="272"/>
      <c r="J126" s="272"/>
      <c r="K126" s="272"/>
      <c r="L126" s="272"/>
      <c r="M126" s="272"/>
      <c r="N126" s="272"/>
      <c r="O126" s="272"/>
      <c r="P126" s="272"/>
      <c r="Q126" s="272"/>
      <c r="R126" s="272"/>
      <c r="S126" s="272"/>
      <c r="T126" s="324">
        <v>-7873</v>
      </c>
      <c r="U126" s="324"/>
      <c r="V126" s="325"/>
      <c r="W126" s="275"/>
      <c r="X126" s="5"/>
    </row>
    <row r="127" spans="1:25" ht="15.6" x14ac:dyDescent="0.3">
      <c r="A127" s="338"/>
      <c r="B127" s="272" t="s">
        <v>198</v>
      </c>
      <c r="C127" s="272"/>
      <c r="D127" s="272"/>
      <c r="E127" s="272"/>
      <c r="F127" s="272"/>
      <c r="G127" s="272"/>
      <c r="H127" s="272"/>
      <c r="I127" s="272"/>
      <c r="J127" s="272"/>
      <c r="K127" s="272"/>
      <c r="L127" s="272"/>
      <c r="M127" s="272"/>
      <c r="N127" s="272"/>
      <c r="O127" s="272"/>
      <c r="P127" s="272"/>
      <c r="Q127" s="272"/>
      <c r="R127" s="272"/>
      <c r="S127" s="272"/>
      <c r="T127" s="324">
        <v>-1233</v>
      </c>
      <c r="U127" s="324"/>
      <c r="V127" s="325"/>
      <c r="W127" s="275"/>
      <c r="X127" s="5"/>
    </row>
    <row r="128" spans="1:25" ht="15.6" x14ac:dyDescent="0.3">
      <c r="A128" s="338"/>
      <c r="B128" s="272" t="s">
        <v>197</v>
      </c>
      <c r="C128" s="272"/>
      <c r="D128" s="272"/>
      <c r="E128" s="272"/>
      <c r="F128" s="272"/>
      <c r="G128" s="272"/>
      <c r="H128" s="272"/>
      <c r="I128" s="272"/>
      <c r="J128" s="272"/>
      <c r="K128" s="272"/>
      <c r="L128" s="272"/>
      <c r="M128" s="272"/>
      <c r="N128" s="272"/>
      <c r="O128" s="272"/>
      <c r="P128" s="272"/>
      <c r="Q128" s="272"/>
      <c r="R128" s="272"/>
      <c r="S128" s="272"/>
      <c r="T128" s="324">
        <v>-2086</v>
      </c>
      <c r="U128" s="324"/>
      <c r="V128" s="325"/>
      <c r="W128" s="275"/>
      <c r="X128" s="5"/>
    </row>
    <row r="129" spans="1:24" ht="15.6" x14ac:dyDescent="0.3">
      <c r="A129" s="338"/>
      <c r="B129" s="272" t="s">
        <v>232</v>
      </c>
      <c r="C129" s="272"/>
      <c r="D129" s="272"/>
      <c r="E129" s="272"/>
      <c r="F129" s="272"/>
      <c r="G129" s="272"/>
      <c r="H129" s="272"/>
      <c r="I129" s="272"/>
      <c r="J129" s="272"/>
      <c r="K129" s="272"/>
      <c r="L129" s="272"/>
      <c r="M129" s="272"/>
      <c r="N129" s="272"/>
      <c r="O129" s="272"/>
      <c r="P129" s="272"/>
      <c r="Q129" s="272"/>
      <c r="R129" s="272"/>
      <c r="S129" s="272"/>
      <c r="T129" s="324">
        <v>-1837</v>
      </c>
      <c r="U129" s="324"/>
      <c r="V129" s="325"/>
      <c r="W129" s="275"/>
      <c r="X129" s="5"/>
    </row>
    <row r="130" spans="1:24" ht="15.6" x14ac:dyDescent="0.3">
      <c r="A130" s="338"/>
      <c r="B130" s="272" t="s">
        <v>192</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191</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233</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190</v>
      </c>
      <c r="C133" s="272"/>
      <c r="D133" s="272"/>
      <c r="E133" s="272"/>
      <c r="F133" s="272"/>
      <c r="G133" s="272"/>
      <c r="H133" s="272"/>
      <c r="I133" s="272"/>
      <c r="J133" s="272"/>
      <c r="K133" s="272"/>
      <c r="L133" s="272"/>
      <c r="M133" s="272"/>
      <c r="N133" s="272"/>
      <c r="O133" s="272"/>
      <c r="P133" s="272"/>
      <c r="Q133" s="272"/>
      <c r="R133" s="272"/>
      <c r="S133" s="272"/>
      <c r="T133" s="324">
        <v>0</v>
      </c>
      <c r="U133" s="324"/>
      <c r="V133" s="325"/>
      <c r="W133" s="275"/>
      <c r="X133" s="5"/>
    </row>
    <row r="134" spans="1:24" ht="15.6" x14ac:dyDescent="0.3">
      <c r="A134" s="338"/>
      <c r="B134" s="272" t="s">
        <v>39</v>
      </c>
      <c r="C134" s="272"/>
      <c r="D134" s="272"/>
      <c r="E134" s="272"/>
      <c r="F134" s="272"/>
      <c r="G134" s="272"/>
      <c r="H134" s="272"/>
      <c r="I134" s="272"/>
      <c r="J134" s="272"/>
      <c r="K134" s="272"/>
      <c r="L134" s="272"/>
      <c r="M134" s="272"/>
      <c r="N134" s="272"/>
      <c r="O134" s="272"/>
      <c r="P134" s="272"/>
      <c r="Q134" s="272"/>
      <c r="R134" s="272"/>
      <c r="S134" s="272"/>
      <c r="T134" s="324">
        <f>SUM(T123:T133)</f>
        <v>-13362</v>
      </c>
      <c r="U134" s="324"/>
      <c r="V134" s="324">
        <f>SUM(V101:V131)</f>
        <v>-6315</v>
      </c>
      <c r="W134" s="275"/>
      <c r="X134" s="5"/>
    </row>
    <row r="135" spans="1:24" ht="15.6" x14ac:dyDescent="0.3">
      <c r="A135" s="338"/>
      <c r="B135" s="272" t="s">
        <v>40</v>
      </c>
      <c r="C135" s="272"/>
      <c r="D135" s="272"/>
      <c r="E135" s="272"/>
      <c r="F135" s="272"/>
      <c r="G135" s="272"/>
      <c r="H135" s="272"/>
      <c r="I135" s="272"/>
      <c r="J135" s="272"/>
      <c r="K135" s="272"/>
      <c r="L135" s="272"/>
      <c r="M135" s="272"/>
      <c r="N135" s="272"/>
      <c r="O135" s="272"/>
      <c r="P135" s="272"/>
      <c r="Q135" s="272"/>
      <c r="R135" s="272"/>
      <c r="S135" s="272"/>
      <c r="T135" s="324">
        <f>T100+T134+T115</f>
        <v>0</v>
      </c>
      <c r="U135" s="324"/>
      <c r="V135" s="324">
        <f>V100+V134</f>
        <v>0</v>
      </c>
      <c r="W135" s="275"/>
      <c r="X135" s="5"/>
    </row>
    <row r="136" spans="1:24" ht="15.6" x14ac:dyDescent="0.3">
      <c r="A136" s="242"/>
      <c r="B136" s="268"/>
      <c r="C136" s="268"/>
      <c r="D136" s="268"/>
      <c r="E136" s="268"/>
      <c r="F136" s="268"/>
      <c r="G136" s="268"/>
      <c r="H136" s="268"/>
      <c r="I136" s="268"/>
      <c r="J136" s="268"/>
      <c r="K136" s="268"/>
      <c r="L136" s="268"/>
      <c r="M136" s="268"/>
      <c r="N136" s="268"/>
      <c r="O136" s="268"/>
      <c r="P136" s="268"/>
      <c r="Q136" s="268"/>
      <c r="R136" s="268"/>
      <c r="S136" s="268"/>
      <c r="T136" s="332"/>
      <c r="U136" s="332"/>
      <c r="V136" s="332"/>
      <c r="W136" s="268"/>
      <c r="X136" s="5"/>
    </row>
    <row r="137" spans="1:24" ht="15.6" x14ac:dyDescent="0.3">
      <c r="A137" s="242"/>
      <c r="B137" s="220"/>
      <c r="C137" s="220"/>
      <c r="D137" s="220"/>
      <c r="E137" s="220"/>
      <c r="F137" s="220"/>
      <c r="G137" s="220"/>
      <c r="H137" s="220"/>
      <c r="I137" s="220"/>
      <c r="J137" s="220"/>
      <c r="K137" s="220"/>
      <c r="L137" s="220"/>
      <c r="M137" s="220"/>
      <c r="N137" s="220"/>
      <c r="O137" s="220"/>
      <c r="P137" s="220"/>
      <c r="Q137" s="220"/>
      <c r="R137" s="220"/>
      <c r="S137" s="220"/>
      <c r="T137" s="220"/>
      <c r="U137" s="220"/>
      <c r="V137" s="243"/>
      <c r="W137" s="220"/>
      <c r="X137" s="5"/>
    </row>
    <row r="138" spans="1:24" ht="18" thickBot="1" x14ac:dyDescent="0.35">
      <c r="A138" s="244"/>
      <c r="B138" s="234" t="str">
        <f>B64</f>
        <v>PM13 INVESTOR REPORT QUARTER ENDING JUNE 2015</v>
      </c>
      <c r="C138" s="235"/>
      <c r="D138" s="235"/>
      <c r="E138" s="235"/>
      <c r="F138" s="235"/>
      <c r="G138" s="235"/>
      <c r="H138" s="235"/>
      <c r="I138" s="235"/>
      <c r="J138" s="235"/>
      <c r="K138" s="235"/>
      <c r="L138" s="235"/>
      <c r="M138" s="235"/>
      <c r="N138" s="235"/>
      <c r="O138" s="235"/>
      <c r="P138" s="235"/>
      <c r="Q138" s="235"/>
      <c r="R138" s="235"/>
      <c r="S138" s="235"/>
      <c r="T138" s="235"/>
      <c r="U138" s="235"/>
      <c r="V138" s="245"/>
      <c r="W138" s="237"/>
      <c r="X138" s="5"/>
    </row>
    <row r="139" spans="1:24" ht="15.6" x14ac:dyDescent="0.3">
      <c r="A139" s="246"/>
      <c r="B139" s="388" t="s">
        <v>41</v>
      </c>
      <c r="C139" s="247"/>
      <c r="D139" s="247"/>
      <c r="E139" s="247"/>
      <c r="F139" s="247"/>
      <c r="G139" s="247"/>
      <c r="H139" s="247"/>
      <c r="I139" s="247"/>
      <c r="J139" s="247"/>
      <c r="K139" s="247"/>
      <c r="L139" s="247"/>
      <c r="M139" s="247"/>
      <c r="N139" s="247"/>
      <c r="O139" s="247"/>
      <c r="P139" s="247"/>
      <c r="Q139" s="247"/>
      <c r="R139" s="247"/>
      <c r="S139" s="247"/>
      <c r="T139" s="247"/>
      <c r="U139" s="247"/>
      <c r="V139" s="248"/>
      <c r="W139" s="247"/>
      <c r="X139" s="5"/>
    </row>
    <row r="140" spans="1:24" ht="15.6" x14ac:dyDescent="0.3">
      <c r="A140" s="175"/>
      <c r="B140" s="186"/>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175"/>
      <c r="B141" s="203" t="s">
        <v>42</v>
      </c>
      <c r="C141" s="177"/>
      <c r="D141" s="177"/>
      <c r="E141" s="177"/>
      <c r="F141" s="177"/>
      <c r="G141" s="177"/>
      <c r="H141" s="177"/>
      <c r="I141" s="177"/>
      <c r="J141" s="177"/>
      <c r="K141" s="177"/>
      <c r="L141" s="177"/>
      <c r="M141" s="177"/>
      <c r="N141" s="177"/>
      <c r="O141" s="177"/>
      <c r="P141" s="177"/>
      <c r="Q141" s="177"/>
      <c r="R141" s="177"/>
      <c r="S141" s="177"/>
      <c r="T141" s="177"/>
      <c r="U141" s="177"/>
      <c r="V141" s="196"/>
      <c r="W141" s="177"/>
      <c r="X141" s="5"/>
    </row>
    <row r="142" spans="1:24" ht="15.6" x14ac:dyDescent="0.3">
      <c r="A142" s="271"/>
      <c r="B142" s="272" t="s">
        <v>43</v>
      </c>
      <c r="C142" s="272"/>
      <c r="D142" s="272"/>
      <c r="E142" s="272"/>
      <c r="F142" s="272"/>
      <c r="G142" s="272"/>
      <c r="H142" s="272"/>
      <c r="I142" s="272"/>
      <c r="J142" s="272"/>
      <c r="K142" s="272"/>
      <c r="L142" s="272"/>
      <c r="M142" s="272"/>
      <c r="N142" s="272"/>
      <c r="O142" s="272"/>
      <c r="P142" s="272"/>
      <c r="Q142" s="272"/>
      <c r="R142" s="272"/>
      <c r="S142" s="272"/>
      <c r="T142" s="272"/>
      <c r="U142" s="272"/>
      <c r="V142" s="325">
        <f>+V34*0.019</f>
        <v>28503.61</v>
      </c>
      <c r="W142" s="275"/>
      <c r="X142" s="5"/>
    </row>
    <row r="143" spans="1:24" ht="15.6" x14ac:dyDescent="0.3">
      <c r="A143" s="271"/>
      <c r="B143" s="272" t="s">
        <v>44</v>
      </c>
      <c r="C143" s="272"/>
      <c r="D143" s="272"/>
      <c r="E143" s="272"/>
      <c r="F143" s="272"/>
      <c r="G143" s="272"/>
      <c r="H143" s="272"/>
      <c r="I143" s="272"/>
      <c r="J143" s="272"/>
      <c r="K143" s="272"/>
      <c r="L143" s="272"/>
      <c r="M143" s="272"/>
      <c r="N143" s="272"/>
      <c r="O143" s="272"/>
      <c r="P143" s="272"/>
      <c r="Q143" s="272"/>
      <c r="R143" s="272"/>
      <c r="S143" s="272"/>
      <c r="T143" s="272"/>
      <c r="U143" s="272"/>
      <c r="V143" s="325">
        <v>28504</v>
      </c>
      <c r="W143" s="275"/>
      <c r="X143" s="5"/>
    </row>
    <row r="144" spans="1:24" ht="15.6" x14ac:dyDescent="0.3">
      <c r="A144" s="271"/>
      <c r="B144" s="272" t="s">
        <v>139</v>
      </c>
      <c r="C144" s="272"/>
      <c r="D144" s="272"/>
      <c r="E144" s="272"/>
      <c r="F144" s="272"/>
      <c r="G144" s="272"/>
      <c r="H144" s="272"/>
      <c r="I144" s="272"/>
      <c r="J144" s="272"/>
      <c r="K144" s="272"/>
      <c r="L144" s="272"/>
      <c r="M144" s="272"/>
      <c r="N144" s="272"/>
      <c r="O144" s="272"/>
      <c r="P144" s="272"/>
      <c r="Q144" s="272"/>
      <c r="R144" s="272"/>
      <c r="S144" s="272"/>
      <c r="T144" s="272"/>
      <c r="U144" s="272"/>
      <c r="V144" s="325"/>
      <c r="W144" s="275"/>
      <c r="X144" s="5"/>
    </row>
    <row r="145" spans="1:25" ht="15.6" x14ac:dyDescent="0.3">
      <c r="A145" s="271"/>
      <c r="B145" s="272" t="s">
        <v>126</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127</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178</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45</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132</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row>
    <row r="150" spans="1:25" ht="15.6" x14ac:dyDescent="0.3">
      <c r="A150" s="271"/>
      <c r="B150" s="272" t="s">
        <v>267</v>
      </c>
      <c r="C150" s="272"/>
      <c r="D150" s="272"/>
      <c r="E150" s="272"/>
      <c r="F150" s="272"/>
      <c r="G150" s="272"/>
      <c r="H150" s="272"/>
      <c r="I150" s="272"/>
      <c r="J150" s="272"/>
      <c r="K150" s="272"/>
      <c r="L150" s="272"/>
      <c r="M150" s="272"/>
      <c r="N150" s="272"/>
      <c r="O150" s="272"/>
      <c r="P150" s="272"/>
      <c r="Q150" s="272"/>
      <c r="R150" s="272"/>
      <c r="S150" s="272"/>
      <c r="T150" s="272"/>
      <c r="U150" s="272"/>
      <c r="V150" s="325">
        <v>0</v>
      </c>
      <c r="W150" s="275"/>
      <c r="X150" s="5"/>
      <c r="Y150" s="109"/>
    </row>
    <row r="151" spans="1:25" ht="15.6" x14ac:dyDescent="0.3">
      <c r="A151" s="271"/>
      <c r="B151" s="272" t="s">
        <v>46</v>
      </c>
      <c r="C151" s="272"/>
      <c r="D151" s="272"/>
      <c r="E151" s="272"/>
      <c r="F151" s="272"/>
      <c r="G151" s="272"/>
      <c r="H151" s="272"/>
      <c r="I151" s="272"/>
      <c r="J151" s="272"/>
      <c r="K151" s="272"/>
      <c r="L151" s="272"/>
      <c r="M151" s="272"/>
      <c r="N151" s="272"/>
      <c r="O151" s="272"/>
      <c r="P151" s="272"/>
      <c r="Q151" s="272"/>
      <c r="R151" s="272"/>
      <c r="S151" s="272"/>
      <c r="T151" s="272"/>
      <c r="U151" s="272"/>
      <c r="V151" s="325">
        <f>SUM(V143:V150)</f>
        <v>28504</v>
      </c>
      <c r="W151" s="275"/>
      <c r="X151" s="5"/>
    </row>
    <row r="152" spans="1:25" ht="15.6" x14ac:dyDescent="0.3">
      <c r="A152" s="271"/>
      <c r="B152" s="298"/>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335" t="s">
        <v>268</v>
      </c>
      <c r="C153" s="298"/>
      <c r="D153" s="298"/>
      <c r="E153" s="298"/>
      <c r="F153" s="298"/>
      <c r="G153" s="298"/>
      <c r="H153" s="298"/>
      <c r="I153" s="298"/>
      <c r="J153" s="298"/>
      <c r="K153" s="298"/>
      <c r="L153" s="298"/>
      <c r="M153" s="298"/>
      <c r="N153" s="298"/>
      <c r="O153" s="298"/>
      <c r="P153" s="298"/>
      <c r="Q153" s="298"/>
      <c r="R153" s="298"/>
      <c r="S153" s="298"/>
      <c r="T153" s="298"/>
      <c r="U153" s="298"/>
      <c r="V153" s="337"/>
      <c r="W153" s="304"/>
      <c r="X153" s="5"/>
    </row>
    <row r="154" spans="1:25" ht="15.6" x14ac:dyDescent="0.3">
      <c r="A154" s="271"/>
      <c r="B154" s="272" t="s">
        <v>158</v>
      </c>
      <c r="C154" s="272"/>
      <c r="D154" s="272"/>
      <c r="E154" s="272"/>
      <c r="F154" s="272"/>
      <c r="G154" s="272"/>
      <c r="H154" s="272"/>
      <c r="I154" s="272"/>
      <c r="J154" s="272"/>
      <c r="K154" s="272"/>
      <c r="L154" s="272"/>
      <c r="M154" s="272"/>
      <c r="N154" s="272"/>
      <c r="O154" s="272"/>
      <c r="P154" s="272"/>
      <c r="Q154" s="272"/>
      <c r="R154" s="272"/>
      <c r="S154" s="272"/>
      <c r="T154" s="272"/>
      <c r="U154" s="272"/>
      <c r="V154" s="325">
        <v>15000</v>
      </c>
      <c r="W154" s="275"/>
      <c r="X154" s="5"/>
    </row>
    <row r="155" spans="1:25" ht="15.6" x14ac:dyDescent="0.3">
      <c r="A155" s="271"/>
      <c r="B155" s="272" t="s">
        <v>175</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72" t="s">
        <v>341</v>
      </c>
      <c r="C156" s="272"/>
      <c r="D156" s="272"/>
      <c r="E156" s="272"/>
      <c r="F156" s="272"/>
      <c r="G156" s="272"/>
      <c r="H156" s="272"/>
      <c r="I156" s="272"/>
      <c r="J156" s="272"/>
      <c r="K156" s="272"/>
      <c r="L156" s="272"/>
      <c r="M156" s="272"/>
      <c r="N156" s="272"/>
      <c r="O156" s="272"/>
      <c r="P156" s="272"/>
      <c r="Q156" s="272"/>
      <c r="R156" s="272"/>
      <c r="S156" s="272"/>
      <c r="T156" s="272"/>
      <c r="U156" s="272"/>
      <c r="V156" s="325">
        <v>0</v>
      </c>
      <c r="W156" s="275"/>
      <c r="X156" s="5"/>
    </row>
    <row r="157" spans="1:25" ht="15.6" x14ac:dyDescent="0.3">
      <c r="A157" s="271"/>
      <c r="B157" s="298"/>
      <c r="C157" s="298"/>
      <c r="D157" s="298"/>
      <c r="E157" s="298"/>
      <c r="F157" s="298"/>
      <c r="G157" s="298"/>
      <c r="H157" s="298"/>
      <c r="I157" s="298"/>
      <c r="J157" s="298"/>
      <c r="K157" s="298"/>
      <c r="L157" s="298"/>
      <c r="M157" s="298"/>
      <c r="N157" s="298"/>
      <c r="O157" s="298"/>
      <c r="P157" s="298"/>
      <c r="Q157" s="298"/>
      <c r="R157" s="298"/>
      <c r="S157" s="298"/>
      <c r="T157" s="298"/>
      <c r="U157" s="298"/>
      <c r="V157" s="337"/>
      <c r="W157" s="304"/>
      <c r="X157" s="5"/>
    </row>
    <row r="158" spans="1:25" ht="15.6" x14ac:dyDescent="0.3">
      <c r="A158" s="175"/>
      <c r="B158" s="321"/>
      <c r="C158" s="321"/>
      <c r="D158" s="321"/>
      <c r="E158" s="321"/>
      <c r="F158" s="321"/>
      <c r="G158" s="321"/>
      <c r="H158" s="321"/>
      <c r="I158" s="321"/>
      <c r="J158" s="321"/>
      <c r="K158" s="321"/>
      <c r="L158" s="321"/>
      <c r="M158" s="321"/>
      <c r="N158" s="321"/>
      <c r="O158" s="321"/>
      <c r="P158" s="321"/>
      <c r="Q158" s="321"/>
      <c r="R158" s="321"/>
      <c r="S158" s="321"/>
      <c r="T158" s="321"/>
      <c r="U158" s="321"/>
      <c r="V158" s="340"/>
      <c r="W158" s="321"/>
      <c r="X158" s="5"/>
    </row>
    <row r="159" spans="1:25" ht="15.6" x14ac:dyDescent="0.3">
      <c r="A159" s="175"/>
      <c r="B159" s="203" t="s">
        <v>24</v>
      </c>
      <c r="C159" s="177"/>
      <c r="D159" s="177"/>
      <c r="E159" s="177"/>
      <c r="F159" s="177"/>
      <c r="G159" s="177"/>
      <c r="H159" s="177"/>
      <c r="I159" s="177"/>
      <c r="J159" s="177"/>
      <c r="K159" s="177"/>
      <c r="L159" s="177"/>
      <c r="M159" s="177"/>
      <c r="N159" s="177"/>
      <c r="O159" s="177"/>
      <c r="P159" s="177"/>
      <c r="Q159" s="177"/>
      <c r="R159" s="177"/>
      <c r="S159" s="177"/>
      <c r="T159" s="177"/>
      <c r="U159" s="177"/>
      <c r="V159" s="196"/>
      <c r="W159" s="177"/>
      <c r="X159" s="5"/>
    </row>
    <row r="160" spans="1:25" ht="15.6" x14ac:dyDescent="0.3">
      <c r="A160" s="271"/>
      <c r="B160" s="272" t="s">
        <v>47</v>
      </c>
      <c r="C160" s="272"/>
      <c r="D160" s="272"/>
      <c r="E160" s="272"/>
      <c r="F160" s="272"/>
      <c r="G160" s="272"/>
      <c r="H160" s="272"/>
      <c r="I160" s="272"/>
      <c r="J160" s="272"/>
      <c r="K160" s="272"/>
      <c r="L160" s="272"/>
      <c r="M160" s="272"/>
      <c r="N160" s="272"/>
      <c r="O160" s="272"/>
      <c r="P160" s="272"/>
      <c r="Q160" s="272"/>
      <c r="R160" s="272"/>
      <c r="S160" s="272"/>
      <c r="T160" s="272"/>
      <c r="U160" s="272"/>
      <c r="V160" s="341" t="s">
        <v>121</v>
      </c>
      <c r="W160" s="275"/>
      <c r="X160" s="5"/>
    </row>
    <row r="161" spans="1:24" ht="15.6" x14ac:dyDescent="0.3">
      <c r="A161" s="271"/>
      <c r="B161" s="272" t="s">
        <v>48</v>
      </c>
      <c r="C161" s="274"/>
      <c r="D161" s="274"/>
      <c r="E161" s="274"/>
      <c r="F161" s="274"/>
      <c r="G161" s="274"/>
      <c r="H161" s="274"/>
      <c r="I161" s="274"/>
      <c r="J161" s="274"/>
      <c r="K161" s="274"/>
      <c r="L161" s="274"/>
      <c r="M161" s="274"/>
      <c r="N161" s="274"/>
      <c r="O161" s="274"/>
      <c r="P161" s="274"/>
      <c r="Q161" s="274"/>
      <c r="R161" s="274"/>
      <c r="S161" s="274"/>
      <c r="T161" s="274"/>
      <c r="U161" s="274"/>
      <c r="V161" s="341" t="s">
        <v>121</v>
      </c>
      <c r="W161" s="275"/>
      <c r="X161" s="5"/>
    </row>
    <row r="162" spans="1:24" ht="15.6" x14ac:dyDescent="0.3">
      <c r="A162" s="271"/>
      <c r="B162" s="272" t="s">
        <v>49</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271"/>
      <c r="B163" s="272" t="s">
        <v>50</v>
      </c>
      <c r="C163" s="272"/>
      <c r="D163" s="272"/>
      <c r="E163" s="272"/>
      <c r="F163" s="272"/>
      <c r="G163" s="272"/>
      <c r="H163" s="272"/>
      <c r="I163" s="272"/>
      <c r="J163" s="272"/>
      <c r="K163" s="272"/>
      <c r="L163" s="272"/>
      <c r="M163" s="272"/>
      <c r="N163" s="272"/>
      <c r="O163" s="272"/>
      <c r="P163" s="272"/>
      <c r="Q163" s="272"/>
      <c r="R163" s="272"/>
      <c r="S163" s="272"/>
      <c r="T163" s="272"/>
      <c r="U163" s="272"/>
      <c r="V163" s="341" t="s">
        <v>121</v>
      </c>
      <c r="W163" s="275"/>
      <c r="X163" s="5"/>
    </row>
    <row r="164" spans="1:24" ht="15.6" x14ac:dyDescent="0.3">
      <c r="A164" s="175"/>
      <c r="B164" s="321"/>
      <c r="C164" s="321"/>
      <c r="D164" s="321"/>
      <c r="E164" s="321"/>
      <c r="F164" s="321"/>
      <c r="G164" s="321"/>
      <c r="H164" s="321"/>
      <c r="I164" s="321"/>
      <c r="J164" s="321"/>
      <c r="K164" s="321"/>
      <c r="L164" s="321"/>
      <c r="M164" s="321"/>
      <c r="N164" s="321"/>
      <c r="O164" s="321"/>
      <c r="P164" s="321"/>
      <c r="Q164" s="321"/>
      <c r="R164" s="321"/>
      <c r="S164" s="321"/>
      <c r="T164" s="321"/>
      <c r="U164" s="321"/>
      <c r="V164" s="340"/>
      <c r="W164" s="321"/>
      <c r="X164" s="5"/>
    </row>
    <row r="165" spans="1:24" ht="15.6" x14ac:dyDescent="0.3">
      <c r="A165" s="175"/>
      <c r="B165" s="203" t="s">
        <v>51</v>
      </c>
      <c r="C165" s="177"/>
      <c r="D165" s="177"/>
      <c r="E165" s="177"/>
      <c r="F165" s="177"/>
      <c r="G165" s="177"/>
      <c r="H165" s="177"/>
      <c r="I165" s="177"/>
      <c r="J165" s="177"/>
      <c r="K165" s="177"/>
      <c r="L165" s="177"/>
      <c r="M165" s="177"/>
      <c r="N165" s="177"/>
      <c r="O165" s="177"/>
      <c r="P165" s="177"/>
      <c r="Q165" s="177"/>
      <c r="R165" s="177"/>
      <c r="S165" s="177"/>
      <c r="T165" s="177"/>
      <c r="U165" s="177"/>
      <c r="V165" s="204"/>
      <c r="W165" s="177"/>
      <c r="X165" s="5"/>
    </row>
    <row r="166" spans="1:24" ht="15.6" x14ac:dyDescent="0.3">
      <c r="A166" s="342"/>
      <c r="B166" s="343" t="s">
        <v>52</v>
      </c>
      <c r="C166" s="343"/>
      <c r="D166" s="343"/>
      <c r="E166" s="343"/>
      <c r="F166" s="343"/>
      <c r="G166" s="343"/>
      <c r="H166" s="343"/>
      <c r="I166" s="343"/>
      <c r="J166" s="343"/>
      <c r="K166" s="343"/>
      <c r="L166" s="343"/>
      <c r="M166" s="343"/>
      <c r="N166" s="343"/>
      <c r="O166" s="343"/>
      <c r="P166" s="343"/>
      <c r="Q166" s="343"/>
      <c r="R166" s="343"/>
      <c r="S166" s="343"/>
      <c r="T166" s="343"/>
      <c r="U166" s="343"/>
      <c r="V166" s="344">
        <v>0</v>
      </c>
      <c r="W166" s="345"/>
      <c r="X166" s="5"/>
    </row>
    <row r="167" spans="1:24" ht="15.6" x14ac:dyDescent="0.3">
      <c r="A167" s="342"/>
      <c r="B167" s="343" t="s">
        <v>53</v>
      </c>
      <c r="C167" s="343"/>
      <c r="D167" s="343"/>
      <c r="E167" s="343"/>
      <c r="F167" s="343"/>
      <c r="G167" s="343"/>
      <c r="H167" s="343"/>
      <c r="I167" s="343"/>
      <c r="J167" s="343"/>
      <c r="K167" s="343"/>
      <c r="L167" s="343"/>
      <c r="M167" s="343"/>
      <c r="N167" s="343"/>
      <c r="O167" s="343"/>
      <c r="P167" s="343"/>
      <c r="Q167" s="343"/>
      <c r="R167" s="343"/>
      <c r="S167" s="343"/>
      <c r="T167" s="343"/>
      <c r="U167" s="343"/>
      <c r="V167" s="344">
        <v>468</v>
      </c>
      <c r="W167" s="345"/>
      <c r="X167" s="5"/>
    </row>
    <row r="168" spans="1:24" ht="15.6" x14ac:dyDescent="0.3">
      <c r="A168" s="342"/>
      <c r="B168" s="343" t="s">
        <v>54</v>
      </c>
      <c r="C168" s="343"/>
      <c r="D168" s="343"/>
      <c r="E168" s="343"/>
      <c r="F168" s="343"/>
      <c r="G168" s="343"/>
      <c r="H168" s="343"/>
      <c r="I168" s="343"/>
      <c r="J168" s="343"/>
      <c r="K168" s="343"/>
      <c r="L168" s="343"/>
      <c r="M168" s="343"/>
      <c r="N168" s="343"/>
      <c r="O168" s="343"/>
      <c r="P168" s="343"/>
      <c r="Q168" s="343"/>
      <c r="R168" s="343"/>
      <c r="S168" s="343"/>
      <c r="T168" s="343"/>
      <c r="U168" s="343"/>
      <c r="V168" s="344">
        <f>V167+V166</f>
        <v>468</v>
      </c>
      <c r="W168" s="345"/>
      <c r="X168" s="5"/>
    </row>
    <row r="169" spans="1:24" ht="15.6" x14ac:dyDescent="0.3">
      <c r="A169" s="342"/>
      <c r="B169" s="272" t="s">
        <v>318</v>
      </c>
      <c r="C169" s="343"/>
      <c r="D169" s="343"/>
      <c r="E169" s="343"/>
      <c r="F169" s="343"/>
      <c r="G169" s="343"/>
      <c r="H169" s="343"/>
      <c r="I169" s="343"/>
      <c r="J169" s="343"/>
      <c r="K169" s="343"/>
      <c r="L169" s="343"/>
      <c r="M169" s="343"/>
      <c r="N169" s="343"/>
      <c r="O169" s="343"/>
      <c r="P169" s="343"/>
      <c r="Q169" s="343"/>
      <c r="R169" s="343"/>
      <c r="S169" s="343"/>
      <c r="T169" s="343"/>
      <c r="U169" s="343"/>
      <c r="V169" s="344">
        <f>V115</f>
        <v>-468</v>
      </c>
      <c r="W169" s="345"/>
      <c r="X169" s="5"/>
    </row>
    <row r="170" spans="1:24" ht="15.6" x14ac:dyDescent="0.3">
      <c r="A170" s="342"/>
      <c r="B170" s="343" t="s">
        <v>55</v>
      </c>
      <c r="C170" s="343"/>
      <c r="D170" s="343"/>
      <c r="E170" s="343"/>
      <c r="F170" s="343"/>
      <c r="G170" s="343"/>
      <c r="H170" s="343"/>
      <c r="I170" s="343"/>
      <c r="J170" s="343"/>
      <c r="K170" s="343"/>
      <c r="L170" s="343"/>
      <c r="M170" s="343"/>
      <c r="N170" s="343"/>
      <c r="O170" s="343"/>
      <c r="P170" s="343"/>
      <c r="Q170" s="343"/>
      <c r="R170" s="343"/>
      <c r="S170" s="343"/>
      <c r="T170" s="343"/>
      <c r="U170" s="343"/>
      <c r="V170" s="344">
        <f>V168+V169</f>
        <v>0</v>
      </c>
      <c r="W170" s="345"/>
      <c r="X170" s="5"/>
    </row>
    <row r="171" spans="1:24" ht="15.6" x14ac:dyDescent="0.3">
      <c r="A171" s="342"/>
      <c r="B171" s="343" t="s">
        <v>288</v>
      </c>
      <c r="C171" s="343"/>
      <c r="D171" s="343"/>
      <c r="E171" s="343"/>
      <c r="F171" s="343"/>
      <c r="G171" s="343"/>
      <c r="H171" s="343"/>
      <c r="I171" s="343"/>
      <c r="J171" s="343"/>
      <c r="K171" s="343"/>
      <c r="L171" s="343"/>
      <c r="M171" s="343"/>
      <c r="N171" s="343"/>
      <c r="O171" s="343"/>
      <c r="P171" s="343"/>
      <c r="Q171" s="343"/>
      <c r="R171" s="343"/>
      <c r="S171" s="343"/>
      <c r="T171" s="343"/>
      <c r="U171" s="343"/>
      <c r="V171" s="344">
        <v>0</v>
      </c>
      <c r="W171" s="345"/>
      <c r="X171" s="5"/>
    </row>
    <row r="172" spans="1:24" ht="16.2" thickBot="1" x14ac:dyDescent="0.35">
      <c r="A172" s="175"/>
      <c r="B172" s="321"/>
      <c r="C172" s="321"/>
      <c r="D172" s="321"/>
      <c r="E172" s="321"/>
      <c r="F172" s="321"/>
      <c r="G172" s="321"/>
      <c r="H172" s="321"/>
      <c r="I172" s="321"/>
      <c r="J172" s="321"/>
      <c r="K172" s="321"/>
      <c r="L172" s="321"/>
      <c r="M172" s="321"/>
      <c r="N172" s="321"/>
      <c r="O172" s="321"/>
      <c r="P172" s="321"/>
      <c r="Q172" s="321"/>
      <c r="R172" s="321"/>
      <c r="S172" s="321"/>
      <c r="T172" s="321"/>
      <c r="U172" s="321"/>
      <c r="V172" s="340"/>
      <c r="W172" s="321"/>
      <c r="X172" s="5"/>
    </row>
    <row r="173" spans="1:24"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74"/>
      <c r="U173" s="174"/>
      <c r="V173" s="195"/>
      <c r="W173" s="174"/>
      <c r="X173" s="5"/>
    </row>
    <row r="174" spans="1:24" ht="15.6" x14ac:dyDescent="0.3">
      <c r="A174" s="175"/>
      <c r="B174" s="203" t="s">
        <v>56</v>
      </c>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175"/>
      <c r="B175" s="186"/>
      <c r="C175" s="177"/>
      <c r="D175" s="177"/>
      <c r="E175" s="177"/>
      <c r="F175" s="177"/>
      <c r="G175" s="177"/>
      <c r="H175" s="177"/>
      <c r="I175" s="177"/>
      <c r="J175" s="177"/>
      <c r="K175" s="177"/>
      <c r="L175" s="177"/>
      <c r="M175" s="177"/>
      <c r="N175" s="177"/>
      <c r="O175" s="177"/>
      <c r="P175" s="177"/>
      <c r="Q175" s="177"/>
      <c r="R175" s="177"/>
      <c r="S175" s="177"/>
      <c r="T175" s="177"/>
      <c r="U175" s="177"/>
      <c r="V175" s="196"/>
      <c r="W175" s="177"/>
      <c r="X175" s="5"/>
    </row>
    <row r="176" spans="1:24" ht="15.6" x14ac:dyDescent="0.3">
      <c r="A176" s="271"/>
      <c r="B176" s="272" t="s">
        <v>57</v>
      </c>
      <c r="C176" s="272"/>
      <c r="D176" s="272"/>
      <c r="E176" s="272"/>
      <c r="F176" s="272"/>
      <c r="G176" s="272"/>
      <c r="H176" s="272"/>
      <c r="I176" s="272"/>
      <c r="J176" s="272"/>
      <c r="K176" s="272"/>
      <c r="L176" s="272"/>
      <c r="M176" s="272"/>
      <c r="N176" s="272"/>
      <c r="O176" s="272"/>
      <c r="P176" s="272"/>
      <c r="Q176" s="272"/>
      <c r="R176" s="272"/>
      <c r="S176" s="272"/>
      <c r="T176" s="272"/>
      <c r="U176" s="272"/>
      <c r="V176" s="325">
        <f>V71</f>
        <v>905252</v>
      </c>
      <c r="W176" s="275"/>
      <c r="X176" s="5"/>
    </row>
    <row r="177" spans="1:24" ht="15.6" x14ac:dyDescent="0.3">
      <c r="A177" s="271"/>
      <c r="B177" s="272" t="s">
        <v>58</v>
      </c>
      <c r="C177" s="272"/>
      <c r="D177" s="272"/>
      <c r="E177" s="272"/>
      <c r="F177" s="272"/>
      <c r="G177" s="272"/>
      <c r="H177" s="272"/>
      <c r="I177" s="272"/>
      <c r="J177" s="272"/>
      <c r="K177" s="272"/>
      <c r="L177" s="272"/>
      <c r="M177" s="272"/>
      <c r="N177" s="272"/>
      <c r="O177" s="272"/>
      <c r="P177" s="272"/>
      <c r="Q177" s="272"/>
      <c r="R177" s="272"/>
      <c r="S177" s="272"/>
      <c r="T177" s="272"/>
      <c r="U177" s="272"/>
      <c r="V177" s="325">
        <f>V84</f>
        <v>905252</v>
      </c>
      <c r="W177" s="275"/>
      <c r="X177" s="5"/>
    </row>
    <row r="178" spans="1:24" ht="16.2" thickBot="1" x14ac:dyDescent="0.35">
      <c r="A178" s="175"/>
      <c r="B178" s="321"/>
      <c r="C178" s="321"/>
      <c r="D178" s="321"/>
      <c r="E178" s="321"/>
      <c r="F178" s="321"/>
      <c r="G178" s="321"/>
      <c r="H178" s="321"/>
      <c r="I178" s="321"/>
      <c r="J178" s="321"/>
      <c r="K178" s="321"/>
      <c r="L178" s="321"/>
      <c r="M178" s="321"/>
      <c r="N178" s="321"/>
      <c r="O178" s="321"/>
      <c r="P178" s="321"/>
      <c r="Q178" s="321"/>
      <c r="R178" s="321"/>
      <c r="S178" s="321"/>
      <c r="T178" s="321"/>
      <c r="U178" s="321"/>
      <c r="V178" s="340"/>
      <c r="W178" s="321"/>
      <c r="X178" s="5"/>
    </row>
    <row r="179" spans="1:24" ht="15.6" x14ac:dyDescent="0.3">
      <c r="A179" s="173"/>
      <c r="B179" s="174"/>
      <c r="C179" s="174"/>
      <c r="D179" s="174"/>
      <c r="E179" s="174"/>
      <c r="F179" s="174"/>
      <c r="G179" s="174"/>
      <c r="H179" s="174"/>
      <c r="I179" s="174"/>
      <c r="J179" s="174"/>
      <c r="K179" s="174"/>
      <c r="L179" s="174"/>
      <c r="M179" s="174"/>
      <c r="N179" s="174"/>
      <c r="O179" s="174"/>
      <c r="P179" s="174"/>
      <c r="Q179" s="174"/>
      <c r="R179" s="174"/>
      <c r="S179" s="174"/>
      <c r="T179" s="174"/>
      <c r="U179" s="174"/>
      <c r="V179" s="195"/>
      <c r="W179" s="174"/>
      <c r="X179" s="5"/>
    </row>
    <row r="180" spans="1:24" ht="15.6" x14ac:dyDescent="0.3">
      <c r="A180" s="175"/>
      <c r="B180" s="203" t="s">
        <v>59</v>
      </c>
      <c r="C180" s="200"/>
      <c r="D180" s="200"/>
      <c r="E180" s="200"/>
      <c r="F180" s="200"/>
      <c r="G180" s="200"/>
      <c r="H180" s="205"/>
      <c r="I180" s="205"/>
      <c r="J180" s="205"/>
      <c r="K180" s="205"/>
      <c r="L180" s="205"/>
      <c r="M180" s="205"/>
      <c r="N180" s="205"/>
      <c r="O180" s="205"/>
      <c r="P180" s="205"/>
      <c r="Q180" s="205"/>
      <c r="R180" s="205"/>
      <c r="S180" s="205" t="s">
        <v>102</v>
      </c>
      <c r="T180" s="205" t="s">
        <v>179</v>
      </c>
      <c r="U180" s="179"/>
      <c r="V180" s="206" t="s">
        <v>117</v>
      </c>
      <c r="W180" s="207"/>
      <c r="X180" s="5"/>
    </row>
    <row r="181" spans="1:24" ht="15.6" x14ac:dyDescent="0.3">
      <c r="A181" s="271"/>
      <c r="B181" s="272" t="s">
        <v>60</v>
      </c>
      <c r="C181" s="272"/>
      <c r="D181" s="272"/>
      <c r="E181" s="272"/>
      <c r="F181" s="272"/>
      <c r="G181" s="272"/>
      <c r="H181" s="272"/>
      <c r="I181" s="272"/>
      <c r="J181" s="272"/>
      <c r="K181" s="272"/>
      <c r="L181" s="272"/>
      <c r="M181" s="272"/>
      <c r="N181" s="272"/>
      <c r="O181" s="272"/>
      <c r="P181" s="272"/>
      <c r="Q181" s="272"/>
      <c r="R181" s="272"/>
      <c r="S181" s="325">
        <f>+V34*0.16</f>
        <v>240030.4</v>
      </c>
      <c r="T181" s="311"/>
      <c r="U181" s="272"/>
      <c r="V181" s="325"/>
      <c r="W181" s="275"/>
      <c r="X181" s="5"/>
    </row>
    <row r="182" spans="1:24" ht="15.6" x14ac:dyDescent="0.3">
      <c r="A182" s="271"/>
      <c r="B182" s="272" t="s">
        <v>61</v>
      </c>
      <c r="C182" s="272"/>
      <c r="D182" s="272"/>
      <c r="E182" s="272"/>
      <c r="F182" s="272"/>
      <c r="G182" s="272"/>
      <c r="H182" s="272"/>
      <c r="I182" s="272"/>
      <c r="J182" s="272"/>
      <c r="K182" s="272"/>
      <c r="L182" s="272"/>
      <c r="M182" s="272"/>
      <c r="N182" s="272"/>
      <c r="O182" s="272"/>
      <c r="P182" s="272"/>
      <c r="Q182" s="272"/>
      <c r="R182" s="272"/>
      <c r="S182" s="325">
        <f>+'March 15'!S184</f>
        <v>49973</v>
      </c>
      <c r="T182" s="325">
        <f>+'March 15'!T184</f>
        <v>9736</v>
      </c>
      <c r="U182" s="272"/>
      <c r="V182" s="325">
        <f>S182+T182</f>
        <v>59709</v>
      </c>
      <c r="W182" s="275"/>
      <c r="X182" s="5"/>
    </row>
    <row r="183" spans="1:24" ht="15.6" x14ac:dyDescent="0.3">
      <c r="A183" s="271"/>
      <c r="B183" s="272" t="s">
        <v>62</v>
      </c>
      <c r="C183" s="272"/>
      <c r="D183" s="272"/>
      <c r="E183" s="272"/>
      <c r="F183" s="272"/>
      <c r="G183" s="272"/>
      <c r="H183" s="272"/>
      <c r="I183" s="272"/>
      <c r="J183" s="272"/>
      <c r="K183" s="272"/>
      <c r="L183" s="272"/>
      <c r="M183" s="272"/>
      <c r="N183" s="272"/>
      <c r="O183" s="272"/>
      <c r="P183" s="272"/>
      <c r="Q183" s="272"/>
      <c r="R183" s="272"/>
      <c r="S183" s="324">
        <f>32+294</f>
        <v>326</v>
      </c>
      <c r="T183" s="324">
        <v>0</v>
      </c>
      <c r="U183" s="272"/>
      <c r="V183" s="325">
        <f>S183+T183</f>
        <v>326</v>
      </c>
      <c r="W183" s="275"/>
      <c r="X183" s="5"/>
    </row>
    <row r="184" spans="1:24" ht="15.6" x14ac:dyDescent="0.3">
      <c r="A184" s="271"/>
      <c r="B184" s="272" t="s">
        <v>63</v>
      </c>
      <c r="C184" s="272"/>
      <c r="D184" s="272"/>
      <c r="E184" s="272"/>
      <c r="F184" s="272"/>
      <c r="G184" s="272"/>
      <c r="H184" s="272"/>
      <c r="I184" s="272"/>
      <c r="J184" s="272"/>
      <c r="K184" s="272"/>
      <c r="L184" s="272"/>
      <c r="M184" s="272"/>
      <c r="N184" s="272"/>
      <c r="O184" s="272"/>
      <c r="P184" s="272"/>
      <c r="Q184" s="272"/>
      <c r="R184" s="272"/>
      <c r="S184" s="325">
        <f>+S182+S183</f>
        <v>50299</v>
      </c>
      <c r="T184" s="325">
        <f>T183+T182</f>
        <v>9736</v>
      </c>
      <c r="U184" s="272"/>
      <c r="V184" s="325">
        <f>S184+T184</f>
        <v>60035</v>
      </c>
      <c r="W184" s="275"/>
      <c r="X184" s="5"/>
    </row>
    <row r="185" spans="1:24" ht="15.6" x14ac:dyDescent="0.3">
      <c r="A185" s="271"/>
      <c r="B185" s="272" t="s">
        <v>64</v>
      </c>
      <c r="C185" s="272"/>
      <c r="D185" s="272"/>
      <c r="E185" s="272"/>
      <c r="F185" s="272"/>
      <c r="G185" s="272"/>
      <c r="H185" s="272"/>
      <c r="I185" s="272"/>
      <c r="J185" s="272"/>
      <c r="K185" s="272"/>
      <c r="L185" s="272"/>
      <c r="M185" s="272"/>
      <c r="N185" s="272"/>
      <c r="O185" s="272"/>
      <c r="P185" s="272"/>
      <c r="Q185" s="272"/>
      <c r="R185" s="272"/>
      <c r="S185" s="325">
        <f>S181-S184-T184</f>
        <v>179995.4</v>
      </c>
      <c r="T185" s="311"/>
      <c r="U185" s="272"/>
      <c r="V185" s="325"/>
      <c r="W185" s="275"/>
      <c r="X185" s="5"/>
    </row>
    <row r="186" spans="1:24" ht="16.2" thickBot="1" x14ac:dyDescent="0.35">
      <c r="A186" s="175"/>
      <c r="B186" s="321"/>
      <c r="C186" s="321"/>
      <c r="D186" s="321"/>
      <c r="E186" s="321"/>
      <c r="F186" s="321"/>
      <c r="G186" s="321"/>
      <c r="H186" s="321"/>
      <c r="I186" s="321"/>
      <c r="J186" s="321"/>
      <c r="K186" s="321"/>
      <c r="L186" s="321"/>
      <c r="M186" s="321"/>
      <c r="N186" s="321"/>
      <c r="O186" s="321"/>
      <c r="P186" s="321"/>
      <c r="Q186" s="321"/>
      <c r="R186" s="321"/>
      <c r="S186" s="321"/>
      <c r="T186" s="321"/>
      <c r="U186" s="321"/>
      <c r="V186" s="340"/>
      <c r="W186" s="321"/>
      <c r="X186" s="5"/>
    </row>
    <row r="187" spans="1:24" ht="15.6" x14ac:dyDescent="0.3">
      <c r="A187" s="173"/>
      <c r="B187" s="174"/>
      <c r="C187" s="174"/>
      <c r="D187" s="174"/>
      <c r="E187" s="174"/>
      <c r="F187" s="174"/>
      <c r="G187" s="174"/>
      <c r="H187" s="174"/>
      <c r="I187" s="174"/>
      <c r="J187" s="174"/>
      <c r="K187" s="174"/>
      <c r="L187" s="174"/>
      <c r="M187" s="174"/>
      <c r="N187" s="174"/>
      <c r="O187" s="174"/>
      <c r="P187" s="174"/>
      <c r="Q187" s="174"/>
      <c r="R187" s="174"/>
      <c r="S187" s="174"/>
      <c r="T187" s="174"/>
      <c r="U187" s="174"/>
      <c r="V187" s="195"/>
      <c r="W187" s="174"/>
      <c r="X187" s="5"/>
    </row>
    <row r="188" spans="1:24" ht="15.6" x14ac:dyDescent="0.3">
      <c r="A188" s="175"/>
      <c r="B188" s="203" t="s">
        <v>65</v>
      </c>
      <c r="C188" s="177"/>
      <c r="D188" s="177"/>
      <c r="E188" s="177"/>
      <c r="F188" s="177"/>
      <c r="G188" s="177"/>
      <c r="H188" s="177"/>
      <c r="I188" s="177"/>
      <c r="J188" s="177"/>
      <c r="K188" s="177"/>
      <c r="L188" s="177"/>
      <c r="M188" s="177"/>
      <c r="N188" s="177"/>
      <c r="O188" s="177"/>
      <c r="P188" s="177"/>
      <c r="Q188" s="177"/>
      <c r="R188" s="177"/>
      <c r="S188" s="177"/>
      <c r="T188" s="177"/>
      <c r="U188" s="177"/>
      <c r="V188" s="208"/>
      <c r="W188" s="177"/>
      <c r="X188" s="5"/>
    </row>
    <row r="189" spans="1:24" ht="15.6" x14ac:dyDescent="0.3">
      <c r="A189" s="271"/>
      <c r="B189" s="272" t="s">
        <v>66</v>
      </c>
      <c r="C189" s="272"/>
      <c r="D189" s="272"/>
      <c r="E189" s="272"/>
      <c r="F189" s="272"/>
      <c r="G189" s="272"/>
      <c r="H189" s="272"/>
      <c r="I189" s="272"/>
      <c r="J189" s="272"/>
      <c r="K189" s="272"/>
      <c r="L189" s="272"/>
      <c r="M189" s="272"/>
      <c r="N189" s="272"/>
      <c r="O189" s="272"/>
      <c r="P189" s="272"/>
      <c r="Q189" s="272"/>
      <c r="R189" s="272"/>
      <c r="S189" s="272"/>
      <c r="T189" s="272"/>
      <c r="U189" s="272"/>
      <c r="V189" s="341">
        <f>(V100+V102+V103+V104+V105)/-(V106+V107)</f>
        <v>3.732686084142395</v>
      </c>
      <c r="W189" s="275" t="s">
        <v>118</v>
      </c>
      <c r="X189" s="5"/>
    </row>
    <row r="190" spans="1:24" ht="15.6" x14ac:dyDescent="0.3">
      <c r="A190" s="271"/>
      <c r="B190" s="272" t="s">
        <v>67</v>
      </c>
      <c r="C190" s="272"/>
      <c r="D190" s="272"/>
      <c r="E190" s="272"/>
      <c r="F190" s="272"/>
      <c r="G190" s="272"/>
      <c r="H190" s="272"/>
      <c r="I190" s="272"/>
      <c r="J190" s="272"/>
      <c r="K190" s="272"/>
      <c r="L190" s="272"/>
      <c r="M190" s="272"/>
      <c r="N190" s="272"/>
      <c r="O190" s="272"/>
      <c r="P190" s="272"/>
      <c r="Q190" s="272"/>
      <c r="R190" s="272"/>
      <c r="S190" s="272"/>
      <c r="T190" s="272"/>
      <c r="U190" s="272"/>
      <c r="V190" s="346">
        <v>1.79</v>
      </c>
      <c r="W190" s="275" t="s">
        <v>118</v>
      </c>
      <c r="X190" s="5"/>
    </row>
    <row r="191" spans="1:24" ht="15.6" x14ac:dyDescent="0.3">
      <c r="A191" s="271"/>
      <c r="B191" s="272" t="s">
        <v>68</v>
      </c>
      <c r="C191" s="272"/>
      <c r="D191" s="272"/>
      <c r="E191" s="272"/>
      <c r="F191" s="272"/>
      <c r="G191" s="272"/>
      <c r="H191" s="272"/>
      <c r="I191" s="272"/>
      <c r="J191" s="272"/>
      <c r="K191" s="272"/>
      <c r="L191" s="272"/>
      <c r="M191" s="272"/>
      <c r="N191" s="272"/>
      <c r="O191" s="272"/>
      <c r="P191" s="272"/>
      <c r="Q191" s="272"/>
      <c r="R191" s="272"/>
      <c r="S191" s="272"/>
      <c r="T191" s="272"/>
      <c r="U191" s="272"/>
      <c r="V191" s="341">
        <f>(V100+V102+V103+V104+V105+V106+V107)/-(V109+V110)</f>
        <v>15.352727272727273</v>
      </c>
      <c r="W191" s="275" t="s">
        <v>118</v>
      </c>
      <c r="X191" s="5"/>
    </row>
    <row r="192" spans="1:24" ht="15.6" x14ac:dyDescent="0.3">
      <c r="A192" s="271"/>
      <c r="B192" s="272" t="s">
        <v>69</v>
      </c>
      <c r="C192" s="272"/>
      <c r="D192" s="272"/>
      <c r="E192" s="272"/>
      <c r="F192" s="272"/>
      <c r="G192" s="272"/>
      <c r="H192" s="272"/>
      <c r="I192" s="272"/>
      <c r="J192" s="272"/>
      <c r="K192" s="272"/>
      <c r="L192" s="272"/>
      <c r="M192" s="272"/>
      <c r="N192" s="272"/>
      <c r="O192" s="272"/>
      <c r="P192" s="272"/>
      <c r="Q192" s="272"/>
      <c r="R192" s="272"/>
      <c r="S192" s="272"/>
      <c r="T192" s="272"/>
      <c r="U192" s="272"/>
      <c r="V192" s="346">
        <v>7.12</v>
      </c>
      <c r="W192" s="275" t="s">
        <v>118</v>
      </c>
      <c r="X192" s="5"/>
    </row>
    <row r="193" spans="1:24" ht="15.6" x14ac:dyDescent="0.3">
      <c r="A193" s="271"/>
      <c r="B193" s="272" t="s">
        <v>201</v>
      </c>
      <c r="C193" s="272"/>
      <c r="D193" s="272"/>
      <c r="E193" s="272"/>
      <c r="F193" s="272"/>
      <c r="G193" s="272"/>
      <c r="H193" s="272"/>
      <c r="I193" s="272"/>
      <c r="J193" s="272"/>
      <c r="K193" s="272"/>
      <c r="L193" s="272"/>
      <c r="M193" s="272"/>
      <c r="N193" s="272"/>
      <c r="O193" s="272"/>
      <c r="P193" s="272"/>
      <c r="Q193" s="272"/>
      <c r="R193" s="272"/>
      <c r="S193" s="272"/>
      <c r="T193" s="272"/>
      <c r="U193" s="272"/>
      <c r="V193" s="341">
        <f>(V100+V102+V103+V104+V105+V106+V107+V109+V110)/-(V111+V112)</f>
        <v>16.724576271186439</v>
      </c>
      <c r="W193" s="275" t="s">
        <v>118</v>
      </c>
      <c r="X193" s="5"/>
    </row>
    <row r="194" spans="1:24" ht="15.6" x14ac:dyDescent="0.3">
      <c r="A194" s="271"/>
      <c r="B194" s="272" t="s">
        <v>202</v>
      </c>
      <c r="C194" s="272"/>
      <c r="D194" s="272"/>
      <c r="E194" s="272"/>
      <c r="F194" s="272"/>
      <c r="G194" s="272"/>
      <c r="H194" s="272"/>
      <c r="I194" s="272"/>
      <c r="J194" s="272"/>
      <c r="K194" s="272"/>
      <c r="L194" s="272"/>
      <c r="M194" s="272"/>
      <c r="N194" s="272"/>
      <c r="O194" s="272"/>
      <c r="P194" s="272"/>
      <c r="Q194" s="272"/>
      <c r="R194" s="272"/>
      <c r="S194" s="272"/>
      <c r="T194" s="272"/>
      <c r="U194" s="272"/>
      <c r="V194" s="346">
        <v>9.0500000000000007</v>
      </c>
      <c r="W194" s="275" t="s">
        <v>118</v>
      </c>
      <c r="X194" s="5"/>
    </row>
    <row r="195" spans="1:24" ht="15.6" x14ac:dyDescent="0.3">
      <c r="A195" s="271"/>
      <c r="B195" s="298"/>
      <c r="C195" s="298"/>
      <c r="D195" s="298"/>
      <c r="E195" s="298"/>
      <c r="F195" s="298"/>
      <c r="G195" s="298"/>
      <c r="H195" s="298"/>
      <c r="I195" s="298"/>
      <c r="J195" s="298"/>
      <c r="K195" s="298"/>
      <c r="L195" s="298"/>
      <c r="M195" s="298"/>
      <c r="N195" s="298"/>
      <c r="O195" s="298"/>
      <c r="P195" s="298"/>
      <c r="Q195" s="298"/>
      <c r="R195" s="298"/>
      <c r="S195" s="298"/>
      <c r="T195" s="298"/>
      <c r="U195" s="298"/>
      <c r="V195" s="298"/>
      <c r="W195" s="304"/>
      <c r="X195" s="5"/>
    </row>
    <row r="196" spans="1:24" ht="15.6" x14ac:dyDescent="0.3">
      <c r="A196" s="175"/>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5"/>
    </row>
    <row r="197" spans="1:24" ht="15.6" x14ac:dyDescent="0.3">
      <c r="A197" s="175"/>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5"/>
    </row>
    <row r="198" spans="1:24" ht="18" thickBot="1" x14ac:dyDescent="0.35">
      <c r="A198" s="194"/>
      <c r="B198" s="234" t="str">
        <f>B138</f>
        <v>PM13 INVESTOR REPORT QUARTER ENDING JUNE 2015</v>
      </c>
      <c r="C198" s="209"/>
      <c r="D198" s="209"/>
      <c r="E198" s="209"/>
      <c r="F198" s="209"/>
      <c r="G198" s="209"/>
      <c r="H198" s="209"/>
      <c r="I198" s="209"/>
      <c r="J198" s="209"/>
      <c r="K198" s="209"/>
      <c r="L198" s="209"/>
      <c r="M198" s="209"/>
      <c r="N198" s="209"/>
      <c r="O198" s="209"/>
      <c r="P198" s="209"/>
      <c r="Q198" s="209"/>
      <c r="R198" s="209"/>
      <c r="S198" s="209"/>
      <c r="T198" s="209"/>
      <c r="U198" s="209"/>
      <c r="V198" s="209"/>
      <c r="W198" s="210"/>
      <c r="X198" s="5"/>
    </row>
    <row r="199" spans="1:24" ht="15.6" x14ac:dyDescent="0.3">
      <c r="A199" s="246"/>
      <c r="B199" s="388" t="s">
        <v>70</v>
      </c>
      <c r="C199" s="249"/>
      <c r="D199" s="249"/>
      <c r="E199" s="249"/>
      <c r="F199" s="249"/>
      <c r="G199" s="250"/>
      <c r="H199" s="250"/>
      <c r="I199" s="250"/>
      <c r="J199" s="250"/>
      <c r="K199" s="250"/>
      <c r="L199" s="250"/>
      <c r="M199" s="250"/>
      <c r="N199" s="250"/>
      <c r="O199" s="250"/>
      <c r="P199" s="250"/>
      <c r="Q199" s="250"/>
      <c r="R199" s="250"/>
      <c r="S199" s="250"/>
      <c r="T199" s="250">
        <v>42185</v>
      </c>
      <c r="U199" s="247"/>
      <c r="V199" s="247"/>
      <c r="W199" s="247"/>
      <c r="X199" s="5"/>
    </row>
    <row r="200" spans="1:24" ht="15.6" x14ac:dyDescent="0.3">
      <c r="A200" s="211"/>
      <c r="B200" s="212"/>
      <c r="C200" s="213"/>
      <c r="D200" s="213"/>
      <c r="E200" s="213"/>
      <c r="F200" s="213"/>
      <c r="G200" s="214"/>
      <c r="H200" s="214"/>
      <c r="I200" s="214"/>
      <c r="J200" s="214"/>
      <c r="K200" s="214"/>
      <c r="L200" s="214"/>
      <c r="M200" s="214"/>
      <c r="N200" s="214"/>
      <c r="O200" s="214"/>
      <c r="P200" s="214"/>
      <c r="Q200" s="214"/>
      <c r="R200" s="214"/>
      <c r="S200" s="214"/>
      <c r="T200" s="214"/>
      <c r="U200" s="177"/>
      <c r="V200" s="177"/>
      <c r="W200" s="177"/>
      <c r="X200" s="5"/>
    </row>
    <row r="201" spans="1:24" ht="15.6" x14ac:dyDescent="0.3">
      <c r="A201" s="349"/>
      <c r="B201" s="272" t="s">
        <v>71</v>
      </c>
      <c r="C201" s="350"/>
      <c r="D201" s="350"/>
      <c r="E201" s="350"/>
      <c r="F201" s="350"/>
      <c r="G201" s="316"/>
      <c r="H201" s="316"/>
      <c r="I201" s="316"/>
      <c r="J201" s="316"/>
      <c r="K201" s="316"/>
      <c r="L201" s="316"/>
      <c r="M201" s="316"/>
      <c r="N201" s="316"/>
      <c r="O201" s="316"/>
      <c r="P201" s="316"/>
      <c r="Q201" s="316"/>
      <c r="R201" s="316"/>
      <c r="S201" s="316"/>
      <c r="T201" s="307">
        <v>5.4539999999999998E-2</v>
      </c>
      <c r="U201" s="272"/>
      <c r="V201" s="272"/>
      <c r="W201" s="275"/>
      <c r="X201" s="5"/>
    </row>
    <row r="202" spans="1:24" ht="15.6" x14ac:dyDescent="0.3">
      <c r="A202" s="349"/>
      <c r="B202" s="272" t="s">
        <v>154</v>
      </c>
      <c r="C202" s="350"/>
      <c r="D202" s="350"/>
      <c r="E202" s="350"/>
      <c r="F202" s="350"/>
      <c r="G202" s="316"/>
      <c r="H202" s="316"/>
      <c r="I202" s="316"/>
      <c r="J202" s="316"/>
      <c r="K202" s="316"/>
      <c r="L202" s="316"/>
      <c r="M202" s="316"/>
      <c r="N202" s="316"/>
      <c r="O202" s="316"/>
      <c r="P202" s="316"/>
      <c r="Q202" s="316"/>
      <c r="R202" s="316"/>
      <c r="S202" s="316"/>
      <c r="T202" s="307">
        <f>'Dec 06'!T199</f>
        <v>5.238600504269459E-2</v>
      </c>
      <c r="U202" s="272"/>
      <c r="V202" s="272"/>
      <c r="W202" s="275"/>
      <c r="X202" s="5"/>
    </row>
    <row r="203" spans="1:24" ht="15.6" x14ac:dyDescent="0.3">
      <c r="A203" s="349"/>
      <c r="B203" s="272" t="s">
        <v>72</v>
      </c>
      <c r="C203" s="350"/>
      <c r="D203" s="350"/>
      <c r="E203" s="350"/>
      <c r="F203" s="350"/>
      <c r="G203" s="316"/>
      <c r="H203" s="316"/>
      <c r="I203" s="316"/>
      <c r="J203" s="316"/>
      <c r="K203" s="316"/>
      <c r="L203" s="316"/>
      <c r="M203" s="316"/>
      <c r="N203" s="316"/>
      <c r="O203" s="316"/>
      <c r="P203" s="316"/>
      <c r="Q203" s="316"/>
      <c r="R203" s="316"/>
      <c r="S203" s="316"/>
      <c r="T203" s="307">
        <f>+T201-T202</f>
        <v>2.1539949573054079E-3</v>
      </c>
      <c r="U203" s="272"/>
      <c r="V203" s="272"/>
      <c r="W203" s="275"/>
      <c r="X203" s="5"/>
    </row>
    <row r="204" spans="1:24" ht="15.6" x14ac:dyDescent="0.3">
      <c r="A204" s="349"/>
      <c r="B204" s="272" t="s">
        <v>73</v>
      </c>
      <c r="C204" s="350"/>
      <c r="D204" s="350"/>
      <c r="E204" s="350"/>
      <c r="F204" s="350"/>
      <c r="G204" s="316"/>
      <c r="H204" s="316"/>
      <c r="I204" s="316"/>
      <c r="J204" s="316"/>
      <c r="K204" s="316"/>
      <c r="L204" s="316"/>
      <c r="M204" s="316"/>
      <c r="N204" s="316"/>
      <c r="O204" s="316"/>
      <c r="P204" s="316"/>
      <c r="Q204" s="316"/>
      <c r="R204" s="316"/>
      <c r="S204" s="316"/>
      <c r="T204" s="307">
        <v>2.29E-2</v>
      </c>
      <c r="U204" s="272"/>
      <c r="V204" s="272"/>
      <c r="W204" s="275"/>
      <c r="X204" s="5"/>
    </row>
    <row r="205" spans="1:24" ht="15.6" x14ac:dyDescent="0.3">
      <c r="A205" s="349"/>
      <c r="B205" s="272" t="s">
        <v>222</v>
      </c>
      <c r="C205" s="350"/>
      <c r="D205" s="350"/>
      <c r="E205" s="350"/>
      <c r="F205" s="350"/>
      <c r="G205" s="316"/>
      <c r="H205" s="316"/>
      <c r="I205" s="316"/>
      <c r="J205" s="316"/>
      <c r="K205" s="316"/>
      <c r="L205" s="316"/>
      <c r="M205" s="316"/>
      <c r="N205" s="316"/>
      <c r="O205" s="316"/>
      <c r="P205" s="316"/>
      <c r="Q205" s="316"/>
      <c r="R205" s="316"/>
      <c r="S205" s="316"/>
      <c r="T205" s="307">
        <f>V43</f>
        <v>8.9790390840891188E-3</v>
      </c>
      <c r="U205" s="272"/>
      <c r="V205" s="272"/>
      <c r="W205" s="275"/>
      <c r="X205" s="5"/>
    </row>
    <row r="206" spans="1:24" ht="15.6" x14ac:dyDescent="0.3">
      <c r="A206" s="349"/>
      <c r="B206" s="272" t="s">
        <v>74</v>
      </c>
      <c r="C206" s="350"/>
      <c r="D206" s="350"/>
      <c r="E206" s="350"/>
      <c r="F206" s="350"/>
      <c r="G206" s="316"/>
      <c r="H206" s="316"/>
      <c r="I206" s="316"/>
      <c r="J206" s="316"/>
      <c r="K206" s="316"/>
      <c r="L206" s="316"/>
      <c r="M206" s="316"/>
      <c r="N206" s="316"/>
      <c r="O206" s="316"/>
      <c r="P206" s="316"/>
      <c r="Q206" s="316"/>
      <c r="R206" s="316"/>
      <c r="S206" s="316"/>
      <c r="T206" s="307">
        <f>T204-T205</f>
        <v>1.3920960915910881E-2</v>
      </c>
      <c r="U206" s="272"/>
      <c r="V206" s="272"/>
      <c r="W206" s="275"/>
      <c r="X206" s="5"/>
    </row>
    <row r="207" spans="1:24" ht="15.6" x14ac:dyDescent="0.3">
      <c r="A207" s="349"/>
      <c r="B207" s="272" t="s">
        <v>274</v>
      </c>
      <c r="C207" s="350"/>
      <c r="D207" s="350"/>
      <c r="E207" s="350"/>
      <c r="F207" s="350"/>
      <c r="G207" s="316"/>
      <c r="H207" s="316"/>
      <c r="I207" s="316"/>
      <c r="J207" s="316"/>
      <c r="K207" s="316"/>
      <c r="L207" s="316"/>
      <c r="M207" s="316"/>
      <c r="N207" s="316"/>
      <c r="O207" s="316"/>
      <c r="P207" s="316"/>
      <c r="Q207" s="316"/>
      <c r="R207" s="316"/>
      <c r="S207" s="316"/>
      <c r="T207" s="307">
        <f>+V100/N71</f>
        <v>6.8769799222678021E-3</v>
      </c>
      <c r="U207" s="272"/>
      <c r="V207" s="272"/>
      <c r="W207" s="275"/>
      <c r="X207" s="5"/>
    </row>
    <row r="208" spans="1:24" ht="15.6" x14ac:dyDescent="0.3">
      <c r="A208" s="349"/>
      <c r="B208" s="272" t="s">
        <v>211</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212</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213</v>
      </c>
      <c r="C210" s="350"/>
      <c r="D210" s="350"/>
      <c r="E210" s="350"/>
      <c r="F210" s="350"/>
      <c r="G210" s="316"/>
      <c r="H210" s="316"/>
      <c r="I210" s="316"/>
      <c r="J210" s="316"/>
      <c r="K210" s="316"/>
      <c r="L210" s="316"/>
      <c r="M210" s="316"/>
      <c r="N210" s="316"/>
      <c r="O210" s="316"/>
      <c r="P210" s="316"/>
      <c r="Q210" s="316"/>
      <c r="R210" s="316"/>
      <c r="S210" s="316"/>
      <c r="T210" s="351">
        <v>50771</v>
      </c>
      <c r="U210" s="272"/>
      <c r="V210" s="272"/>
      <c r="W210" s="275"/>
      <c r="X210" s="5"/>
    </row>
    <row r="211" spans="1:24" ht="15.6" x14ac:dyDescent="0.3">
      <c r="A211" s="349"/>
      <c r="B211" s="272" t="s">
        <v>75</v>
      </c>
      <c r="C211" s="350"/>
      <c r="D211" s="350"/>
      <c r="E211" s="350"/>
      <c r="F211" s="350"/>
      <c r="G211" s="316"/>
      <c r="H211" s="316"/>
      <c r="I211" s="316"/>
      <c r="J211" s="316"/>
      <c r="K211" s="316"/>
      <c r="L211" s="316"/>
      <c r="M211" s="316"/>
      <c r="N211" s="316"/>
      <c r="O211" s="316"/>
      <c r="P211" s="316"/>
      <c r="Q211" s="316"/>
      <c r="R211" s="316"/>
      <c r="S211" s="316"/>
      <c r="T211" s="313">
        <v>20.66</v>
      </c>
      <c r="U211" s="272" t="s">
        <v>113</v>
      </c>
      <c r="V211" s="272"/>
      <c r="W211" s="275"/>
      <c r="X211" s="5"/>
    </row>
    <row r="212" spans="1:24" ht="15.6" x14ac:dyDescent="0.3">
      <c r="A212" s="349"/>
      <c r="B212" s="272" t="s">
        <v>76</v>
      </c>
      <c r="C212" s="350"/>
      <c r="D212" s="350"/>
      <c r="E212" s="350"/>
      <c r="F212" s="350"/>
      <c r="G212" s="316"/>
      <c r="H212" s="316"/>
      <c r="I212" s="316"/>
      <c r="J212" s="316"/>
      <c r="K212" s="316"/>
      <c r="L212" s="316"/>
      <c r="M212" s="316"/>
      <c r="N212" s="316"/>
      <c r="O212" s="316"/>
      <c r="P212" s="316"/>
      <c r="Q212" s="316"/>
      <c r="R212" s="316"/>
      <c r="S212" s="316"/>
      <c r="T212" s="313">
        <v>12.59</v>
      </c>
      <c r="U212" s="272" t="s">
        <v>113</v>
      </c>
      <c r="V212" s="272"/>
      <c r="W212" s="275"/>
      <c r="X212" s="5"/>
    </row>
    <row r="213" spans="1:24" ht="15.6" x14ac:dyDescent="0.3">
      <c r="A213" s="349"/>
      <c r="B213" s="272" t="s">
        <v>77</v>
      </c>
      <c r="C213" s="350"/>
      <c r="D213" s="350"/>
      <c r="E213" s="350"/>
      <c r="F213" s="350"/>
      <c r="G213" s="316"/>
      <c r="H213" s="316"/>
      <c r="I213" s="316"/>
      <c r="J213" s="316"/>
      <c r="K213" s="316"/>
      <c r="L213" s="316"/>
      <c r="M213" s="316"/>
      <c r="N213" s="316"/>
      <c r="O213" s="316"/>
      <c r="P213" s="316"/>
      <c r="Q213" s="316"/>
      <c r="R213" s="316"/>
      <c r="S213" s="316"/>
      <c r="T213" s="307">
        <f>P68/N68</f>
        <v>1.4551101460228404E-2</v>
      </c>
      <c r="U213" s="272"/>
      <c r="V213" s="272"/>
      <c r="W213" s="275"/>
      <c r="X213" s="5"/>
    </row>
    <row r="214" spans="1:24" ht="15.6" x14ac:dyDescent="0.3">
      <c r="A214" s="349"/>
      <c r="B214" s="272" t="s">
        <v>78</v>
      </c>
      <c r="C214" s="350"/>
      <c r="D214" s="350"/>
      <c r="E214" s="350"/>
      <c r="F214" s="350"/>
      <c r="G214" s="316"/>
      <c r="H214" s="316"/>
      <c r="I214" s="316"/>
      <c r="J214" s="316"/>
      <c r="K214" s="316"/>
      <c r="L214" s="316"/>
      <c r="M214" s="316"/>
      <c r="N214" s="316"/>
      <c r="O214" s="316"/>
      <c r="P214" s="316"/>
      <c r="Q214" s="316"/>
      <c r="R214" s="316"/>
      <c r="S214" s="316"/>
      <c r="T214" s="307">
        <v>6.4399999999999999E-2</v>
      </c>
      <c r="U214" s="272"/>
      <c r="V214" s="272"/>
      <c r="W214" s="275"/>
      <c r="X214" s="5"/>
    </row>
    <row r="215" spans="1:24" ht="15.6" x14ac:dyDescent="0.3">
      <c r="A215" s="211"/>
      <c r="B215" s="347"/>
      <c r="C215" s="347"/>
      <c r="D215" s="347"/>
      <c r="E215" s="347"/>
      <c r="F215" s="347"/>
      <c r="G215" s="321"/>
      <c r="H215" s="321"/>
      <c r="I215" s="321"/>
      <c r="J215" s="321"/>
      <c r="K215" s="321"/>
      <c r="L215" s="321"/>
      <c r="M215" s="321"/>
      <c r="N215" s="321"/>
      <c r="O215" s="321"/>
      <c r="P215" s="321"/>
      <c r="Q215" s="321"/>
      <c r="R215" s="321"/>
      <c r="S215" s="321"/>
      <c r="T215" s="340"/>
      <c r="U215" s="321"/>
      <c r="V215" s="348"/>
      <c r="W215" s="321"/>
      <c r="X215" s="5"/>
    </row>
    <row r="216" spans="1:24" ht="15.6" x14ac:dyDescent="0.3">
      <c r="A216" s="215"/>
      <c r="B216" s="219" t="s">
        <v>79</v>
      </c>
      <c r="C216" s="224"/>
      <c r="D216" s="224"/>
      <c r="E216" s="224"/>
      <c r="F216" s="251"/>
      <c r="G216" s="224"/>
      <c r="H216" s="224"/>
      <c r="I216" s="224"/>
      <c r="J216" s="224"/>
      <c r="K216" s="224"/>
      <c r="L216" s="224"/>
      <c r="M216" s="224"/>
      <c r="N216" s="224"/>
      <c r="O216" s="224"/>
      <c r="P216" s="224"/>
      <c r="Q216" s="224"/>
      <c r="R216" s="224"/>
      <c r="S216" s="224" t="s">
        <v>103</v>
      </c>
      <c r="T216" s="251" t="s">
        <v>110</v>
      </c>
      <c r="U216" s="220"/>
      <c r="V216" s="220"/>
      <c r="W216" s="220"/>
      <c r="X216" s="5"/>
    </row>
    <row r="217" spans="1:24" ht="15.6" x14ac:dyDescent="0.3">
      <c r="A217" s="356"/>
      <c r="B217" s="272" t="s">
        <v>80</v>
      </c>
      <c r="C217" s="324"/>
      <c r="D217" s="324"/>
      <c r="E217" s="324"/>
      <c r="F217" s="272"/>
      <c r="G217" s="272"/>
      <c r="H217" s="280"/>
      <c r="I217" s="280"/>
      <c r="J217" s="280"/>
      <c r="K217" s="280"/>
      <c r="L217" s="280"/>
      <c r="M217" s="280"/>
      <c r="N217" s="280"/>
      <c r="O217" s="280"/>
      <c r="P217" s="280"/>
      <c r="Q217" s="280"/>
      <c r="R217" s="280"/>
      <c r="S217" s="280">
        <v>2</v>
      </c>
      <c r="T217" s="357">
        <v>204</v>
      </c>
      <c r="U217" s="272"/>
      <c r="V217" s="358"/>
      <c r="W217" s="359"/>
      <c r="X217" s="5"/>
    </row>
    <row r="218" spans="1:24" ht="15.6" x14ac:dyDescent="0.3">
      <c r="A218" s="356"/>
      <c r="B218" s="272" t="s">
        <v>148</v>
      </c>
      <c r="C218" s="324"/>
      <c r="D218" s="324"/>
      <c r="E218" s="324"/>
      <c r="F218" s="272"/>
      <c r="G218" s="272"/>
      <c r="H218" s="280"/>
      <c r="I218" s="280"/>
      <c r="J218" s="280"/>
      <c r="K218" s="280"/>
      <c r="L218" s="280"/>
      <c r="M218" s="280"/>
      <c r="N218" s="280"/>
      <c r="O218" s="280"/>
      <c r="P218" s="280"/>
      <c r="Q218" s="280"/>
      <c r="R218" s="280"/>
      <c r="S218" s="360">
        <f>+R270</f>
        <v>141</v>
      </c>
      <c r="T218" s="357">
        <f>+T270</f>
        <v>22254</v>
      </c>
      <c r="U218" s="272"/>
      <c r="V218" s="358"/>
      <c r="W218" s="359"/>
      <c r="X218" s="5"/>
    </row>
    <row r="219" spans="1:24" ht="15.6" x14ac:dyDescent="0.3">
      <c r="A219" s="356"/>
      <c r="B219" s="272" t="s">
        <v>81</v>
      </c>
      <c r="C219" s="324"/>
      <c r="D219" s="324"/>
      <c r="E219" s="324"/>
      <c r="F219" s="272"/>
      <c r="G219" s="272"/>
      <c r="H219" s="280"/>
      <c r="I219" s="280"/>
      <c r="J219" s="280"/>
      <c r="K219" s="280"/>
      <c r="L219" s="280"/>
      <c r="M219" s="280"/>
      <c r="N219" s="280"/>
      <c r="O219" s="280"/>
      <c r="P219" s="280"/>
      <c r="Q219" s="280"/>
      <c r="R219" s="280"/>
      <c r="S219" s="360">
        <f>+R282</f>
        <v>0</v>
      </c>
      <c r="T219" s="357">
        <f>+T282</f>
        <v>0</v>
      </c>
      <c r="U219" s="272"/>
      <c r="V219" s="358"/>
      <c r="W219" s="359"/>
      <c r="X219" s="5"/>
    </row>
    <row r="220" spans="1:24" ht="15.6" x14ac:dyDescent="0.3">
      <c r="A220" s="356"/>
      <c r="B220" s="297" t="s">
        <v>82</v>
      </c>
      <c r="C220" s="361"/>
      <c r="D220" s="361"/>
      <c r="E220" s="361"/>
      <c r="F220" s="298"/>
      <c r="G220" s="298"/>
      <c r="H220" s="298"/>
      <c r="I220" s="298"/>
      <c r="J220" s="298"/>
      <c r="K220" s="298"/>
      <c r="L220" s="298"/>
      <c r="M220" s="298"/>
      <c r="N220" s="298"/>
      <c r="O220" s="298"/>
      <c r="P220" s="298"/>
      <c r="Q220" s="298"/>
      <c r="R220" s="298"/>
      <c r="S220" s="298"/>
      <c r="T220" s="357">
        <v>0</v>
      </c>
      <c r="U220" s="298"/>
      <c r="V220" s="362"/>
      <c r="W220" s="363"/>
      <c r="X220" s="5"/>
    </row>
    <row r="221" spans="1:24" ht="15.6" x14ac:dyDescent="0.3">
      <c r="A221" s="356"/>
      <c r="B221" s="297" t="s">
        <v>275</v>
      </c>
      <c r="C221" s="361"/>
      <c r="D221" s="361"/>
      <c r="E221" s="361"/>
      <c r="F221" s="298"/>
      <c r="G221" s="298"/>
      <c r="H221" s="298"/>
      <c r="I221" s="298"/>
      <c r="J221" s="298"/>
      <c r="K221" s="298"/>
      <c r="L221" s="298"/>
      <c r="M221" s="298"/>
      <c r="N221" s="298"/>
      <c r="O221" s="298"/>
      <c r="P221" s="298"/>
      <c r="Q221" s="298"/>
      <c r="R221" s="298"/>
      <c r="S221" s="298"/>
      <c r="T221" s="357">
        <f>+N81</f>
        <v>0</v>
      </c>
      <c r="U221" s="298"/>
      <c r="V221" s="362"/>
      <c r="W221" s="363"/>
      <c r="X221" s="5"/>
    </row>
    <row r="222" spans="1:24" ht="15.6" x14ac:dyDescent="0.3">
      <c r="A222" s="364"/>
      <c r="B222" s="297" t="s">
        <v>83</v>
      </c>
      <c r="C222" s="365"/>
      <c r="D222" s="365"/>
      <c r="E222" s="365"/>
      <c r="F222" s="365"/>
      <c r="G222" s="298"/>
      <c r="H222" s="298"/>
      <c r="I222" s="298"/>
      <c r="J222" s="298"/>
      <c r="K222" s="298"/>
      <c r="L222" s="298"/>
      <c r="M222" s="298"/>
      <c r="N222" s="298"/>
      <c r="O222" s="298"/>
      <c r="P222" s="298"/>
      <c r="Q222" s="298"/>
      <c r="R222" s="298"/>
      <c r="S222" s="298"/>
      <c r="T222" s="366"/>
      <c r="U222" s="298"/>
      <c r="V222" s="362"/>
      <c r="W222" s="367"/>
      <c r="X222" s="5"/>
    </row>
    <row r="223" spans="1:24" ht="15.6" x14ac:dyDescent="0.3">
      <c r="A223" s="364"/>
      <c r="B223" s="272" t="s">
        <v>84</v>
      </c>
      <c r="C223" s="272"/>
      <c r="D223" s="272"/>
      <c r="E223" s="272"/>
      <c r="F223" s="272"/>
      <c r="G223" s="272"/>
      <c r="H223" s="272"/>
      <c r="I223" s="272"/>
      <c r="J223" s="272"/>
      <c r="K223" s="272"/>
      <c r="L223" s="272"/>
      <c r="M223" s="272"/>
      <c r="N223" s="272"/>
      <c r="O223" s="272"/>
      <c r="P223" s="272"/>
      <c r="Q223" s="272"/>
      <c r="R223" s="272"/>
      <c r="S223" s="280"/>
      <c r="T223" s="357">
        <f>V167</f>
        <v>468</v>
      </c>
      <c r="U223" s="272"/>
      <c r="V223" s="362"/>
      <c r="W223" s="367"/>
      <c r="X223" s="5"/>
    </row>
    <row r="224" spans="1:24" ht="15.6" x14ac:dyDescent="0.3">
      <c r="A224" s="356"/>
      <c r="B224" s="272" t="s">
        <v>85</v>
      </c>
      <c r="C224" s="324"/>
      <c r="D224" s="324"/>
      <c r="E224" s="324"/>
      <c r="F224" s="324"/>
      <c r="G224" s="272"/>
      <c r="H224" s="272"/>
      <c r="I224" s="272"/>
      <c r="J224" s="272"/>
      <c r="K224" s="272"/>
      <c r="L224" s="272"/>
      <c r="M224" s="272"/>
      <c r="N224" s="272"/>
      <c r="O224" s="272"/>
      <c r="P224" s="272"/>
      <c r="Q224" s="272"/>
      <c r="R224" s="272"/>
      <c r="S224" s="280"/>
      <c r="T224" s="357">
        <f>'March 15'!T224+T223</f>
        <v>7821</v>
      </c>
      <c r="U224" s="272"/>
      <c r="V224" s="362"/>
      <c r="W224" s="367"/>
      <c r="X224" s="5"/>
    </row>
    <row r="225" spans="1:25" ht="15.6" x14ac:dyDescent="0.3">
      <c r="A225" s="364"/>
      <c r="B225" s="297" t="s">
        <v>297</v>
      </c>
      <c r="C225" s="365"/>
      <c r="D225" s="365"/>
      <c r="E225" s="365"/>
      <c r="F225" s="365"/>
      <c r="G225" s="298"/>
      <c r="H225" s="298"/>
      <c r="I225" s="298"/>
      <c r="J225" s="298"/>
      <c r="K225" s="298"/>
      <c r="L225" s="298"/>
      <c r="M225" s="298"/>
      <c r="N225" s="298"/>
      <c r="O225" s="298"/>
      <c r="P225" s="298"/>
      <c r="Q225" s="298"/>
      <c r="R225" s="298"/>
      <c r="S225" s="302"/>
      <c r="T225" s="366"/>
      <c r="U225" s="298"/>
      <c r="V225" s="362"/>
      <c r="W225" s="367"/>
      <c r="X225" s="5"/>
    </row>
    <row r="226" spans="1:25" ht="15.6" x14ac:dyDescent="0.3">
      <c r="A226" s="364"/>
      <c r="B226" s="272" t="s">
        <v>295</v>
      </c>
      <c r="C226" s="365"/>
      <c r="D226" s="365"/>
      <c r="E226" s="365"/>
      <c r="F226" s="365"/>
      <c r="G226" s="298"/>
      <c r="H226" s="298"/>
      <c r="I226" s="298"/>
      <c r="J226" s="298"/>
      <c r="K226" s="298"/>
      <c r="L226" s="298"/>
      <c r="M226" s="298"/>
      <c r="N226" s="298"/>
      <c r="O226" s="298"/>
      <c r="P226" s="298"/>
      <c r="Q226" s="298"/>
      <c r="R226" s="298"/>
      <c r="S226" s="280">
        <v>2</v>
      </c>
      <c r="T226" s="357">
        <v>149</v>
      </c>
      <c r="U226" s="298"/>
      <c r="V226" s="362"/>
      <c r="W226" s="367"/>
      <c r="X226" s="5"/>
    </row>
    <row r="227" spans="1:25" ht="15.6" x14ac:dyDescent="0.3">
      <c r="A227" s="356"/>
      <c r="B227" s="272" t="s">
        <v>87</v>
      </c>
      <c r="C227" s="370"/>
      <c r="D227" s="370"/>
      <c r="E227" s="370"/>
      <c r="F227" s="371"/>
      <c r="G227" s="298"/>
      <c r="H227" s="298"/>
      <c r="I227" s="298"/>
      <c r="J227" s="298"/>
      <c r="K227" s="298"/>
      <c r="L227" s="298"/>
      <c r="M227" s="298"/>
      <c r="N227" s="298"/>
      <c r="O227" s="298"/>
      <c r="P227" s="298"/>
      <c r="Q227" s="298"/>
      <c r="R227" s="298"/>
      <c r="S227" s="272"/>
      <c r="T227" s="372">
        <v>19.23</v>
      </c>
      <c r="U227" s="298"/>
      <c r="V227" s="362"/>
      <c r="W227" s="367"/>
      <c r="X227" s="5"/>
    </row>
    <row r="228" spans="1:25" ht="15.6" x14ac:dyDescent="0.3">
      <c r="A228" s="356"/>
      <c r="B228" s="272" t="s">
        <v>88</v>
      </c>
      <c r="C228" s="370"/>
      <c r="D228" s="370"/>
      <c r="E228" s="370"/>
      <c r="F228" s="371"/>
      <c r="G228" s="298"/>
      <c r="H228" s="298"/>
      <c r="I228" s="298"/>
      <c r="J228" s="298"/>
      <c r="K228" s="298"/>
      <c r="L228" s="298"/>
      <c r="M228" s="298"/>
      <c r="N228" s="298"/>
      <c r="O228" s="298"/>
      <c r="P228" s="298"/>
      <c r="Q228" s="298"/>
      <c r="R228" s="298"/>
      <c r="S228" s="272"/>
      <c r="T228" s="372">
        <v>5.93</v>
      </c>
      <c r="U228" s="298"/>
      <c r="V228" s="362"/>
      <c r="W228" s="367"/>
      <c r="X228" s="5"/>
    </row>
    <row r="229" spans="1:25" ht="15.6" x14ac:dyDescent="0.3">
      <c r="A229" s="356"/>
      <c r="B229" s="297" t="s">
        <v>220</v>
      </c>
      <c r="C229" s="370"/>
      <c r="D229" s="370"/>
      <c r="E229" s="370"/>
      <c r="F229" s="371"/>
      <c r="G229" s="298"/>
      <c r="H229" s="298"/>
      <c r="I229" s="298"/>
      <c r="J229" s="298"/>
      <c r="K229" s="298"/>
      <c r="L229" s="298"/>
      <c r="M229" s="298"/>
      <c r="N229" s="298"/>
      <c r="O229" s="298"/>
      <c r="P229" s="298"/>
      <c r="Q229" s="298"/>
      <c r="R229" s="298"/>
      <c r="S229" s="272"/>
      <c r="T229" s="373"/>
      <c r="U229" s="298"/>
      <c r="V229" s="362"/>
      <c r="W229" s="367"/>
      <c r="X229" s="5"/>
    </row>
    <row r="230" spans="1:25" ht="15.6" x14ac:dyDescent="0.3">
      <c r="A230" s="356"/>
      <c r="B230" s="272" t="s">
        <v>295</v>
      </c>
      <c r="C230" s="370"/>
      <c r="D230" s="370"/>
      <c r="E230" s="370"/>
      <c r="F230" s="371"/>
      <c r="G230" s="298"/>
      <c r="H230" s="298"/>
      <c r="I230" s="298"/>
      <c r="J230" s="298"/>
      <c r="K230" s="298"/>
      <c r="L230" s="298"/>
      <c r="M230" s="298"/>
      <c r="N230" s="298"/>
      <c r="O230" s="298"/>
      <c r="P230" s="298"/>
      <c r="Q230" s="298"/>
      <c r="R230" s="298"/>
      <c r="S230" s="280">
        <v>5</v>
      </c>
      <c r="T230" s="357">
        <v>826</v>
      </c>
      <c r="U230" s="298"/>
      <c r="V230" s="362"/>
      <c r="W230" s="367"/>
      <c r="X230" s="5"/>
    </row>
    <row r="231" spans="1:25" ht="15.6" x14ac:dyDescent="0.3">
      <c r="A231" s="356"/>
      <c r="B231" s="272" t="s">
        <v>221</v>
      </c>
      <c r="C231" s="370"/>
      <c r="D231" s="370"/>
      <c r="E231" s="370"/>
      <c r="F231" s="371"/>
      <c r="G231" s="298"/>
      <c r="H231" s="298"/>
      <c r="I231" s="298"/>
      <c r="J231" s="298"/>
      <c r="K231" s="298"/>
      <c r="L231" s="298"/>
      <c r="M231" s="298"/>
      <c r="N231" s="298"/>
      <c r="O231" s="298"/>
      <c r="P231" s="298"/>
      <c r="Q231" s="298"/>
      <c r="R231" s="298"/>
      <c r="S231" s="272"/>
      <c r="T231" s="372">
        <v>4.3899999999999997</v>
      </c>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5.6" x14ac:dyDescent="0.3">
      <c r="A233" s="356"/>
      <c r="B233" s="365"/>
      <c r="C233" s="370"/>
      <c r="D233" s="370"/>
      <c r="E233" s="370"/>
      <c r="F233" s="371"/>
      <c r="G233" s="298"/>
      <c r="H233" s="298"/>
      <c r="I233" s="298"/>
      <c r="J233" s="298"/>
      <c r="K233" s="298"/>
      <c r="L233" s="298"/>
      <c r="M233" s="298"/>
      <c r="N233" s="298"/>
      <c r="O233" s="298"/>
      <c r="P233" s="298"/>
      <c r="Q233" s="298"/>
      <c r="R233" s="298"/>
      <c r="S233" s="298"/>
      <c r="T233" s="374"/>
      <c r="U233" s="298"/>
      <c r="V233" s="362"/>
      <c r="W233" s="367"/>
      <c r="X233" s="5"/>
    </row>
    <row r="234" spans="1:25" ht="17.399999999999999" x14ac:dyDescent="0.3">
      <c r="A234" s="356"/>
      <c r="B234" s="375" t="s">
        <v>171</v>
      </c>
      <c r="C234" s="370"/>
      <c r="D234" s="370"/>
      <c r="E234" s="370"/>
      <c r="F234" s="371"/>
      <c r="G234" s="298"/>
      <c r="H234" s="298"/>
      <c r="I234" s="298"/>
      <c r="J234" s="298"/>
      <c r="K234" s="298"/>
      <c r="L234" s="298"/>
      <c r="M234" s="298"/>
      <c r="N234" s="298"/>
      <c r="O234" s="298"/>
      <c r="P234" s="376" t="s">
        <v>170</v>
      </c>
      <c r="Q234" s="298"/>
      <c r="R234" s="298"/>
      <c r="S234" s="298"/>
      <c r="T234" s="374"/>
      <c r="U234" s="298"/>
      <c r="V234" s="362"/>
      <c r="W234" s="367"/>
      <c r="X234" s="5"/>
    </row>
    <row r="235" spans="1:25" ht="15.6" x14ac:dyDescent="0.3">
      <c r="A235" s="215"/>
      <c r="B235" s="347"/>
      <c r="C235" s="352"/>
      <c r="D235" s="352"/>
      <c r="E235" s="352"/>
      <c r="F235" s="353"/>
      <c r="G235" s="321"/>
      <c r="H235" s="321"/>
      <c r="I235" s="321"/>
      <c r="J235" s="321"/>
      <c r="K235" s="321"/>
      <c r="L235" s="321"/>
      <c r="M235" s="321"/>
      <c r="N235" s="321"/>
      <c r="O235" s="321"/>
      <c r="P235" s="321"/>
      <c r="Q235" s="321"/>
      <c r="R235" s="321"/>
      <c r="S235" s="321"/>
      <c r="T235" s="354"/>
      <c r="U235" s="321"/>
      <c r="V235" s="348"/>
      <c r="W235" s="355"/>
      <c r="X235" s="5"/>
    </row>
    <row r="236" spans="1:25" ht="15.6" x14ac:dyDescent="0.3">
      <c r="A236" s="239"/>
      <c r="B236" s="253" t="s">
        <v>310</v>
      </c>
      <c r="C236" s="254"/>
      <c r="D236" s="254"/>
      <c r="E236" s="254"/>
      <c r="F236" s="255"/>
      <c r="G236" s="254"/>
      <c r="H236" s="254"/>
      <c r="I236" s="254"/>
      <c r="J236" s="254"/>
      <c r="K236" s="254"/>
      <c r="L236" s="254"/>
      <c r="M236" s="254"/>
      <c r="N236" s="254"/>
      <c r="O236" s="254"/>
      <c r="P236" s="254"/>
      <c r="Q236" s="254"/>
      <c r="R236" s="255" t="s">
        <v>103</v>
      </c>
      <c r="S236" s="254" t="s">
        <v>104</v>
      </c>
      <c r="T236" s="255" t="s">
        <v>111</v>
      </c>
      <c r="U236" s="254" t="s">
        <v>104</v>
      </c>
      <c r="V236" s="240"/>
      <c r="W236" s="253"/>
      <c r="X236" s="5"/>
    </row>
    <row r="237" spans="1:25" ht="15.6" x14ac:dyDescent="0.3">
      <c r="A237" s="192"/>
      <c r="B237" s="231" t="s">
        <v>89</v>
      </c>
      <c r="C237" s="260"/>
      <c r="D237" s="260"/>
      <c r="E237" s="260"/>
      <c r="F237" s="229"/>
      <c r="G237" s="260"/>
      <c r="H237" s="260"/>
      <c r="I237" s="260"/>
      <c r="J237" s="260"/>
      <c r="K237" s="260"/>
      <c r="L237" s="260"/>
      <c r="M237" s="260"/>
      <c r="N237" s="260"/>
      <c r="O237" s="260"/>
      <c r="P237" s="260"/>
      <c r="Q237" s="260"/>
      <c r="R237" s="324">
        <f t="shared" ref="R237:R244" si="1">+R249+R261+R273</f>
        <v>7014</v>
      </c>
      <c r="S237" s="381">
        <f t="shared" ref="S237:S244" si="2">R237/$R$246</f>
        <v>0.99432945846328324</v>
      </c>
      <c r="T237" s="325">
        <f t="shared" ref="T237:T244" si="3">+T249+T261+T273</f>
        <v>900519</v>
      </c>
      <c r="U237" s="381">
        <f t="shared" ref="U237:U244" si="4">T237/$T$246</f>
        <v>0.99477162160370813</v>
      </c>
      <c r="V237" s="252"/>
      <c r="W237" s="230"/>
      <c r="X237" s="5"/>
    </row>
    <row r="238" spans="1:25" ht="15.6" x14ac:dyDescent="0.3">
      <c r="A238" s="271"/>
      <c r="B238" s="324" t="s">
        <v>90</v>
      </c>
      <c r="C238" s="380"/>
      <c r="D238" s="380"/>
      <c r="E238" s="380"/>
      <c r="F238" s="272"/>
      <c r="G238" s="381"/>
      <c r="H238" s="380"/>
      <c r="I238" s="380"/>
      <c r="J238" s="380"/>
      <c r="K238" s="380"/>
      <c r="L238" s="380"/>
      <c r="M238" s="380"/>
      <c r="N238" s="380"/>
      <c r="O238" s="380"/>
      <c r="P238" s="380"/>
      <c r="Q238" s="380"/>
      <c r="R238" s="324">
        <f t="shared" si="1"/>
        <v>7</v>
      </c>
      <c r="S238" s="381">
        <f t="shared" si="2"/>
        <v>9.9234476892543248E-4</v>
      </c>
      <c r="T238" s="325">
        <f t="shared" si="3"/>
        <v>811</v>
      </c>
      <c r="U238" s="381">
        <f t="shared" si="4"/>
        <v>8.958831353037607E-4</v>
      </c>
      <c r="V238" s="358"/>
      <c r="W238" s="382"/>
      <c r="X238" s="5"/>
      <c r="Y238" s="109"/>
    </row>
    <row r="239" spans="1:25" ht="15.6" x14ac:dyDescent="0.3">
      <c r="A239" s="271"/>
      <c r="B239" s="324" t="s">
        <v>91</v>
      </c>
      <c r="C239" s="380"/>
      <c r="D239" s="380"/>
      <c r="E239" s="380"/>
      <c r="F239" s="272"/>
      <c r="G239" s="381"/>
      <c r="H239" s="380"/>
      <c r="I239" s="380"/>
      <c r="J239" s="380"/>
      <c r="K239" s="380"/>
      <c r="L239" s="380"/>
      <c r="M239" s="380"/>
      <c r="N239" s="380"/>
      <c r="O239" s="380"/>
      <c r="P239" s="380"/>
      <c r="Q239" s="380"/>
      <c r="R239" s="324">
        <f t="shared" si="1"/>
        <v>1</v>
      </c>
      <c r="S239" s="381">
        <f t="shared" si="2"/>
        <v>1.4176353841791891E-4</v>
      </c>
      <c r="T239" s="325">
        <f t="shared" si="3"/>
        <v>107</v>
      </c>
      <c r="U239" s="381">
        <f t="shared" si="4"/>
        <v>1.1819913129161824E-4</v>
      </c>
      <c r="V239" s="358"/>
      <c r="W239" s="382"/>
      <c r="X239" s="5"/>
    </row>
    <row r="240" spans="1:25" ht="15.6" x14ac:dyDescent="0.3">
      <c r="A240" s="271"/>
      <c r="B240" s="324" t="s">
        <v>159</v>
      </c>
      <c r="C240" s="380"/>
      <c r="D240" s="380"/>
      <c r="E240" s="380"/>
      <c r="F240" s="272"/>
      <c r="G240" s="381"/>
      <c r="H240" s="380"/>
      <c r="I240" s="380"/>
      <c r="J240" s="380"/>
      <c r="K240" s="380"/>
      <c r="L240" s="380"/>
      <c r="M240" s="380"/>
      <c r="N240" s="380"/>
      <c r="O240" s="380"/>
      <c r="P240" s="380"/>
      <c r="Q240" s="380"/>
      <c r="R240" s="324">
        <f t="shared" si="1"/>
        <v>1</v>
      </c>
      <c r="S240" s="381">
        <f t="shared" si="2"/>
        <v>1.4176353841791891E-4</v>
      </c>
      <c r="T240" s="325">
        <f t="shared" si="3"/>
        <v>28</v>
      </c>
      <c r="U240" s="381">
        <f t="shared" si="4"/>
        <v>3.0930613795937488E-5</v>
      </c>
      <c r="V240" s="358"/>
      <c r="W240" s="382"/>
      <c r="X240" s="5"/>
      <c r="Y240" s="109"/>
    </row>
    <row r="241" spans="1:25" ht="15.6" x14ac:dyDescent="0.3">
      <c r="A241" s="271"/>
      <c r="B241" s="324" t="s">
        <v>160</v>
      </c>
      <c r="C241" s="380"/>
      <c r="D241" s="380"/>
      <c r="E241" s="380"/>
      <c r="F241" s="272"/>
      <c r="G241" s="381"/>
      <c r="H241" s="380"/>
      <c r="I241" s="380"/>
      <c r="J241" s="380"/>
      <c r="K241" s="380"/>
      <c r="L241" s="380"/>
      <c r="M241" s="380"/>
      <c r="N241" s="380"/>
      <c r="O241" s="380"/>
      <c r="P241" s="380"/>
      <c r="Q241" s="380"/>
      <c r="R241" s="324">
        <f t="shared" si="1"/>
        <v>2</v>
      </c>
      <c r="S241" s="381">
        <f t="shared" si="2"/>
        <v>2.8352707683583782E-4</v>
      </c>
      <c r="T241" s="325">
        <f t="shared" si="3"/>
        <v>178</v>
      </c>
      <c r="U241" s="381">
        <f t="shared" si="4"/>
        <v>1.9663033055988829E-4</v>
      </c>
      <c r="V241" s="358"/>
      <c r="W241" s="382"/>
      <c r="X241" s="5"/>
    </row>
    <row r="242" spans="1:25" ht="15.6" x14ac:dyDescent="0.3">
      <c r="A242" s="271"/>
      <c r="B242" s="324" t="s">
        <v>161</v>
      </c>
      <c r="C242" s="380"/>
      <c r="D242" s="380"/>
      <c r="E242" s="380"/>
      <c r="F242" s="272"/>
      <c r="G242" s="381"/>
      <c r="H242" s="380"/>
      <c r="I242" s="380"/>
      <c r="J242" s="380"/>
      <c r="K242" s="380"/>
      <c r="L242" s="380"/>
      <c r="M242" s="380"/>
      <c r="N242" s="380"/>
      <c r="O242" s="380"/>
      <c r="P242" s="380"/>
      <c r="Q242" s="380"/>
      <c r="R242" s="324">
        <f t="shared" si="1"/>
        <v>1</v>
      </c>
      <c r="S242" s="381">
        <f t="shared" si="2"/>
        <v>1.4176353841791891E-4</v>
      </c>
      <c r="T242" s="325">
        <f t="shared" si="3"/>
        <v>105</v>
      </c>
      <c r="U242" s="381">
        <f t="shared" si="4"/>
        <v>1.1598980173476556E-4</v>
      </c>
      <c r="V242" s="358"/>
      <c r="W242" s="382"/>
      <c r="X242" s="5"/>
      <c r="Y242" s="109"/>
    </row>
    <row r="243" spans="1:25" ht="15.6" x14ac:dyDescent="0.3">
      <c r="A243" s="271"/>
      <c r="B243" s="324" t="s">
        <v>162</v>
      </c>
      <c r="C243" s="380"/>
      <c r="D243" s="380"/>
      <c r="E243" s="380"/>
      <c r="F243" s="272"/>
      <c r="G243" s="381"/>
      <c r="H243" s="380"/>
      <c r="I243" s="380"/>
      <c r="J243" s="380"/>
      <c r="K243" s="380"/>
      <c r="L243" s="380"/>
      <c r="M243" s="380"/>
      <c r="N243" s="380"/>
      <c r="O243" s="380"/>
      <c r="P243" s="380"/>
      <c r="Q243" s="380"/>
      <c r="R243" s="324">
        <f t="shared" si="1"/>
        <v>6</v>
      </c>
      <c r="S243" s="381">
        <f t="shared" si="2"/>
        <v>8.5058123050751346E-4</v>
      </c>
      <c r="T243" s="325">
        <f t="shared" si="3"/>
        <v>649</v>
      </c>
      <c r="U243" s="381">
        <f t="shared" si="4"/>
        <v>7.1692744119869381E-4</v>
      </c>
      <c r="V243" s="358"/>
      <c r="W243" s="382"/>
      <c r="X243" s="5"/>
    </row>
    <row r="244" spans="1:25" ht="15.6" x14ac:dyDescent="0.3">
      <c r="A244" s="271"/>
      <c r="B244" s="324" t="s">
        <v>163</v>
      </c>
      <c r="C244" s="380"/>
      <c r="D244" s="380"/>
      <c r="E244" s="380"/>
      <c r="F244" s="272"/>
      <c r="G244" s="381"/>
      <c r="H244" s="380"/>
      <c r="I244" s="380"/>
      <c r="J244" s="380"/>
      <c r="K244" s="380"/>
      <c r="L244" s="380"/>
      <c r="M244" s="380"/>
      <c r="N244" s="380"/>
      <c r="O244" s="380"/>
      <c r="P244" s="380"/>
      <c r="Q244" s="380"/>
      <c r="R244" s="324">
        <f t="shared" si="1"/>
        <v>22</v>
      </c>
      <c r="S244" s="381">
        <f t="shared" si="2"/>
        <v>3.1187978451942162E-3</v>
      </c>
      <c r="T244" s="325">
        <f t="shared" si="3"/>
        <v>2855</v>
      </c>
      <c r="U244" s="381">
        <f t="shared" si="4"/>
        <v>3.1538179424071972E-3</v>
      </c>
      <c r="V244" s="358"/>
      <c r="W244" s="382"/>
      <c r="X244" s="5"/>
      <c r="Y244" s="109"/>
    </row>
    <row r="245" spans="1:25" ht="15.6" x14ac:dyDescent="0.3">
      <c r="A245" s="271"/>
      <c r="B245" s="324"/>
      <c r="C245" s="380"/>
      <c r="D245" s="380"/>
      <c r="E245" s="380"/>
      <c r="F245" s="272"/>
      <c r="G245" s="381"/>
      <c r="H245" s="380"/>
      <c r="I245" s="380"/>
      <c r="J245" s="380"/>
      <c r="K245" s="380"/>
      <c r="L245" s="380"/>
      <c r="M245" s="380"/>
      <c r="N245" s="380"/>
      <c r="O245" s="380"/>
      <c r="P245" s="380"/>
      <c r="Q245" s="380"/>
      <c r="R245" s="324"/>
      <c r="S245" s="381"/>
      <c r="T245" s="325"/>
      <c r="U245" s="381"/>
      <c r="V245" s="358"/>
      <c r="W245" s="382"/>
      <c r="X245" s="5"/>
    </row>
    <row r="246" spans="1:25" ht="15.6" x14ac:dyDescent="0.3">
      <c r="A246" s="271"/>
      <c r="B246" s="272" t="s">
        <v>117</v>
      </c>
      <c r="C246" s="272"/>
      <c r="D246" s="272"/>
      <c r="E246" s="272"/>
      <c r="F246" s="272"/>
      <c r="G246" s="272"/>
      <c r="H246" s="383"/>
      <c r="I246" s="383"/>
      <c r="J246" s="383"/>
      <c r="K246" s="383"/>
      <c r="L246" s="383"/>
      <c r="M246" s="383"/>
      <c r="N246" s="383"/>
      <c r="O246" s="383"/>
      <c r="P246" s="383"/>
      <c r="Q246" s="383"/>
      <c r="R246" s="324">
        <f>SUM(R237:R245)</f>
        <v>7054</v>
      </c>
      <c r="S246" s="381">
        <f>SUM(S237:S245)</f>
        <v>0.99999999999999989</v>
      </c>
      <c r="T246" s="325">
        <f>SUM(T237:T245)</f>
        <v>905252</v>
      </c>
      <c r="U246" s="381">
        <f>SUM(U237:U245)</f>
        <v>1</v>
      </c>
      <c r="V246" s="272"/>
      <c r="W246" s="275"/>
      <c r="X246" s="5"/>
    </row>
    <row r="247" spans="1:25" ht="15.6" x14ac:dyDescent="0.3">
      <c r="A247" s="215"/>
      <c r="B247" s="347"/>
      <c r="C247" s="352"/>
      <c r="D247" s="352"/>
      <c r="E247" s="352"/>
      <c r="F247" s="353"/>
      <c r="G247" s="321"/>
      <c r="H247" s="321"/>
      <c r="I247" s="321"/>
      <c r="J247" s="321"/>
      <c r="K247" s="321"/>
      <c r="L247" s="321"/>
      <c r="M247" s="321"/>
      <c r="N247" s="321"/>
      <c r="O247" s="321"/>
      <c r="P247" s="321"/>
      <c r="Q247" s="321"/>
      <c r="R247" s="321"/>
      <c r="S247" s="321"/>
      <c r="T247" s="354"/>
      <c r="U247" s="321"/>
      <c r="V247" s="348"/>
      <c r="W247" s="355"/>
      <c r="X247" s="5"/>
    </row>
    <row r="248" spans="1:25" ht="15.6" x14ac:dyDescent="0.3">
      <c r="A248" s="239"/>
      <c r="B248" s="253" t="s">
        <v>165</v>
      </c>
      <c r="C248" s="254"/>
      <c r="D248" s="254"/>
      <c r="E248" s="254"/>
      <c r="F248" s="255"/>
      <c r="G248" s="254"/>
      <c r="H248" s="254"/>
      <c r="I248" s="254"/>
      <c r="J248" s="254"/>
      <c r="K248" s="254"/>
      <c r="L248" s="254"/>
      <c r="M248" s="254"/>
      <c r="N248" s="254"/>
      <c r="O248" s="254"/>
      <c r="P248" s="254"/>
      <c r="Q248" s="254"/>
      <c r="R248" s="255" t="s">
        <v>103</v>
      </c>
      <c r="S248" s="254" t="s">
        <v>104</v>
      </c>
      <c r="T248" s="255" t="s">
        <v>111</v>
      </c>
      <c r="U248" s="254" t="s">
        <v>104</v>
      </c>
      <c r="V248" s="240"/>
      <c r="W248" s="253"/>
      <c r="X248" s="5"/>
    </row>
    <row r="249" spans="1:25" ht="15.6" x14ac:dyDescent="0.3">
      <c r="A249" s="192"/>
      <c r="B249" s="231" t="s">
        <v>89</v>
      </c>
      <c r="C249" s="260"/>
      <c r="D249" s="260"/>
      <c r="E249" s="260"/>
      <c r="F249" s="229"/>
      <c r="G249" s="260"/>
      <c r="H249" s="260"/>
      <c r="I249" s="260"/>
      <c r="J249" s="260"/>
      <c r="K249" s="260"/>
      <c r="L249" s="260"/>
      <c r="M249" s="260"/>
      <c r="N249" s="260"/>
      <c r="O249" s="260"/>
      <c r="P249" s="260"/>
      <c r="Q249" s="260"/>
      <c r="R249" s="231">
        <v>6909</v>
      </c>
      <c r="S249" s="261">
        <f t="shared" ref="S249:S256" si="5">R249/$R$258</f>
        <v>0.99942138000867931</v>
      </c>
      <c r="T249" s="238">
        <v>882509</v>
      </c>
      <c r="U249" s="261">
        <f t="shared" ref="U249:U256" si="6">T249/$T$258</f>
        <v>0.9994462048611662</v>
      </c>
      <c r="V249" s="252"/>
      <c r="W249" s="230"/>
      <c r="X249" s="5"/>
    </row>
    <row r="250" spans="1:25" ht="15.6" x14ac:dyDescent="0.3">
      <c r="A250" s="271"/>
      <c r="B250" s="324" t="s">
        <v>90</v>
      </c>
      <c r="C250" s="380"/>
      <c r="D250" s="380"/>
      <c r="E250" s="380"/>
      <c r="F250" s="272"/>
      <c r="G250" s="381"/>
      <c r="H250" s="380"/>
      <c r="I250" s="380"/>
      <c r="J250" s="380"/>
      <c r="K250" s="380"/>
      <c r="L250" s="380"/>
      <c r="M250" s="380"/>
      <c r="N250" s="380"/>
      <c r="O250" s="380"/>
      <c r="P250" s="380"/>
      <c r="Q250" s="380"/>
      <c r="R250" s="324">
        <v>3</v>
      </c>
      <c r="S250" s="381">
        <f t="shared" si="5"/>
        <v>4.339649934905251E-4</v>
      </c>
      <c r="T250" s="325">
        <v>371</v>
      </c>
      <c r="U250" s="381">
        <f t="shared" si="6"/>
        <v>4.2015950206002731E-4</v>
      </c>
      <c r="V250" s="358"/>
      <c r="W250" s="382"/>
      <c r="X250" s="5"/>
      <c r="Y250" s="109"/>
    </row>
    <row r="251" spans="1:25" ht="15.6" x14ac:dyDescent="0.3">
      <c r="A251" s="271"/>
      <c r="B251" s="324" t="s">
        <v>91</v>
      </c>
      <c r="C251" s="380"/>
      <c r="D251" s="380"/>
      <c r="E251" s="380"/>
      <c r="F251" s="272"/>
      <c r="G251" s="381"/>
      <c r="H251" s="380"/>
      <c r="I251" s="380"/>
      <c r="J251" s="380"/>
      <c r="K251" s="380"/>
      <c r="L251" s="380"/>
      <c r="M251" s="380"/>
      <c r="N251" s="380"/>
      <c r="O251" s="380"/>
      <c r="P251" s="380"/>
      <c r="Q251" s="380"/>
      <c r="R251" s="324">
        <v>0</v>
      </c>
      <c r="S251" s="381">
        <f t="shared" si="5"/>
        <v>0</v>
      </c>
      <c r="T251" s="325">
        <v>0</v>
      </c>
      <c r="U251" s="381">
        <f t="shared" si="6"/>
        <v>0</v>
      </c>
      <c r="V251" s="358"/>
      <c r="W251" s="382"/>
      <c r="X251" s="5"/>
    </row>
    <row r="252" spans="1:25" ht="15.6" x14ac:dyDescent="0.3">
      <c r="A252" s="271"/>
      <c r="B252" s="324" t="s">
        <v>159</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c r="Y252" s="109"/>
    </row>
    <row r="253" spans="1:25" ht="15.6" x14ac:dyDescent="0.3">
      <c r="A253" s="271"/>
      <c r="B253" s="324" t="s">
        <v>160</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row>
    <row r="254" spans="1:25" ht="15.6" x14ac:dyDescent="0.3">
      <c r="A254" s="271"/>
      <c r="B254" s="324" t="s">
        <v>161</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c r="Y254" s="109"/>
    </row>
    <row r="255" spans="1:25" ht="15.6" x14ac:dyDescent="0.3">
      <c r="A255" s="271"/>
      <c r="B255" s="324" t="s">
        <v>162</v>
      </c>
      <c r="C255" s="380"/>
      <c r="D255" s="380"/>
      <c r="E255" s="380"/>
      <c r="F255" s="272"/>
      <c r="G255" s="381"/>
      <c r="H255" s="380"/>
      <c r="I255" s="380"/>
      <c r="J255" s="380"/>
      <c r="K255" s="380"/>
      <c r="L255" s="380"/>
      <c r="M255" s="380"/>
      <c r="N255" s="380"/>
      <c r="O255" s="380"/>
      <c r="P255" s="380"/>
      <c r="Q255" s="380"/>
      <c r="R255" s="324">
        <v>0</v>
      </c>
      <c r="S255" s="381">
        <f t="shared" si="5"/>
        <v>0</v>
      </c>
      <c r="T255" s="325">
        <v>0</v>
      </c>
      <c r="U255" s="381">
        <f t="shared" si="6"/>
        <v>0</v>
      </c>
      <c r="V255" s="358"/>
      <c r="W255" s="382"/>
      <c r="X255" s="5"/>
    </row>
    <row r="256" spans="1:25" ht="15.6" x14ac:dyDescent="0.3">
      <c r="A256" s="271"/>
      <c r="B256" s="324" t="s">
        <v>163</v>
      </c>
      <c r="C256" s="380"/>
      <c r="D256" s="380"/>
      <c r="E256" s="380"/>
      <c r="F256" s="272"/>
      <c r="G256" s="381"/>
      <c r="H256" s="380"/>
      <c r="I256" s="380"/>
      <c r="J256" s="380"/>
      <c r="K256" s="380"/>
      <c r="L256" s="380"/>
      <c r="M256" s="380"/>
      <c r="N256" s="380"/>
      <c r="O256" s="380"/>
      <c r="P256" s="380"/>
      <c r="Q256" s="380"/>
      <c r="R256" s="324">
        <v>1</v>
      </c>
      <c r="S256" s="381">
        <f t="shared" si="5"/>
        <v>1.4465499783017504E-4</v>
      </c>
      <c r="T256" s="325">
        <v>118</v>
      </c>
      <c r="U256" s="381">
        <f t="shared" si="6"/>
        <v>1.3363563677380922E-4</v>
      </c>
      <c r="V256" s="358"/>
      <c r="W256" s="382"/>
      <c r="X256" s="5"/>
      <c r="Y256" s="109"/>
    </row>
    <row r="257" spans="1:24" ht="15.6" x14ac:dyDescent="0.3">
      <c r="A257" s="271"/>
      <c r="B257" s="324"/>
      <c r="C257" s="380"/>
      <c r="D257" s="380"/>
      <c r="E257" s="380"/>
      <c r="F257" s="272"/>
      <c r="G257" s="381"/>
      <c r="H257" s="380"/>
      <c r="I257" s="380"/>
      <c r="J257" s="380"/>
      <c r="K257" s="380"/>
      <c r="L257" s="380"/>
      <c r="M257" s="380"/>
      <c r="N257" s="380"/>
      <c r="O257" s="380"/>
      <c r="P257" s="380"/>
      <c r="Q257" s="380"/>
      <c r="R257" s="324"/>
      <c r="S257" s="381"/>
      <c r="T257" s="325"/>
      <c r="U257" s="381"/>
      <c r="V257" s="358"/>
      <c r="W257" s="382"/>
      <c r="X257" s="5"/>
    </row>
    <row r="258" spans="1:24" ht="15.6" x14ac:dyDescent="0.3">
      <c r="A258" s="271"/>
      <c r="B258" s="272" t="s">
        <v>117</v>
      </c>
      <c r="C258" s="272"/>
      <c r="D258" s="272"/>
      <c r="E258" s="272"/>
      <c r="F258" s="272"/>
      <c r="G258" s="272"/>
      <c r="H258" s="383"/>
      <c r="I258" s="383"/>
      <c r="J258" s="383"/>
      <c r="K258" s="383"/>
      <c r="L258" s="383"/>
      <c r="M258" s="383"/>
      <c r="N258" s="383"/>
      <c r="O258" s="383"/>
      <c r="P258" s="383"/>
      <c r="Q258" s="383"/>
      <c r="R258" s="324">
        <f>SUM(R249:R257)</f>
        <v>6913</v>
      </c>
      <c r="S258" s="381">
        <f>SUM(S249:S257)</f>
        <v>1</v>
      </c>
      <c r="T258" s="325">
        <f>SUM(T249:T257)</f>
        <v>882998</v>
      </c>
      <c r="U258" s="381">
        <f>SUM(U249:U257)</f>
        <v>1</v>
      </c>
      <c r="V258" s="272"/>
      <c r="W258" s="275"/>
      <c r="X258" s="5"/>
    </row>
    <row r="259" spans="1:24" ht="15.6" x14ac:dyDescent="0.3">
      <c r="A259" s="175"/>
      <c r="B259" s="321"/>
      <c r="C259" s="321"/>
      <c r="D259" s="321"/>
      <c r="E259" s="321"/>
      <c r="F259" s="321"/>
      <c r="G259" s="321"/>
      <c r="H259" s="377"/>
      <c r="I259" s="377"/>
      <c r="J259" s="377"/>
      <c r="K259" s="377"/>
      <c r="L259" s="377"/>
      <c r="M259" s="377"/>
      <c r="N259" s="377"/>
      <c r="O259" s="377"/>
      <c r="P259" s="377"/>
      <c r="Q259" s="377"/>
      <c r="R259" s="322"/>
      <c r="S259" s="378"/>
      <c r="T259" s="379"/>
      <c r="U259" s="378"/>
      <c r="V259" s="321"/>
      <c r="W259" s="321"/>
      <c r="X259" s="5"/>
    </row>
    <row r="260" spans="1:24" ht="15.6" x14ac:dyDescent="0.3">
      <c r="A260" s="256"/>
      <c r="B260" s="253" t="s">
        <v>279</v>
      </c>
      <c r="C260" s="254"/>
      <c r="D260" s="254"/>
      <c r="E260" s="254"/>
      <c r="F260" s="255"/>
      <c r="G260" s="254"/>
      <c r="H260" s="254"/>
      <c r="I260" s="254"/>
      <c r="J260" s="254"/>
      <c r="K260" s="254"/>
      <c r="L260" s="254"/>
      <c r="M260" s="254"/>
      <c r="N260" s="254"/>
      <c r="O260" s="254"/>
      <c r="P260" s="254"/>
      <c r="Q260" s="254"/>
      <c r="R260" s="255" t="s">
        <v>103</v>
      </c>
      <c r="S260" s="254" t="s">
        <v>104</v>
      </c>
      <c r="T260" s="255" t="s">
        <v>111</v>
      </c>
      <c r="U260" s="254" t="s">
        <v>104</v>
      </c>
      <c r="V260" s="257"/>
      <c r="W260" s="258"/>
      <c r="X260" s="5"/>
    </row>
    <row r="261" spans="1:24" ht="15.6" x14ac:dyDescent="0.3">
      <c r="A261" s="192"/>
      <c r="B261" s="231" t="s">
        <v>89</v>
      </c>
      <c r="C261" s="260"/>
      <c r="D261" s="260"/>
      <c r="E261" s="260"/>
      <c r="F261" s="229"/>
      <c r="G261" s="260"/>
      <c r="H261" s="260"/>
      <c r="I261" s="260"/>
      <c r="J261" s="260"/>
      <c r="K261" s="260"/>
      <c r="L261" s="260"/>
      <c r="M261" s="260"/>
      <c r="N261" s="260"/>
      <c r="O261" s="260"/>
      <c r="P261" s="260"/>
      <c r="Q261" s="260"/>
      <c r="R261" s="231">
        <v>105</v>
      </c>
      <c r="S261" s="261">
        <f>R261/$R$270</f>
        <v>0.74468085106382975</v>
      </c>
      <c r="T261" s="238">
        <v>18010</v>
      </c>
      <c r="U261" s="261">
        <f t="shared" ref="U261:U268" si="7">T261/$T$270</f>
        <v>0.80929271142266557</v>
      </c>
      <c r="V261" s="229"/>
      <c r="W261" s="193"/>
      <c r="X261" s="5"/>
    </row>
    <row r="262" spans="1:24" ht="15.6" x14ac:dyDescent="0.3">
      <c r="A262" s="271"/>
      <c r="B262" s="324" t="s">
        <v>90</v>
      </c>
      <c r="C262" s="380"/>
      <c r="D262" s="380"/>
      <c r="E262" s="380"/>
      <c r="F262" s="272"/>
      <c r="G262" s="381"/>
      <c r="H262" s="380"/>
      <c r="I262" s="380"/>
      <c r="J262" s="380"/>
      <c r="K262" s="380"/>
      <c r="L262" s="380"/>
      <c r="M262" s="380"/>
      <c r="N262" s="380"/>
      <c r="O262" s="380"/>
      <c r="P262" s="380"/>
      <c r="Q262" s="380"/>
      <c r="R262" s="324">
        <v>4</v>
      </c>
      <c r="S262" s="381">
        <f t="shared" ref="S262:S266" si="8">R262/$R$270</f>
        <v>2.8368794326241134E-2</v>
      </c>
      <c r="T262" s="325">
        <v>440</v>
      </c>
      <c r="U262" s="381">
        <f t="shared" si="7"/>
        <v>1.9771726431203378E-2</v>
      </c>
      <c r="V262" s="272"/>
      <c r="W262" s="304"/>
      <c r="X262" s="5"/>
    </row>
    <row r="263" spans="1:24" ht="15.6" x14ac:dyDescent="0.3">
      <c r="A263" s="271"/>
      <c r="B263" s="324" t="s">
        <v>91</v>
      </c>
      <c r="C263" s="380"/>
      <c r="D263" s="380"/>
      <c r="E263" s="380"/>
      <c r="F263" s="272"/>
      <c r="G263" s="381"/>
      <c r="H263" s="380"/>
      <c r="I263" s="380"/>
      <c r="J263" s="380"/>
      <c r="K263" s="380"/>
      <c r="L263" s="380"/>
      <c r="M263" s="380"/>
      <c r="N263" s="380"/>
      <c r="O263" s="380"/>
      <c r="P263" s="380"/>
      <c r="Q263" s="380"/>
      <c r="R263" s="324">
        <v>1</v>
      </c>
      <c r="S263" s="381">
        <f t="shared" si="8"/>
        <v>7.0921985815602835E-3</v>
      </c>
      <c r="T263" s="325">
        <v>107</v>
      </c>
      <c r="U263" s="381">
        <f t="shared" si="7"/>
        <v>4.8081243821335492E-3</v>
      </c>
      <c r="V263" s="272"/>
      <c r="W263" s="304"/>
      <c r="X263" s="5"/>
    </row>
    <row r="264" spans="1:24" ht="15.6" x14ac:dyDescent="0.3">
      <c r="A264" s="271"/>
      <c r="B264" s="324" t="s">
        <v>159</v>
      </c>
      <c r="C264" s="380"/>
      <c r="D264" s="380"/>
      <c r="E264" s="380"/>
      <c r="F264" s="272"/>
      <c r="G264" s="381"/>
      <c r="H264" s="380"/>
      <c r="I264" s="380"/>
      <c r="J264" s="380"/>
      <c r="K264" s="380"/>
      <c r="L264" s="380"/>
      <c r="M264" s="380"/>
      <c r="N264" s="380"/>
      <c r="O264" s="380"/>
      <c r="P264" s="380"/>
      <c r="Q264" s="380"/>
      <c r="R264" s="324">
        <v>1</v>
      </c>
      <c r="S264" s="381">
        <f t="shared" si="8"/>
        <v>7.0921985815602835E-3</v>
      </c>
      <c r="T264" s="325">
        <v>28</v>
      </c>
      <c r="U264" s="381">
        <f t="shared" si="7"/>
        <v>1.2582007728947605E-3</v>
      </c>
      <c r="V264" s="272"/>
      <c r="W264" s="304"/>
      <c r="X264" s="5"/>
    </row>
    <row r="265" spans="1:24" ht="15.6" x14ac:dyDescent="0.3">
      <c r="A265" s="271"/>
      <c r="B265" s="324" t="s">
        <v>160</v>
      </c>
      <c r="C265" s="380"/>
      <c r="D265" s="380"/>
      <c r="E265" s="380"/>
      <c r="F265" s="272"/>
      <c r="G265" s="381"/>
      <c r="H265" s="380"/>
      <c r="I265" s="380"/>
      <c r="J265" s="380"/>
      <c r="K265" s="380"/>
      <c r="L265" s="380"/>
      <c r="M265" s="380"/>
      <c r="N265" s="380"/>
      <c r="O265" s="380"/>
      <c r="P265" s="380"/>
      <c r="Q265" s="380"/>
      <c r="R265" s="324">
        <v>2</v>
      </c>
      <c r="S265" s="381">
        <f t="shared" si="8"/>
        <v>1.4184397163120567E-2</v>
      </c>
      <c r="T265" s="325">
        <v>178</v>
      </c>
      <c r="U265" s="381">
        <f t="shared" si="7"/>
        <v>7.9985620562595481E-3</v>
      </c>
      <c r="V265" s="272"/>
      <c r="W265" s="304"/>
      <c r="X265" s="5"/>
    </row>
    <row r="266" spans="1:24" ht="15.6" x14ac:dyDescent="0.3">
      <c r="A266" s="271"/>
      <c r="B266" s="324" t="s">
        <v>161</v>
      </c>
      <c r="C266" s="380"/>
      <c r="D266" s="380"/>
      <c r="E266" s="380"/>
      <c r="F266" s="272"/>
      <c r="G266" s="381"/>
      <c r="H266" s="380"/>
      <c r="I266" s="380"/>
      <c r="J266" s="380"/>
      <c r="K266" s="380"/>
      <c r="L266" s="380"/>
      <c r="M266" s="380"/>
      <c r="N266" s="380"/>
      <c r="O266" s="380"/>
      <c r="P266" s="380"/>
      <c r="Q266" s="380"/>
      <c r="R266" s="324">
        <v>1</v>
      </c>
      <c r="S266" s="381">
        <f t="shared" si="8"/>
        <v>7.0921985815602835E-3</v>
      </c>
      <c r="T266" s="325">
        <v>105</v>
      </c>
      <c r="U266" s="381">
        <f t="shared" si="7"/>
        <v>4.7182528983553519E-3</v>
      </c>
      <c r="V266" s="272"/>
      <c r="W266" s="304"/>
      <c r="X266" s="5"/>
    </row>
    <row r="267" spans="1:24" ht="15.6" x14ac:dyDescent="0.3">
      <c r="A267" s="271"/>
      <c r="B267" s="324" t="s">
        <v>162</v>
      </c>
      <c r="C267" s="380"/>
      <c r="D267" s="380"/>
      <c r="E267" s="380"/>
      <c r="F267" s="272"/>
      <c r="G267" s="381"/>
      <c r="H267" s="380"/>
      <c r="I267" s="380"/>
      <c r="J267" s="380"/>
      <c r="K267" s="380"/>
      <c r="L267" s="380"/>
      <c r="M267" s="380"/>
      <c r="N267" s="380"/>
      <c r="O267" s="380"/>
      <c r="P267" s="380"/>
      <c r="Q267" s="380"/>
      <c r="R267" s="324">
        <v>6</v>
      </c>
      <c r="S267" s="381">
        <f>R267/$R$270</f>
        <v>4.2553191489361701E-2</v>
      </c>
      <c r="T267" s="325">
        <v>649</v>
      </c>
      <c r="U267" s="381">
        <f t="shared" si="7"/>
        <v>2.9163296486024986E-2</v>
      </c>
      <c r="V267" s="272"/>
      <c r="W267" s="304"/>
      <c r="X267" s="5"/>
    </row>
    <row r="268" spans="1:24" ht="15.6" x14ac:dyDescent="0.3">
      <c r="A268" s="271"/>
      <c r="B268" s="324" t="s">
        <v>163</v>
      </c>
      <c r="C268" s="380"/>
      <c r="D268" s="380"/>
      <c r="E268" s="380"/>
      <c r="F268" s="272"/>
      <c r="G268" s="381"/>
      <c r="H268" s="380"/>
      <c r="I268" s="380"/>
      <c r="J268" s="380"/>
      <c r="K268" s="380"/>
      <c r="L268" s="380"/>
      <c r="M268" s="380"/>
      <c r="N268" s="380"/>
      <c r="O268" s="380"/>
      <c r="P268" s="380"/>
      <c r="Q268" s="380"/>
      <c r="R268" s="324">
        <v>21</v>
      </c>
      <c r="S268" s="381">
        <f>R268/$R$270</f>
        <v>0.14893617021276595</v>
      </c>
      <c r="T268" s="325">
        <v>2737</v>
      </c>
      <c r="U268" s="381">
        <f t="shared" si="7"/>
        <v>0.12298912555046283</v>
      </c>
      <c r="V268" s="272"/>
      <c r="W268" s="304"/>
      <c r="X268" s="5"/>
    </row>
    <row r="269" spans="1:24" ht="15.6" x14ac:dyDescent="0.3">
      <c r="A269" s="271"/>
      <c r="B269" s="324"/>
      <c r="C269" s="380"/>
      <c r="D269" s="380"/>
      <c r="E269" s="380"/>
      <c r="F269" s="272"/>
      <c r="G269" s="381"/>
      <c r="H269" s="380"/>
      <c r="I269" s="380"/>
      <c r="J269" s="380"/>
      <c r="K269" s="380"/>
      <c r="L269" s="380"/>
      <c r="M269" s="380"/>
      <c r="N269" s="380"/>
      <c r="O269" s="380"/>
      <c r="P269" s="380"/>
      <c r="Q269" s="380"/>
      <c r="R269" s="324"/>
      <c r="S269" s="381"/>
      <c r="T269" s="325"/>
      <c r="U269" s="381"/>
      <c r="V269" s="272"/>
      <c r="W269" s="304"/>
      <c r="X269" s="5"/>
    </row>
    <row r="270" spans="1:24" ht="15.6" x14ac:dyDescent="0.3">
      <c r="A270" s="271"/>
      <c r="B270" s="272" t="s">
        <v>117</v>
      </c>
      <c r="C270" s="272"/>
      <c r="D270" s="272"/>
      <c r="E270" s="272"/>
      <c r="F270" s="272"/>
      <c r="G270" s="272"/>
      <c r="H270" s="383"/>
      <c r="I270" s="383"/>
      <c r="J270" s="383"/>
      <c r="K270" s="383"/>
      <c r="L270" s="383"/>
      <c r="M270" s="383"/>
      <c r="N270" s="383"/>
      <c r="O270" s="383"/>
      <c r="P270" s="383"/>
      <c r="Q270" s="383"/>
      <c r="R270" s="324">
        <f>SUM(R261:R269)</f>
        <v>141</v>
      </c>
      <c r="S270" s="381">
        <f>SUM(S261:S269)</f>
        <v>1</v>
      </c>
      <c r="T270" s="325">
        <f>SUM(T261:T269)</f>
        <v>22254</v>
      </c>
      <c r="U270" s="381">
        <f>SUM(U261:U269)</f>
        <v>1</v>
      </c>
      <c r="V270" s="272"/>
      <c r="W270" s="304"/>
      <c r="X270" s="5"/>
    </row>
    <row r="271" spans="1:24" ht="15.6" x14ac:dyDescent="0.3">
      <c r="A271" s="175"/>
      <c r="B271" s="321"/>
      <c r="C271" s="321"/>
      <c r="D271" s="321"/>
      <c r="E271" s="321"/>
      <c r="F271" s="321"/>
      <c r="G271" s="321"/>
      <c r="H271" s="377"/>
      <c r="I271" s="377"/>
      <c r="J271" s="377"/>
      <c r="K271" s="377"/>
      <c r="L271" s="377"/>
      <c r="M271" s="377"/>
      <c r="N271" s="377"/>
      <c r="O271" s="377"/>
      <c r="P271" s="377"/>
      <c r="Q271" s="377"/>
      <c r="R271" s="322"/>
      <c r="S271" s="378"/>
      <c r="T271" s="379"/>
      <c r="U271" s="378"/>
      <c r="V271" s="321"/>
      <c r="W271" s="321"/>
      <c r="X271" s="5"/>
    </row>
    <row r="272" spans="1:24" ht="15.6" x14ac:dyDescent="0.3">
      <c r="A272" s="256"/>
      <c r="B272" s="253" t="s">
        <v>166</v>
      </c>
      <c r="C272" s="257"/>
      <c r="D272" s="257"/>
      <c r="E272" s="257"/>
      <c r="F272" s="257"/>
      <c r="G272" s="257"/>
      <c r="H272" s="259"/>
      <c r="I272" s="259"/>
      <c r="J272" s="259"/>
      <c r="K272" s="259"/>
      <c r="L272" s="259"/>
      <c r="M272" s="259"/>
      <c r="N272" s="259"/>
      <c r="O272" s="259"/>
      <c r="P272" s="259"/>
      <c r="Q272" s="259"/>
      <c r="R272" s="255" t="s">
        <v>103</v>
      </c>
      <c r="S272" s="254" t="s">
        <v>104</v>
      </c>
      <c r="T272" s="255" t="s">
        <v>111</v>
      </c>
      <c r="U272" s="254" t="s">
        <v>104</v>
      </c>
      <c r="V272" s="257"/>
      <c r="W272" s="258"/>
      <c r="X272" s="5"/>
    </row>
    <row r="273" spans="1:24" ht="15.6" x14ac:dyDescent="0.3">
      <c r="A273" s="192"/>
      <c r="B273" s="231" t="s">
        <v>89</v>
      </c>
      <c r="C273" s="229"/>
      <c r="D273" s="229"/>
      <c r="E273" s="229"/>
      <c r="F273" s="229"/>
      <c r="G273" s="229"/>
      <c r="H273" s="262"/>
      <c r="I273" s="262"/>
      <c r="J273" s="262"/>
      <c r="K273" s="262"/>
      <c r="L273" s="262"/>
      <c r="M273" s="262"/>
      <c r="N273" s="262"/>
      <c r="O273" s="262"/>
      <c r="P273" s="262"/>
      <c r="Q273" s="262"/>
      <c r="R273" s="231">
        <v>0</v>
      </c>
      <c r="S273" s="261">
        <v>0</v>
      </c>
      <c r="T273" s="238">
        <v>0</v>
      </c>
      <c r="U273" s="261">
        <v>0</v>
      </c>
      <c r="V273" s="229"/>
      <c r="W273" s="229"/>
      <c r="X273" s="5"/>
    </row>
    <row r="274" spans="1:24" ht="15.6" x14ac:dyDescent="0.3">
      <c r="A274" s="271"/>
      <c r="B274" s="324" t="s">
        <v>90</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91</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159</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160</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161</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162</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t="s">
        <v>163</v>
      </c>
      <c r="C280" s="272"/>
      <c r="D280" s="272"/>
      <c r="E280" s="272"/>
      <c r="F280" s="272"/>
      <c r="G280" s="272"/>
      <c r="H280" s="383"/>
      <c r="I280" s="383"/>
      <c r="J280" s="383"/>
      <c r="K280" s="383"/>
      <c r="L280" s="383"/>
      <c r="M280" s="383"/>
      <c r="N280" s="383"/>
      <c r="O280" s="383"/>
      <c r="P280" s="383"/>
      <c r="Q280" s="383"/>
      <c r="R280" s="324">
        <v>0</v>
      </c>
      <c r="S280" s="381">
        <v>0</v>
      </c>
      <c r="T280" s="325">
        <v>0</v>
      </c>
      <c r="U280" s="381">
        <v>0</v>
      </c>
      <c r="V280" s="272"/>
      <c r="W280" s="275"/>
      <c r="X280" s="5"/>
    </row>
    <row r="281" spans="1:24" ht="15.6" x14ac:dyDescent="0.3">
      <c r="A281" s="271"/>
      <c r="B281" s="324"/>
      <c r="C281" s="272"/>
      <c r="D281" s="272"/>
      <c r="E281" s="272"/>
      <c r="F281" s="272"/>
      <c r="G281" s="272"/>
      <c r="H281" s="383"/>
      <c r="I281" s="383"/>
      <c r="J281" s="383"/>
      <c r="K281" s="383"/>
      <c r="L281" s="383"/>
      <c r="M281" s="383"/>
      <c r="N281" s="383"/>
      <c r="O281" s="383"/>
      <c r="P281" s="383"/>
      <c r="Q281" s="383"/>
      <c r="R281" s="324"/>
      <c r="S281" s="381"/>
      <c r="T281" s="325"/>
      <c r="U281" s="381"/>
      <c r="V281" s="272"/>
      <c r="W281" s="275"/>
      <c r="X281" s="5"/>
    </row>
    <row r="282" spans="1:24" ht="15.6" x14ac:dyDescent="0.3">
      <c r="A282" s="271"/>
      <c r="B282" s="272" t="s">
        <v>117</v>
      </c>
      <c r="C282" s="272"/>
      <c r="D282" s="272"/>
      <c r="E282" s="272"/>
      <c r="F282" s="272"/>
      <c r="G282" s="272"/>
      <c r="H282" s="383"/>
      <c r="I282" s="383"/>
      <c r="J282" s="383"/>
      <c r="K282" s="383"/>
      <c r="L282" s="383"/>
      <c r="M282" s="383"/>
      <c r="N282" s="383"/>
      <c r="O282" s="383"/>
      <c r="P282" s="383"/>
      <c r="Q282" s="383"/>
      <c r="R282" s="324">
        <f>SUM(R273:R280)</f>
        <v>0</v>
      </c>
      <c r="S282" s="381">
        <f>SUM(S273:S280)</f>
        <v>0</v>
      </c>
      <c r="T282" s="325">
        <f>SUM(T273:T280)</f>
        <v>0</v>
      </c>
      <c r="U282" s="381">
        <f>SUM(U273:U280)</f>
        <v>0</v>
      </c>
      <c r="V282" s="272"/>
      <c r="W282" s="275"/>
      <c r="X282" s="5"/>
    </row>
    <row r="283" spans="1:24" ht="15.6" x14ac:dyDescent="0.3">
      <c r="A283" s="271"/>
      <c r="B283" s="272"/>
      <c r="C283" s="272"/>
      <c r="D283" s="272"/>
      <c r="E283" s="272"/>
      <c r="F283" s="272"/>
      <c r="G283" s="272"/>
      <c r="H283" s="383"/>
      <c r="I283" s="383"/>
      <c r="J283" s="383"/>
      <c r="K283" s="383"/>
      <c r="L283" s="383"/>
      <c r="M283" s="383"/>
      <c r="N283" s="383"/>
      <c r="O283" s="383"/>
      <c r="P283" s="383"/>
      <c r="Q283" s="383"/>
      <c r="R283" s="324"/>
      <c r="S283" s="381"/>
      <c r="T283" s="325"/>
      <c r="U283" s="381"/>
      <c r="V283" s="272"/>
      <c r="W283" s="275"/>
      <c r="X283" s="5"/>
    </row>
    <row r="284" spans="1:24" ht="15.6" x14ac:dyDescent="0.3">
      <c r="A284" s="271"/>
      <c r="B284" s="279" t="s">
        <v>167</v>
      </c>
      <c r="C284" s="272"/>
      <c r="D284" s="272"/>
      <c r="E284" s="272"/>
      <c r="F284" s="272"/>
      <c r="G284" s="272"/>
      <c r="H284" s="383"/>
      <c r="I284" s="383"/>
      <c r="J284" s="383"/>
      <c r="K284" s="383"/>
      <c r="L284" s="383"/>
      <c r="M284" s="383"/>
      <c r="N284" s="383"/>
      <c r="O284" s="383"/>
      <c r="P284" s="383"/>
      <c r="Q284" s="383"/>
      <c r="R284" s="390">
        <f>R282+R270+R258</f>
        <v>7054</v>
      </c>
      <c r="S284" s="381"/>
      <c r="T284" s="387">
        <f>+T282+T270+T258</f>
        <v>905252</v>
      </c>
      <c r="U284" s="381"/>
      <c r="V284" s="272"/>
      <c r="W284" s="275"/>
      <c r="X284" s="5"/>
    </row>
    <row r="285" spans="1:24" ht="15.6" x14ac:dyDescent="0.3">
      <c r="A285" s="175"/>
      <c r="B285" s="268"/>
      <c r="C285" s="268"/>
      <c r="D285" s="268"/>
      <c r="E285" s="268"/>
      <c r="F285" s="268"/>
      <c r="G285" s="268"/>
      <c r="H285" s="384"/>
      <c r="I285" s="384"/>
      <c r="J285" s="384"/>
      <c r="K285" s="384"/>
      <c r="L285" s="384"/>
      <c r="M285" s="384"/>
      <c r="N285" s="384"/>
      <c r="O285" s="384"/>
      <c r="P285" s="384"/>
      <c r="Q285" s="384"/>
      <c r="R285" s="384"/>
      <c r="S285" s="384"/>
      <c r="T285" s="385"/>
      <c r="U285" s="384"/>
      <c r="V285" s="268"/>
      <c r="W285" s="268"/>
      <c r="X285" s="5"/>
    </row>
    <row r="286" spans="1:24" ht="15.6" x14ac:dyDescent="0.3">
      <c r="A286" s="175"/>
      <c r="B286" s="220"/>
      <c r="C286" s="220"/>
      <c r="D286" s="220"/>
      <c r="E286" s="220"/>
      <c r="F286" s="220"/>
      <c r="G286" s="220"/>
      <c r="H286" s="263"/>
      <c r="I286" s="263"/>
      <c r="J286" s="263"/>
      <c r="K286" s="263"/>
      <c r="L286" s="263"/>
      <c r="M286" s="263"/>
      <c r="N286" s="263"/>
      <c r="O286" s="263"/>
      <c r="P286" s="263"/>
      <c r="Q286" s="263"/>
      <c r="R286" s="263"/>
      <c r="S286" s="263"/>
      <c r="T286" s="264"/>
      <c r="U286" s="263"/>
      <c r="V286" s="220"/>
      <c r="W286" s="220"/>
      <c r="X286" s="5"/>
    </row>
    <row r="287" spans="1:24" ht="15.6" x14ac:dyDescent="0.3">
      <c r="A287" s="216"/>
      <c r="B287" s="219" t="s">
        <v>92</v>
      </c>
      <c r="C287" s="220"/>
      <c r="D287" s="220"/>
      <c r="E287" s="220"/>
      <c r="F287" s="224" t="s">
        <v>98</v>
      </c>
      <c r="G287" s="220"/>
      <c r="H287" s="219" t="s">
        <v>100</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335</v>
      </c>
      <c r="C288" s="220"/>
      <c r="D288" s="220"/>
      <c r="E288" s="220"/>
      <c r="F288" s="265" t="s">
        <v>151</v>
      </c>
      <c r="G288" s="220"/>
      <c r="H288" s="219" t="s">
        <v>155</v>
      </c>
      <c r="I288" s="219"/>
      <c r="J288" s="219"/>
      <c r="K288" s="227"/>
      <c r="L288" s="227"/>
      <c r="M288" s="227"/>
      <c r="N288" s="227"/>
      <c r="O288" s="227"/>
      <c r="P288" s="227"/>
      <c r="Q288" s="227"/>
      <c r="R288" s="227"/>
      <c r="S288" s="227"/>
      <c r="T288" s="227"/>
      <c r="U288" s="227"/>
      <c r="V288" s="227"/>
      <c r="W288" s="227"/>
      <c r="X288" s="5"/>
    </row>
    <row r="289" spans="1:24" ht="15.6" x14ac:dyDescent="0.3">
      <c r="A289" s="216"/>
      <c r="B289" s="219" t="s">
        <v>336</v>
      </c>
      <c r="C289" s="219"/>
      <c r="D289" s="219"/>
      <c r="E289" s="219"/>
      <c r="F289" s="265" t="s">
        <v>282</v>
      </c>
      <c r="G289" s="219"/>
      <c r="H289" s="219" t="s">
        <v>283</v>
      </c>
      <c r="I289" s="227"/>
      <c r="J289" s="219"/>
      <c r="K289" s="227"/>
      <c r="L289" s="227"/>
      <c r="M289" s="227"/>
      <c r="N289" s="227"/>
      <c r="O289" s="227"/>
      <c r="P289" s="227"/>
      <c r="Q289" s="227"/>
      <c r="R289" s="227"/>
      <c r="S289" s="227"/>
      <c r="T289" s="227"/>
      <c r="U289" s="227"/>
      <c r="V289" s="227"/>
      <c r="W289" s="227"/>
      <c r="X289" s="5"/>
    </row>
    <row r="290" spans="1:24" ht="15.6" x14ac:dyDescent="0.3">
      <c r="A290" s="216"/>
      <c r="B290" s="219" t="s">
        <v>337</v>
      </c>
      <c r="C290" s="219"/>
      <c r="D290" s="219"/>
      <c r="E290" s="219"/>
      <c r="F290" s="265" t="s">
        <v>150</v>
      </c>
      <c r="G290" s="219"/>
      <c r="H290" s="219" t="s">
        <v>156</v>
      </c>
      <c r="I290" s="219"/>
      <c r="J290" s="219"/>
      <c r="K290" s="227"/>
      <c r="L290" s="227"/>
      <c r="M290" s="227"/>
      <c r="N290" s="227"/>
      <c r="O290" s="227"/>
      <c r="P290" s="227"/>
      <c r="Q290" s="227"/>
      <c r="R290" s="227"/>
      <c r="S290" s="227"/>
      <c r="T290" s="227"/>
      <c r="U290" s="227"/>
      <c r="V290" s="227"/>
      <c r="W290" s="227"/>
      <c r="X290" s="5"/>
    </row>
    <row r="291" spans="1:24" ht="15.6" x14ac:dyDescent="0.3">
      <c r="A291" s="216"/>
      <c r="B291" s="219"/>
      <c r="C291" s="219"/>
      <c r="D291" s="219"/>
      <c r="E291" s="219"/>
      <c r="F291" s="219"/>
      <c r="G291" s="266"/>
      <c r="H291" s="227"/>
      <c r="I291" s="227"/>
      <c r="J291" s="227"/>
      <c r="K291" s="227"/>
      <c r="L291" s="227"/>
      <c r="M291" s="227"/>
      <c r="N291" s="227"/>
      <c r="O291" s="227"/>
      <c r="P291" s="227"/>
      <c r="Q291" s="227"/>
      <c r="R291" s="227"/>
      <c r="S291" s="227"/>
      <c r="T291" s="227"/>
      <c r="U291" s="227"/>
      <c r="V291" s="227"/>
      <c r="W291" s="227"/>
      <c r="X291" s="5"/>
    </row>
    <row r="292" spans="1:24" ht="15.6" x14ac:dyDescent="0.3">
      <c r="A292" s="216"/>
      <c r="B292" s="219"/>
      <c r="C292" s="219"/>
      <c r="D292" s="219"/>
      <c r="E292" s="219"/>
      <c r="F292" s="219"/>
      <c r="G292" s="266"/>
      <c r="H292" s="227"/>
      <c r="I292" s="227"/>
      <c r="J292" s="227"/>
      <c r="K292" s="227"/>
      <c r="L292" s="227"/>
      <c r="M292" s="227"/>
      <c r="N292" s="227"/>
      <c r="O292" s="227"/>
      <c r="P292" s="227"/>
      <c r="Q292" s="227"/>
      <c r="R292" s="227"/>
      <c r="S292" s="227"/>
      <c r="T292" s="227"/>
      <c r="U292" s="227"/>
      <c r="V292" s="227"/>
      <c r="W292" s="227"/>
      <c r="X292" s="5"/>
    </row>
    <row r="293" spans="1:24" ht="18" thickBot="1" x14ac:dyDescent="0.35">
      <c r="A293" s="216"/>
      <c r="B293" s="267" t="str">
        <f>B198</f>
        <v>PM13 INVESTOR REPORT QUARTER ENDING JUNE 2015</v>
      </c>
      <c r="C293" s="219"/>
      <c r="D293" s="219"/>
      <c r="E293" s="219"/>
      <c r="F293" s="219"/>
      <c r="G293" s="266"/>
      <c r="H293" s="227"/>
      <c r="I293" s="227"/>
      <c r="J293" s="227"/>
      <c r="K293" s="227"/>
      <c r="L293" s="227"/>
      <c r="M293" s="227"/>
      <c r="N293" s="227"/>
      <c r="O293" s="227"/>
      <c r="P293" s="227"/>
      <c r="Q293" s="227"/>
      <c r="R293" s="227"/>
      <c r="S293" s="227"/>
      <c r="T293" s="227"/>
      <c r="U293" s="227"/>
      <c r="V293" s="227"/>
      <c r="W293" s="227"/>
      <c r="X293" s="5"/>
    </row>
    <row r="294" spans="1:24" x14ac:dyDescent="0.25">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row>
  </sheetData>
  <hyperlinks>
    <hyperlink ref="P234" r:id="rId1" xr:uid="{00000000-0004-0000-2200-000000000000}"/>
    <hyperlink ref="I9" r:id="rId2" xr:uid="{00000000-0004-0000-2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2" man="1"/>
    <brk id="138" max="22" man="1"/>
    <brk id="198" max="22" man="1"/>
  </rowBreaks>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2D2926"/>
  </sheetPr>
  <dimension ref="A1:Z29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0.65139999999999998</v>
      </c>
      <c r="T16" s="224" t="s">
        <v>143</v>
      </c>
      <c r="U16" s="223">
        <v>0.34860000000000002</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42298</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395"/>
      <c r="B22" s="396"/>
      <c r="C22" s="397"/>
      <c r="D22" s="397" t="s">
        <v>180</v>
      </c>
      <c r="E22" s="397"/>
      <c r="F22" s="397" t="s">
        <v>181</v>
      </c>
      <c r="G22" s="397"/>
      <c r="H22" s="397" t="s">
        <v>182</v>
      </c>
      <c r="I22" s="397"/>
      <c r="J22" s="397" t="s">
        <v>223</v>
      </c>
      <c r="K22" s="397"/>
      <c r="L22" s="397" t="s">
        <v>183</v>
      </c>
      <c r="M22" s="397"/>
      <c r="N22" s="397" t="s">
        <v>184</v>
      </c>
      <c r="O22" s="397"/>
      <c r="P22" s="397" t="s">
        <v>224</v>
      </c>
      <c r="Q22" s="397"/>
      <c r="R22" s="397" t="s">
        <v>185</v>
      </c>
      <c r="S22" s="398"/>
      <c r="T22" s="398"/>
      <c r="U22" s="399"/>
      <c r="V22" s="399"/>
      <c r="W22" s="396"/>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323</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347</v>
      </c>
      <c r="E27" s="389"/>
      <c r="F27" s="389" t="s">
        <v>168</v>
      </c>
      <c r="G27" s="389"/>
      <c r="H27" s="389" t="s">
        <v>168</v>
      </c>
      <c r="I27" s="389"/>
      <c r="J27" s="389" t="s">
        <v>168</v>
      </c>
      <c r="K27" s="389"/>
      <c r="L27" s="389" t="s">
        <v>324</v>
      </c>
      <c r="M27" s="389"/>
      <c r="N27" s="389" t="s">
        <v>324</v>
      </c>
      <c r="O27" s="389"/>
      <c r="P27" s="389" t="s">
        <v>349</v>
      </c>
      <c r="Q27" s="389"/>
      <c r="R27" s="389" t="s">
        <v>349</v>
      </c>
      <c r="S27" s="273"/>
      <c r="T27" s="280"/>
      <c r="U27" s="274"/>
      <c r="V27" s="274"/>
      <c r="W27" s="275"/>
      <c r="X27" s="5"/>
    </row>
    <row r="28" spans="1:24" ht="15.6" x14ac:dyDescent="0.3">
      <c r="A28" s="271"/>
      <c r="B28" s="279" t="s">
        <v>195</v>
      </c>
      <c r="C28" s="273"/>
      <c r="D28" s="389" t="s">
        <v>319</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287">
        <f>D31*D38</f>
        <v>824163.9</v>
      </c>
      <c r="E32" s="282"/>
      <c r="F32" s="283">
        <f>F31*F38</f>
        <v>68680.574999999997</v>
      </c>
      <c r="G32" s="283"/>
      <c r="H32" s="288">
        <f>H31*H38</f>
        <v>173075.04899999997</v>
      </c>
      <c r="I32" s="288"/>
      <c r="J32" s="287">
        <f>J31*J38</f>
        <v>192304.91</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393">
        <f>D34*D37</f>
        <v>431707.31580480002</v>
      </c>
      <c r="E33" s="286"/>
      <c r="F33" s="289">
        <f>F37*F31</f>
        <v>67634.45</v>
      </c>
      <c r="G33" s="289"/>
      <c r="H33" s="292">
        <f>H31*H37</f>
        <v>170438.81399999998</v>
      </c>
      <c r="I33" s="292"/>
      <c r="J33" s="291">
        <f>J37*J31</f>
        <v>189375.72500000001</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438384.86614719999</v>
      </c>
      <c r="E35" s="282"/>
      <c r="F35" s="283">
        <f>F34*F38</f>
        <v>68680.574999999997</v>
      </c>
      <c r="G35" s="283"/>
      <c r="H35" s="283">
        <f>H34*H38</f>
        <v>116157.5334414</v>
      </c>
      <c r="I35" s="283"/>
      <c r="J35" s="283">
        <f>J34*J38</f>
        <v>102289.728842</v>
      </c>
      <c r="K35" s="283"/>
      <c r="L35" s="283">
        <f>L34*L38</f>
        <v>56000</v>
      </c>
      <c r="M35" s="283"/>
      <c r="N35" s="283">
        <f>N34*N38</f>
        <v>56376</v>
      </c>
      <c r="O35" s="283"/>
      <c r="P35" s="283">
        <f>P34*P38</f>
        <v>13000</v>
      </c>
      <c r="Q35" s="283"/>
      <c r="R35" s="283">
        <f>R34*R38</f>
        <v>54363</v>
      </c>
      <c r="S35" s="283"/>
      <c r="T35" s="283"/>
      <c r="U35" s="284"/>
      <c r="V35" s="283">
        <f>SUM(C35:R35)+1</f>
        <v>905252.7034306</v>
      </c>
      <c r="W35" s="285"/>
      <c r="X35" s="5"/>
    </row>
    <row r="36" spans="1:24" ht="15.6" x14ac:dyDescent="0.3">
      <c r="A36" s="276"/>
      <c r="B36" s="279" t="s">
        <v>304</v>
      </c>
      <c r="C36" s="286"/>
      <c r="D36" s="289">
        <f>D34*D37</f>
        <v>431707.31580480002</v>
      </c>
      <c r="E36" s="286"/>
      <c r="F36" s="289">
        <f>F34*F37</f>
        <v>67634.45</v>
      </c>
      <c r="G36" s="289"/>
      <c r="H36" s="289">
        <f>H34*H37</f>
        <v>114388.25152039999</v>
      </c>
      <c r="I36" s="289"/>
      <c r="J36" s="289">
        <f>J34*J37</f>
        <v>100731.65349499999</v>
      </c>
      <c r="K36" s="289"/>
      <c r="L36" s="289">
        <v>56000</v>
      </c>
      <c r="M36" s="289"/>
      <c r="N36" s="289">
        <v>56376</v>
      </c>
      <c r="O36" s="289"/>
      <c r="P36" s="289">
        <v>13000</v>
      </c>
      <c r="Q36" s="289"/>
      <c r="R36" s="289">
        <v>54363</v>
      </c>
      <c r="S36" s="314"/>
      <c r="T36" s="314"/>
      <c r="U36" s="284"/>
      <c r="V36" s="289">
        <f>SUM(C36:R36)</f>
        <v>894200.6708202</v>
      </c>
      <c r="W36" s="285"/>
      <c r="X36" s="5"/>
    </row>
    <row r="37" spans="1:24" ht="15.6" x14ac:dyDescent="0.3">
      <c r="A37" s="271"/>
      <c r="B37" s="297" t="s">
        <v>133</v>
      </c>
      <c r="C37" s="298"/>
      <c r="D37" s="299">
        <v>0.54107340000000004</v>
      </c>
      <c r="E37" s="300"/>
      <c r="F37" s="299">
        <v>0.54107559999999999</v>
      </c>
      <c r="G37" s="301"/>
      <c r="H37" s="299">
        <v>0.54107559999999999</v>
      </c>
      <c r="I37" s="301"/>
      <c r="J37" s="299">
        <v>0.54107349999999999</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0.5494426</v>
      </c>
      <c r="E38" s="300"/>
      <c r="F38" s="299">
        <v>0.54944459999999995</v>
      </c>
      <c r="G38" s="301"/>
      <c r="H38" s="299">
        <v>0.54944459999999995</v>
      </c>
      <c r="I38" s="301"/>
      <c r="J38" s="299">
        <v>0.5494426</v>
      </c>
      <c r="K38" s="301"/>
      <c r="L38" s="299">
        <v>1</v>
      </c>
      <c r="M38" s="301"/>
      <c r="N38" s="299">
        <v>1</v>
      </c>
      <c r="O38" s="301"/>
      <c r="P38" s="299">
        <v>1</v>
      </c>
      <c r="Q38" s="301"/>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8.2406000000000007E-3</v>
      </c>
      <c r="E40" s="272"/>
      <c r="F40" s="308">
        <v>8.2406000000000007E-3</v>
      </c>
      <c r="G40" s="307"/>
      <c r="H40" s="308">
        <v>2.2100000000000002E-3</v>
      </c>
      <c r="I40" s="308"/>
      <c r="J40" s="308">
        <v>4.6880000000000003E-3</v>
      </c>
      <c r="K40" s="307"/>
      <c r="L40" s="308">
        <v>9.8405999999999997E-3</v>
      </c>
      <c r="M40" s="307"/>
      <c r="N40" s="308">
        <v>3.6099999999999999E-3</v>
      </c>
      <c r="O40" s="307"/>
      <c r="P40" s="308">
        <v>1.38406E-2</v>
      </c>
      <c r="Q40" s="307"/>
      <c r="R40" s="308">
        <v>7.6099999999999996E-3</v>
      </c>
      <c r="S40" s="307"/>
      <c r="T40" s="308"/>
      <c r="U40" s="274"/>
      <c r="V40" s="280"/>
      <c r="W40" s="275"/>
      <c r="X40" s="5"/>
    </row>
    <row r="41" spans="1:24" ht="15.6" x14ac:dyDescent="0.3">
      <c r="A41" s="271"/>
      <c r="B41" s="272" t="s">
        <v>13</v>
      </c>
      <c r="C41" s="272"/>
      <c r="D41" s="308">
        <v>4.2550000000000001E-3</v>
      </c>
      <c r="E41" s="272"/>
      <c r="F41" s="308">
        <v>8.1212999999999997E-3</v>
      </c>
      <c r="G41" s="307"/>
      <c r="H41" s="308">
        <v>2.5100000000000001E-3</v>
      </c>
      <c r="I41" s="308"/>
      <c r="J41" s="308">
        <v>4.5529999999999998E-3</v>
      </c>
      <c r="K41" s="307"/>
      <c r="L41" s="308">
        <v>9.7213000000000004E-3</v>
      </c>
      <c r="M41" s="307"/>
      <c r="N41" s="308">
        <v>3.9100000000000003E-3</v>
      </c>
      <c r="O41" s="307"/>
      <c r="P41" s="308">
        <v>1.3721300000000001E-2</v>
      </c>
      <c r="Q41" s="307"/>
      <c r="R41" s="308">
        <v>7.9100000000000004E-3</v>
      </c>
      <c r="S41" s="307"/>
      <c r="T41" s="308"/>
      <c r="U41" s="274"/>
      <c r="V41" s="307" t="s">
        <v>196</v>
      </c>
      <c r="W41" s="275"/>
      <c r="X41" s="5"/>
    </row>
    <row r="42" spans="1:24" ht="15.6" x14ac:dyDescent="0.3">
      <c r="A42" s="271"/>
      <c r="B42" s="272" t="s">
        <v>300</v>
      </c>
      <c r="C42" s="272"/>
      <c r="D42" s="280" t="s">
        <v>226</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f>+D40</f>
        <v>8.2406000000000007E-3</v>
      </c>
      <c r="E43" s="308"/>
      <c r="F43" s="308">
        <f>+F40</f>
        <v>8.2406000000000007E-3</v>
      </c>
      <c r="G43" s="308"/>
      <c r="H43" s="308">
        <v>8.4846000000000001E-3</v>
      </c>
      <c r="I43" s="308"/>
      <c r="J43" s="308">
        <v>8.3205999999999992E-3</v>
      </c>
      <c r="K43" s="308"/>
      <c r="L43" s="308">
        <f>+L40</f>
        <v>9.8405999999999997E-3</v>
      </c>
      <c r="M43" s="308"/>
      <c r="N43" s="308">
        <v>1.0020599999999999E-2</v>
      </c>
      <c r="O43" s="308"/>
      <c r="P43" s="308">
        <f>+P40</f>
        <v>1.38406E-2</v>
      </c>
      <c r="Q43" s="307"/>
      <c r="R43" s="308">
        <v>1.4240600000000001E-2</v>
      </c>
      <c r="S43" s="280"/>
      <c r="T43" s="280"/>
      <c r="U43" s="274"/>
      <c r="V43" s="307">
        <f>SUMPRODUCT(D43:R43,D35:R35)/V35</f>
        <v>8.931506145319245E-3</v>
      </c>
      <c r="W43" s="275"/>
      <c r="X43" s="5"/>
    </row>
    <row r="44" spans="1:24" ht="15.6" x14ac:dyDescent="0.3">
      <c r="A44" s="271"/>
      <c r="B44" s="272" t="s">
        <v>302</v>
      </c>
      <c r="C44" s="309"/>
      <c r="D44" s="308">
        <v>8.4832999999999992E-3</v>
      </c>
      <c r="E44" s="308"/>
      <c r="F44" s="308">
        <f>+F41</f>
        <v>8.1212999999999997E-3</v>
      </c>
      <c r="G44" s="308"/>
      <c r="H44" s="308">
        <v>8.3653000000000009E-3</v>
      </c>
      <c r="I44" s="308"/>
      <c r="J44" s="308">
        <v>8.2012999999999999E-3</v>
      </c>
      <c r="K44" s="308"/>
      <c r="L44" s="308">
        <f>+L41</f>
        <v>9.7213000000000004E-3</v>
      </c>
      <c r="M44" s="308"/>
      <c r="N44" s="308">
        <v>9.9013E-3</v>
      </c>
      <c r="O44" s="308"/>
      <c r="P44" s="308">
        <f>+P41</f>
        <v>1.3721300000000001E-2</v>
      </c>
      <c r="Q44" s="307"/>
      <c r="R44" s="308">
        <v>1.41213E-2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226</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0.25157262781313394</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358</v>
      </c>
      <c r="C54" s="272"/>
      <c r="D54" s="272"/>
      <c r="E54" s="272"/>
      <c r="F54" s="272"/>
      <c r="G54" s="272"/>
      <c r="H54" s="272"/>
      <c r="I54" s="272"/>
      <c r="J54" s="272"/>
      <c r="K54" s="272"/>
      <c r="L54" s="272"/>
      <c r="M54" s="272"/>
      <c r="N54" s="272"/>
      <c r="O54" s="272"/>
      <c r="P54" s="272"/>
      <c r="Q54" s="272"/>
      <c r="R54" s="272"/>
      <c r="S54" s="272"/>
      <c r="T54" s="280"/>
      <c r="U54" s="280"/>
      <c r="V54" s="315" t="s">
        <v>114</v>
      </c>
      <c r="W54" s="275"/>
      <c r="X54" s="5"/>
    </row>
    <row r="55" spans="1:25" ht="15.6" x14ac:dyDescent="0.3">
      <c r="A55" s="271"/>
      <c r="B55" s="279" t="s">
        <v>204</v>
      </c>
      <c r="C55" s="279"/>
      <c r="D55" s="279"/>
      <c r="E55" s="279"/>
      <c r="F55" s="279"/>
      <c r="G55" s="279"/>
      <c r="H55" s="279"/>
      <c r="I55" s="279"/>
      <c r="J55" s="279"/>
      <c r="K55" s="279"/>
      <c r="L55" s="279"/>
      <c r="M55" s="279"/>
      <c r="N55" s="279"/>
      <c r="O55" s="279"/>
      <c r="P55" s="279"/>
      <c r="Q55" s="279"/>
      <c r="R55" s="279"/>
      <c r="S55" s="279"/>
      <c r="T55" s="316"/>
      <c r="U55" s="316"/>
      <c r="V55" s="317">
        <v>42292</v>
      </c>
      <c r="W55" s="275"/>
      <c r="X55" s="5"/>
    </row>
    <row r="56" spans="1:25" ht="15.6" x14ac:dyDescent="0.3">
      <c r="A56" s="271"/>
      <c r="B56" s="272" t="s">
        <v>124</v>
      </c>
      <c r="C56" s="272"/>
      <c r="D56" s="272"/>
      <c r="E56" s="272"/>
      <c r="F56" s="272"/>
      <c r="G56" s="272"/>
      <c r="H56" s="318"/>
      <c r="I56" s="318"/>
      <c r="J56" s="318"/>
      <c r="K56" s="318"/>
      <c r="L56" s="318"/>
      <c r="M56" s="318"/>
      <c r="N56" s="318"/>
      <c r="O56" s="318"/>
      <c r="P56" s="318"/>
      <c r="Q56" s="318"/>
      <c r="R56" s="272">
        <f>+V56-T56+1</f>
        <v>91</v>
      </c>
      <c r="S56" s="318"/>
      <c r="T56" s="319">
        <v>42109</v>
      </c>
      <c r="U56" s="320"/>
      <c r="V56" s="319">
        <v>42199</v>
      </c>
      <c r="W56" s="275"/>
      <c r="X56" s="5"/>
    </row>
    <row r="57" spans="1:25" ht="15.6" x14ac:dyDescent="0.3">
      <c r="A57" s="271"/>
      <c r="B57" s="272" t="s">
        <v>125</v>
      </c>
      <c r="C57" s="272"/>
      <c r="D57" s="272"/>
      <c r="E57" s="272"/>
      <c r="F57" s="272"/>
      <c r="G57" s="272"/>
      <c r="H57" s="272"/>
      <c r="I57" s="272"/>
      <c r="J57" s="272"/>
      <c r="K57" s="272"/>
      <c r="L57" s="272"/>
      <c r="M57" s="272"/>
      <c r="N57" s="272"/>
      <c r="O57" s="272"/>
      <c r="P57" s="272"/>
      <c r="Q57" s="272"/>
      <c r="R57" s="272">
        <f>+V57-T57+1</f>
        <v>92</v>
      </c>
      <c r="S57" s="272"/>
      <c r="T57" s="319">
        <v>42200</v>
      </c>
      <c r="U57" s="320"/>
      <c r="V57" s="319">
        <v>42291</v>
      </c>
      <c r="W57" s="275"/>
      <c r="X57" s="5"/>
    </row>
    <row r="58" spans="1:25" ht="15.6" x14ac:dyDescent="0.3">
      <c r="A58" s="271"/>
      <c r="B58" s="272" t="s">
        <v>357</v>
      </c>
      <c r="C58" s="272"/>
      <c r="D58" s="272"/>
      <c r="E58" s="272"/>
      <c r="F58" s="272"/>
      <c r="G58" s="272"/>
      <c r="H58" s="272"/>
      <c r="I58" s="272"/>
      <c r="J58" s="272"/>
      <c r="K58" s="272"/>
      <c r="L58" s="272"/>
      <c r="M58" s="272"/>
      <c r="N58" s="272"/>
      <c r="O58" s="272"/>
      <c r="P58" s="272"/>
      <c r="Q58" s="272"/>
      <c r="R58" s="272"/>
      <c r="S58" s="272"/>
      <c r="T58" s="319"/>
      <c r="U58" s="320"/>
      <c r="V58" s="319" t="s">
        <v>123</v>
      </c>
      <c r="W58" s="275"/>
      <c r="X58" s="5"/>
    </row>
    <row r="59" spans="1:25" ht="15.6" x14ac:dyDescent="0.3">
      <c r="A59" s="271"/>
      <c r="B59" s="272" t="s">
        <v>356</v>
      </c>
      <c r="C59" s="272"/>
      <c r="D59" s="272"/>
      <c r="E59" s="272"/>
      <c r="F59" s="272"/>
      <c r="G59" s="272"/>
      <c r="H59" s="272"/>
      <c r="I59" s="272"/>
      <c r="J59" s="272"/>
      <c r="K59" s="272"/>
      <c r="L59" s="272"/>
      <c r="M59" s="272"/>
      <c r="N59" s="272"/>
      <c r="O59" s="272"/>
      <c r="P59" s="272"/>
      <c r="Q59" s="272"/>
      <c r="R59" s="272"/>
      <c r="S59" s="272"/>
      <c r="T59" s="319"/>
      <c r="U59" s="320"/>
      <c r="V59" s="319" t="s">
        <v>157</v>
      </c>
      <c r="W59" s="275"/>
      <c r="X59" s="5"/>
      <c r="Y59" s="134"/>
    </row>
    <row r="60" spans="1:25" ht="15.6" x14ac:dyDescent="0.3">
      <c r="A60" s="271"/>
      <c r="B60" s="272" t="s">
        <v>16</v>
      </c>
      <c r="C60" s="272"/>
      <c r="D60" s="272"/>
      <c r="E60" s="272"/>
      <c r="F60" s="272"/>
      <c r="G60" s="272"/>
      <c r="H60" s="272"/>
      <c r="I60" s="272"/>
      <c r="J60" s="272"/>
      <c r="K60" s="272"/>
      <c r="L60" s="272"/>
      <c r="M60" s="272"/>
      <c r="N60" s="272"/>
      <c r="O60" s="272"/>
      <c r="P60" s="272"/>
      <c r="Q60" s="272"/>
      <c r="R60" s="272"/>
      <c r="S60" s="272"/>
      <c r="T60" s="319"/>
      <c r="U60" s="320"/>
      <c r="V60" s="319">
        <v>42278</v>
      </c>
      <c r="W60" s="275"/>
      <c r="X60" s="5"/>
    </row>
    <row r="61" spans="1:25" ht="15.6" x14ac:dyDescent="0.3">
      <c r="A61" s="175"/>
      <c r="B61" s="268"/>
      <c r="C61" s="268"/>
      <c r="D61" s="268"/>
      <c r="E61" s="268"/>
      <c r="F61" s="268"/>
      <c r="G61" s="268"/>
      <c r="H61" s="268"/>
      <c r="I61" s="268"/>
      <c r="J61" s="268"/>
      <c r="K61" s="268"/>
      <c r="L61" s="268"/>
      <c r="M61" s="268"/>
      <c r="N61" s="268"/>
      <c r="O61" s="268"/>
      <c r="P61" s="268"/>
      <c r="Q61" s="268"/>
      <c r="R61" s="268"/>
      <c r="S61" s="268"/>
      <c r="T61" s="269"/>
      <c r="U61" s="270"/>
      <c r="V61" s="269"/>
      <c r="W61" s="268"/>
      <c r="X61" s="5"/>
    </row>
    <row r="62" spans="1:25" ht="15.6" x14ac:dyDescent="0.3">
      <c r="A62" s="175"/>
      <c r="B62" s="220"/>
      <c r="C62" s="220"/>
      <c r="D62" s="220"/>
      <c r="E62" s="220"/>
      <c r="F62" s="220"/>
      <c r="G62" s="220"/>
      <c r="H62" s="220"/>
      <c r="I62" s="220"/>
      <c r="J62" s="220"/>
      <c r="K62" s="220"/>
      <c r="L62" s="220"/>
      <c r="M62" s="220"/>
      <c r="N62" s="220"/>
      <c r="O62" s="220"/>
      <c r="P62" s="220"/>
      <c r="Q62" s="220"/>
      <c r="R62" s="220"/>
      <c r="S62" s="220"/>
      <c r="T62" s="232"/>
      <c r="U62" s="233"/>
      <c r="V62" s="232"/>
      <c r="W62" s="220"/>
      <c r="X62" s="5"/>
    </row>
    <row r="63" spans="1:25" ht="18" thickBot="1" x14ac:dyDescent="0.35">
      <c r="A63" s="194"/>
      <c r="B63" s="234" t="s">
        <v>350</v>
      </c>
      <c r="C63" s="235"/>
      <c r="D63" s="235"/>
      <c r="E63" s="235"/>
      <c r="F63" s="235"/>
      <c r="G63" s="235"/>
      <c r="H63" s="235"/>
      <c r="I63" s="235"/>
      <c r="J63" s="235"/>
      <c r="K63" s="235"/>
      <c r="L63" s="235"/>
      <c r="M63" s="235"/>
      <c r="N63" s="235"/>
      <c r="O63" s="235"/>
      <c r="P63" s="235"/>
      <c r="Q63" s="235"/>
      <c r="R63" s="235"/>
      <c r="S63" s="235"/>
      <c r="T63" s="235"/>
      <c r="U63" s="235"/>
      <c r="V63" s="236"/>
      <c r="W63" s="237"/>
      <c r="X63" s="5"/>
    </row>
    <row r="64" spans="1:25" ht="15.6" x14ac:dyDescent="0.3">
      <c r="A64" s="239"/>
      <c r="B64" s="253" t="s">
        <v>17</v>
      </c>
      <c r="C64" s="240"/>
      <c r="D64" s="240"/>
      <c r="E64" s="240"/>
      <c r="F64" s="240"/>
      <c r="G64" s="240"/>
      <c r="H64" s="240"/>
      <c r="I64" s="240"/>
      <c r="J64" s="240"/>
      <c r="K64" s="240"/>
      <c r="L64" s="240"/>
      <c r="M64" s="240"/>
      <c r="N64" s="240"/>
      <c r="O64" s="240"/>
      <c r="P64" s="240"/>
      <c r="Q64" s="240"/>
      <c r="R64" s="240"/>
      <c r="S64" s="240"/>
      <c r="T64" s="240"/>
      <c r="U64" s="240"/>
      <c r="V64" s="241"/>
      <c r="W64" s="240"/>
      <c r="X64" s="5"/>
    </row>
    <row r="65" spans="1:24" ht="15.6" x14ac:dyDescent="0.3">
      <c r="A65" s="175"/>
      <c r="B65" s="183"/>
      <c r="C65" s="177"/>
      <c r="D65" s="177"/>
      <c r="E65" s="177"/>
      <c r="F65" s="177"/>
      <c r="G65" s="177"/>
      <c r="H65" s="177"/>
      <c r="I65" s="177"/>
      <c r="J65" s="177"/>
      <c r="K65" s="177"/>
      <c r="L65" s="177"/>
      <c r="M65" s="177"/>
      <c r="N65" s="177"/>
      <c r="O65" s="177"/>
      <c r="P65" s="177"/>
      <c r="Q65" s="177"/>
      <c r="R65" s="177"/>
      <c r="S65" s="177"/>
      <c r="T65" s="177"/>
      <c r="U65" s="177"/>
      <c r="V65" s="196"/>
      <c r="W65" s="177"/>
      <c r="X65" s="5"/>
    </row>
    <row r="66" spans="1:24" ht="46.8" x14ac:dyDescent="0.3">
      <c r="A66" s="175"/>
      <c r="B66" s="197" t="s">
        <v>18</v>
      </c>
      <c r="C66" s="198"/>
      <c r="D66" s="198"/>
      <c r="E66" s="198"/>
      <c r="F66" s="198"/>
      <c r="G66" s="198"/>
      <c r="H66" s="198"/>
      <c r="I66" s="198"/>
      <c r="J66" s="198"/>
      <c r="K66" s="198"/>
      <c r="L66" s="198" t="s">
        <v>95</v>
      </c>
      <c r="M66" s="198"/>
      <c r="N66" s="198" t="s">
        <v>97</v>
      </c>
      <c r="O66" s="198"/>
      <c r="P66" s="198" t="s">
        <v>99</v>
      </c>
      <c r="Q66" s="198"/>
      <c r="R66" s="198" t="s">
        <v>101</v>
      </c>
      <c r="S66" s="198"/>
      <c r="T66" s="198" t="s">
        <v>108</v>
      </c>
      <c r="U66" s="198"/>
      <c r="V66" s="199" t="s">
        <v>115</v>
      </c>
      <c r="W66" s="200"/>
      <c r="X66" s="5"/>
    </row>
    <row r="67" spans="1:24" ht="15.6" x14ac:dyDescent="0.3">
      <c r="A67" s="271"/>
      <c r="B67" s="272" t="s">
        <v>19</v>
      </c>
      <c r="C67" s="324"/>
      <c r="D67" s="324"/>
      <c r="E67" s="324"/>
      <c r="F67" s="324"/>
      <c r="G67" s="324"/>
      <c r="H67" s="324"/>
      <c r="I67" s="324"/>
      <c r="J67" s="324"/>
      <c r="K67" s="324"/>
      <c r="L67" s="324">
        <f>1085286</f>
        <v>1085286</v>
      </c>
      <c r="M67" s="324"/>
      <c r="N67" s="325">
        <v>905252</v>
      </c>
      <c r="O67" s="324"/>
      <c r="P67" s="324">
        <f>11051+70+198</f>
        <v>11319</v>
      </c>
      <c r="Q67" s="324"/>
      <c r="R67" s="324">
        <f>70+198</f>
        <v>268</v>
      </c>
      <c r="S67" s="324"/>
      <c r="T67" s="324">
        <v>0</v>
      </c>
      <c r="U67" s="324"/>
      <c r="V67" s="325">
        <f>+N67-P67+R67-T67</f>
        <v>894201</v>
      </c>
      <c r="W67" s="275"/>
      <c r="X67" s="5"/>
    </row>
    <row r="68" spans="1:24" ht="15.6" x14ac:dyDescent="0.3">
      <c r="A68" s="271"/>
      <c r="B68" s="272" t="s">
        <v>20</v>
      </c>
      <c r="C68" s="324"/>
      <c r="D68" s="324"/>
      <c r="E68" s="324"/>
      <c r="F68" s="324"/>
      <c r="G68" s="324"/>
      <c r="H68" s="324"/>
      <c r="I68" s="324"/>
      <c r="J68" s="324"/>
      <c r="K68" s="324"/>
      <c r="L68" s="324">
        <v>35</v>
      </c>
      <c r="M68" s="324"/>
      <c r="N68" s="325">
        <v>0</v>
      </c>
      <c r="O68" s="324"/>
      <c r="P68" s="324">
        <v>0</v>
      </c>
      <c r="Q68" s="324"/>
      <c r="R68" s="324">
        <v>0</v>
      </c>
      <c r="S68" s="324"/>
      <c r="T68" s="324">
        <v>0</v>
      </c>
      <c r="U68" s="324"/>
      <c r="V68" s="325">
        <f>+N68-P68</f>
        <v>0</v>
      </c>
      <c r="W68" s="275"/>
      <c r="X68" s="5"/>
    </row>
    <row r="69" spans="1:24" ht="15.6" x14ac:dyDescent="0.3">
      <c r="A69" s="271"/>
      <c r="B69" s="272"/>
      <c r="C69" s="324"/>
      <c r="D69" s="324"/>
      <c r="E69" s="324"/>
      <c r="F69" s="324"/>
      <c r="G69" s="324"/>
      <c r="H69" s="324"/>
      <c r="I69" s="324"/>
      <c r="J69" s="324"/>
      <c r="K69" s="324"/>
      <c r="L69" s="324"/>
      <c r="M69" s="324"/>
      <c r="N69" s="325"/>
      <c r="O69" s="324"/>
      <c r="P69" s="324"/>
      <c r="Q69" s="324"/>
      <c r="R69" s="324"/>
      <c r="S69" s="324"/>
      <c r="T69" s="324"/>
      <c r="U69" s="324"/>
      <c r="V69" s="325"/>
      <c r="W69" s="275"/>
      <c r="X69" s="5"/>
    </row>
    <row r="70" spans="1:24" ht="15.6" x14ac:dyDescent="0.3">
      <c r="A70" s="271"/>
      <c r="B70" s="272" t="s">
        <v>21</v>
      </c>
      <c r="C70" s="324"/>
      <c r="D70" s="324"/>
      <c r="E70" s="324"/>
      <c r="F70" s="324"/>
      <c r="G70" s="324"/>
      <c r="H70" s="324"/>
      <c r="I70" s="324"/>
      <c r="J70" s="324"/>
      <c r="K70" s="324"/>
      <c r="L70" s="324">
        <f>SUM(L67:L69)</f>
        <v>1085321</v>
      </c>
      <c r="M70" s="324"/>
      <c r="N70" s="324">
        <f>N67+N68</f>
        <v>905252</v>
      </c>
      <c r="O70" s="324"/>
      <c r="P70" s="324">
        <f>SUM(P67:P69)</f>
        <v>11319</v>
      </c>
      <c r="Q70" s="324"/>
      <c r="R70" s="324">
        <f>SUM(R67:R69)</f>
        <v>268</v>
      </c>
      <c r="S70" s="324"/>
      <c r="T70" s="324">
        <f>SUM(T67:T69)</f>
        <v>0</v>
      </c>
      <c r="U70" s="324"/>
      <c r="V70" s="324">
        <f>SUM(V67:V69)</f>
        <v>894201</v>
      </c>
      <c r="W70" s="275"/>
      <c r="X70" s="5"/>
    </row>
    <row r="71" spans="1:24" ht="15.6" x14ac:dyDescent="0.3">
      <c r="A71" s="175"/>
      <c r="B71" s="321"/>
      <c r="C71" s="322"/>
      <c r="D71" s="322"/>
      <c r="E71" s="322"/>
      <c r="F71" s="322"/>
      <c r="G71" s="322"/>
      <c r="H71" s="322"/>
      <c r="I71" s="322"/>
      <c r="J71" s="322"/>
      <c r="K71" s="322"/>
      <c r="L71" s="322"/>
      <c r="M71" s="322"/>
      <c r="N71" s="322"/>
      <c r="O71" s="322"/>
      <c r="P71" s="322"/>
      <c r="Q71" s="322"/>
      <c r="R71" s="322"/>
      <c r="S71" s="322"/>
      <c r="T71" s="322"/>
      <c r="U71" s="322"/>
      <c r="V71" s="323"/>
      <c r="W71" s="321"/>
      <c r="X71" s="5"/>
    </row>
    <row r="72" spans="1:24" ht="15.6" x14ac:dyDescent="0.3">
      <c r="A72" s="175"/>
      <c r="B72" s="179" t="s">
        <v>22</v>
      </c>
      <c r="C72" s="201"/>
      <c r="D72" s="201"/>
      <c r="E72" s="201"/>
      <c r="F72" s="201"/>
      <c r="G72" s="201"/>
      <c r="H72" s="201"/>
      <c r="I72" s="201"/>
      <c r="J72" s="201"/>
      <c r="K72" s="201"/>
      <c r="L72" s="201"/>
      <c r="M72" s="201"/>
      <c r="N72" s="201"/>
      <c r="O72" s="201"/>
      <c r="P72" s="201"/>
      <c r="Q72" s="201"/>
      <c r="R72" s="201"/>
      <c r="S72" s="201"/>
      <c r="T72" s="201"/>
      <c r="U72" s="201"/>
      <c r="V72" s="202"/>
      <c r="W72" s="177"/>
      <c r="X72" s="5"/>
    </row>
    <row r="73" spans="1:24" ht="15.6" x14ac:dyDescent="0.3">
      <c r="A73" s="175"/>
      <c r="B73" s="177"/>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271"/>
      <c r="B74" s="272" t="s">
        <v>19</v>
      </c>
      <c r="C74" s="324"/>
      <c r="D74" s="324"/>
      <c r="E74" s="324"/>
      <c r="F74" s="324"/>
      <c r="G74" s="324"/>
      <c r="H74" s="324"/>
      <c r="I74" s="324"/>
      <c r="J74" s="324"/>
      <c r="K74" s="324"/>
      <c r="L74" s="324"/>
      <c r="M74" s="324"/>
      <c r="N74" s="324"/>
      <c r="O74" s="324"/>
      <c r="P74" s="324"/>
      <c r="Q74" s="324"/>
      <c r="R74" s="324"/>
      <c r="S74" s="324"/>
      <c r="T74" s="324"/>
      <c r="U74" s="324"/>
      <c r="V74" s="324"/>
      <c r="W74" s="275"/>
      <c r="X74" s="5"/>
    </row>
    <row r="75" spans="1:24" ht="15.6" x14ac:dyDescent="0.3">
      <c r="A75" s="271"/>
      <c r="B75" s="272" t="s">
        <v>20</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t="s">
        <v>21</v>
      </c>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t="s">
        <v>23</v>
      </c>
      <c r="C79" s="324"/>
      <c r="D79" s="324"/>
      <c r="E79" s="324"/>
      <c r="F79" s="324"/>
      <c r="G79" s="324"/>
      <c r="H79" s="324"/>
      <c r="I79" s="324"/>
      <c r="J79" s="324"/>
      <c r="K79" s="324"/>
      <c r="L79" s="324">
        <v>0</v>
      </c>
      <c r="M79" s="324"/>
      <c r="N79" s="324">
        <v>0</v>
      </c>
      <c r="O79" s="324"/>
      <c r="P79" s="324"/>
      <c r="Q79" s="324"/>
      <c r="R79" s="324"/>
      <c r="S79" s="324"/>
      <c r="T79" s="324"/>
      <c r="U79" s="324"/>
      <c r="V79" s="325">
        <v>0</v>
      </c>
      <c r="W79" s="275"/>
      <c r="X79" s="5"/>
    </row>
    <row r="80" spans="1:24" ht="15.6" x14ac:dyDescent="0.3">
      <c r="A80" s="271"/>
      <c r="B80" s="272" t="s">
        <v>120</v>
      </c>
      <c r="C80" s="324"/>
      <c r="D80" s="324"/>
      <c r="E80" s="324"/>
      <c r="F80" s="324"/>
      <c r="G80" s="324"/>
      <c r="H80" s="324"/>
      <c r="I80" s="324"/>
      <c r="J80" s="324"/>
      <c r="K80" s="324"/>
      <c r="L80" s="324">
        <f>414862+7</f>
        <v>414869</v>
      </c>
      <c r="M80" s="324"/>
      <c r="N80" s="324">
        <v>0</v>
      </c>
      <c r="O80" s="324"/>
      <c r="P80" s="324">
        <v>0</v>
      </c>
      <c r="Q80" s="324"/>
      <c r="R80" s="324"/>
      <c r="S80" s="324"/>
      <c r="T80" s="324"/>
      <c r="U80" s="324"/>
      <c r="V80" s="324">
        <f>SUM(N80:R80)</f>
        <v>0</v>
      </c>
      <c r="W80" s="275"/>
      <c r="X80" s="5"/>
    </row>
    <row r="81" spans="1:24" ht="15.6" x14ac:dyDescent="0.3">
      <c r="A81" s="271"/>
      <c r="B81" s="272" t="s">
        <v>149</v>
      </c>
      <c r="C81" s="324"/>
      <c r="D81" s="324"/>
      <c r="E81" s="324"/>
      <c r="F81" s="324"/>
      <c r="G81" s="324"/>
      <c r="H81" s="324"/>
      <c r="I81" s="324"/>
      <c r="J81" s="324"/>
      <c r="K81" s="324"/>
      <c r="L81" s="324">
        <v>0</v>
      </c>
      <c r="M81" s="324"/>
      <c r="N81" s="324">
        <v>0</v>
      </c>
      <c r="O81" s="324"/>
      <c r="P81" s="324">
        <v>0</v>
      </c>
      <c r="Q81" s="324"/>
      <c r="R81" s="324"/>
      <c r="S81" s="324"/>
      <c r="T81" s="324"/>
      <c r="U81" s="324"/>
      <c r="V81" s="324">
        <f>+N81+P81</f>
        <v>0</v>
      </c>
      <c r="W81" s="275"/>
      <c r="X81" s="5"/>
    </row>
    <row r="82" spans="1:24" ht="15.6" x14ac:dyDescent="0.3">
      <c r="A82" s="271"/>
      <c r="B82" s="272" t="s">
        <v>25</v>
      </c>
      <c r="C82" s="324"/>
      <c r="D82" s="324"/>
      <c r="E82" s="324"/>
      <c r="F82" s="324"/>
      <c r="G82" s="324"/>
      <c r="H82" s="324"/>
      <c r="I82" s="324"/>
      <c r="J82" s="324"/>
      <c r="K82" s="324"/>
      <c r="L82" s="324">
        <v>0</v>
      </c>
      <c r="M82" s="324"/>
      <c r="N82" s="324">
        <v>0</v>
      </c>
      <c r="O82" s="324"/>
      <c r="P82" s="324"/>
      <c r="Q82" s="324"/>
      <c r="R82" s="324"/>
      <c r="S82" s="324"/>
      <c r="T82" s="324"/>
      <c r="U82" s="324"/>
      <c r="V82" s="324">
        <v>0</v>
      </c>
      <c r="W82" s="275"/>
      <c r="X82" s="5"/>
    </row>
    <row r="83" spans="1:24" ht="15.6" x14ac:dyDescent="0.3">
      <c r="A83" s="326"/>
      <c r="B83" s="327" t="s">
        <v>26</v>
      </c>
      <c r="C83" s="328"/>
      <c r="D83" s="328"/>
      <c r="E83" s="328"/>
      <c r="F83" s="328"/>
      <c r="G83" s="328"/>
      <c r="H83" s="328"/>
      <c r="I83" s="328"/>
      <c r="J83" s="328"/>
      <c r="K83" s="328"/>
      <c r="L83" s="328">
        <f>SUM(L70:L82)</f>
        <v>1500190</v>
      </c>
      <c r="M83" s="328"/>
      <c r="N83" s="328">
        <f>SUM(N70:N82)</f>
        <v>905252</v>
      </c>
      <c r="O83" s="328"/>
      <c r="P83" s="328"/>
      <c r="Q83" s="328"/>
      <c r="R83" s="328"/>
      <c r="S83" s="328"/>
      <c r="T83" s="328"/>
      <c r="U83" s="328"/>
      <c r="V83" s="328">
        <f>SUM(V70:V82)</f>
        <v>894201</v>
      </c>
      <c r="W83" s="329"/>
      <c r="X83" s="5"/>
    </row>
    <row r="84" spans="1:24" ht="15.6" x14ac:dyDescent="0.3">
      <c r="A84" s="192"/>
      <c r="B84" s="229"/>
      <c r="C84" s="231"/>
      <c r="D84" s="231"/>
      <c r="E84" s="231"/>
      <c r="F84" s="231"/>
      <c r="G84" s="231"/>
      <c r="H84" s="231"/>
      <c r="I84" s="231"/>
      <c r="J84" s="231"/>
      <c r="K84" s="231"/>
      <c r="L84" s="231"/>
      <c r="M84" s="231"/>
      <c r="N84" s="231"/>
      <c r="O84" s="231"/>
      <c r="P84" s="231"/>
      <c r="Q84" s="231"/>
      <c r="R84" s="231"/>
      <c r="S84" s="231"/>
      <c r="T84" s="231"/>
      <c r="U84" s="231"/>
      <c r="V84" s="231"/>
      <c r="W84" s="229"/>
      <c r="X84" s="5"/>
    </row>
    <row r="85" spans="1:24" ht="15.6" x14ac:dyDescent="0.3">
      <c r="A85" s="175"/>
      <c r="B85" s="220"/>
      <c r="C85" s="220"/>
      <c r="D85" s="220"/>
      <c r="E85" s="220"/>
      <c r="F85" s="220"/>
      <c r="G85" s="220"/>
      <c r="H85" s="220"/>
      <c r="I85" s="220"/>
      <c r="J85" s="220"/>
      <c r="K85" s="220"/>
      <c r="L85" s="220"/>
      <c r="M85" s="220"/>
      <c r="N85" s="220"/>
      <c r="O85" s="220"/>
      <c r="P85" s="220"/>
      <c r="Q85" s="220"/>
      <c r="R85" s="220"/>
      <c r="S85" s="220"/>
      <c r="T85" s="220"/>
      <c r="U85" s="220"/>
      <c r="V85" s="220"/>
      <c r="W85" s="220"/>
      <c r="X85" s="5"/>
    </row>
    <row r="86" spans="1:24" ht="15.6" x14ac:dyDescent="0.3">
      <c r="A86" s="239"/>
      <c r="B86" s="253" t="s">
        <v>27</v>
      </c>
      <c r="C86" s="253"/>
      <c r="D86" s="253"/>
      <c r="E86" s="253"/>
      <c r="F86" s="253"/>
      <c r="G86" s="253"/>
      <c r="H86" s="254"/>
      <c r="I86" s="254"/>
      <c r="J86" s="254"/>
      <c r="K86" s="254"/>
      <c r="L86" s="330" t="s">
        <v>96</v>
      </c>
      <c r="M86" s="254"/>
      <c r="N86" s="331">
        <f>+T198</f>
        <v>42277</v>
      </c>
      <c r="O86" s="254"/>
      <c r="P86" s="254"/>
      <c r="Q86" s="254"/>
      <c r="R86" s="254"/>
      <c r="S86" s="254"/>
      <c r="T86" s="254" t="s">
        <v>109</v>
      </c>
      <c r="U86" s="254"/>
      <c r="V86" s="254" t="s">
        <v>116</v>
      </c>
      <c r="W86" s="240"/>
      <c r="X86" s="5"/>
    </row>
    <row r="87" spans="1:24" ht="15.6" x14ac:dyDescent="0.3">
      <c r="A87" s="271"/>
      <c r="B87" s="272" t="s">
        <v>28</v>
      </c>
      <c r="C87" s="272"/>
      <c r="D87" s="272"/>
      <c r="E87" s="272"/>
      <c r="F87" s="272"/>
      <c r="G87" s="272"/>
      <c r="H87" s="272"/>
      <c r="I87" s="272"/>
      <c r="J87" s="272"/>
      <c r="K87" s="272"/>
      <c r="L87" s="272"/>
      <c r="M87" s="272"/>
      <c r="N87" s="272"/>
      <c r="O87" s="272"/>
      <c r="P87" s="272"/>
      <c r="Q87" s="272"/>
      <c r="R87" s="272"/>
      <c r="S87" s="272"/>
      <c r="T87" s="324">
        <v>0</v>
      </c>
      <c r="U87" s="272"/>
      <c r="V87" s="325">
        <v>0</v>
      </c>
      <c r="W87" s="275"/>
      <c r="X87" s="5"/>
    </row>
    <row r="88" spans="1:24" ht="15.6" x14ac:dyDescent="0.3">
      <c r="A88" s="271"/>
      <c r="B88" s="272" t="s">
        <v>29</v>
      </c>
      <c r="C88" s="272"/>
      <c r="D88" s="272"/>
      <c r="E88" s="272"/>
      <c r="F88" s="272"/>
      <c r="G88" s="272"/>
      <c r="H88" s="311"/>
      <c r="I88" s="311"/>
      <c r="J88" s="311"/>
      <c r="K88" s="333"/>
      <c r="L88" s="311"/>
      <c r="M88" s="272"/>
      <c r="N88" s="334"/>
      <c r="O88" s="272"/>
      <c r="P88" s="272"/>
      <c r="Q88" s="272"/>
      <c r="R88" s="272"/>
      <c r="S88" s="272"/>
      <c r="T88" s="324">
        <f>11319-215</f>
        <v>11104</v>
      </c>
      <c r="U88" s="272"/>
      <c r="V88" s="325"/>
      <c r="W88" s="275"/>
      <c r="X88" s="5"/>
    </row>
    <row r="89" spans="1:24" ht="15.6" x14ac:dyDescent="0.3">
      <c r="A89" s="271"/>
      <c r="B89" s="272" t="s">
        <v>219</v>
      </c>
      <c r="C89" s="272"/>
      <c r="D89" s="272"/>
      <c r="E89" s="272"/>
      <c r="F89" s="272"/>
      <c r="G89" s="272"/>
      <c r="H89" s="311"/>
      <c r="I89" s="311"/>
      <c r="J89" s="311"/>
      <c r="K89" s="333"/>
      <c r="L89" s="311"/>
      <c r="M89" s="272"/>
      <c r="N89" s="334"/>
      <c r="O89" s="272"/>
      <c r="P89" s="272"/>
      <c r="Q89" s="272"/>
      <c r="R89" s="272"/>
      <c r="S89" s="272"/>
      <c r="T89" s="324"/>
      <c r="U89" s="272"/>
      <c r="V89" s="325">
        <f>3918+2936-493-987</f>
        <v>5374</v>
      </c>
      <c r="W89" s="275"/>
      <c r="X89" s="5"/>
    </row>
    <row r="90" spans="1:24" ht="15.6" x14ac:dyDescent="0.3">
      <c r="A90" s="271"/>
      <c r="B90" s="272" t="s">
        <v>214</v>
      </c>
      <c r="C90" s="272"/>
      <c r="D90" s="272"/>
      <c r="E90" s="272"/>
      <c r="F90" s="272"/>
      <c r="G90" s="272"/>
      <c r="H90" s="311"/>
      <c r="I90" s="311"/>
      <c r="J90" s="311"/>
      <c r="K90" s="333"/>
      <c r="L90" s="311"/>
      <c r="M90" s="272"/>
      <c r="N90" s="334"/>
      <c r="O90" s="272"/>
      <c r="P90" s="272"/>
      <c r="Q90" s="272"/>
      <c r="R90" s="272"/>
      <c r="S90" s="272"/>
      <c r="T90" s="324"/>
      <c r="U90" s="272"/>
      <c r="V90" s="325">
        <f>100+31</f>
        <v>131</v>
      </c>
      <c r="W90" s="275"/>
      <c r="X90" s="5"/>
    </row>
    <row r="91" spans="1:24" ht="15.6" x14ac:dyDescent="0.3">
      <c r="A91" s="271"/>
      <c r="B91" s="272" t="s">
        <v>215</v>
      </c>
      <c r="C91" s="272"/>
      <c r="D91" s="272"/>
      <c r="E91" s="272"/>
      <c r="F91" s="272"/>
      <c r="G91" s="272"/>
      <c r="H91" s="311"/>
      <c r="I91" s="311"/>
      <c r="J91" s="311"/>
      <c r="K91" s="333"/>
      <c r="L91" s="311"/>
      <c r="M91" s="272"/>
      <c r="N91" s="334"/>
      <c r="O91" s="272"/>
      <c r="P91" s="272"/>
      <c r="Q91" s="272"/>
      <c r="R91" s="272"/>
      <c r="S91" s="272"/>
      <c r="T91" s="324"/>
      <c r="U91" s="272"/>
      <c r="V91" s="325">
        <v>47</v>
      </c>
      <c r="W91" s="275"/>
      <c r="X91" s="5"/>
    </row>
    <row r="92" spans="1:24" ht="15.6" x14ac:dyDescent="0.3">
      <c r="A92" s="271"/>
      <c r="B92" s="272" t="s">
        <v>277</v>
      </c>
      <c r="C92" s="272"/>
      <c r="D92" s="272"/>
      <c r="E92" s="272"/>
      <c r="F92" s="272"/>
      <c r="G92" s="272"/>
      <c r="H92" s="311"/>
      <c r="I92" s="311"/>
      <c r="J92" s="311"/>
      <c r="K92" s="333"/>
      <c r="L92" s="311"/>
      <c r="M92" s="272"/>
      <c r="N92" s="334"/>
      <c r="O92" s="272"/>
      <c r="P92" s="272"/>
      <c r="Q92" s="272"/>
      <c r="R92" s="272"/>
      <c r="S92" s="272"/>
      <c r="T92" s="324"/>
      <c r="U92" s="272"/>
      <c r="V92" s="325">
        <v>0</v>
      </c>
      <c r="W92" s="275"/>
      <c r="X92" s="5"/>
    </row>
    <row r="93" spans="1:24" ht="15.6" x14ac:dyDescent="0.3">
      <c r="A93" s="271"/>
      <c r="B93" s="272" t="s">
        <v>138</v>
      </c>
      <c r="C93" s="272"/>
      <c r="D93" s="272"/>
      <c r="E93" s="272"/>
      <c r="F93" s="272"/>
      <c r="G93" s="272"/>
      <c r="H93" s="272"/>
      <c r="I93" s="272"/>
      <c r="J93" s="272"/>
      <c r="K93" s="272"/>
      <c r="L93" s="272"/>
      <c r="M93" s="272"/>
      <c r="N93" s="272"/>
      <c r="O93" s="272"/>
      <c r="P93" s="272"/>
      <c r="Q93" s="272"/>
      <c r="R93" s="272"/>
      <c r="S93" s="272"/>
      <c r="T93" s="324"/>
      <c r="U93" s="272"/>
      <c r="V93" s="325">
        <v>0</v>
      </c>
      <c r="W93" s="275"/>
      <c r="X93" s="5"/>
    </row>
    <row r="94" spans="1:24" ht="15.6" x14ac:dyDescent="0.3">
      <c r="A94" s="271"/>
      <c r="B94" s="272" t="s">
        <v>265</v>
      </c>
      <c r="C94" s="272"/>
      <c r="D94" s="272"/>
      <c r="E94" s="272"/>
      <c r="F94" s="272"/>
      <c r="G94" s="272"/>
      <c r="H94" s="272"/>
      <c r="I94" s="272"/>
      <c r="J94" s="272"/>
      <c r="K94" s="272"/>
      <c r="L94" s="272"/>
      <c r="M94" s="272"/>
      <c r="N94" s="272"/>
      <c r="O94" s="272"/>
      <c r="P94" s="272"/>
      <c r="Q94" s="272"/>
      <c r="R94" s="272"/>
      <c r="S94" s="272"/>
      <c r="T94" s="324"/>
      <c r="U94" s="272"/>
      <c r="V94" s="325">
        <v>485</v>
      </c>
      <c r="W94" s="275"/>
      <c r="X94" s="5"/>
    </row>
    <row r="95" spans="1:24" ht="15.6" x14ac:dyDescent="0.3">
      <c r="A95" s="271"/>
      <c r="B95" s="272" t="s">
        <v>30</v>
      </c>
      <c r="C95" s="272"/>
      <c r="D95" s="272"/>
      <c r="E95" s="272"/>
      <c r="F95" s="272"/>
      <c r="G95" s="272"/>
      <c r="H95" s="272"/>
      <c r="I95" s="272"/>
      <c r="J95" s="272"/>
      <c r="K95" s="272"/>
      <c r="L95" s="272"/>
      <c r="M95" s="272"/>
      <c r="N95" s="272"/>
      <c r="O95" s="272"/>
      <c r="P95" s="272"/>
      <c r="Q95" s="272"/>
      <c r="R95" s="272"/>
      <c r="S95" s="272"/>
      <c r="T95" s="324">
        <f>SUM(T87:T94)</f>
        <v>11104</v>
      </c>
      <c r="U95" s="272"/>
      <c r="V95" s="324">
        <f>SUM(V87:V94)</f>
        <v>6037</v>
      </c>
      <c r="W95" s="275"/>
      <c r="X95" s="5"/>
    </row>
    <row r="96" spans="1:24" ht="15.6" x14ac:dyDescent="0.3">
      <c r="A96" s="271"/>
      <c r="B96" s="272" t="s">
        <v>164</v>
      </c>
      <c r="C96" s="272"/>
      <c r="D96" s="272"/>
      <c r="E96" s="272"/>
      <c r="F96" s="272"/>
      <c r="G96" s="272"/>
      <c r="H96" s="272"/>
      <c r="I96" s="272"/>
      <c r="J96" s="272"/>
      <c r="K96" s="272"/>
      <c r="L96" s="272"/>
      <c r="M96" s="272"/>
      <c r="N96" s="272"/>
      <c r="O96" s="272"/>
      <c r="P96" s="272"/>
      <c r="Q96" s="272"/>
      <c r="R96" s="272"/>
      <c r="S96" s="272"/>
      <c r="T96" s="324">
        <f>-V96</f>
        <v>0</v>
      </c>
      <c r="U96" s="272"/>
      <c r="V96" s="324">
        <v>0</v>
      </c>
      <c r="W96" s="275"/>
      <c r="X96" s="5"/>
    </row>
    <row r="97" spans="1:26" ht="15.6" x14ac:dyDescent="0.3">
      <c r="A97" s="271"/>
      <c r="B97" s="272" t="s">
        <v>31</v>
      </c>
      <c r="C97" s="272"/>
      <c r="D97" s="272"/>
      <c r="E97" s="272"/>
      <c r="F97" s="272"/>
      <c r="G97" s="272"/>
      <c r="H97" s="272"/>
      <c r="I97" s="272"/>
      <c r="J97" s="272"/>
      <c r="K97" s="272"/>
      <c r="L97" s="272"/>
      <c r="M97" s="272"/>
      <c r="N97" s="272"/>
      <c r="O97" s="272"/>
      <c r="P97" s="272"/>
      <c r="Q97" s="272"/>
      <c r="R97" s="272"/>
      <c r="S97" s="272"/>
      <c r="T97" s="324">
        <f>-V97</f>
        <v>0</v>
      </c>
      <c r="U97" s="272"/>
      <c r="V97" s="325">
        <v>0</v>
      </c>
      <c r="W97" s="275"/>
      <c r="X97" s="5"/>
    </row>
    <row r="98" spans="1:26" ht="15.6" x14ac:dyDescent="0.3">
      <c r="A98" s="271"/>
      <c r="B98" s="272" t="s">
        <v>288</v>
      </c>
      <c r="C98" s="272"/>
      <c r="D98" s="272"/>
      <c r="E98" s="272"/>
      <c r="F98" s="272"/>
      <c r="G98" s="272"/>
      <c r="H98" s="272"/>
      <c r="I98" s="272"/>
      <c r="J98" s="272"/>
      <c r="K98" s="272"/>
      <c r="L98" s="272"/>
      <c r="M98" s="272"/>
      <c r="N98" s="272"/>
      <c r="O98" s="272"/>
      <c r="P98" s="272"/>
      <c r="Q98" s="272"/>
      <c r="R98" s="272"/>
      <c r="S98" s="272"/>
      <c r="T98" s="324"/>
      <c r="U98" s="272"/>
      <c r="V98" s="325">
        <v>98</v>
      </c>
      <c r="W98" s="275"/>
      <c r="X98" s="5"/>
    </row>
    <row r="99" spans="1:26" ht="15.6" x14ac:dyDescent="0.3">
      <c r="A99" s="271"/>
      <c r="B99" s="272" t="s">
        <v>32</v>
      </c>
      <c r="C99" s="272"/>
      <c r="D99" s="272"/>
      <c r="E99" s="272"/>
      <c r="F99" s="272"/>
      <c r="G99" s="272"/>
      <c r="H99" s="272"/>
      <c r="I99" s="272"/>
      <c r="J99" s="272"/>
      <c r="K99" s="272"/>
      <c r="L99" s="272"/>
      <c r="M99" s="272"/>
      <c r="N99" s="272"/>
      <c r="O99" s="272"/>
      <c r="P99" s="272"/>
      <c r="Q99" s="272"/>
      <c r="R99" s="272"/>
      <c r="S99" s="272"/>
      <c r="T99" s="324">
        <f>T95+T97+T96</f>
        <v>11104</v>
      </c>
      <c r="U99" s="272"/>
      <c r="V99" s="324">
        <f>V95+V97+V96+V98</f>
        <v>6135</v>
      </c>
      <c r="W99" s="275"/>
      <c r="X99" s="5"/>
    </row>
    <row r="100" spans="1:26" ht="15.6" x14ac:dyDescent="0.3">
      <c r="A100" s="271"/>
      <c r="B100" s="335" t="s">
        <v>33</v>
      </c>
      <c r="C100" s="298"/>
      <c r="D100" s="298"/>
      <c r="E100" s="298"/>
      <c r="F100" s="298"/>
      <c r="G100" s="298"/>
      <c r="H100" s="298"/>
      <c r="I100" s="298"/>
      <c r="J100" s="298"/>
      <c r="K100" s="298"/>
      <c r="L100" s="298"/>
      <c r="M100" s="298"/>
      <c r="N100" s="298"/>
      <c r="O100" s="298"/>
      <c r="P100" s="298"/>
      <c r="Q100" s="298"/>
      <c r="R100" s="298"/>
      <c r="S100" s="298"/>
      <c r="T100" s="336"/>
      <c r="U100" s="298"/>
      <c r="V100" s="337"/>
      <c r="W100" s="304"/>
      <c r="X100" s="5"/>
    </row>
    <row r="101" spans="1:26" ht="15.6" x14ac:dyDescent="0.3">
      <c r="A101" s="338">
        <v>1</v>
      </c>
      <c r="B101" s="272" t="s">
        <v>34</v>
      </c>
      <c r="C101" s="272"/>
      <c r="D101" s="272"/>
      <c r="E101" s="272"/>
      <c r="F101" s="272"/>
      <c r="G101" s="272"/>
      <c r="H101" s="272"/>
      <c r="I101" s="272"/>
      <c r="J101" s="272"/>
      <c r="K101" s="272"/>
      <c r="L101" s="272"/>
      <c r="M101" s="272"/>
      <c r="N101" s="272"/>
      <c r="O101" s="272"/>
      <c r="P101" s="272"/>
      <c r="Q101" s="272"/>
      <c r="R101" s="272"/>
      <c r="S101" s="272"/>
      <c r="T101" s="272"/>
      <c r="U101" s="272"/>
      <c r="V101" s="325">
        <v>0</v>
      </c>
      <c r="W101" s="275"/>
      <c r="X101" s="5"/>
    </row>
    <row r="102" spans="1:26" ht="15.6" x14ac:dyDescent="0.3">
      <c r="A102" s="338">
        <f>+A101+1</f>
        <v>2</v>
      </c>
      <c r="B102" s="272" t="s">
        <v>331</v>
      </c>
      <c r="C102" s="272"/>
      <c r="D102" s="272"/>
      <c r="E102" s="272"/>
      <c r="F102" s="272"/>
      <c r="G102" s="272"/>
      <c r="H102" s="272"/>
      <c r="I102" s="272"/>
      <c r="J102" s="272"/>
      <c r="K102" s="272"/>
      <c r="L102" s="272"/>
      <c r="M102" s="272"/>
      <c r="N102" s="272"/>
      <c r="O102" s="272"/>
      <c r="P102" s="272"/>
      <c r="Q102" s="272"/>
      <c r="R102" s="272"/>
      <c r="S102" s="272"/>
      <c r="T102" s="272"/>
      <c r="U102" s="272"/>
      <c r="V102" s="325">
        <f>-2</f>
        <v>-2</v>
      </c>
      <c r="W102" s="275"/>
      <c r="X102" s="5"/>
    </row>
    <row r="103" spans="1:26" ht="15.6" x14ac:dyDescent="0.3">
      <c r="A103" s="338">
        <f>+A102+1</f>
        <v>3</v>
      </c>
      <c r="B103" s="343" t="s">
        <v>332</v>
      </c>
      <c r="C103" s="272"/>
      <c r="D103" s="272"/>
      <c r="E103" s="272"/>
      <c r="F103" s="272"/>
      <c r="G103" s="272"/>
      <c r="H103" s="272"/>
      <c r="I103" s="272"/>
      <c r="J103" s="272"/>
      <c r="K103" s="272"/>
      <c r="L103" s="272"/>
      <c r="M103" s="272"/>
      <c r="N103" s="272"/>
      <c r="O103" s="272"/>
      <c r="P103" s="272"/>
      <c r="Q103" s="272"/>
      <c r="R103" s="272"/>
      <c r="S103" s="272"/>
      <c r="T103" s="272"/>
      <c r="U103" s="272"/>
      <c r="V103" s="325">
        <f>-347-174-12</f>
        <v>-533</v>
      </c>
      <c r="W103" s="275"/>
      <c r="X103" s="5"/>
    </row>
    <row r="104" spans="1:26" ht="15.6" x14ac:dyDescent="0.3">
      <c r="A104" s="338" t="s">
        <v>130</v>
      </c>
      <c r="B104" s="272" t="s">
        <v>119</v>
      </c>
      <c r="C104" s="272"/>
      <c r="D104" s="272"/>
      <c r="E104" s="272"/>
      <c r="F104" s="272"/>
      <c r="G104" s="272"/>
      <c r="H104" s="272"/>
      <c r="I104" s="272"/>
      <c r="J104" s="272"/>
      <c r="K104" s="272"/>
      <c r="L104" s="272"/>
      <c r="M104" s="272"/>
      <c r="N104" s="272"/>
      <c r="O104" s="272"/>
      <c r="P104" s="272"/>
      <c r="Q104" s="272"/>
      <c r="R104" s="272"/>
      <c r="S104" s="272"/>
      <c r="T104" s="272"/>
      <c r="U104" s="272"/>
      <c r="V104" s="325">
        <v>0</v>
      </c>
      <c r="W104" s="275"/>
      <c r="X104" s="5"/>
    </row>
    <row r="105" spans="1:26" ht="15.6" x14ac:dyDescent="0.3">
      <c r="A105" s="338" t="s">
        <v>131</v>
      </c>
      <c r="B105" s="272" t="s">
        <v>362</v>
      </c>
      <c r="C105" s="272"/>
      <c r="D105" s="272"/>
      <c r="E105" s="272"/>
      <c r="F105" s="272"/>
      <c r="G105" s="272"/>
      <c r="H105" s="272"/>
      <c r="I105" s="272"/>
      <c r="J105" s="272"/>
      <c r="K105" s="272"/>
      <c r="L105" s="272"/>
      <c r="M105" s="272"/>
      <c r="N105" s="272"/>
      <c r="O105" s="272"/>
      <c r="P105" s="272"/>
      <c r="Q105" s="272"/>
      <c r="R105" s="272"/>
      <c r="S105" s="272"/>
      <c r="T105" s="272"/>
      <c r="U105" s="272"/>
      <c r="V105" s="325">
        <f>-910-142</f>
        <v>-1052</v>
      </c>
      <c r="W105" s="275"/>
      <c r="X105" s="5"/>
      <c r="Y105" s="109"/>
      <c r="Z105" s="109"/>
    </row>
    <row r="106" spans="1:26" ht="15.6" x14ac:dyDescent="0.3">
      <c r="A106" s="338" t="s">
        <v>153</v>
      </c>
      <c r="B106" s="272" t="s">
        <v>363</v>
      </c>
      <c r="C106" s="272"/>
      <c r="D106" s="272"/>
      <c r="E106" s="272"/>
      <c r="F106" s="272"/>
      <c r="G106" s="272"/>
      <c r="H106" s="272"/>
      <c r="I106" s="272"/>
      <c r="J106" s="272"/>
      <c r="K106" s="272"/>
      <c r="L106" s="272"/>
      <c r="M106" s="272"/>
      <c r="N106" s="272"/>
      <c r="O106" s="272"/>
      <c r="P106" s="272"/>
      <c r="Q106" s="272"/>
      <c r="R106" s="272"/>
      <c r="S106" s="272"/>
      <c r="T106" s="272"/>
      <c r="U106" s="272"/>
      <c r="V106" s="325">
        <f>-248-214</f>
        <v>-462</v>
      </c>
      <c r="W106" s="275"/>
      <c r="X106" s="5"/>
      <c r="Y106" s="109"/>
    </row>
    <row r="107" spans="1:26" ht="15.6" x14ac:dyDescent="0.3">
      <c r="A107" s="338" t="s">
        <v>266</v>
      </c>
      <c r="B107" s="272" t="s">
        <v>269</v>
      </c>
      <c r="C107" s="272"/>
      <c r="D107" s="272"/>
      <c r="E107" s="272"/>
      <c r="F107" s="272"/>
      <c r="G107" s="272"/>
      <c r="H107" s="272"/>
      <c r="I107" s="272"/>
      <c r="J107" s="272"/>
      <c r="K107" s="272"/>
      <c r="L107" s="272"/>
      <c r="M107" s="272"/>
      <c r="N107" s="272"/>
      <c r="O107" s="272"/>
      <c r="P107" s="272"/>
      <c r="Q107" s="272"/>
      <c r="R107" s="272"/>
      <c r="S107" s="272"/>
      <c r="T107" s="272"/>
      <c r="U107" s="272"/>
      <c r="V107" s="325">
        <v>0</v>
      </c>
      <c r="W107" s="275"/>
      <c r="X107" s="5"/>
    </row>
    <row r="108" spans="1:26" ht="15.6" x14ac:dyDescent="0.3">
      <c r="A108" s="338" t="s">
        <v>208</v>
      </c>
      <c r="B108" s="272" t="s">
        <v>188</v>
      </c>
      <c r="C108" s="272"/>
      <c r="D108" s="272"/>
      <c r="E108" s="272"/>
      <c r="F108" s="272"/>
      <c r="G108" s="272"/>
      <c r="H108" s="272"/>
      <c r="I108" s="272"/>
      <c r="J108" s="272"/>
      <c r="K108" s="272"/>
      <c r="L108" s="272"/>
      <c r="M108" s="272"/>
      <c r="N108" s="272"/>
      <c r="O108" s="272"/>
      <c r="P108" s="272"/>
      <c r="Q108" s="272"/>
      <c r="R108" s="272"/>
      <c r="S108" s="272"/>
      <c r="T108" s="272"/>
      <c r="U108" s="272"/>
      <c r="V108" s="325">
        <v>-142</v>
      </c>
      <c r="W108" s="275"/>
      <c r="X108" s="5"/>
      <c r="Y108" s="109"/>
    </row>
    <row r="109" spans="1:26" ht="15.6" x14ac:dyDescent="0.3">
      <c r="A109" s="338" t="s">
        <v>209</v>
      </c>
      <c r="B109" s="272" t="s">
        <v>189</v>
      </c>
      <c r="C109" s="272"/>
      <c r="D109" s="272"/>
      <c r="E109" s="272"/>
      <c r="F109" s="272"/>
      <c r="G109" s="272"/>
      <c r="H109" s="272"/>
      <c r="I109" s="272"/>
      <c r="J109" s="272"/>
      <c r="K109" s="272"/>
      <c r="L109" s="272"/>
      <c r="M109" s="272"/>
      <c r="N109" s="272"/>
      <c r="O109" s="272"/>
      <c r="P109" s="272"/>
      <c r="Q109" s="272"/>
      <c r="R109" s="272"/>
      <c r="S109" s="272"/>
      <c r="T109" s="272"/>
      <c r="U109" s="272"/>
      <c r="V109" s="325">
        <v>-139</v>
      </c>
      <c r="W109" s="275"/>
      <c r="X109" s="5"/>
      <c r="Y109" s="109"/>
    </row>
    <row r="110" spans="1:26" ht="15.6" x14ac:dyDescent="0.3">
      <c r="A110" s="338" t="s">
        <v>210</v>
      </c>
      <c r="B110" s="272" t="s">
        <v>199</v>
      </c>
      <c r="C110" s="272"/>
      <c r="D110" s="272"/>
      <c r="E110" s="272"/>
      <c r="F110" s="272"/>
      <c r="G110" s="272"/>
      <c r="H110" s="272"/>
      <c r="I110" s="272"/>
      <c r="J110" s="272"/>
      <c r="K110" s="272"/>
      <c r="L110" s="272"/>
      <c r="M110" s="272"/>
      <c r="N110" s="272"/>
      <c r="O110" s="272"/>
      <c r="P110" s="272"/>
      <c r="Q110" s="272"/>
      <c r="R110" s="272"/>
      <c r="S110" s="272"/>
      <c r="T110" s="272"/>
      <c r="U110" s="272"/>
      <c r="V110" s="325">
        <v>-195</v>
      </c>
      <c r="W110" s="275"/>
      <c r="X110" s="5"/>
      <c r="Y110" s="109"/>
    </row>
    <row r="111" spans="1:26" ht="15.6" x14ac:dyDescent="0.3">
      <c r="A111" s="338" t="s">
        <v>230</v>
      </c>
      <c r="B111" s="272" t="s">
        <v>229</v>
      </c>
      <c r="C111" s="272"/>
      <c r="D111" s="272"/>
      <c r="E111" s="272"/>
      <c r="F111" s="272"/>
      <c r="G111" s="272"/>
      <c r="H111" s="272"/>
      <c r="I111" s="272"/>
      <c r="J111" s="272"/>
      <c r="K111" s="272"/>
      <c r="L111" s="272"/>
      <c r="M111" s="272"/>
      <c r="N111" s="272"/>
      <c r="O111" s="272"/>
      <c r="P111" s="272"/>
      <c r="Q111" s="272"/>
      <c r="R111" s="272"/>
      <c r="S111" s="272"/>
      <c r="T111" s="272"/>
      <c r="U111" s="272"/>
      <c r="V111" s="325">
        <v>-45</v>
      </c>
      <c r="W111" s="275"/>
      <c r="X111" s="5"/>
      <c r="Y111" s="109"/>
    </row>
    <row r="112" spans="1:26" ht="15.6" x14ac:dyDescent="0.3">
      <c r="A112" s="392">
        <v>7</v>
      </c>
      <c r="B112" s="343" t="s">
        <v>333</v>
      </c>
      <c r="C112" s="343"/>
      <c r="D112" s="343"/>
      <c r="E112" s="343"/>
      <c r="F112" s="343"/>
      <c r="G112" s="272"/>
      <c r="H112" s="272"/>
      <c r="I112" s="272"/>
      <c r="J112" s="272"/>
      <c r="K112" s="272"/>
      <c r="L112" s="272"/>
      <c r="M112" s="272"/>
      <c r="N112" s="272"/>
      <c r="O112" s="272"/>
      <c r="P112" s="272"/>
      <c r="Q112" s="272"/>
      <c r="R112" s="272"/>
      <c r="S112" s="272"/>
      <c r="T112" s="272"/>
      <c r="U112" s="272"/>
      <c r="V112" s="325">
        <v>0</v>
      </c>
      <c r="W112" s="275"/>
      <c r="X112" s="5"/>
      <c r="Y112" s="109"/>
    </row>
    <row r="113" spans="1:24" ht="15.6" x14ac:dyDescent="0.3">
      <c r="A113" s="338">
        <f t="shared" ref="A113:A120" si="0">+A112+1</f>
        <v>8</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-10</v>
      </c>
      <c r="W113" s="275"/>
      <c r="X113" s="5"/>
    </row>
    <row r="114" spans="1:24" ht="15.6" x14ac:dyDescent="0.3">
      <c r="A114" s="338">
        <f t="shared" si="0"/>
        <v>9</v>
      </c>
      <c r="B114" s="272" t="s">
        <v>45</v>
      </c>
      <c r="C114" s="272"/>
      <c r="D114" s="272"/>
      <c r="E114" s="272"/>
      <c r="F114" s="272"/>
      <c r="G114" s="272"/>
      <c r="H114" s="272"/>
      <c r="I114" s="272"/>
      <c r="J114" s="272"/>
      <c r="K114" s="272"/>
      <c r="L114" s="272"/>
      <c r="M114" s="272"/>
      <c r="N114" s="272"/>
      <c r="O114" s="272"/>
      <c r="P114" s="272"/>
      <c r="Q114" s="272"/>
      <c r="R114" s="272"/>
      <c r="S114" s="272"/>
      <c r="T114" s="324">
        <f>-V114</f>
        <v>215</v>
      </c>
      <c r="U114" s="272"/>
      <c r="V114" s="325">
        <v>-215</v>
      </c>
      <c r="W114" s="275"/>
      <c r="X114" s="5"/>
    </row>
    <row r="115" spans="1:24" ht="15.6" x14ac:dyDescent="0.3">
      <c r="A115" s="338">
        <f t="shared" si="0"/>
        <v>10</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11</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12</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13</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14</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-347</v>
      </c>
      <c r="W119" s="275"/>
      <c r="X119" s="5"/>
    </row>
    <row r="120" spans="1:24" ht="15.6" x14ac:dyDescent="0.3">
      <c r="A120" s="338">
        <f t="shared" si="0"/>
        <v>15</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-V99-SUM(V101:V119)</f>
        <v>-2993</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-3</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0</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-265</v>
      </c>
      <c r="U124" s="324"/>
      <c r="V124" s="325"/>
      <c r="W124" s="275"/>
      <c r="X124" s="5"/>
    </row>
    <row r="125" spans="1:24" ht="15.6" x14ac:dyDescent="0.3">
      <c r="A125" s="338"/>
      <c r="B125" s="272" t="s">
        <v>200</v>
      </c>
      <c r="C125" s="272"/>
      <c r="D125" s="272"/>
      <c r="E125" s="272"/>
      <c r="F125" s="272"/>
      <c r="G125" s="272"/>
      <c r="H125" s="272"/>
      <c r="I125" s="272"/>
      <c r="J125" s="272"/>
      <c r="K125" s="272"/>
      <c r="L125" s="272"/>
      <c r="M125" s="272"/>
      <c r="N125" s="272"/>
      <c r="O125" s="272"/>
      <c r="P125" s="272"/>
      <c r="Q125" s="272"/>
      <c r="R125" s="272"/>
      <c r="S125" s="272"/>
      <c r="T125" s="324">
        <v>-6678</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-1046</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-1769</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-1558</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-11319</v>
      </c>
      <c r="U133" s="324"/>
      <c r="V133" s="324">
        <f>SUM(V100:V130)</f>
        <v>-6135</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T99+T133+T114</f>
        <v>0</v>
      </c>
      <c r="U134" s="324"/>
      <c r="V134" s="324">
        <f>V99+V133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B63</f>
        <v>PM13 INVESTOR REPORT QUARTER ENDING SEPTEMBER 2015</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341</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215</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215</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-215</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v>0</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V70</f>
        <v>894201</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V83</f>
        <v>894201</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+'June 15'!S184</f>
        <v>50299</v>
      </c>
      <c r="T181" s="325">
        <f>+'June 15'!T184</f>
        <v>9736</v>
      </c>
      <c r="U181" s="272"/>
      <c r="V181" s="325">
        <f>S181+T181</f>
        <v>60035</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f>67+198</f>
        <v>265</v>
      </c>
      <c r="T182" s="324">
        <v>3</v>
      </c>
      <c r="U182" s="272"/>
      <c r="V182" s="325">
        <f>S182+T182</f>
        <v>268</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50564</v>
      </c>
      <c r="T183" s="325">
        <f>T182+T181</f>
        <v>9739</v>
      </c>
      <c r="U183" s="272"/>
      <c r="V183" s="325">
        <f>S183+T183</f>
        <v>60303</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179727.4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(V99+V101+V102+V103+V104)/-(V105+V106)</f>
        <v>3.6988110964332894</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1.8</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(V99+V101+V102+V103+V104+V105+V106)/-(V108+V109)</f>
        <v>14.540925266903914</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7.21</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(V99+V101+V102+V103+V104+V105+V106+V108+V109)/-(V110+V111)</f>
        <v>15.854166666666666</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9.15</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SEPTEMBER 2015</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42277</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2.2960000000000001E-2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8.931506145319245E-3</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1.4028493854680756E-2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+V99/N70</f>
        <v>6.7771184156455878E-3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12.35</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P67/N67</f>
        <v>1.2503700627007728E-2</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6.3899999999999998E-2</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0</v>
      </c>
      <c r="T216" s="357">
        <v>0</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138</v>
      </c>
      <c r="T217" s="357">
        <f>+T269</f>
        <v>21978</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f>+R281</f>
        <v>0</v>
      </c>
      <c r="T218" s="357">
        <f>+T281</f>
        <v>0</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+N80</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2" t="s">
        <v>84</v>
      </c>
      <c r="C222" s="272"/>
      <c r="D222" s="272"/>
      <c r="E222" s="272"/>
      <c r="F222" s="272"/>
      <c r="G222" s="272"/>
      <c r="H222" s="272"/>
      <c r="I222" s="272"/>
      <c r="J222" s="272"/>
      <c r="K222" s="272"/>
      <c r="L222" s="272"/>
      <c r="M222" s="272"/>
      <c r="N222" s="272"/>
      <c r="O222" s="272"/>
      <c r="P222" s="272"/>
      <c r="Q222" s="272"/>
      <c r="R222" s="272"/>
      <c r="S222" s="280"/>
      <c r="T222" s="357">
        <f>V166</f>
        <v>215</v>
      </c>
      <c r="U222" s="272"/>
      <c r="V222" s="362"/>
      <c r="W222" s="367"/>
      <c r="X222" s="5"/>
    </row>
    <row r="223" spans="1:24" ht="15.6" x14ac:dyDescent="0.3">
      <c r="A223" s="356"/>
      <c r="B223" s="272" t="s">
        <v>85</v>
      </c>
      <c r="C223" s="324"/>
      <c r="D223" s="324"/>
      <c r="E223" s="324"/>
      <c r="F223" s="324"/>
      <c r="G223" s="272"/>
      <c r="H223" s="272"/>
      <c r="I223" s="272"/>
      <c r="J223" s="272"/>
      <c r="K223" s="272"/>
      <c r="L223" s="272"/>
      <c r="M223" s="272"/>
      <c r="N223" s="272"/>
      <c r="O223" s="272"/>
      <c r="P223" s="272"/>
      <c r="Q223" s="272"/>
      <c r="R223" s="272"/>
      <c r="S223" s="280"/>
      <c r="T223" s="357">
        <f>'June 15'!T224+T222</f>
        <v>8036</v>
      </c>
      <c r="U223" s="272"/>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5</v>
      </c>
      <c r="T229" s="357">
        <v>392</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1.51</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 t="shared" ref="R236:R243" si="1">+R248+R260+R272</f>
        <v>6925</v>
      </c>
      <c r="S236" s="381">
        <f t="shared" ref="S236:S243" si="2">R236/$R$245</f>
        <v>0.99454258222030734</v>
      </c>
      <c r="T236" s="325">
        <f t="shared" ref="T236:T243" si="3">+T248+T260+T272</f>
        <v>889403</v>
      </c>
      <c r="U236" s="381">
        <f t="shared" ref="U236:U243" si="4">T236/$T$245</f>
        <v>0.99463431599830465</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si="1"/>
        <v>5</v>
      </c>
      <c r="S237" s="381">
        <f t="shared" si="2"/>
        <v>7.1808128680166594E-4</v>
      </c>
      <c r="T237" s="325">
        <f t="shared" si="3"/>
        <v>850</v>
      </c>
      <c r="U237" s="381">
        <f t="shared" si="4"/>
        <v>9.5056927916654086E-4</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1</v>
      </c>
      <c r="S238" s="381">
        <f t="shared" si="2"/>
        <v>1.4361625736033319E-4</v>
      </c>
      <c r="T238" s="325">
        <f t="shared" si="3"/>
        <v>102</v>
      </c>
      <c r="U238" s="381">
        <f t="shared" si="4"/>
        <v>1.140683134999849E-4</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3</v>
      </c>
      <c r="S239" s="381">
        <f t="shared" si="2"/>
        <v>4.3084877208099956E-4</v>
      </c>
      <c r="T239" s="325">
        <f t="shared" si="3"/>
        <v>227</v>
      </c>
      <c r="U239" s="381">
        <f t="shared" si="4"/>
        <v>2.5385791337741739E-4</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2</v>
      </c>
      <c r="S240" s="381">
        <f t="shared" si="2"/>
        <v>2.8723251472066638E-4</v>
      </c>
      <c r="T240" s="325">
        <f t="shared" si="3"/>
        <v>289</v>
      </c>
      <c r="U240" s="381">
        <f t="shared" si="4"/>
        <v>3.2319355491662388E-4</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0</v>
      </c>
      <c r="S241" s="381">
        <f t="shared" si="2"/>
        <v>0</v>
      </c>
      <c r="T241" s="325">
        <f t="shared" si="3"/>
        <v>0</v>
      </c>
      <c r="U241" s="381">
        <f t="shared" si="4"/>
        <v>0</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6</v>
      </c>
      <c r="S242" s="381">
        <f t="shared" si="2"/>
        <v>8.6169754416199913E-4</v>
      </c>
      <c r="T242" s="325">
        <f t="shared" si="3"/>
        <v>573</v>
      </c>
      <c r="U242" s="381">
        <f t="shared" si="4"/>
        <v>6.4079552583815047E-4</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21</v>
      </c>
      <c r="S243" s="381">
        <f t="shared" si="2"/>
        <v>3.0159414045669969E-3</v>
      </c>
      <c r="T243" s="325">
        <f t="shared" si="3"/>
        <v>2757</v>
      </c>
      <c r="U243" s="381">
        <f t="shared" si="4"/>
        <v>3.0831994148966509E-3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6963</v>
      </c>
      <c r="S245" s="381">
        <f>SUM(S236:S244)</f>
        <v>0.99999999999999989</v>
      </c>
      <c r="T245" s="325">
        <f>SUM(T236:T244)</f>
        <v>894201</v>
      </c>
      <c r="U245" s="381">
        <f>SUM(U236:U244)</f>
        <v>1</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6821</v>
      </c>
      <c r="S248" s="261">
        <f t="shared" ref="S248:S255" si="5">R248/$R$257</f>
        <v>0.99941391941391944</v>
      </c>
      <c r="T248" s="238">
        <v>871408</v>
      </c>
      <c r="U248" s="261">
        <f t="shared" ref="U248:U255" si="6">T248/$T$257</f>
        <v>0.99906560592875904</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2</v>
      </c>
      <c r="S249" s="381">
        <f t="shared" si="5"/>
        <v>2.9304029304029304E-4</v>
      </c>
      <c r="T249" s="325">
        <v>513</v>
      </c>
      <c r="U249" s="381">
        <f t="shared" si="6"/>
        <v>5.8815234177498189E-4</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0</v>
      </c>
      <c r="S250" s="381">
        <f t="shared" si="5"/>
        <v>0</v>
      </c>
      <c r="T250" s="325">
        <v>0</v>
      </c>
      <c r="U250" s="381">
        <f t="shared" si="6"/>
        <v>0</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0</v>
      </c>
      <c r="S251" s="381">
        <f t="shared" si="5"/>
        <v>0</v>
      </c>
      <c r="T251" s="325">
        <v>0</v>
      </c>
      <c r="U251" s="381">
        <f t="shared" si="6"/>
        <v>0</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1</v>
      </c>
      <c r="S252" s="381">
        <f t="shared" si="5"/>
        <v>1.4652014652014652E-4</v>
      </c>
      <c r="T252" s="325">
        <v>184</v>
      </c>
      <c r="U252" s="381">
        <f t="shared" si="6"/>
        <v>2.1095522589979857E-4</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1</v>
      </c>
      <c r="S255" s="381">
        <f t="shared" si="5"/>
        <v>1.4652014652014652E-4</v>
      </c>
      <c r="T255" s="325">
        <v>118</v>
      </c>
      <c r="U255" s="381">
        <f t="shared" si="6"/>
        <v>1.3528650356617517E-4</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6825</v>
      </c>
      <c r="S257" s="381">
        <f>SUM(S248:S256)</f>
        <v>1</v>
      </c>
      <c r="T257" s="325">
        <f>SUM(T248:T256)</f>
        <v>872223</v>
      </c>
      <c r="U257" s="381">
        <f>SUM(U248:U256)</f>
        <v>1</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104</v>
      </c>
      <c r="S260" s="261">
        <f>R260/$R$269</f>
        <v>0.75362318840579712</v>
      </c>
      <c r="T260" s="238">
        <v>17995</v>
      </c>
      <c r="U260" s="261">
        <f t="shared" ref="U260:U267" si="7">T260/$T$269</f>
        <v>0.81877331877331883</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3</v>
      </c>
      <c r="S261" s="381">
        <f t="shared" ref="S261:S265" si="8">R261/$R$269</f>
        <v>2.1739130434782608E-2</v>
      </c>
      <c r="T261" s="325">
        <v>337</v>
      </c>
      <c r="U261" s="381">
        <f t="shared" si="7"/>
        <v>1.5333515333515334E-2</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1</v>
      </c>
      <c r="S262" s="381">
        <f t="shared" si="8"/>
        <v>7.246376811594203E-3</v>
      </c>
      <c r="T262" s="325">
        <v>102</v>
      </c>
      <c r="U262" s="381">
        <f t="shared" si="7"/>
        <v>4.6410046410046406E-3</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3</v>
      </c>
      <c r="S263" s="381">
        <f t="shared" si="8"/>
        <v>2.1739130434782608E-2</v>
      </c>
      <c r="T263" s="325">
        <v>227</v>
      </c>
      <c r="U263" s="381">
        <f t="shared" si="7"/>
        <v>1.0328510328510329E-2</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1</v>
      </c>
      <c r="S264" s="381">
        <f t="shared" si="8"/>
        <v>7.246376811594203E-3</v>
      </c>
      <c r="T264" s="325">
        <v>105</v>
      </c>
      <c r="U264" s="381">
        <f t="shared" si="7"/>
        <v>4.7775047775047777E-3</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0</v>
      </c>
      <c r="S265" s="381">
        <f t="shared" si="8"/>
        <v>0</v>
      </c>
      <c r="T265" s="325">
        <v>0</v>
      </c>
      <c r="U265" s="381">
        <f t="shared" si="7"/>
        <v>0</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6</v>
      </c>
      <c r="S266" s="381">
        <f>R266/$R$269</f>
        <v>4.3478260869565216E-2</v>
      </c>
      <c r="T266" s="325">
        <v>573</v>
      </c>
      <c r="U266" s="381">
        <f t="shared" si="7"/>
        <v>2.6071526071526071E-2</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20</v>
      </c>
      <c r="S267" s="381">
        <f>R267/$R$269</f>
        <v>0.14492753623188406</v>
      </c>
      <c r="T267" s="325">
        <v>2639</v>
      </c>
      <c r="U267" s="381">
        <f t="shared" si="7"/>
        <v>0.12007462007462008</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138</v>
      </c>
      <c r="S269" s="381">
        <f>SUM(S260:S268)</f>
        <v>1</v>
      </c>
      <c r="T269" s="325">
        <f>SUM(T260:T268)</f>
        <v>21978</v>
      </c>
      <c r="U269" s="381">
        <f>SUM(U260:U268)</f>
        <v>1</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v>0</v>
      </c>
      <c r="T272" s="238">
        <v>0</v>
      </c>
      <c r="U272" s="261">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v>0</v>
      </c>
      <c r="T273" s="325">
        <v>0</v>
      </c>
      <c r="U273" s="381">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0</v>
      </c>
      <c r="S281" s="381">
        <f>SUM(S272:S279)</f>
        <v>0</v>
      </c>
      <c r="T281" s="325">
        <f>SUM(T272:T279)</f>
        <v>0</v>
      </c>
      <c r="U281" s="381">
        <f>SUM(U272:U279)</f>
        <v>0</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79" t="s">
        <v>167</v>
      </c>
      <c r="C283" s="272"/>
      <c r="D283" s="272"/>
      <c r="E283" s="272"/>
      <c r="F283" s="272"/>
      <c r="G283" s="272"/>
      <c r="H283" s="383"/>
      <c r="I283" s="383"/>
      <c r="J283" s="383"/>
      <c r="K283" s="383"/>
      <c r="L283" s="383"/>
      <c r="M283" s="383"/>
      <c r="N283" s="383"/>
      <c r="O283" s="383"/>
      <c r="P283" s="383"/>
      <c r="Q283" s="383"/>
      <c r="R283" s="390">
        <f>R281+R269+R257</f>
        <v>6963</v>
      </c>
      <c r="S283" s="381"/>
      <c r="T283" s="387">
        <f>+T281+T269+T257</f>
        <v>894201</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335</v>
      </c>
      <c r="C287" s="220"/>
      <c r="D287" s="220"/>
      <c r="E287" s="220"/>
      <c r="F287" s="265" t="s">
        <v>151</v>
      </c>
      <c r="G287" s="220"/>
      <c r="H287" s="219" t="s">
        <v>155</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336</v>
      </c>
      <c r="C288" s="219"/>
      <c r="D288" s="219"/>
      <c r="E288" s="219"/>
      <c r="F288" s="265" t="s">
        <v>282</v>
      </c>
      <c r="G288" s="219"/>
      <c r="H288" s="219" t="s">
        <v>283</v>
      </c>
      <c r="I288" s="227"/>
      <c r="J288" s="219"/>
      <c r="K288" s="227"/>
      <c r="L288" s="227"/>
      <c r="M288" s="227"/>
      <c r="N288" s="227"/>
      <c r="O288" s="227"/>
      <c r="P288" s="227"/>
      <c r="Q288" s="227"/>
      <c r="R288" s="227"/>
      <c r="S288" s="227"/>
      <c r="T288" s="227"/>
      <c r="U288" s="227"/>
      <c r="V288" s="227"/>
      <c r="W288" s="227"/>
      <c r="X288" s="5"/>
    </row>
    <row r="289" spans="1:24" ht="15.6" x14ac:dyDescent="0.3">
      <c r="A289" s="216"/>
      <c r="B289" s="219" t="s">
        <v>337</v>
      </c>
      <c r="C289" s="219"/>
      <c r="D289" s="219"/>
      <c r="E289" s="219"/>
      <c r="F289" s="265" t="s">
        <v>150</v>
      </c>
      <c r="G289" s="219"/>
      <c r="H289" s="219" t="s">
        <v>156</v>
      </c>
      <c r="I289" s="219"/>
      <c r="J289" s="219"/>
      <c r="K289" s="227"/>
      <c r="L289" s="227"/>
      <c r="M289" s="227"/>
      <c r="N289" s="227"/>
      <c r="O289" s="227"/>
      <c r="P289" s="227"/>
      <c r="Q289" s="227"/>
      <c r="R289" s="227"/>
      <c r="S289" s="227"/>
      <c r="T289" s="227"/>
      <c r="U289" s="227"/>
      <c r="V289" s="227"/>
      <c r="W289" s="227"/>
      <c r="X289" s="5"/>
    </row>
    <row r="290" spans="1:24" ht="15.6" x14ac:dyDescent="0.3">
      <c r="A290" s="216"/>
      <c r="B290" s="219"/>
      <c r="C290" s="219"/>
      <c r="D290" s="219"/>
      <c r="E290" s="219"/>
      <c r="F290" s="265"/>
      <c r="G290" s="219"/>
      <c r="H290" s="219"/>
      <c r="I290" s="219"/>
      <c r="J290" s="219"/>
      <c r="K290" s="227"/>
      <c r="L290" s="227"/>
      <c r="M290" s="227"/>
      <c r="N290" s="227"/>
      <c r="O290" s="227"/>
      <c r="P290" s="227"/>
      <c r="Q290" s="227"/>
      <c r="R290" s="227"/>
      <c r="S290" s="227"/>
      <c r="T290" s="227"/>
      <c r="U290" s="227"/>
      <c r="V290" s="227"/>
      <c r="W290" s="227"/>
      <c r="X290" s="5"/>
    </row>
    <row r="291" spans="1:24" ht="15.6" x14ac:dyDescent="0.3">
      <c r="A291" s="216"/>
      <c r="B291" s="268" t="s">
        <v>367</v>
      </c>
      <c r="C291" s="219"/>
      <c r="D291" s="219"/>
      <c r="E291" s="219"/>
      <c r="F291" s="265"/>
      <c r="G291" s="219"/>
      <c r="H291" s="219"/>
      <c r="I291" s="219"/>
      <c r="J291" s="219"/>
      <c r="K291" s="227"/>
      <c r="L291" s="227"/>
      <c r="M291" s="227"/>
      <c r="N291" s="227"/>
      <c r="O291" s="227"/>
      <c r="P291" s="227"/>
      <c r="Q291" s="227"/>
      <c r="R291" s="227"/>
      <c r="S291" s="227"/>
      <c r="T291" s="227"/>
      <c r="U291" s="227"/>
      <c r="V291" s="227"/>
      <c r="W291" s="227"/>
      <c r="X291" s="5"/>
    </row>
    <row r="292" spans="1:24" ht="15.6" x14ac:dyDescent="0.3">
      <c r="A292" s="216"/>
      <c r="B292" s="268" t="s">
        <v>364</v>
      </c>
      <c r="C292" s="219"/>
      <c r="D292" s="219"/>
      <c r="E292" s="219"/>
      <c r="F292" s="265"/>
      <c r="G292" s="219"/>
      <c r="H292" s="219"/>
      <c r="I292" s="219"/>
      <c r="J292" s="219"/>
      <c r="K292" s="227"/>
      <c r="L292" s="227"/>
      <c r="M292" s="227"/>
      <c r="N292" s="227"/>
      <c r="O292" s="227"/>
      <c r="P292" s="227"/>
      <c r="Q292" s="227"/>
      <c r="R292" s="227"/>
      <c r="S292" s="227"/>
      <c r="T292" s="227"/>
      <c r="U292" s="227"/>
      <c r="V292" s="227"/>
      <c r="W292" s="227"/>
      <c r="X292" s="5"/>
    </row>
    <row r="293" spans="1:24" ht="15.6" x14ac:dyDescent="0.3">
      <c r="A293" s="216"/>
      <c r="B293" s="268" t="s">
        <v>365</v>
      </c>
      <c r="C293" s="219"/>
      <c r="D293" s="219"/>
      <c r="E293" s="219"/>
      <c r="F293" s="265"/>
      <c r="G293" s="219"/>
      <c r="H293" s="219"/>
      <c r="I293" s="219"/>
      <c r="J293" s="219"/>
      <c r="K293" s="227"/>
      <c r="L293" s="227"/>
      <c r="M293" s="227"/>
      <c r="N293" s="227"/>
      <c r="O293" s="227"/>
      <c r="P293" s="227"/>
      <c r="Q293" s="227"/>
      <c r="R293" s="227"/>
      <c r="S293" s="227"/>
      <c r="T293" s="227"/>
      <c r="U293" s="227"/>
      <c r="V293" s="227"/>
      <c r="W293" s="227"/>
      <c r="X293" s="5"/>
    </row>
    <row r="294" spans="1:24" ht="15.6" x14ac:dyDescent="0.3">
      <c r="A294" s="216"/>
      <c r="B294" s="268" t="s">
        <v>366</v>
      </c>
      <c r="C294" s="219"/>
      <c r="D294" s="219"/>
      <c r="E294" s="219"/>
      <c r="F294" s="265"/>
      <c r="G294" s="219"/>
      <c r="H294" s="219"/>
      <c r="I294" s="219"/>
      <c r="J294" s="219"/>
      <c r="K294" s="227"/>
      <c r="L294" s="227"/>
      <c r="M294" s="227"/>
      <c r="N294" s="227"/>
      <c r="O294" s="227"/>
      <c r="P294" s="227"/>
      <c r="Q294" s="227"/>
      <c r="R294" s="227"/>
      <c r="S294" s="227"/>
      <c r="T294" s="227"/>
      <c r="U294" s="227"/>
      <c r="V294" s="227"/>
      <c r="W294" s="227"/>
      <c r="X294" s="5"/>
    </row>
    <row r="295" spans="1:24" ht="15.6" x14ac:dyDescent="0.3">
      <c r="A295" s="216"/>
      <c r="B295" s="219"/>
      <c r="C295" s="219"/>
      <c r="D295" s="219"/>
      <c r="E295" s="219"/>
      <c r="F295" s="265"/>
      <c r="G295" s="219"/>
      <c r="H295" s="219"/>
      <c r="I295" s="219"/>
      <c r="J295" s="219"/>
      <c r="K295" s="227"/>
      <c r="L295" s="227"/>
      <c r="M295" s="227"/>
      <c r="N295" s="227"/>
      <c r="O295" s="227"/>
      <c r="P295" s="227"/>
      <c r="Q295" s="227"/>
      <c r="R295" s="227"/>
      <c r="S295" s="227"/>
      <c r="T295" s="227"/>
      <c r="U295" s="227"/>
      <c r="V295" s="227"/>
      <c r="W295" s="227"/>
      <c r="X295" s="5"/>
    </row>
    <row r="296" spans="1:24" ht="17.399999999999999" x14ac:dyDescent="0.3">
      <c r="A296" s="216"/>
      <c r="B296" s="400" t="s">
        <v>368</v>
      </c>
      <c r="C296" s="219"/>
      <c r="D296" s="219"/>
      <c r="E296" s="219"/>
      <c r="F296" s="219"/>
      <c r="G296" s="266"/>
      <c r="H296" s="227"/>
      <c r="I296" s="227"/>
      <c r="J296" s="227"/>
      <c r="K296" s="227"/>
      <c r="L296" s="187"/>
      <c r="M296" s="187"/>
      <c r="N296" s="401"/>
      <c r="O296" s="187"/>
      <c r="P296" s="401" t="s">
        <v>170</v>
      </c>
      <c r="Q296" s="227"/>
      <c r="R296" s="227"/>
      <c r="S296" s="227"/>
      <c r="T296" s="227"/>
      <c r="U296" s="227"/>
      <c r="V296" s="227"/>
      <c r="W296" s="227"/>
      <c r="X296" s="5"/>
    </row>
    <row r="297" spans="1:24" ht="15.6" x14ac:dyDescent="0.3">
      <c r="A297" s="216"/>
      <c r="B297" s="219"/>
      <c r="C297" s="219"/>
      <c r="D297" s="219"/>
      <c r="E297" s="219"/>
      <c r="F297" s="219"/>
      <c r="G297" s="266"/>
      <c r="H297" s="227"/>
      <c r="I297" s="227"/>
      <c r="J297" s="227"/>
      <c r="K297" s="227"/>
      <c r="L297" s="227"/>
      <c r="M297" s="227"/>
      <c r="N297" s="227"/>
      <c r="O297" s="227"/>
      <c r="P297" s="227"/>
      <c r="Q297" s="227"/>
      <c r="R297" s="227"/>
      <c r="S297" s="227"/>
      <c r="T297" s="227"/>
      <c r="U297" s="227"/>
      <c r="V297" s="227"/>
      <c r="W297" s="227"/>
      <c r="X297" s="5"/>
    </row>
    <row r="298" spans="1:24" ht="18" thickBot="1" x14ac:dyDescent="0.35">
      <c r="A298" s="216"/>
      <c r="B298" s="267" t="str">
        <f>B197</f>
        <v>PM13 INVESTOR REPORT QUARTER ENDING SEPTEMBER 2015</v>
      </c>
      <c r="C298" s="219"/>
      <c r="D298" s="219"/>
      <c r="E298" s="219"/>
      <c r="F298" s="219"/>
      <c r="G298" s="266"/>
      <c r="H298" s="227"/>
      <c r="I298" s="227"/>
      <c r="J298" s="227"/>
      <c r="K298" s="227"/>
      <c r="L298" s="227"/>
      <c r="M298" s="227"/>
      <c r="N298" s="227"/>
      <c r="O298" s="227"/>
      <c r="P298" s="227"/>
      <c r="Q298" s="227"/>
      <c r="R298" s="227"/>
      <c r="S298" s="227"/>
      <c r="T298" s="227"/>
      <c r="U298" s="227"/>
      <c r="V298" s="227"/>
      <c r="W298" s="227"/>
      <c r="X298" s="5"/>
    </row>
    <row r="299" spans="1:24" x14ac:dyDescent="0.25">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row>
  </sheetData>
  <hyperlinks>
    <hyperlink ref="P233" r:id="rId1" xr:uid="{00000000-0004-0000-2300-000000000000}"/>
    <hyperlink ref="I9" r:id="rId2" xr:uid="{00000000-0004-0000-2300-000001000000}"/>
    <hyperlink ref="P296" r:id="rId3" xr:uid="{00000000-0004-0000-23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2" man="1"/>
    <brk id="137" max="22" man="1"/>
    <brk id="197" max="22" man="1"/>
  </rowBreaks>
  <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89CB31"/>
  </sheetPr>
  <dimension ref="A1:Z29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0.65480000000000005</v>
      </c>
      <c r="T16" s="224" t="s">
        <v>143</v>
      </c>
      <c r="U16" s="223">
        <v>0.34520000000000001</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42391</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395"/>
      <c r="B22" s="396"/>
      <c r="C22" s="397"/>
      <c r="D22" s="397" t="s">
        <v>180</v>
      </c>
      <c r="E22" s="397"/>
      <c r="F22" s="397" t="s">
        <v>181</v>
      </c>
      <c r="G22" s="397"/>
      <c r="H22" s="397" t="s">
        <v>182</v>
      </c>
      <c r="I22" s="397"/>
      <c r="J22" s="397" t="s">
        <v>223</v>
      </c>
      <c r="K22" s="397"/>
      <c r="L22" s="397" t="s">
        <v>183</v>
      </c>
      <c r="M22" s="397"/>
      <c r="N22" s="397" t="s">
        <v>184</v>
      </c>
      <c r="O22" s="397"/>
      <c r="P22" s="397" t="s">
        <v>224</v>
      </c>
      <c r="Q22" s="397"/>
      <c r="R22" s="397" t="s">
        <v>185</v>
      </c>
      <c r="S22" s="398"/>
      <c r="T22" s="398"/>
      <c r="U22" s="399"/>
      <c r="V22" s="399"/>
      <c r="W22" s="396"/>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144</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168</v>
      </c>
      <c r="E27" s="389"/>
      <c r="F27" s="389" t="s">
        <v>168</v>
      </c>
      <c r="G27" s="389"/>
      <c r="H27" s="389" t="s">
        <v>168</v>
      </c>
      <c r="I27" s="389"/>
      <c r="J27" s="389" t="s">
        <v>168</v>
      </c>
      <c r="K27" s="389"/>
      <c r="L27" s="389" t="s">
        <v>324</v>
      </c>
      <c r="M27" s="389"/>
      <c r="N27" s="389" t="s">
        <v>324</v>
      </c>
      <c r="O27" s="389"/>
      <c r="P27" s="389" t="s">
        <v>349</v>
      </c>
      <c r="Q27" s="389"/>
      <c r="R27" s="389" t="s">
        <v>349</v>
      </c>
      <c r="S27" s="273"/>
      <c r="T27" s="280"/>
      <c r="U27" s="274"/>
      <c r="V27" s="274"/>
      <c r="W27" s="275"/>
      <c r="X27" s="5"/>
    </row>
    <row r="28" spans="1:24" ht="15.6" x14ac:dyDescent="0.3">
      <c r="A28" s="271"/>
      <c r="B28" s="279" t="s">
        <v>195</v>
      </c>
      <c r="C28" s="273"/>
      <c r="D28" s="389" t="s">
        <v>146</v>
      </c>
      <c r="E28" s="389"/>
      <c r="F28" s="389" t="s">
        <v>146</v>
      </c>
      <c r="G28" s="389"/>
      <c r="H28" s="389" t="s">
        <v>146</v>
      </c>
      <c r="I28" s="389"/>
      <c r="J28" s="389" t="s">
        <v>146</v>
      </c>
      <c r="K28" s="389"/>
      <c r="L28" s="389" t="s">
        <v>168</v>
      </c>
      <c r="M28" s="389"/>
      <c r="N28" s="389" t="s">
        <v>168</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394">
        <f>D34*D38</f>
        <v>431707.31580480002</v>
      </c>
      <c r="E32" s="282"/>
      <c r="F32" s="283">
        <f>F31*F38</f>
        <v>67634.45</v>
      </c>
      <c r="G32" s="283"/>
      <c r="H32" s="288">
        <f>H31*H38</f>
        <v>170438.81399999998</v>
      </c>
      <c r="I32" s="288"/>
      <c r="J32" s="287">
        <f>J31*J38</f>
        <v>189375.72500000001</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393">
        <f>D34*D37</f>
        <v>425975.24378239998</v>
      </c>
      <c r="E33" s="286"/>
      <c r="F33" s="289">
        <f>F37*F31</f>
        <v>66736.425000000003</v>
      </c>
      <c r="G33" s="289"/>
      <c r="H33" s="292">
        <f>H31*H37</f>
        <v>168175.791</v>
      </c>
      <c r="I33" s="292"/>
      <c r="J33" s="291">
        <f>J37*J31</f>
        <v>186861.255</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431707.31580480002</v>
      </c>
      <c r="E35" s="282"/>
      <c r="F35" s="283">
        <f>F34*F38</f>
        <v>67634.45</v>
      </c>
      <c r="G35" s="283"/>
      <c r="H35" s="283">
        <f>H34*H38</f>
        <v>114388.25152039999</v>
      </c>
      <c r="I35" s="283"/>
      <c r="J35" s="283">
        <f>J34*J38</f>
        <v>100731.65349499999</v>
      </c>
      <c r="K35" s="283"/>
      <c r="L35" s="283">
        <f>L34*L38</f>
        <v>56000</v>
      </c>
      <c r="M35" s="283"/>
      <c r="N35" s="283">
        <f>N34*N38</f>
        <v>56376</v>
      </c>
      <c r="O35" s="283"/>
      <c r="P35" s="283">
        <f>P34*P38</f>
        <v>13000</v>
      </c>
      <c r="Q35" s="283"/>
      <c r="R35" s="283">
        <f>R34*R38</f>
        <v>54363</v>
      </c>
      <c r="S35" s="283"/>
      <c r="T35" s="283"/>
      <c r="U35" s="284"/>
      <c r="V35" s="283">
        <f>SUM(C35:R35)</f>
        <v>894200.6708202</v>
      </c>
      <c r="W35" s="285"/>
      <c r="X35" s="5"/>
    </row>
    <row r="36" spans="1:24" ht="15.6" x14ac:dyDescent="0.3">
      <c r="A36" s="276"/>
      <c r="B36" s="279" t="s">
        <v>304</v>
      </c>
      <c r="C36" s="286"/>
      <c r="D36" s="289">
        <f>D34*D37</f>
        <v>425975.24378239998</v>
      </c>
      <c r="E36" s="286"/>
      <c r="F36" s="289">
        <f>F34*F37</f>
        <v>66736.425000000003</v>
      </c>
      <c r="G36" s="289"/>
      <c r="H36" s="289">
        <f>H34*H37</f>
        <v>112869.4469826</v>
      </c>
      <c r="I36" s="289"/>
      <c r="J36" s="289">
        <f>J34*J37</f>
        <v>99394.170981000003</v>
      </c>
      <c r="K36" s="289"/>
      <c r="L36" s="289">
        <v>56000</v>
      </c>
      <c r="M36" s="289"/>
      <c r="N36" s="289">
        <v>56376</v>
      </c>
      <c r="O36" s="289"/>
      <c r="P36" s="289">
        <v>13000</v>
      </c>
      <c r="Q36" s="289"/>
      <c r="R36" s="289">
        <v>54363</v>
      </c>
      <c r="S36" s="314"/>
      <c r="T36" s="314"/>
      <c r="U36" s="284"/>
      <c r="V36" s="289">
        <f>SUM(C36:R36)+1</f>
        <v>884715.28674599994</v>
      </c>
      <c r="W36" s="285"/>
      <c r="X36" s="5"/>
    </row>
    <row r="37" spans="1:24" ht="15.6" x14ac:dyDescent="0.3">
      <c r="A37" s="271"/>
      <c r="B37" s="297" t="s">
        <v>133</v>
      </c>
      <c r="C37" s="298"/>
      <c r="D37" s="299">
        <v>0.53388919999999995</v>
      </c>
      <c r="E37" s="300"/>
      <c r="F37" s="299">
        <v>0.53389140000000002</v>
      </c>
      <c r="G37" s="301"/>
      <c r="H37" s="299">
        <v>0.53389140000000002</v>
      </c>
      <c r="I37" s="301"/>
      <c r="J37" s="299">
        <v>0.53388930000000001</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0.54107340000000004</v>
      </c>
      <c r="E38" s="300"/>
      <c r="F38" s="299">
        <v>0.54107559999999999</v>
      </c>
      <c r="G38" s="301"/>
      <c r="H38" s="299">
        <v>0.54107559999999999</v>
      </c>
      <c r="I38" s="301"/>
      <c r="J38" s="299">
        <v>0.54107349999999999</v>
      </c>
      <c r="K38" s="301"/>
      <c r="L38" s="299">
        <v>1</v>
      </c>
      <c r="M38" s="301"/>
      <c r="N38" s="299">
        <v>1</v>
      </c>
      <c r="O38" s="301"/>
      <c r="P38" s="299">
        <v>1</v>
      </c>
      <c r="Q38" s="301"/>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8.1937999999999993E-3</v>
      </c>
      <c r="E40" s="272"/>
      <c r="F40" s="308">
        <v>8.1937999999999993E-3</v>
      </c>
      <c r="G40" s="307"/>
      <c r="H40" s="308">
        <v>1.91E-3</v>
      </c>
      <c r="I40" s="308"/>
      <c r="J40" s="308">
        <v>5.0049999999999999E-3</v>
      </c>
      <c r="K40" s="307"/>
      <c r="L40" s="308">
        <v>9.7938000000000001E-3</v>
      </c>
      <c r="M40" s="307"/>
      <c r="N40" s="308">
        <v>3.31E-3</v>
      </c>
      <c r="O40" s="307"/>
      <c r="P40" s="308">
        <v>1.37938E-2</v>
      </c>
      <c r="Q40" s="307"/>
      <c r="R40" s="308">
        <v>7.3099999999999997E-3</v>
      </c>
      <c r="S40" s="307"/>
      <c r="T40" s="308"/>
      <c r="U40" s="274"/>
      <c r="V40" s="280"/>
      <c r="W40" s="275"/>
      <c r="X40" s="5"/>
    </row>
    <row r="41" spans="1:24" ht="15.6" x14ac:dyDescent="0.3">
      <c r="A41" s="271"/>
      <c r="B41" s="272" t="s">
        <v>13</v>
      </c>
      <c r="C41" s="272"/>
      <c r="D41" s="308">
        <v>8.2406000000000007E-3</v>
      </c>
      <c r="E41" s="272"/>
      <c r="F41" s="308">
        <v>8.2406000000000007E-3</v>
      </c>
      <c r="G41" s="307"/>
      <c r="H41" s="308">
        <v>2.2100000000000002E-3</v>
      </c>
      <c r="I41" s="308"/>
      <c r="J41" s="308">
        <v>4.6880000000000003E-3</v>
      </c>
      <c r="K41" s="307"/>
      <c r="L41" s="308">
        <v>9.8405999999999997E-3</v>
      </c>
      <c r="M41" s="307"/>
      <c r="N41" s="308">
        <v>3.6099999999999999E-3</v>
      </c>
      <c r="O41" s="307"/>
      <c r="P41" s="308">
        <v>1.38406E-2</v>
      </c>
      <c r="Q41" s="307"/>
      <c r="R41" s="308">
        <v>7.6099999999999996E-3</v>
      </c>
      <c r="S41" s="307"/>
      <c r="T41" s="308"/>
      <c r="U41" s="274"/>
      <c r="V41" s="307" t="s">
        <v>196</v>
      </c>
      <c r="W41" s="275"/>
      <c r="X41" s="5"/>
    </row>
    <row r="42" spans="1:24" ht="15.6" x14ac:dyDescent="0.3">
      <c r="A42" s="271"/>
      <c r="B42" s="272" t="s">
        <v>300</v>
      </c>
      <c r="C42" s="272"/>
      <c r="D42" s="280" t="s">
        <v>226</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f>+D40</f>
        <v>8.1937999999999993E-3</v>
      </c>
      <c r="E43" s="308"/>
      <c r="F43" s="308">
        <f>+F40</f>
        <v>8.1937999999999993E-3</v>
      </c>
      <c r="G43" s="308"/>
      <c r="H43" s="308">
        <v>8.4378000000000005E-3</v>
      </c>
      <c r="I43" s="308"/>
      <c r="J43" s="308">
        <v>8.2737999999999996E-3</v>
      </c>
      <c r="K43" s="308"/>
      <c r="L43" s="308">
        <f>+L40</f>
        <v>9.7938000000000001E-3</v>
      </c>
      <c r="M43" s="308"/>
      <c r="N43" s="308">
        <v>9.9737999999999997E-3</v>
      </c>
      <c r="O43" s="308"/>
      <c r="P43" s="308">
        <f>+P40</f>
        <v>1.37938E-2</v>
      </c>
      <c r="Q43" s="307"/>
      <c r="R43" s="308">
        <v>1.4193799999999999E-2</v>
      </c>
      <c r="S43" s="280"/>
      <c r="T43" s="280"/>
      <c r="U43" s="274"/>
      <c r="V43" s="307">
        <f>SUMPRODUCT(D43:R43,D35:R35)/V35</f>
        <v>8.8926325619096153E-3</v>
      </c>
      <c r="W43" s="275"/>
      <c r="X43" s="5"/>
    </row>
    <row r="44" spans="1:24" ht="15.6" x14ac:dyDescent="0.3">
      <c r="A44" s="271"/>
      <c r="B44" s="272" t="s">
        <v>302</v>
      </c>
      <c r="C44" s="309"/>
      <c r="D44" s="308">
        <f>+D41</f>
        <v>8.2406000000000007E-3</v>
      </c>
      <c r="E44" s="308"/>
      <c r="F44" s="308">
        <f>+F41</f>
        <v>8.2406000000000007E-3</v>
      </c>
      <c r="G44" s="308"/>
      <c r="H44" s="308">
        <v>8.4846000000000001E-3</v>
      </c>
      <c r="I44" s="308"/>
      <c r="J44" s="308">
        <v>8.3205999999999992E-3</v>
      </c>
      <c r="K44" s="308"/>
      <c r="L44" s="308">
        <f>+L41</f>
        <v>9.8405999999999997E-3</v>
      </c>
      <c r="M44" s="308"/>
      <c r="N44" s="308">
        <v>1.0020599999999999E-2</v>
      </c>
      <c r="O44" s="308"/>
      <c r="P44" s="308">
        <f>+P41</f>
        <v>1.38406E-2</v>
      </c>
      <c r="Q44" s="307"/>
      <c r="R44" s="308">
        <v>1.4240600000000001E-2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226</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0.25495787353005372</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358</v>
      </c>
      <c r="C54" s="272"/>
      <c r="D54" s="272"/>
      <c r="E54" s="272"/>
      <c r="F54" s="272"/>
      <c r="G54" s="272"/>
      <c r="H54" s="272"/>
      <c r="I54" s="272"/>
      <c r="J54" s="272"/>
      <c r="K54" s="272"/>
      <c r="L54" s="272"/>
      <c r="M54" s="272"/>
      <c r="N54" s="272"/>
      <c r="O54" s="272"/>
      <c r="P54" s="272"/>
      <c r="Q54" s="272"/>
      <c r="R54" s="272"/>
      <c r="S54" s="272"/>
      <c r="T54" s="280"/>
      <c r="U54" s="280"/>
      <c r="V54" s="315" t="s">
        <v>114</v>
      </c>
      <c r="W54" s="275"/>
      <c r="X54" s="5"/>
    </row>
    <row r="55" spans="1:25" ht="15.6" x14ac:dyDescent="0.3">
      <c r="A55" s="271"/>
      <c r="B55" s="279" t="s">
        <v>204</v>
      </c>
      <c r="C55" s="279"/>
      <c r="D55" s="279"/>
      <c r="E55" s="279"/>
      <c r="F55" s="279"/>
      <c r="G55" s="279"/>
      <c r="H55" s="279"/>
      <c r="I55" s="279"/>
      <c r="J55" s="279"/>
      <c r="K55" s="279"/>
      <c r="L55" s="279"/>
      <c r="M55" s="279"/>
      <c r="N55" s="279"/>
      <c r="O55" s="279"/>
      <c r="P55" s="279"/>
      <c r="Q55" s="279"/>
      <c r="R55" s="279"/>
      <c r="S55" s="279"/>
      <c r="T55" s="316"/>
      <c r="U55" s="316"/>
      <c r="V55" s="317">
        <v>42384</v>
      </c>
      <c r="W55" s="275"/>
      <c r="X55" s="5"/>
    </row>
    <row r="56" spans="1:25" ht="15.6" x14ac:dyDescent="0.3">
      <c r="A56" s="271"/>
      <c r="B56" s="272" t="s">
        <v>124</v>
      </c>
      <c r="C56" s="272"/>
      <c r="D56" s="272"/>
      <c r="E56" s="272"/>
      <c r="F56" s="272"/>
      <c r="G56" s="272"/>
      <c r="H56" s="318"/>
      <c r="I56" s="318"/>
      <c r="J56" s="318"/>
      <c r="K56" s="318"/>
      <c r="L56" s="318"/>
      <c r="M56" s="318"/>
      <c r="N56" s="318"/>
      <c r="O56" s="318"/>
      <c r="P56" s="318"/>
      <c r="Q56" s="318"/>
      <c r="R56" s="272">
        <f>+V56-T56+1</f>
        <v>92</v>
      </c>
      <c r="S56" s="318"/>
      <c r="T56" s="319">
        <v>42200</v>
      </c>
      <c r="U56" s="320"/>
      <c r="V56" s="319">
        <v>42291</v>
      </c>
      <c r="W56" s="275"/>
      <c r="X56" s="5"/>
    </row>
    <row r="57" spans="1:25" ht="15.6" x14ac:dyDescent="0.3">
      <c r="A57" s="271"/>
      <c r="B57" s="272" t="s">
        <v>125</v>
      </c>
      <c r="C57" s="272"/>
      <c r="D57" s="272"/>
      <c r="E57" s="272"/>
      <c r="F57" s="272"/>
      <c r="G57" s="272"/>
      <c r="H57" s="272"/>
      <c r="I57" s="272"/>
      <c r="J57" s="272"/>
      <c r="K57" s="272"/>
      <c r="L57" s="272"/>
      <c r="M57" s="272"/>
      <c r="N57" s="272"/>
      <c r="O57" s="272"/>
      <c r="P57" s="272"/>
      <c r="Q57" s="272"/>
      <c r="R57" s="272">
        <f>+V57-T57+1</f>
        <v>92</v>
      </c>
      <c r="S57" s="272"/>
      <c r="T57" s="319">
        <v>42292</v>
      </c>
      <c r="U57" s="320"/>
      <c r="V57" s="319">
        <v>42383</v>
      </c>
      <c r="W57" s="275"/>
      <c r="X57" s="5"/>
    </row>
    <row r="58" spans="1:25" ht="15.6" x14ac:dyDescent="0.3">
      <c r="A58" s="271"/>
      <c r="B58" s="272" t="s">
        <v>357</v>
      </c>
      <c r="C58" s="272"/>
      <c r="D58" s="272"/>
      <c r="E58" s="272"/>
      <c r="F58" s="272"/>
      <c r="G58" s="272"/>
      <c r="H58" s="272"/>
      <c r="I58" s="272"/>
      <c r="J58" s="272"/>
      <c r="K58" s="272"/>
      <c r="L58" s="272"/>
      <c r="M58" s="272"/>
      <c r="N58" s="272"/>
      <c r="O58" s="272"/>
      <c r="P58" s="272"/>
      <c r="Q58" s="272"/>
      <c r="R58" s="272"/>
      <c r="S58" s="272"/>
      <c r="T58" s="319"/>
      <c r="U58" s="320"/>
      <c r="V58" s="319" t="s">
        <v>123</v>
      </c>
      <c r="W58" s="275"/>
      <c r="X58" s="5"/>
    </row>
    <row r="59" spans="1:25" ht="15.6" x14ac:dyDescent="0.3">
      <c r="A59" s="271"/>
      <c r="B59" s="272" t="s">
        <v>356</v>
      </c>
      <c r="C59" s="272"/>
      <c r="D59" s="272"/>
      <c r="E59" s="272"/>
      <c r="F59" s="272"/>
      <c r="G59" s="272"/>
      <c r="H59" s="272"/>
      <c r="I59" s="272"/>
      <c r="J59" s="272"/>
      <c r="K59" s="272"/>
      <c r="L59" s="272"/>
      <c r="M59" s="272"/>
      <c r="N59" s="272"/>
      <c r="O59" s="272"/>
      <c r="P59" s="272"/>
      <c r="Q59" s="272"/>
      <c r="R59" s="272"/>
      <c r="S59" s="272"/>
      <c r="T59" s="319"/>
      <c r="U59" s="320"/>
      <c r="V59" s="319" t="s">
        <v>157</v>
      </c>
      <c r="W59" s="275"/>
      <c r="X59" s="5"/>
      <c r="Y59" s="134"/>
    </row>
    <row r="60" spans="1:25" ht="15.6" x14ac:dyDescent="0.3">
      <c r="A60" s="271"/>
      <c r="B60" s="272" t="s">
        <v>16</v>
      </c>
      <c r="C60" s="272"/>
      <c r="D60" s="272"/>
      <c r="E60" s="272"/>
      <c r="F60" s="272"/>
      <c r="G60" s="272"/>
      <c r="H60" s="272"/>
      <c r="I60" s="272"/>
      <c r="J60" s="272"/>
      <c r="K60" s="272"/>
      <c r="L60" s="272"/>
      <c r="M60" s="272"/>
      <c r="N60" s="272"/>
      <c r="O60" s="272"/>
      <c r="P60" s="272"/>
      <c r="Q60" s="272"/>
      <c r="R60" s="272"/>
      <c r="S60" s="272"/>
      <c r="T60" s="319"/>
      <c r="U60" s="320"/>
      <c r="V60" s="319">
        <v>42373</v>
      </c>
      <c r="W60" s="275"/>
      <c r="X60" s="5"/>
    </row>
    <row r="61" spans="1:25" ht="15.6" x14ac:dyDescent="0.3">
      <c r="A61" s="175"/>
      <c r="B61" s="268"/>
      <c r="C61" s="268"/>
      <c r="D61" s="268"/>
      <c r="E61" s="268"/>
      <c r="F61" s="268"/>
      <c r="G61" s="268"/>
      <c r="H61" s="268"/>
      <c r="I61" s="268"/>
      <c r="J61" s="268"/>
      <c r="K61" s="268"/>
      <c r="L61" s="268"/>
      <c r="M61" s="268"/>
      <c r="N61" s="268"/>
      <c r="O61" s="268"/>
      <c r="P61" s="268"/>
      <c r="Q61" s="268"/>
      <c r="R61" s="268"/>
      <c r="S61" s="268"/>
      <c r="T61" s="269"/>
      <c r="U61" s="270"/>
      <c r="V61" s="269"/>
      <c r="W61" s="268"/>
      <c r="X61" s="5"/>
    </row>
    <row r="62" spans="1:25" ht="15.6" x14ac:dyDescent="0.3">
      <c r="A62" s="175"/>
      <c r="B62" s="220"/>
      <c r="C62" s="220"/>
      <c r="D62" s="220"/>
      <c r="E62" s="220"/>
      <c r="F62" s="220"/>
      <c r="G62" s="220"/>
      <c r="H62" s="220"/>
      <c r="I62" s="220"/>
      <c r="J62" s="220"/>
      <c r="K62" s="220"/>
      <c r="L62" s="220"/>
      <c r="M62" s="220"/>
      <c r="N62" s="220"/>
      <c r="O62" s="220"/>
      <c r="P62" s="220"/>
      <c r="Q62" s="220"/>
      <c r="R62" s="220"/>
      <c r="S62" s="220"/>
      <c r="T62" s="232"/>
      <c r="U62" s="233"/>
      <c r="V62" s="232"/>
      <c r="W62" s="220"/>
      <c r="X62" s="5"/>
    </row>
    <row r="63" spans="1:25" ht="18" thickBot="1" x14ac:dyDescent="0.35">
      <c r="A63" s="194"/>
      <c r="B63" s="234" t="s">
        <v>351</v>
      </c>
      <c r="C63" s="235"/>
      <c r="D63" s="235"/>
      <c r="E63" s="235"/>
      <c r="F63" s="235"/>
      <c r="G63" s="235"/>
      <c r="H63" s="235"/>
      <c r="I63" s="235"/>
      <c r="J63" s="235"/>
      <c r="K63" s="235"/>
      <c r="L63" s="235"/>
      <c r="M63" s="235"/>
      <c r="N63" s="235"/>
      <c r="O63" s="235"/>
      <c r="P63" s="235"/>
      <c r="Q63" s="235"/>
      <c r="R63" s="235"/>
      <c r="S63" s="235"/>
      <c r="T63" s="235"/>
      <c r="U63" s="235"/>
      <c r="V63" s="236"/>
      <c r="W63" s="237"/>
      <c r="X63" s="5"/>
    </row>
    <row r="64" spans="1:25" ht="15.6" x14ac:dyDescent="0.3">
      <c r="A64" s="239"/>
      <c r="B64" s="253" t="s">
        <v>17</v>
      </c>
      <c r="C64" s="240"/>
      <c r="D64" s="240"/>
      <c r="E64" s="240"/>
      <c r="F64" s="240"/>
      <c r="G64" s="240"/>
      <c r="H64" s="240"/>
      <c r="I64" s="240"/>
      <c r="J64" s="240"/>
      <c r="K64" s="240"/>
      <c r="L64" s="240"/>
      <c r="M64" s="240"/>
      <c r="N64" s="240"/>
      <c r="O64" s="240"/>
      <c r="P64" s="240"/>
      <c r="Q64" s="240"/>
      <c r="R64" s="240"/>
      <c r="S64" s="240"/>
      <c r="T64" s="240"/>
      <c r="U64" s="240"/>
      <c r="V64" s="241"/>
      <c r="W64" s="240"/>
      <c r="X64" s="5"/>
    </row>
    <row r="65" spans="1:24" ht="15.6" x14ac:dyDescent="0.3">
      <c r="A65" s="175"/>
      <c r="B65" s="183"/>
      <c r="C65" s="177"/>
      <c r="D65" s="177"/>
      <c r="E65" s="177"/>
      <c r="F65" s="177"/>
      <c r="G65" s="177"/>
      <c r="H65" s="177"/>
      <c r="I65" s="177"/>
      <c r="J65" s="177"/>
      <c r="K65" s="177"/>
      <c r="L65" s="177"/>
      <c r="M65" s="177"/>
      <c r="N65" s="177"/>
      <c r="O65" s="177"/>
      <c r="P65" s="177"/>
      <c r="Q65" s="177"/>
      <c r="R65" s="177"/>
      <c r="S65" s="177"/>
      <c r="T65" s="177"/>
      <c r="U65" s="177"/>
      <c r="V65" s="196"/>
      <c r="W65" s="177"/>
      <c r="X65" s="5"/>
    </row>
    <row r="66" spans="1:24" ht="46.8" x14ac:dyDescent="0.3">
      <c r="A66" s="175"/>
      <c r="B66" s="197" t="s">
        <v>18</v>
      </c>
      <c r="C66" s="198"/>
      <c r="D66" s="198"/>
      <c r="E66" s="198"/>
      <c r="F66" s="198"/>
      <c r="G66" s="198"/>
      <c r="H66" s="198"/>
      <c r="I66" s="198"/>
      <c r="J66" s="198"/>
      <c r="K66" s="198"/>
      <c r="L66" s="198" t="s">
        <v>95</v>
      </c>
      <c r="M66" s="198"/>
      <c r="N66" s="198" t="s">
        <v>97</v>
      </c>
      <c r="O66" s="198"/>
      <c r="P66" s="198" t="s">
        <v>99</v>
      </c>
      <c r="Q66" s="198"/>
      <c r="R66" s="198" t="s">
        <v>101</v>
      </c>
      <c r="S66" s="198"/>
      <c r="T66" s="198" t="s">
        <v>108</v>
      </c>
      <c r="U66" s="198"/>
      <c r="V66" s="199" t="s">
        <v>115</v>
      </c>
      <c r="W66" s="200"/>
      <c r="X66" s="5"/>
    </row>
    <row r="67" spans="1:24" ht="15.6" x14ac:dyDescent="0.3">
      <c r="A67" s="271"/>
      <c r="B67" s="272" t="s">
        <v>19</v>
      </c>
      <c r="C67" s="324"/>
      <c r="D67" s="324"/>
      <c r="E67" s="324"/>
      <c r="F67" s="324"/>
      <c r="G67" s="324"/>
      <c r="H67" s="324"/>
      <c r="I67" s="324"/>
      <c r="J67" s="324"/>
      <c r="K67" s="324"/>
      <c r="L67" s="324">
        <f>1085286</f>
        <v>1085286</v>
      </c>
      <c r="M67" s="324"/>
      <c r="N67" s="325">
        <v>894201</v>
      </c>
      <c r="O67" s="324"/>
      <c r="P67" s="324">
        <f>9486+10+397+92</f>
        <v>9985</v>
      </c>
      <c r="Q67" s="324"/>
      <c r="R67" s="324">
        <f>10+397+92</f>
        <v>499</v>
      </c>
      <c r="S67" s="324"/>
      <c r="T67" s="324">
        <v>0</v>
      </c>
      <c r="U67" s="324"/>
      <c r="V67" s="325">
        <f>+N67-P67+R67-T67</f>
        <v>884715</v>
      </c>
      <c r="W67" s="275"/>
      <c r="X67" s="5"/>
    </row>
    <row r="68" spans="1:24" ht="15.6" x14ac:dyDescent="0.3">
      <c r="A68" s="271"/>
      <c r="B68" s="272" t="s">
        <v>20</v>
      </c>
      <c r="C68" s="324"/>
      <c r="D68" s="324"/>
      <c r="E68" s="324"/>
      <c r="F68" s="324"/>
      <c r="G68" s="324"/>
      <c r="H68" s="324"/>
      <c r="I68" s="324"/>
      <c r="J68" s="324"/>
      <c r="K68" s="324"/>
      <c r="L68" s="324">
        <v>35</v>
      </c>
      <c r="M68" s="324"/>
      <c r="N68" s="325">
        <v>0</v>
      </c>
      <c r="O68" s="324"/>
      <c r="P68" s="324">
        <v>0</v>
      </c>
      <c r="Q68" s="324"/>
      <c r="R68" s="324">
        <v>0</v>
      </c>
      <c r="S68" s="324"/>
      <c r="T68" s="324">
        <v>0</v>
      </c>
      <c r="U68" s="324"/>
      <c r="V68" s="325">
        <f>+N68-P68</f>
        <v>0</v>
      </c>
      <c r="W68" s="275"/>
      <c r="X68" s="5"/>
    </row>
    <row r="69" spans="1:24" ht="15.6" x14ac:dyDescent="0.3">
      <c r="A69" s="271"/>
      <c r="B69" s="272"/>
      <c r="C69" s="324"/>
      <c r="D69" s="324"/>
      <c r="E69" s="324"/>
      <c r="F69" s="324"/>
      <c r="G69" s="324"/>
      <c r="H69" s="324"/>
      <c r="I69" s="324"/>
      <c r="J69" s="324"/>
      <c r="K69" s="324"/>
      <c r="L69" s="324"/>
      <c r="M69" s="324"/>
      <c r="N69" s="325"/>
      <c r="O69" s="324"/>
      <c r="P69" s="324"/>
      <c r="Q69" s="324"/>
      <c r="R69" s="324"/>
      <c r="S69" s="324"/>
      <c r="T69" s="324"/>
      <c r="U69" s="324"/>
      <c r="V69" s="325"/>
      <c r="W69" s="275"/>
      <c r="X69" s="5"/>
    </row>
    <row r="70" spans="1:24" ht="15.6" x14ac:dyDescent="0.3">
      <c r="A70" s="271"/>
      <c r="B70" s="272" t="s">
        <v>21</v>
      </c>
      <c r="C70" s="324"/>
      <c r="D70" s="324"/>
      <c r="E70" s="324"/>
      <c r="F70" s="324"/>
      <c r="G70" s="324"/>
      <c r="H70" s="324"/>
      <c r="I70" s="324"/>
      <c r="J70" s="324"/>
      <c r="K70" s="324"/>
      <c r="L70" s="324">
        <f>SUM(L67:L69)</f>
        <v>1085321</v>
      </c>
      <c r="M70" s="324"/>
      <c r="N70" s="324">
        <f>N67+N68</f>
        <v>894201</v>
      </c>
      <c r="O70" s="324"/>
      <c r="P70" s="324">
        <f>SUM(P67:P69)</f>
        <v>9985</v>
      </c>
      <c r="Q70" s="324"/>
      <c r="R70" s="324">
        <f>SUM(R67:R69)</f>
        <v>499</v>
      </c>
      <c r="S70" s="324"/>
      <c r="T70" s="324">
        <f>SUM(T67:T69)</f>
        <v>0</v>
      </c>
      <c r="U70" s="324"/>
      <c r="V70" s="324">
        <f>SUM(V67:V69)</f>
        <v>884715</v>
      </c>
      <c r="W70" s="275"/>
      <c r="X70" s="5"/>
    </row>
    <row r="71" spans="1:24" ht="15.6" x14ac:dyDescent="0.3">
      <c r="A71" s="175"/>
      <c r="B71" s="321"/>
      <c r="C71" s="322"/>
      <c r="D71" s="322"/>
      <c r="E71" s="322"/>
      <c r="F71" s="322"/>
      <c r="G71" s="322"/>
      <c r="H71" s="322"/>
      <c r="I71" s="322"/>
      <c r="J71" s="322"/>
      <c r="K71" s="322"/>
      <c r="L71" s="322"/>
      <c r="M71" s="322"/>
      <c r="N71" s="322"/>
      <c r="O71" s="322"/>
      <c r="P71" s="322"/>
      <c r="Q71" s="322"/>
      <c r="R71" s="322"/>
      <c r="S71" s="322"/>
      <c r="T71" s="322"/>
      <c r="U71" s="322"/>
      <c r="V71" s="323"/>
      <c r="W71" s="321"/>
      <c r="X71" s="5"/>
    </row>
    <row r="72" spans="1:24" ht="15.6" x14ac:dyDescent="0.3">
      <c r="A72" s="175"/>
      <c r="B72" s="179" t="s">
        <v>22</v>
      </c>
      <c r="C72" s="201"/>
      <c r="D72" s="201"/>
      <c r="E72" s="201"/>
      <c r="F72" s="201"/>
      <c r="G72" s="201"/>
      <c r="H72" s="201"/>
      <c r="I72" s="201"/>
      <c r="J72" s="201"/>
      <c r="K72" s="201"/>
      <c r="L72" s="201"/>
      <c r="M72" s="201"/>
      <c r="N72" s="201"/>
      <c r="O72" s="201"/>
      <c r="P72" s="201"/>
      <c r="Q72" s="201"/>
      <c r="R72" s="201"/>
      <c r="S72" s="201"/>
      <c r="T72" s="201"/>
      <c r="U72" s="201"/>
      <c r="V72" s="202"/>
      <c r="W72" s="177"/>
      <c r="X72" s="5"/>
    </row>
    <row r="73" spans="1:24" ht="15.6" x14ac:dyDescent="0.3">
      <c r="A73" s="175"/>
      <c r="B73" s="177"/>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271"/>
      <c r="B74" s="272" t="s">
        <v>19</v>
      </c>
      <c r="C74" s="324"/>
      <c r="D74" s="324"/>
      <c r="E74" s="324"/>
      <c r="F74" s="324"/>
      <c r="G74" s="324"/>
      <c r="H74" s="324"/>
      <c r="I74" s="324"/>
      <c r="J74" s="324"/>
      <c r="K74" s="324"/>
      <c r="L74" s="324"/>
      <c r="M74" s="324"/>
      <c r="N74" s="324"/>
      <c r="O74" s="324"/>
      <c r="P74" s="324"/>
      <c r="Q74" s="324"/>
      <c r="R74" s="324"/>
      <c r="S74" s="324"/>
      <c r="T74" s="324"/>
      <c r="U74" s="324"/>
      <c r="V74" s="324"/>
      <c r="W74" s="275"/>
      <c r="X74" s="5"/>
    </row>
    <row r="75" spans="1:24" ht="15.6" x14ac:dyDescent="0.3">
      <c r="A75" s="271"/>
      <c r="B75" s="272" t="s">
        <v>20</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t="s">
        <v>21</v>
      </c>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t="s">
        <v>23</v>
      </c>
      <c r="C79" s="324"/>
      <c r="D79" s="324"/>
      <c r="E79" s="324"/>
      <c r="F79" s="324"/>
      <c r="G79" s="324"/>
      <c r="H79" s="324"/>
      <c r="I79" s="324"/>
      <c r="J79" s="324"/>
      <c r="K79" s="324"/>
      <c r="L79" s="324">
        <v>0</v>
      </c>
      <c r="M79" s="324"/>
      <c r="N79" s="324">
        <v>0</v>
      </c>
      <c r="O79" s="324"/>
      <c r="P79" s="324"/>
      <c r="Q79" s="324"/>
      <c r="R79" s="324"/>
      <c r="S79" s="324"/>
      <c r="T79" s="324"/>
      <c r="U79" s="324"/>
      <c r="V79" s="325">
        <v>0</v>
      </c>
      <c r="W79" s="275"/>
      <c r="X79" s="5"/>
    </row>
    <row r="80" spans="1:24" ht="15.6" x14ac:dyDescent="0.3">
      <c r="A80" s="271"/>
      <c r="B80" s="272" t="s">
        <v>120</v>
      </c>
      <c r="C80" s="324"/>
      <c r="D80" s="324"/>
      <c r="E80" s="324"/>
      <c r="F80" s="324"/>
      <c r="G80" s="324"/>
      <c r="H80" s="324"/>
      <c r="I80" s="324"/>
      <c r="J80" s="324"/>
      <c r="K80" s="324"/>
      <c r="L80" s="324">
        <f>414862+7</f>
        <v>414869</v>
      </c>
      <c r="M80" s="324"/>
      <c r="N80" s="324">
        <v>0</v>
      </c>
      <c r="O80" s="324"/>
      <c r="P80" s="324">
        <v>0</v>
      </c>
      <c r="Q80" s="324"/>
      <c r="R80" s="324"/>
      <c r="S80" s="324"/>
      <c r="T80" s="324"/>
      <c r="U80" s="324"/>
      <c r="V80" s="324">
        <f>SUM(N80:R80)</f>
        <v>0</v>
      </c>
      <c r="W80" s="275"/>
      <c r="X80" s="5"/>
    </row>
    <row r="81" spans="1:24" ht="15.6" x14ac:dyDescent="0.3">
      <c r="A81" s="271"/>
      <c r="B81" s="272" t="s">
        <v>149</v>
      </c>
      <c r="C81" s="324"/>
      <c r="D81" s="324"/>
      <c r="E81" s="324"/>
      <c r="F81" s="324"/>
      <c r="G81" s="324"/>
      <c r="H81" s="324"/>
      <c r="I81" s="324"/>
      <c r="J81" s="324"/>
      <c r="K81" s="324"/>
      <c r="L81" s="324">
        <v>0</v>
      </c>
      <c r="M81" s="324"/>
      <c r="N81" s="324">
        <v>0</v>
      </c>
      <c r="O81" s="324"/>
      <c r="P81" s="324">
        <v>0</v>
      </c>
      <c r="Q81" s="324"/>
      <c r="R81" s="324"/>
      <c r="S81" s="324"/>
      <c r="T81" s="324"/>
      <c r="U81" s="324"/>
      <c r="V81" s="324">
        <f>+N81+P81</f>
        <v>0</v>
      </c>
      <c r="W81" s="275"/>
      <c r="X81" s="5"/>
    </row>
    <row r="82" spans="1:24" ht="15.6" x14ac:dyDescent="0.3">
      <c r="A82" s="271"/>
      <c r="B82" s="272" t="s">
        <v>25</v>
      </c>
      <c r="C82" s="324"/>
      <c r="D82" s="324"/>
      <c r="E82" s="324"/>
      <c r="F82" s="324"/>
      <c r="G82" s="324"/>
      <c r="H82" s="324"/>
      <c r="I82" s="324"/>
      <c r="J82" s="324"/>
      <c r="K82" s="324"/>
      <c r="L82" s="324">
        <v>0</v>
      </c>
      <c r="M82" s="324"/>
      <c r="N82" s="324">
        <v>0</v>
      </c>
      <c r="O82" s="324"/>
      <c r="P82" s="324"/>
      <c r="Q82" s="324"/>
      <c r="R82" s="324"/>
      <c r="S82" s="324"/>
      <c r="T82" s="324"/>
      <c r="U82" s="324"/>
      <c r="V82" s="324">
        <v>0</v>
      </c>
      <c r="W82" s="275"/>
      <c r="X82" s="5"/>
    </row>
    <row r="83" spans="1:24" ht="15.6" x14ac:dyDescent="0.3">
      <c r="A83" s="326"/>
      <c r="B83" s="327" t="s">
        <v>26</v>
      </c>
      <c r="C83" s="328"/>
      <c r="D83" s="328"/>
      <c r="E83" s="328"/>
      <c r="F83" s="328"/>
      <c r="G83" s="328"/>
      <c r="H83" s="328"/>
      <c r="I83" s="328"/>
      <c r="J83" s="328"/>
      <c r="K83" s="328"/>
      <c r="L83" s="328">
        <f>SUM(L70:L82)</f>
        <v>1500190</v>
      </c>
      <c r="M83" s="328"/>
      <c r="N83" s="328">
        <f>SUM(N70:N82)</f>
        <v>894201</v>
      </c>
      <c r="O83" s="328"/>
      <c r="P83" s="328"/>
      <c r="Q83" s="328"/>
      <c r="R83" s="328"/>
      <c r="S83" s="328"/>
      <c r="T83" s="328"/>
      <c r="U83" s="328"/>
      <c r="V83" s="328">
        <f>SUM(V70:V82)</f>
        <v>884715</v>
      </c>
      <c r="W83" s="329"/>
      <c r="X83" s="5"/>
    </row>
    <row r="84" spans="1:24" ht="15.6" x14ac:dyDescent="0.3">
      <c r="A84" s="192"/>
      <c r="B84" s="229"/>
      <c r="C84" s="231"/>
      <c r="D84" s="231"/>
      <c r="E84" s="231"/>
      <c r="F84" s="231"/>
      <c r="G84" s="231"/>
      <c r="H84" s="231"/>
      <c r="I84" s="231"/>
      <c r="J84" s="231"/>
      <c r="K84" s="231"/>
      <c r="L84" s="231"/>
      <c r="M84" s="231"/>
      <c r="N84" s="231"/>
      <c r="O84" s="231"/>
      <c r="P84" s="231"/>
      <c r="Q84" s="231"/>
      <c r="R84" s="231"/>
      <c r="S84" s="231"/>
      <c r="T84" s="231"/>
      <c r="U84" s="231"/>
      <c r="V84" s="231"/>
      <c r="W84" s="229"/>
      <c r="X84" s="5"/>
    </row>
    <row r="85" spans="1:24" ht="15.6" x14ac:dyDescent="0.3">
      <c r="A85" s="175"/>
      <c r="B85" s="220"/>
      <c r="C85" s="220"/>
      <c r="D85" s="220"/>
      <c r="E85" s="220"/>
      <c r="F85" s="220"/>
      <c r="G85" s="220"/>
      <c r="H85" s="220"/>
      <c r="I85" s="220"/>
      <c r="J85" s="220"/>
      <c r="K85" s="220"/>
      <c r="L85" s="220"/>
      <c r="M85" s="220"/>
      <c r="N85" s="220"/>
      <c r="O85" s="220"/>
      <c r="P85" s="220"/>
      <c r="Q85" s="220"/>
      <c r="R85" s="220"/>
      <c r="S85" s="220"/>
      <c r="T85" s="220"/>
      <c r="U85" s="220"/>
      <c r="V85" s="220"/>
      <c r="W85" s="220"/>
      <c r="X85" s="5"/>
    </row>
    <row r="86" spans="1:24" ht="15.6" x14ac:dyDescent="0.3">
      <c r="A86" s="239"/>
      <c r="B86" s="253" t="s">
        <v>27</v>
      </c>
      <c r="C86" s="253"/>
      <c r="D86" s="253"/>
      <c r="E86" s="253"/>
      <c r="F86" s="253"/>
      <c r="G86" s="253"/>
      <c r="H86" s="254"/>
      <c r="I86" s="254"/>
      <c r="J86" s="254"/>
      <c r="K86" s="254"/>
      <c r="L86" s="330" t="s">
        <v>96</v>
      </c>
      <c r="M86" s="254"/>
      <c r="N86" s="331">
        <f>+T198</f>
        <v>42369</v>
      </c>
      <c r="O86" s="254"/>
      <c r="P86" s="254"/>
      <c r="Q86" s="254"/>
      <c r="R86" s="254"/>
      <c r="S86" s="254"/>
      <c r="T86" s="254" t="s">
        <v>109</v>
      </c>
      <c r="U86" s="254"/>
      <c r="V86" s="254" t="s">
        <v>116</v>
      </c>
      <c r="W86" s="240"/>
      <c r="X86" s="5"/>
    </row>
    <row r="87" spans="1:24" ht="15.6" x14ac:dyDescent="0.3">
      <c r="A87" s="271"/>
      <c r="B87" s="272" t="s">
        <v>28</v>
      </c>
      <c r="C87" s="272"/>
      <c r="D87" s="272"/>
      <c r="E87" s="272"/>
      <c r="F87" s="272"/>
      <c r="G87" s="272"/>
      <c r="H87" s="272"/>
      <c r="I87" s="272"/>
      <c r="J87" s="272"/>
      <c r="K87" s="272"/>
      <c r="L87" s="272"/>
      <c r="M87" s="272"/>
      <c r="N87" s="272"/>
      <c r="O87" s="272"/>
      <c r="P87" s="272"/>
      <c r="Q87" s="272"/>
      <c r="R87" s="272"/>
      <c r="S87" s="272"/>
      <c r="T87" s="324">
        <v>0</v>
      </c>
      <c r="U87" s="272"/>
      <c r="V87" s="325">
        <v>0</v>
      </c>
      <c r="W87" s="275"/>
      <c r="X87" s="5"/>
    </row>
    <row r="88" spans="1:24" ht="15.6" x14ac:dyDescent="0.3">
      <c r="A88" s="271"/>
      <c r="B88" s="272" t="s">
        <v>29</v>
      </c>
      <c r="C88" s="272"/>
      <c r="D88" s="272"/>
      <c r="E88" s="272"/>
      <c r="F88" s="272"/>
      <c r="G88" s="272"/>
      <c r="H88" s="311"/>
      <c r="I88" s="311"/>
      <c r="J88" s="311"/>
      <c r="K88" s="333"/>
      <c r="L88" s="311"/>
      <c r="M88" s="272"/>
      <c r="N88" s="334"/>
      <c r="O88" s="272"/>
      <c r="P88" s="272"/>
      <c r="Q88" s="272"/>
      <c r="R88" s="272"/>
      <c r="S88" s="272"/>
      <c r="T88" s="324">
        <f>9985-10</f>
        <v>9975</v>
      </c>
      <c r="U88" s="272"/>
      <c r="V88" s="325"/>
      <c r="W88" s="275"/>
      <c r="X88" s="5"/>
    </row>
    <row r="89" spans="1:24" ht="15.6" x14ac:dyDescent="0.3">
      <c r="A89" s="271"/>
      <c r="B89" s="272" t="s">
        <v>219</v>
      </c>
      <c r="C89" s="272"/>
      <c r="D89" s="272"/>
      <c r="E89" s="272"/>
      <c r="F89" s="272"/>
      <c r="G89" s="272"/>
      <c r="H89" s="311"/>
      <c r="I89" s="311"/>
      <c r="J89" s="311"/>
      <c r="K89" s="333"/>
      <c r="L89" s="311"/>
      <c r="M89" s="272"/>
      <c r="N89" s="334"/>
      <c r="O89" s="272"/>
      <c r="P89" s="272"/>
      <c r="Q89" s="272"/>
      <c r="R89" s="272"/>
      <c r="S89" s="272"/>
      <c r="T89" s="324"/>
      <c r="U89" s="272"/>
      <c r="V89" s="325">
        <f>3914+3048-446-1170</f>
        <v>5346</v>
      </c>
      <c r="W89" s="275"/>
      <c r="X89" s="5"/>
    </row>
    <row r="90" spans="1:24" ht="15.6" x14ac:dyDescent="0.3">
      <c r="A90" s="271"/>
      <c r="B90" s="272" t="s">
        <v>214</v>
      </c>
      <c r="C90" s="272"/>
      <c r="D90" s="272"/>
      <c r="E90" s="272"/>
      <c r="F90" s="272"/>
      <c r="G90" s="272"/>
      <c r="H90" s="311"/>
      <c r="I90" s="311"/>
      <c r="J90" s="311"/>
      <c r="K90" s="333"/>
      <c r="L90" s="311"/>
      <c r="M90" s="272"/>
      <c r="N90" s="334"/>
      <c r="O90" s="272"/>
      <c r="P90" s="272"/>
      <c r="Q90" s="272"/>
      <c r="R90" s="272"/>
      <c r="S90" s="272"/>
      <c r="T90" s="324"/>
      <c r="U90" s="272"/>
      <c r="V90" s="325">
        <f>18+62</f>
        <v>80</v>
      </c>
      <c r="W90" s="275"/>
      <c r="X90" s="5"/>
    </row>
    <row r="91" spans="1:24" ht="15.6" x14ac:dyDescent="0.3">
      <c r="A91" s="271"/>
      <c r="B91" s="272" t="s">
        <v>215</v>
      </c>
      <c r="C91" s="272"/>
      <c r="D91" s="272"/>
      <c r="E91" s="272"/>
      <c r="F91" s="272"/>
      <c r="G91" s="272"/>
      <c r="H91" s="311"/>
      <c r="I91" s="311"/>
      <c r="J91" s="311"/>
      <c r="K91" s="333"/>
      <c r="L91" s="311"/>
      <c r="M91" s="272"/>
      <c r="N91" s="334"/>
      <c r="O91" s="272"/>
      <c r="P91" s="272"/>
      <c r="Q91" s="272"/>
      <c r="R91" s="272"/>
      <c r="S91" s="272"/>
      <c r="T91" s="324"/>
      <c r="U91" s="272"/>
      <c r="V91" s="325">
        <v>47</v>
      </c>
      <c r="W91" s="275"/>
      <c r="X91" s="5"/>
    </row>
    <row r="92" spans="1:24" ht="15.6" x14ac:dyDescent="0.3">
      <c r="A92" s="271"/>
      <c r="B92" s="272" t="s">
        <v>277</v>
      </c>
      <c r="C92" s="272"/>
      <c r="D92" s="272"/>
      <c r="E92" s="272"/>
      <c r="F92" s="272"/>
      <c r="G92" s="272"/>
      <c r="H92" s="311"/>
      <c r="I92" s="311"/>
      <c r="J92" s="311"/>
      <c r="K92" s="333"/>
      <c r="L92" s="311"/>
      <c r="M92" s="272"/>
      <c r="N92" s="334"/>
      <c r="O92" s="272"/>
      <c r="P92" s="272"/>
      <c r="Q92" s="272"/>
      <c r="R92" s="272"/>
      <c r="S92" s="272"/>
      <c r="T92" s="324"/>
      <c r="U92" s="272"/>
      <c r="V92" s="325">
        <v>0</v>
      </c>
      <c r="W92" s="275"/>
      <c r="X92" s="5"/>
    </row>
    <row r="93" spans="1:24" ht="15.6" x14ac:dyDescent="0.3">
      <c r="A93" s="271"/>
      <c r="B93" s="272" t="s">
        <v>138</v>
      </c>
      <c r="C93" s="272"/>
      <c r="D93" s="272"/>
      <c r="E93" s="272"/>
      <c r="F93" s="272"/>
      <c r="G93" s="272"/>
      <c r="H93" s="272"/>
      <c r="I93" s="272"/>
      <c r="J93" s="272"/>
      <c r="K93" s="272"/>
      <c r="L93" s="272"/>
      <c r="M93" s="272"/>
      <c r="N93" s="272"/>
      <c r="O93" s="272"/>
      <c r="P93" s="272"/>
      <c r="Q93" s="272"/>
      <c r="R93" s="272"/>
      <c r="S93" s="272"/>
      <c r="T93" s="324"/>
      <c r="U93" s="272"/>
      <c r="V93" s="325">
        <v>0</v>
      </c>
      <c r="W93" s="275"/>
      <c r="X93" s="5"/>
    </row>
    <row r="94" spans="1:24" ht="15.6" x14ac:dyDescent="0.3">
      <c r="A94" s="271"/>
      <c r="B94" s="272" t="s">
        <v>265</v>
      </c>
      <c r="C94" s="272"/>
      <c r="D94" s="272"/>
      <c r="E94" s="272"/>
      <c r="F94" s="272"/>
      <c r="G94" s="272"/>
      <c r="H94" s="272"/>
      <c r="I94" s="272"/>
      <c r="J94" s="272"/>
      <c r="K94" s="272"/>
      <c r="L94" s="272"/>
      <c r="M94" s="272"/>
      <c r="N94" s="272"/>
      <c r="O94" s="272"/>
      <c r="P94" s="272"/>
      <c r="Q94" s="272"/>
      <c r="R94" s="272"/>
      <c r="S94" s="272"/>
      <c r="T94" s="324"/>
      <c r="U94" s="272"/>
      <c r="V94" s="325">
        <v>512</v>
      </c>
      <c r="W94" s="275"/>
      <c r="X94" s="5"/>
    </row>
    <row r="95" spans="1:24" ht="15.6" x14ac:dyDescent="0.3">
      <c r="A95" s="271"/>
      <c r="B95" s="272" t="s">
        <v>30</v>
      </c>
      <c r="C95" s="272"/>
      <c r="D95" s="272"/>
      <c r="E95" s="272"/>
      <c r="F95" s="272"/>
      <c r="G95" s="272"/>
      <c r="H95" s="272"/>
      <c r="I95" s="272"/>
      <c r="J95" s="272"/>
      <c r="K95" s="272"/>
      <c r="L95" s="272"/>
      <c r="M95" s="272"/>
      <c r="N95" s="272"/>
      <c r="O95" s="272"/>
      <c r="P95" s="272"/>
      <c r="Q95" s="272"/>
      <c r="R95" s="272"/>
      <c r="S95" s="272"/>
      <c r="T95" s="324">
        <f>SUM(T87:T94)</f>
        <v>9975</v>
      </c>
      <c r="U95" s="272"/>
      <c r="V95" s="324">
        <f>SUM(V87:V94)</f>
        <v>5985</v>
      </c>
      <c r="W95" s="275"/>
      <c r="X95" s="5"/>
    </row>
    <row r="96" spans="1:24" ht="15.6" x14ac:dyDescent="0.3">
      <c r="A96" s="271"/>
      <c r="B96" s="272" t="s">
        <v>164</v>
      </c>
      <c r="C96" s="272"/>
      <c r="D96" s="272"/>
      <c r="E96" s="272"/>
      <c r="F96" s="272"/>
      <c r="G96" s="272"/>
      <c r="H96" s="272"/>
      <c r="I96" s="272"/>
      <c r="J96" s="272"/>
      <c r="K96" s="272"/>
      <c r="L96" s="272"/>
      <c r="M96" s="272"/>
      <c r="N96" s="272"/>
      <c r="O96" s="272"/>
      <c r="P96" s="272"/>
      <c r="Q96" s="272"/>
      <c r="R96" s="272"/>
      <c r="S96" s="272"/>
      <c r="T96" s="324">
        <f>-V96</f>
        <v>0</v>
      </c>
      <c r="U96" s="272"/>
      <c r="V96" s="324">
        <v>0</v>
      </c>
      <c r="W96" s="275"/>
      <c r="X96" s="5"/>
    </row>
    <row r="97" spans="1:26" ht="15.6" x14ac:dyDescent="0.3">
      <c r="A97" s="271"/>
      <c r="B97" s="272" t="s">
        <v>31</v>
      </c>
      <c r="C97" s="272"/>
      <c r="D97" s="272"/>
      <c r="E97" s="272"/>
      <c r="F97" s="272"/>
      <c r="G97" s="272"/>
      <c r="H97" s="272"/>
      <c r="I97" s="272"/>
      <c r="J97" s="272"/>
      <c r="K97" s="272"/>
      <c r="L97" s="272"/>
      <c r="M97" s="272"/>
      <c r="N97" s="272"/>
      <c r="O97" s="272"/>
      <c r="P97" s="272"/>
      <c r="Q97" s="272"/>
      <c r="R97" s="272"/>
      <c r="S97" s="272"/>
      <c r="T97" s="324">
        <f>-V97</f>
        <v>0</v>
      </c>
      <c r="U97" s="272"/>
      <c r="V97" s="325">
        <v>0</v>
      </c>
      <c r="W97" s="275"/>
      <c r="X97" s="5"/>
    </row>
    <row r="98" spans="1:26" ht="15.6" x14ac:dyDescent="0.3">
      <c r="A98" s="271"/>
      <c r="B98" s="272" t="s">
        <v>288</v>
      </c>
      <c r="C98" s="272"/>
      <c r="D98" s="272"/>
      <c r="E98" s="272"/>
      <c r="F98" s="272"/>
      <c r="G98" s="272"/>
      <c r="H98" s="272"/>
      <c r="I98" s="272"/>
      <c r="J98" s="272"/>
      <c r="K98" s="272"/>
      <c r="L98" s="272"/>
      <c r="M98" s="272"/>
      <c r="N98" s="272"/>
      <c r="O98" s="272"/>
      <c r="P98" s="272"/>
      <c r="Q98" s="272"/>
      <c r="R98" s="272"/>
      <c r="S98" s="272"/>
      <c r="T98" s="324"/>
      <c r="U98" s="272"/>
      <c r="V98" s="325">
        <v>-405</v>
      </c>
      <c r="W98" s="275"/>
      <c r="X98" s="5"/>
    </row>
    <row r="99" spans="1:26" ht="15.6" x14ac:dyDescent="0.3">
      <c r="A99" s="271"/>
      <c r="B99" s="272" t="s">
        <v>32</v>
      </c>
      <c r="C99" s="272"/>
      <c r="D99" s="272"/>
      <c r="E99" s="272"/>
      <c r="F99" s="272"/>
      <c r="G99" s="272"/>
      <c r="H99" s="272"/>
      <c r="I99" s="272"/>
      <c r="J99" s="272"/>
      <c r="K99" s="272"/>
      <c r="L99" s="272"/>
      <c r="M99" s="272"/>
      <c r="N99" s="272"/>
      <c r="O99" s="272"/>
      <c r="P99" s="272"/>
      <c r="Q99" s="272"/>
      <c r="R99" s="272"/>
      <c r="S99" s="272"/>
      <c r="T99" s="324">
        <f>T95+T97+T96</f>
        <v>9975</v>
      </c>
      <c r="U99" s="272"/>
      <c r="V99" s="324">
        <f>V95+V97+V96+V98</f>
        <v>5580</v>
      </c>
      <c r="W99" s="275"/>
      <c r="X99" s="5"/>
    </row>
    <row r="100" spans="1:26" ht="15.6" x14ac:dyDescent="0.3">
      <c r="A100" s="271"/>
      <c r="B100" s="335" t="s">
        <v>33</v>
      </c>
      <c r="C100" s="298"/>
      <c r="D100" s="298"/>
      <c r="E100" s="298"/>
      <c r="F100" s="298"/>
      <c r="G100" s="298"/>
      <c r="H100" s="298"/>
      <c r="I100" s="298"/>
      <c r="J100" s="298"/>
      <c r="K100" s="298"/>
      <c r="L100" s="298"/>
      <c r="M100" s="298"/>
      <c r="N100" s="298"/>
      <c r="O100" s="298"/>
      <c r="P100" s="298"/>
      <c r="Q100" s="298"/>
      <c r="R100" s="298"/>
      <c r="S100" s="298"/>
      <c r="T100" s="336"/>
      <c r="U100" s="298"/>
      <c r="V100" s="337"/>
      <c r="W100" s="304"/>
      <c r="X100" s="5"/>
    </row>
    <row r="101" spans="1:26" ht="15.6" x14ac:dyDescent="0.3">
      <c r="A101" s="338">
        <v>1</v>
      </c>
      <c r="B101" s="272" t="s">
        <v>34</v>
      </c>
      <c r="C101" s="272"/>
      <c r="D101" s="272"/>
      <c r="E101" s="272"/>
      <c r="F101" s="272"/>
      <c r="G101" s="272"/>
      <c r="H101" s="272"/>
      <c r="I101" s="272"/>
      <c r="J101" s="272"/>
      <c r="K101" s="272"/>
      <c r="L101" s="272"/>
      <c r="M101" s="272"/>
      <c r="N101" s="272"/>
      <c r="O101" s="272"/>
      <c r="P101" s="272"/>
      <c r="Q101" s="272"/>
      <c r="R101" s="272"/>
      <c r="S101" s="272"/>
      <c r="T101" s="272"/>
      <c r="U101" s="272"/>
      <c r="V101" s="325">
        <v>0</v>
      </c>
      <c r="W101" s="275"/>
      <c r="X101" s="5"/>
    </row>
    <row r="102" spans="1:26" ht="15.6" x14ac:dyDescent="0.3">
      <c r="A102" s="338">
        <f>+A101+1</f>
        <v>2</v>
      </c>
      <c r="B102" s="272" t="s">
        <v>331</v>
      </c>
      <c r="C102" s="272"/>
      <c r="D102" s="272"/>
      <c r="E102" s="272"/>
      <c r="F102" s="272"/>
      <c r="G102" s="272"/>
      <c r="H102" s="272"/>
      <c r="I102" s="272"/>
      <c r="J102" s="272"/>
      <c r="K102" s="272"/>
      <c r="L102" s="272"/>
      <c r="M102" s="272"/>
      <c r="N102" s="272"/>
      <c r="O102" s="272"/>
      <c r="P102" s="272"/>
      <c r="Q102" s="272"/>
      <c r="R102" s="272"/>
      <c r="S102" s="272"/>
      <c r="T102" s="272"/>
      <c r="U102" s="272"/>
      <c r="V102" s="325">
        <f>-2</f>
        <v>-2</v>
      </c>
      <c r="W102" s="275"/>
      <c r="X102" s="5"/>
    </row>
    <row r="103" spans="1:26" ht="15.6" x14ac:dyDescent="0.3">
      <c r="A103" s="338">
        <f>+A102+1</f>
        <v>3</v>
      </c>
      <c r="B103" s="343" t="s">
        <v>332</v>
      </c>
      <c r="C103" s="272"/>
      <c r="D103" s="272"/>
      <c r="E103" s="272"/>
      <c r="F103" s="272"/>
      <c r="G103" s="272"/>
      <c r="H103" s="272"/>
      <c r="I103" s="272"/>
      <c r="J103" s="272"/>
      <c r="K103" s="272"/>
      <c r="L103" s="272"/>
      <c r="M103" s="272"/>
      <c r="N103" s="272"/>
      <c r="O103" s="272"/>
      <c r="P103" s="272"/>
      <c r="Q103" s="272"/>
      <c r="R103" s="272"/>
      <c r="S103" s="272"/>
      <c r="T103" s="272"/>
      <c r="U103" s="272"/>
      <c r="V103" s="325">
        <f>-343-166-12</f>
        <v>-521</v>
      </c>
      <c r="W103" s="275"/>
      <c r="X103" s="5"/>
    </row>
    <row r="104" spans="1:26" ht="15.6" x14ac:dyDescent="0.3">
      <c r="A104" s="338" t="s">
        <v>130</v>
      </c>
      <c r="B104" s="272" t="s">
        <v>119</v>
      </c>
      <c r="C104" s="272"/>
      <c r="D104" s="272"/>
      <c r="E104" s="272"/>
      <c r="F104" s="272"/>
      <c r="G104" s="272"/>
      <c r="H104" s="272"/>
      <c r="I104" s="272"/>
      <c r="J104" s="272"/>
      <c r="K104" s="272"/>
      <c r="L104" s="272"/>
      <c r="M104" s="272"/>
      <c r="N104" s="272"/>
      <c r="O104" s="272"/>
      <c r="P104" s="272"/>
      <c r="Q104" s="272"/>
      <c r="R104" s="272"/>
      <c r="S104" s="272"/>
      <c r="T104" s="272"/>
      <c r="U104" s="272"/>
      <c r="V104" s="325">
        <v>0</v>
      </c>
      <c r="W104" s="275"/>
      <c r="X104" s="5"/>
    </row>
    <row r="105" spans="1:26" ht="15.6" x14ac:dyDescent="0.3">
      <c r="A105" s="338" t="s">
        <v>131</v>
      </c>
      <c r="B105" s="272" t="s">
        <v>362</v>
      </c>
      <c r="C105" s="272"/>
      <c r="D105" s="272"/>
      <c r="E105" s="272"/>
      <c r="F105" s="272"/>
      <c r="G105" s="272"/>
      <c r="H105" s="272"/>
      <c r="I105" s="272"/>
      <c r="J105" s="272"/>
      <c r="K105" s="272"/>
      <c r="L105" s="272"/>
      <c r="M105" s="272"/>
      <c r="N105" s="272"/>
      <c r="O105" s="272"/>
      <c r="P105" s="272"/>
      <c r="Q105" s="272"/>
      <c r="R105" s="272"/>
      <c r="S105" s="272"/>
      <c r="T105" s="272"/>
      <c r="U105" s="272"/>
      <c r="V105" s="325">
        <f>-891-140</f>
        <v>-1031</v>
      </c>
      <c r="W105" s="275"/>
      <c r="X105" s="5"/>
      <c r="Y105" s="109"/>
      <c r="Z105" s="109"/>
    </row>
    <row r="106" spans="1:26" ht="15.6" x14ac:dyDescent="0.3">
      <c r="A106" s="338" t="s">
        <v>153</v>
      </c>
      <c r="B106" s="272" t="s">
        <v>363</v>
      </c>
      <c r="C106" s="272"/>
      <c r="D106" s="272"/>
      <c r="E106" s="272"/>
      <c r="F106" s="272"/>
      <c r="G106" s="272"/>
      <c r="H106" s="272"/>
      <c r="I106" s="272"/>
      <c r="J106" s="272"/>
      <c r="K106" s="272"/>
      <c r="L106" s="272"/>
      <c r="M106" s="272"/>
      <c r="N106" s="272"/>
      <c r="O106" s="272"/>
      <c r="P106" s="272"/>
      <c r="Q106" s="272"/>
      <c r="R106" s="272"/>
      <c r="S106" s="272"/>
      <c r="T106" s="272"/>
      <c r="U106" s="272"/>
      <c r="V106" s="325">
        <f>-243-210</f>
        <v>-453</v>
      </c>
      <c r="W106" s="275"/>
      <c r="X106" s="5"/>
      <c r="Y106" s="109"/>
    </row>
    <row r="107" spans="1:26" ht="15.6" x14ac:dyDescent="0.3">
      <c r="A107" s="338" t="s">
        <v>266</v>
      </c>
      <c r="B107" s="272" t="s">
        <v>269</v>
      </c>
      <c r="C107" s="272"/>
      <c r="D107" s="272"/>
      <c r="E107" s="272"/>
      <c r="F107" s="272"/>
      <c r="G107" s="272"/>
      <c r="H107" s="272"/>
      <c r="I107" s="272"/>
      <c r="J107" s="272"/>
      <c r="K107" s="272"/>
      <c r="L107" s="272"/>
      <c r="M107" s="272"/>
      <c r="N107" s="272"/>
      <c r="O107" s="272"/>
      <c r="P107" s="272"/>
      <c r="Q107" s="272"/>
      <c r="R107" s="272"/>
      <c r="S107" s="272"/>
      <c r="T107" s="272"/>
      <c r="U107" s="272"/>
      <c r="V107" s="325">
        <v>0</v>
      </c>
      <c r="W107" s="275"/>
      <c r="X107" s="5"/>
    </row>
    <row r="108" spans="1:26" ht="15.6" x14ac:dyDescent="0.3">
      <c r="A108" s="338" t="s">
        <v>208</v>
      </c>
      <c r="B108" s="272" t="s">
        <v>188</v>
      </c>
      <c r="C108" s="272"/>
      <c r="D108" s="272"/>
      <c r="E108" s="272"/>
      <c r="F108" s="272"/>
      <c r="G108" s="272"/>
      <c r="H108" s="272"/>
      <c r="I108" s="272"/>
      <c r="J108" s="272"/>
      <c r="K108" s="272"/>
      <c r="L108" s="272"/>
      <c r="M108" s="272"/>
      <c r="N108" s="272"/>
      <c r="O108" s="272"/>
      <c r="P108" s="272"/>
      <c r="Q108" s="272"/>
      <c r="R108" s="272"/>
      <c r="S108" s="272"/>
      <c r="T108" s="272"/>
      <c r="U108" s="272"/>
      <c r="V108" s="325">
        <v>-142</v>
      </c>
      <c r="W108" s="275"/>
      <c r="X108" s="5"/>
      <c r="Y108" s="109"/>
    </row>
    <row r="109" spans="1:26" ht="15.6" x14ac:dyDescent="0.3">
      <c r="A109" s="338" t="s">
        <v>209</v>
      </c>
      <c r="B109" s="272" t="s">
        <v>189</v>
      </c>
      <c r="C109" s="272"/>
      <c r="D109" s="272"/>
      <c r="E109" s="272"/>
      <c r="F109" s="272"/>
      <c r="G109" s="272"/>
      <c r="H109" s="272"/>
      <c r="I109" s="272"/>
      <c r="J109" s="272"/>
      <c r="K109" s="272"/>
      <c r="L109" s="272"/>
      <c r="M109" s="272"/>
      <c r="N109" s="272"/>
      <c r="O109" s="272"/>
      <c r="P109" s="272"/>
      <c r="Q109" s="272"/>
      <c r="R109" s="272"/>
      <c r="S109" s="272"/>
      <c r="T109" s="272"/>
      <c r="U109" s="272"/>
      <c r="V109" s="325">
        <v>-138</v>
      </c>
      <c r="W109" s="275"/>
      <c r="X109" s="5"/>
      <c r="Y109" s="109"/>
    </row>
    <row r="110" spans="1:26" ht="15.6" x14ac:dyDescent="0.3">
      <c r="A110" s="338" t="s">
        <v>210</v>
      </c>
      <c r="B110" s="272" t="s">
        <v>199</v>
      </c>
      <c r="C110" s="272"/>
      <c r="D110" s="272"/>
      <c r="E110" s="272"/>
      <c r="F110" s="272"/>
      <c r="G110" s="272"/>
      <c r="H110" s="272"/>
      <c r="I110" s="272"/>
      <c r="J110" s="272"/>
      <c r="K110" s="272"/>
      <c r="L110" s="272"/>
      <c r="M110" s="272"/>
      <c r="N110" s="272"/>
      <c r="O110" s="272"/>
      <c r="P110" s="272"/>
      <c r="Q110" s="272"/>
      <c r="R110" s="272"/>
      <c r="S110" s="272"/>
      <c r="T110" s="272"/>
      <c r="U110" s="272"/>
      <c r="V110" s="325">
        <v>-194</v>
      </c>
      <c r="W110" s="275"/>
      <c r="X110" s="5"/>
      <c r="Y110" s="109"/>
    </row>
    <row r="111" spans="1:26" ht="15.6" x14ac:dyDescent="0.3">
      <c r="A111" s="338" t="s">
        <v>230</v>
      </c>
      <c r="B111" s="272" t="s">
        <v>229</v>
      </c>
      <c r="C111" s="272"/>
      <c r="D111" s="272"/>
      <c r="E111" s="272"/>
      <c r="F111" s="272"/>
      <c r="G111" s="272"/>
      <c r="H111" s="272"/>
      <c r="I111" s="272"/>
      <c r="J111" s="272"/>
      <c r="K111" s="272"/>
      <c r="L111" s="272"/>
      <c r="M111" s="272"/>
      <c r="N111" s="272"/>
      <c r="O111" s="272"/>
      <c r="P111" s="272"/>
      <c r="Q111" s="272"/>
      <c r="R111" s="272"/>
      <c r="S111" s="272"/>
      <c r="T111" s="272"/>
      <c r="U111" s="272"/>
      <c r="V111" s="325">
        <v>-45</v>
      </c>
      <c r="W111" s="275"/>
      <c r="X111" s="5"/>
      <c r="Y111" s="109"/>
    </row>
    <row r="112" spans="1:26" ht="15.6" x14ac:dyDescent="0.3">
      <c r="A112" s="392">
        <v>7</v>
      </c>
      <c r="B112" s="343" t="s">
        <v>333</v>
      </c>
      <c r="C112" s="343"/>
      <c r="D112" s="343"/>
      <c r="E112" s="343"/>
      <c r="F112" s="343"/>
      <c r="G112" s="272"/>
      <c r="H112" s="272"/>
      <c r="I112" s="272"/>
      <c r="J112" s="272"/>
      <c r="K112" s="272"/>
      <c r="L112" s="272"/>
      <c r="M112" s="272"/>
      <c r="N112" s="272"/>
      <c r="O112" s="272"/>
      <c r="P112" s="272"/>
      <c r="Q112" s="272"/>
      <c r="R112" s="272"/>
      <c r="S112" s="272"/>
      <c r="T112" s="272"/>
      <c r="U112" s="272"/>
      <c r="V112" s="325">
        <v>0</v>
      </c>
      <c r="W112" s="275"/>
      <c r="X112" s="5"/>
      <c r="Y112" s="109"/>
    </row>
    <row r="113" spans="1:24" ht="15.6" x14ac:dyDescent="0.3">
      <c r="A113" s="338">
        <f t="shared" ref="A113:A120" si="0">+A112+1</f>
        <v>8</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-10</v>
      </c>
      <c r="W113" s="275"/>
      <c r="X113" s="5"/>
    </row>
    <row r="114" spans="1:24" ht="15.6" x14ac:dyDescent="0.3">
      <c r="A114" s="338">
        <f t="shared" si="0"/>
        <v>9</v>
      </c>
      <c r="B114" s="272" t="s">
        <v>45</v>
      </c>
      <c r="C114" s="272"/>
      <c r="D114" s="272"/>
      <c r="E114" s="272"/>
      <c r="F114" s="272"/>
      <c r="G114" s="272"/>
      <c r="H114" s="272"/>
      <c r="I114" s="272"/>
      <c r="J114" s="272"/>
      <c r="K114" s="272"/>
      <c r="L114" s="272"/>
      <c r="M114" s="272"/>
      <c r="N114" s="272"/>
      <c r="O114" s="272"/>
      <c r="P114" s="272"/>
      <c r="Q114" s="272"/>
      <c r="R114" s="272"/>
      <c r="S114" s="272"/>
      <c r="T114" s="324">
        <f>-V114</f>
        <v>10</v>
      </c>
      <c r="U114" s="272"/>
      <c r="V114" s="325">
        <v>-10</v>
      </c>
      <c r="W114" s="275"/>
      <c r="X114" s="5"/>
    </row>
    <row r="115" spans="1:24" ht="15.6" x14ac:dyDescent="0.3">
      <c r="A115" s="338">
        <f t="shared" si="0"/>
        <v>10</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11</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12</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13</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14</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-343</v>
      </c>
      <c r="W119" s="275"/>
      <c r="X119" s="5"/>
    </row>
    <row r="120" spans="1:24" ht="15.6" x14ac:dyDescent="0.3">
      <c r="A120" s="338">
        <f t="shared" si="0"/>
        <v>15</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-V99-SUM(V101:V119)</f>
        <v>-2691</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-10</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0</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-489</v>
      </c>
      <c r="U124" s="324"/>
      <c r="V124" s="325"/>
      <c r="W124" s="275"/>
      <c r="X124" s="5"/>
    </row>
    <row r="125" spans="1:24" ht="15.6" x14ac:dyDescent="0.3">
      <c r="A125" s="338"/>
      <c r="B125" s="272" t="s">
        <v>386</v>
      </c>
      <c r="C125" s="272"/>
      <c r="D125" s="272"/>
      <c r="E125" s="272"/>
      <c r="F125" s="272"/>
      <c r="G125" s="272"/>
      <c r="H125" s="272"/>
      <c r="I125" s="272"/>
      <c r="J125" s="272"/>
      <c r="K125" s="272"/>
      <c r="L125" s="272"/>
      <c r="M125" s="272"/>
      <c r="N125" s="272"/>
      <c r="O125" s="272"/>
      <c r="P125" s="272"/>
      <c r="Q125" s="272"/>
      <c r="R125" s="272"/>
      <c r="S125" s="272"/>
      <c r="T125" s="324">
        <v>-5732</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-898</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-1519</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-1337</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-9985</v>
      </c>
      <c r="U133" s="324"/>
      <c r="V133" s="324">
        <f>SUM(V100:V130)</f>
        <v>-5580</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T99+T133+T114</f>
        <v>0</v>
      </c>
      <c r="U134" s="324"/>
      <c r="V134" s="324">
        <f>V99+V133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B63</f>
        <v>PM13 INVESTOR REPORT QUARTER ENDING DECEMBER 2015</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341</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10</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10</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-10</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f>-V98</f>
        <v>405</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V70</f>
        <v>884715</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V83</f>
        <v>884715</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+'Sept 15'!S183</f>
        <v>50564</v>
      </c>
      <c r="T181" s="325">
        <f>+'Sept 15'!T183</f>
        <v>9739</v>
      </c>
      <c r="U181" s="272"/>
      <c r="V181" s="325">
        <f>S181+T181</f>
        <v>60303</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f>397+92</f>
        <v>489</v>
      </c>
      <c r="T182" s="324">
        <v>10</v>
      </c>
      <c r="U182" s="272"/>
      <c r="V182" s="325">
        <f>S182+T182</f>
        <v>499</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51053</v>
      </c>
      <c r="T183" s="325">
        <f>T182+T181</f>
        <v>9749</v>
      </c>
      <c r="U183" s="272"/>
      <c r="V183" s="325">
        <f>S183+T183</f>
        <v>60802</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179228.4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(V99+V101+V102+V103+V104)/-(V105+V106)</f>
        <v>3.4076819407008085</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1.81</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(V99+V101+V102+V103+V104+V105+V106)/-(V108+V109)</f>
        <v>12.760714285714286</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7.27</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(V99+V101+V102+V103+V104+V105+V106+V108+V109)/-(V110+V111)</f>
        <v>13.778242677824268</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9.2200000000000006</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DECEMBER 2015</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42369</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2.291E-2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8.8926325619096153E-3</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1.4017367438090384E-2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+V99/N70</f>
        <v>6.2402077385285857E-3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12.12</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P67/N67</f>
        <v>1.1166393238209307E-2</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6.3399999999999998E-2</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0</v>
      </c>
      <c r="T216" s="357">
        <v>0</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137</v>
      </c>
      <c r="T217" s="357">
        <f>+T269</f>
        <v>21896</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f>+R281</f>
        <v>0</v>
      </c>
      <c r="T218" s="357">
        <f>+T281</f>
        <v>0</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+N80</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2" t="s">
        <v>84</v>
      </c>
      <c r="C222" s="272"/>
      <c r="D222" s="272"/>
      <c r="E222" s="272"/>
      <c r="F222" s="272"/>
      <c r="G222" s="272"/>
      <c r="H222" s="272"/>
      <c r="I222" s="272"/>
      <c r="J222" s="272"/>
      <c r="K222" s="272"/>
      <c r="L222" s="272"/>
      <c r="M222" s="272"/>
      <c r="N222" s="272"/>
      <c r="O222" s="272"/>
      <c r="P222" s="272"/>
      <c r="Q222" s="272"/>
      <c r="R222" s="272"/>
      <c r="S222" s="280"/>
      <c r="T222" s="357">
        <f>V166</f>
        <v>10</v>
      </c>
      <c r="U222" s="272"/>
      <c r="V222" s="362"/>
      <c r="W222" s="367"/>
      <c r="X222" s="5"/>
    </row>
    <row r="223" spans="1:24" ht="15.6" x14ac:dyDescent="0.3">
      <c r="A223" s="356"/>
      <c r="B223" s="272" t="s">
        <v>85</v>
      </c>
      <c r="C223" s="324"/>
      <c r="D223" s="324"/>
      <c r="E223" s="324"/>
      <c r="F223" s="324"/>
      <c r="G223" s="272"/>
      <c r="H223" s="272"/>
      <c r="I223" s="272"/>
      <c r="J223" s="272"/>
      <c r="K223" s="272"/>
      <c r="L223" s="272"/>
      <c r="M223" s="272"/>
      <c r="N223" s="272"/>
      <c r="O223" s="272"/>
      <c r="P223" s="272"/>
      <c r="Q223" s="272"/>
      <c r="R223" s="272"/>
      <c r="S223" s="280"/>
      <c r="T223" s="357">
        <f>'Sept 15'!T223+T222</f>
        <v>8046</v>
      </c>
      <c r="U223" s="272"/>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1</v>
      </c>
      <c r="T229" s="357">
        <v>70</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3.72</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 t="shared" ref="R236:R243" si="1">+R248+R260+R272</f>
        <v>6849</v>
      </c>
      <c r="S236" s="381">
        <f t="shared" ref="S236:S243" si="2">R236/$R$245</f>
        <v>0.99462677897182694</v>
      </c>
      <c r="T236" s="325">
        <f t="shared" ref="T236:T243" si="3">+T248+T260+T272</f>
        <v>880088</v>
      </c>
      <c r="U236" s="381">
        <f t="shared" ref="U236:U243" si="4">T236/$T$245</f>
        <v>0.99477006719678085</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si="1"/>
        <v>5</v>
      </c>
      <c r="S237" s="381">
        <f t="shared" si="2"/>
        <v>7.2611094975312226E-4</v>
      </c>
      <c r="T237" s="325">
        <f t="shared" si="3"/>
        <v>810</v>
      </c>
      <c r="U237" s="381">
        <f t="shared" si="4"/>
        <v>9.1554907512588803E-4</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3</v>
      </c>
      <c r="S238" s="381">
        <f t="shared" si="2"/>
        <v>4.3566656985187334E-4</v>
      </c>
      <c r="T238" s="325">
        <f t="shared" si="3"/>
        <v>334</v>
      </c>
      <c r="U238" s="381">
        <f t="shared" si="4"/>
        <v>3.7752270505190936E-4</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0</v>
      </c>
      <c r="S239" s="381">
        <f t="shared" si="2"/>
        <v>0</v>
      </c>
      <c r="T239" s="325">
        <f t="shared" si="3"/>
        <v>0</v>
      </c>
      <c r="U239" s="381">
        <f t="shared" si="4"/>
        <v>0</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1</v>
      </c>
      <c r="S240" s="381">
        <f t="shared" si="2"/>
        <v>1.4522218995062446E-4</v>
      </c>
      <c r="T240" s="325">
        <f t="shared" si="3"/>
        <v>23</v>
      </c>
      <c r="U240" s="381">
        <f t="shared" si="4"/>
        <v>2.5997072503574598E-5</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2</v>
      </c>
      <c r="S241" s="381">
        <f t="shared" si="2"/>
        <v>2.9044437990124891E-4</v>
      </c>
      <c r="T241" s="325">
        <f t="shared" si="3"/>
        <v>202</v>
      </c>
      <c r="U241" s="381">
        <f t="shared" si="4"/>
        <v>2.2832211503139428E-4</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5</v>
      </c>
      <c r="S242" s="381">
        <f t="shared" si="2"/>
        <v>7.2611094975312226E-4</v>
      </c>
      <c r="T242" s="325">
        <f t="shared" si="3"/>
        <v>501</v>
      </c>
      <c r="U242" s="381">
        <f t="shared" si="4"/>
        <v>5.6628405757786404E-4</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21</v>
      </c>
      <c r="S243" s="381">
        <f t="shared" si="2"/>
        <v>3.0496659889631137E-3</v>
      </c>
      <c r="T243" s="325">
        <f t="shared" si="3"/>
        <v>2757</v>
      </c>
      <c r="U243" s="381">
        <f t="shared" si="4"/>
        <v>3.1162577779284854E-3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6886</v>
      </c>
      <c r="S245" s="381">
        <f>SUM(S236:S244)</f>
        <v>1</v>
      </c>
      <c r="T245" s="325">
        <f>SUM(T236:T244)</f>
        <v>884715</v>
      </c>
      <c r="U245" s="381">
        <f>SUM(U236:U244)</f>
        <v>1</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6745</v>
      </c>
      <c r="S248" s="261">
        <f t="shared" ref="S248:S255" si="5">R248/$R$257</f>
        <v>0.99940731960290419</v>
      </c>
      <c r="T248" s="238">
        <v>862082</v>
      </c>
      <c r="U248" s="261">
        <f t="shared" ref="U248:U255" si="6">T248/$T$257</f>
        <v>0.99914582316801093</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3</v>
      </c>
      <c r="S249" s="381">
        <f t="shared" si="5"/>
        <v>4.4451029782189953E-4</v>
      </c>
      <c r="T249" s="325">
        <v>619</v>
      </c>
      <c r="U249" s="381">
        <f t="shared" si="6"/>
        <v>7.174158195403671E-4</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0</v>
      </c>
      <c r="S250" s="381">
        <f t="shared" si="5"/>
        <v>0</v>
      </c>
      <c r="T250" s="325">
        <v>0</v>
      </c>
      <c r="U250" s="381">
        <f t="shared" si="6"/>
        <v>0</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0</v>
      </c>
      <c r="S251" s="381">
        <f t="shared" si="5"/>
        <v>0</v>
      </c>
      <c r="T251" s="325">
        <v>0</v>
      </c>
      <c r="U251" s="381">
        <f t="shared" si="6"/>
        <v>0</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1</v>
      </c>
      <c r="S255" s="381">
        <f t="shared" si="5"/>
        <v>1.481700992739665E-4</v>
      </c>
      <c r="T255" s="325">
        <v>118</v>
      </c>
      <c r="U255" s="381">
        <f t="shared" si="6"/>
        <v>1.3676101244872911E-4</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6749</v>
      </c>
      <c r="S257" s="381">
        <f>SUM(S248:S256)</f>
        <v>1</v>
      </c>
      <c r="T257" s="325">
        <f>SUM(T248:T256)</f>
        <v>862819</v>
      </c>
      <c r="U257" s="381">
        <f>SUM(U248:U256)</f>
        <v>1</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104</v>
      </c>
      <c r="S260" s="261">
        <f>R260/$R$269</f>
        <v>0.75912408759124084</v>
      </c>
      <c r="T260" s="238">
        <v>18006</v>
      </c>
      <c r="U260" s="261">
        <f t="shared" ref="U260:U267" si="7">T260/$T$269</f>
        <v>0.82234198027036898</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2</v>
      </c>
      <c r="S261" s="381">
        <f t="shared" ref="S261:S265" si="8">R261/$R$269</f>
        <v>1.4598540145985401E-2</v>
      </c>
      <c r="T261" s="325">
        <v>191</v>
      </c>
      <c r="U261" s="381">
        <f t="shared" si="7"/>
        <v>8.7230544391669711E-3</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3</v>
      </c>
      <c r="S262" s="381">
        <f t="shared" si="8"/>
        <v>2.1897810218978103E-2</v>
      </c>
      <c r="T262" s="325">
        <v>334</v>
      </c>
      <c r="U262" s="381">
        <f t="shared" si="7"/>
        <v>1.5253927658019729E-2</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0</v>
      </c>
      <c r="S263" s="381">
        <f t="shared" si="8"/>
        <v>0</v>
      </c>
      <c r="T263" s="325">
        <v>0</v>
      </c>
      <c r="U263" s="381">
        <f t="shared" si="7"/>
        <v>0</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1</v>
      </c>
      <c r="S264" s="381">
        <f t="shared" si="8"/>
        <v>7.2992700729927005E-3</v>
      </c>
      <c r="T264" s="325">
        <v>23</v>
      </c>
      <c r="U264" s="381">
        <f t="shared" si="7"/>
        <v>1.0504201680672268E-3</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2</v>
      </c>
      <c r="S265" s="381">
        <f t="shared" si="8"/>
        <v>1.4598540145985401E-2</v>
      </c>
      <c r="T265" s="325">
        <v>202</v>
      </c>
      <c r="U265" s="381">
        <f t="shared" si="7"/>
        <v>9.2254293021556445E-3</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5</v>
      </c>
      <c r="S266" s="381">
        <f>R266/$R$269</f>
        <v>3.6496350364963501E-2</v>
      </c>
      <c r="T266" s="325">
        <v>501</v>
      </c>
      <c r="U266" s="381">
        <f t="shared" si="7"/>
        <v>2.2880891487029594E-2</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20</v>
      </c>
      <c r="S267" s="381">
        <f>R267/$R$269</f>
        <v>0.145985401459854</v>
      </c>
      <c r="T267" s="325">
        <v>2639</v>
      </c>
      <c r="U267" s="381">
        <f t="shared" si="7"/>
        <v>0.12052429667519182</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137</v>
      </c>
      <c r="S269" s="381">
        <f>SUM(S260:S268)</f>
        <v>0.99999999999999978</v>
      </c>
      <c r="T269" s="325">
        <f>SUM(T260:T268)</f>
        <v>21896</v>
      </c>
      <c r="U269" s="381">
        <f>SUM(U260:U268)</f>
        <v>0.99999999999999989</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v>0</v>
      </c>
      <c r="T272" s="238">
        <v>0</v>
      </c>
      <c r="U272" s="261">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v>0</v>
      </c>
      <c r="T273" s="325">
        <v>0</v>
      </c>
      <c r="U273" s="381">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0</v>
      </c>
      <c r="S281" s="381">
        <f>SUM(S272:S279)</f>
        <v>0</v>
      </c>
      <c r="T281" s="325">
        <f>SUM(T272:T279)</f>
        <v>0</v>
      </c>
      <c r="U281" s="381">
        <f>SUM(U272:U279)</f>
        <v>0</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79" t="s">
        <v>167</v>
      </c>
      <c r="C283" s="272"/>
      <c r="D283" s="272"/>
      <c r="E283" s="272"/>
      <c r="F283" s="272"/>
      <c r="G283" s="272"/>
      <c r="H283" s="383"/>
      <c r="I283" s="383"/>
      <c r="J283" s="383"/>
      <c r="K283" s="383"/>
      <c r="L283" s="383"/>
      <c r="M283" s="383"/>
      <c r="N283" s="383"/>
      <c r="O283" s="383"/>
      <c r="P283" s="383"/>
      <c r="Q283" s="383"/>
      <c r="R283" s="390">
        <f>R281+R269+R257</f>
        <v>6886</v>
      </c>
      <c r="S283" s="381"/>
      <c r="T283" s="387">
        <f>+T281+T269+T257</f>
        <v>884715</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335</v>
      </c>
      <c r="C287" s="220"/>
      <c r="D287" s="220"/>
      <c r="E287" s="220"/>
      <c r="F287" s="265" t="s">
        <v>151</v>
      </c>
      <c r="G287" s="220"/>
      <c r="H287" s="219" t="s">
        <v>155</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336</v>
      </c>
      <c r="C288" s="219"/>
      <c r="D288" s="219"/>
      <c r="E288" s="219"/>
      <c r="F288" s="265" t="s">
        <v>282</v>
      </c>
      <c r="G288" s="219"/>
      <c r="H288" s="219" t="s">
        <v>283</v>
      </c>
      <c r="I288" s="227"/>
      <c r="J288" s="219"/>
      <c r="K288" s="227"/>
      <c r="L288" s="227"/>
      <c r="M288" s="227"/>
      <c r="N288" s="227"/>
      <c r="O288" s="227"/>
      <c r="P288" s="227"/>
      <c r="Q288" s="227"/>
      <c r="R288" s="227"/>
      <c r="S288" s="227"/>
      <c r="T288" s="227"/>
      <c r="U288" s="227"/>
      <c r="V288" s="227"/>
      <c r="W288" s="227"/>
      <c r="X288" s="5"/>
    </row>
    <row r="289" spans="1:24" ht="15.6" x14ac:dyDescent="0.3">
      <c r="A289" s="216"/>
      <c r="B289" s="219" t="s">
        <v>337</v>
      </c>
      <c r="C289" s="219"/>
      <c r="D289" s="219"/>
      <c r="E289" s="219"/>
      <c r="F289" s="265" t="s">
        <v>150</v>
      </c>
      <c r="G289" s="219"/>
      <c r="H289" s="219" t="s">
        <v>156</v>
      </c>
      <c r="I289" s="219"/>
      <c r="J289" s="219"/>
      <c r="K289" s="227"/>
      <c r="L289" s="227"/>
      <c r="M289" s="227"/>
      <c r="N289" s="227"/>
      <c r="O289" s="227"/>
      <c r="P289" s="227"/>
      <c r="Q289" s="227"/>
      <c r="R289" s="227"/>
      <c r="S289" s="227"/>
      <c r="T289" s="227"/>
      <c r="U289" s="227"/>
      <c r="V289" s="227"/>
      <c r="W289" s="227"/>
      <c r="X289" s="5"/>
    </row>
    <row r="290" spans="1:24" ht="15.6" x14ac:dyDescent="0.3">
      <c r="A290" s="216"/>
      <c r="B290" s="219"/>
      <c r="C290" s="219"/>
      <c r="D290" s="219"/>
      <c r="E290" s="219"/>
      <c r="F290" s="265"/>
      <c r="G290" s="219"/>
      <c r="H290" s="219"/>
      <c r="I290" s="219"/>
      <c r="J290" s="219"/>
      <c r="K290" s="227"/>
      <c r="L290" s="227"/>
      <c r="M290" s="227"/>
      <c r="N290" s="227"/>
      <c r="O290" s="227"/>
      <c r="P290" s="227"/>
      <c r="Q290" s="227"/>
      <c r="R290" s="227"/>
      <c r="S290" s="227"/>
      <c r="T290" s="227"/>
      <c r="U290" s="227"/>
      <c r="V290" s="227"/>
      <c r="W290" s="227"/>
      <c r="X290" s="5"/>
    </row>
    <row r="291" spans="1:24" ht="15.6" x14ac:dyDescent="0.3">
      <c r="A291" s="216"/>
      <c r="B291" s="268" t="s">
        <v>367</v>
      </c>
      <c r="C291" s="219"/>
      <c r="D291" s="219"/>
      <c r="E291" s="219"/>
      <c r="F291" s="265"/>
      <c r="G291" s="219"/>
      <c r="H291" s="219"/>
      <c r="I291" s="219"/>
      <c r="J291" s="219"/>
      <c r="K291" s="227"/>
      <c r="L291" s="227"/>
      <c r="M291" s="227"/>
      <c r="N291" s="227"/>
      <c r="O291" s="227"/>
      <c r="P291" s="227"/>
      <c r="Q291" s="227"/>
      <c r="R291" s="227"/>
      <c r="S291" s="227"/>
      <c r="T291" s="227"/>
      <c r="U291" s="227"/>
      <c r="V291" s="227"/>
      <c r="W291" s="227"/>
      <c r="X291" s="5"/>
    </row>
    <row r="292" spans="1:24" ht="15.6" x14ac:dyDescent="0.3">
      <c r="A292" s="216"/>
      <c r="B292" s="268" t="s">
        <v>364</v>
      </c>
      <c r="C292" s="219"/>
      <c r="D292" s="219"/>
      <c r="E292" s="219"/>
      <c r="F292" s="265"/>
      <c r="G292" s="219"/>
      <c r="H292" s="219"/>
      <c r="I292" s="219"/>
      <c r="J292" s="219"/>
      <c r="K292" s="227"/>
      <c r="L292" s="227"/>
      <c r="M292" s="227"/>
      <c r="N292" s="227"/>
      <c r="O292" s="227"/>
      <c r="P292" s="227"/>
      <c r="Q292" s="227"/>
      <c r="R292" s="227"/>
      <c r="S292" s="227"/>
      <c r="T292" s="227"/>
      <c r="U292" s="227"/>
      <c r="V292" s="227"/>
      <c r="W292" s="227"/>
      <c r="X292" s="5"/>
    </row>
    <row r="293" spans="1:24" ht="15.6" x14ac:dyDescent="0.3">
      <c r="A293" s="216"/>
      <c r="B293" s="268" t="s">
        <v>365</v>
      </c>
      <c r="C293" s="219"/>
      <c r="D293" s="219"/>
      <c r="E293" s="219"/>
      <c r="F293" s="265"/>
      <c r="G293" s="219"/>
      <c r="H293" s="219"/>
      <c r="I293" s="219"/>
      <c r="J293" s="219"/>
      <c r="K293" s="227"/>
      <c r="L293" s="227"/>
      <c r="M293" s="227"/>
      <c r="N293" s="227"/>
      <c r="O293" s="227"/>
      <c r="P293" s="227"/>
      <c r="Q293" s="227"/>
      <c r="R293" s="227"/>
      <c r="S293" s="227"/>
      <c r="T293" s="227"/>
      <c r="U293" s="227"/>
      <c r="V293" s="227"/>
      <c r="W293" s="227"/>
      <c r="X293" s="5"/>
    </row>
    <row r="294" spans="1:24" ht="15.6" x14ac:dyDescent="0.3">
      <c r="A294" s="216"/>
      <c r="B294" s="268" t="s">
        <v>366</v>
      </c>
      <c r="C294" s="219"/>
      <c r="D294" s="219"/>
      <c r="E294" s="219"/>
      <c r="F294" s="265"/>
      <c r="G294" s="219"/>
      <c r="H294" s="219"/>
      <c r="I294" s="219"/>
      <c r="J294" s="219"/>
      <c r="K294" s="227"/>
      <c r="L294" s="227"/>
      <c r="M294" s="227"/>
      <c r="N294" s="227"/>
      <c r="O294" s="227"/>
      <c r="P294" s="227"/>
      <c r="Q294" s="227"/>
      <c r="R294" s="227"/>
      <c r="S294" s="227"/>
      <c r="T294" s="227"/>
      <c r="U294" s="227"/>
      <c r="V294" s="227"/>
      <c r="W294" s="227"/>
      <c r="X294" s="5"/>
    </row>
    <row r="295" spans="1:24" ht="15.6" x14ac:dyDescent="0.3">
      <c r="A295" s="216"/>
      <c r="B295" s="219"/>
      <c r="C295" s="219"/>
      <c r="D295" s="219"/>
      <c r="E295" s="219"/>
      <c r="F295" s="265"/>
      <c r="G295" s="219"/>
      <c r="H295" s="219"/>
      <c r="I295" s="219"/>
      <c r="J295" s="219"/>
      <c r="K295" s="227"/>
      <c r="L295" s="227"/>
      <c r="M295" s="227"/>
      <c r="N295" s="227"/>
      <c r="O295" s="227"/>
      <c r="P295" s="227"/>
      <c r="Q295" s="227"/>
      <c r="R295" s="227"/>
      <c r="S295" s="227"/>
      <c r="T295" s="227"/>
      <c r="U295" s="227"/>
      <c r="V295" s="227"/>
      <c r="W295" s="227"/>
      <c r="X295" s="5"/>
    </row>
    <row r="296" spans="1:24" ht="17.399999999999999" x14ac:dyDescent="0.3">
      <c r="A296" s="216"/>
      <c r="B296" s="400" t="s">
        <v>368</v>
      </c>
      <c r="C296" s="219"/>
      <c r="D296" s="219"/>
      <c r="E296" s="219"/>
      <c r="F296" s="219"/>
      <c r="G296" s="266"/>
      <c r="H296" s="227"/>
      <c r="I296" s="227"/>
      <c r="J296" s="227"/>
      <c r="K296" s="227"/>
      <c r="L296" s="187"/>
      <c r="M296" s="187"/>
      <c r="N296" s="401"/>
      <c r="O296" s="187"/>
      <c r="P296" s="401" t="s">
        <v>170</v>
      </c>
      <c r="Q296" s="227"/>
      <c r="R296" s="227"/>
      <c r="S296" s="227"/>
      <c r="T296" s="227"/>
      <c r="U296" s="227"/>
      <c r="V296" s="227"/>
      <c r="W296" s="227"/>
      <c r="X296" s="5"/>
    </row>
    <row r="297" spans="1:24" ht="15.6" x14ac:dyDescent="0.3">
      <c r="A297" s="216"/>
      <c r="B297" s="219"/>
      <c r="C297" s="219"/>
      <c r="D297" s="219"/>
      <c r="E297" s="219"/>
      <c r="F297" s="219"/>
      <c r="G297" s="266"/>
      <c r="H297" s="227"/>
      <c r="I297" s="227"/>
      <c r="J297" s="227"/>
      <c r="K297" s="227"/>
      <c r="L297" s="227"/>
      <c r="M297" s="227"/>
      <c r="N297" s="227"/>
      <c r="O297" s="227"/>
      <c r="P297" s="227"/>
      <c r="Q297" s="227"/>
      <c r="R297" s="227"/>
      <c r="S297" s="227"/>
      <c r="T297" s="227"/>
      <c r="U297" s="227"/>
      <c r="V297" s="227"/>
      <c r="W297" s="227"/>
      <c r="X297" s="5"/>
    </row>
    <row r="298" spans="1:24" ht="18" thickBot="1" x14ac:dyDescent="0.35">
      <c r="A298" s="216"/>
      <c r="B298" s="267" t="str">
        <f>B197</f>
        <v>PM13 INVESTOR REPORT QUARTER ENDING DECEMBER 2015</v>
      </c>
      <c r="C298" s="219"/>
      <c r="D298" s="219"/>
      <c r="E298" s="219"/>
      <c r="F298" s="219"/>
      <c r="G298" s="266"/>
      <c r="H298" s="227"/>
      <c r="I298" s="227"/>
      <c r="J298" s="227"/>
      <c r="K298" s="227"/>
      <c r="L298" s="227"/>
      <c r="M298" s="227"/>
      <c r="N298" s="227"/>
      <c r="O298" s="227"/>
      <c r="P298" s="227"/>
      <c r="Q298" s="227"/>
      <c r="R298" s="227"/>
      <c r="S298" s="227"/>
      <c r="T298" s="227"/>
      <c r="U298" s="227"/>
      <c r="V298" s="227"/>
      <c r="W298" s="227"/>
      <c r="X298" s="5"/>
    </row>
    <row r="299" spans="1:24" x14ac:dyDescent="0.25">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row>
  </sheetData>
  <hyperlinks>
    <hyperlink ref="P233" r:id="rId1" xr:uid="{00000000-0004-0000-2400-000000000000}"/>
    <hyperlink ref="I9" r:id="rId2" xr:uid="{00000000-0004-0000-2400-000001000000}"/>
    <hyperlink ref="P296" r:id="rId3" xr:uid="{00000000-0004-0000-2400-000002000000}"/>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37" max="22" man="1"/>
    <brk id="197" max="22" man="1"/>
  </rowBreaks>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2D2926"/>
  </sheetPr>
  <dimension ref="A1:Z29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0.6583</v>
      </c>
      <c r="T16" s="224" t="s">
        <v>143</v>
      </c>
      <c r="U16" s="223">
        <v>0.3417</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42481</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395"/>
      <c r="B22" s="396"/>
      <c r="C22" s="397"/>
      <c r="D22" s="397" t="s">
        <v>180</v>
      </c>
      <c r="E22" s="397"/>
      <c r="F22" s="397" t="s">
        <v>181</v>
      </c>
      <c r="G22" s="397"/>
      <c r="H22" s="397" t="s">
        <v>182</v>
      </c>
      <c r="I22" s="397"/>
      <c r="J22" s="397" t="s">
        <v>223</v>
      </c>
      <c r="K22" s="397"/>
      <c r="L22" s="397" t="s">
        <v>183</v>
      </c>
      <c r="M22" s="397"/>
      <c r="N22" s="397" t="s">
        <v>184</v>
      </c>
      <c r="O22" s="397"/>
      <c r="P22" s="397" t="s">
        <v>224</v>
      </c>
      <c r="Q22" s="397"/>
      <c r="R22" s="397" t="s">
        <v>185</v>
      </c>
      <c r="S22" s="398"/>
      <c r="T22" s="398"/>
      <c r="U22" s="399"/>
      <c r="V22" s="399"/>
      <c r="W22" s="396"/>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144</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168</v>
      </c>
      <c r="E27" s="389"/>
      <c r="F27" s="389" t="s">
        <v>168</v>
      </c>
      <c r="G27" s="389"/>
      <c r="H27" s="389" t="s">
        <v>168</v>
      </c>
      <c r="I27" s="389"/>
      <c r="J27" s="389" t="s">
        <v>168</v>
      </c>
      <c r="K27" s="389"/>
      <c r="L27" s="389" t="s">
        <v>324</v>
      </c>
      <c r="M27" s="389"/>
      <c r="N27" s="389" t="s">
        <v>324</v>
      </c>
      <c r="O27" s="389"/>
      <c r="P27" s="389" t="s">
        <v>349</v>
      </c>
      <c r="Q27" s="389"/>
      <c r="R27" s="389" t="s">
        <v>349</v>
      </c>
      <c r="S27" s="273"/>
      <c r="T27" s="280"/>
      <c r="U27" s="274"/>
      <c r="V27" s="274"/>
      <c r="W27" s="275"/>
      <c r="X27" s="5"/>
    </row>
    <row r="28" spans="1:24" ht="15.6" x14ac:dyDescent="0.3">
      <c r="A28" s="271"/>
      <c r="B28" s="279" t="s">
        <v>195</v>
      </c>
      <c r="C28" s="273"/>
      <c r="D28" s="389" t="s">
        <v>146</v>
      </c>
      <c r="E28" s="389"/>
      <c r="F28" s="389" t="s">
        <v>146</v>
      </c>
      <c r="G28" s="389"/>
      <c r="H28" s="389" t="s">
        <v>146</v>
      </c>
      <c r="I28" s="389"/>
      <c r="J28" s="389" t="s">
        <v>146</v>
      </c>
      <c r="K28" s="389"/>
      <c r="L28" s="389" t="s">
        <v>315</v>
      </c>
      <c r="M28" s="389"/>
      <c r="N28" s="389" t="s">
        <v>315</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394">
        <f>D34*D38</f>
        <v>425975.24378239998</v>
      </c>
      <c r="E32" s="282"/>
      <c r="F32" s="283">
        <f>F31*F38</f>
        <v>66736.425000000003</v>
      </c>
      <c r="G32" s="283"/>
      <c r="H32" s="288">
        <f>H31*H38</f>
        <v>168175.791</v>
      </c>
      <c r="I32" s="288"/>
      <c r="J32" s="287">
        <f>J31*J38</f>
        <v>186861.255</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393">
        <f>D34*D37</f>
        <v>414678.89221919997</v>
      </c>
      <c r="E33" s="286"/>
      <c r="F33" s="289">
        <f>F37*F31</f>
        <v>64966.65</v>
      </c>
      <c r="G33" s="289"/>
      <c r="H33" s="292">
        <f>H31*H37</f>
        <v>163715.95800000001</v>
      </c>
      <c r="I33" s="292"/>
      <c r="J33" s="291">
        <f>J37*J31</f>
        <v>181905.88500000001</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425975.24378239998</v>
      </c>
      <c r="E35" s="282"/>
      <c r="F35" s="283">
        <f>F34*F38</f>
        <v>66736.425000000003</v>
      </c>
      <c r="G35" s="283"/>
      <c r="H35" s="283">
        <f>H34*H38</f>
        <v>112869.4469826</v>
      </c>
      <c r="I35" s="283"/>
      <c r="J35" s="283">
        <f>J34*J38</f>
        <v>99394.170981000003</v>
      </c>
      <c r="K35" s="283"/>
      <c r="L35" s="283">
        <f>L34*L38</f>
        <v>56000</v>
      </c>
      <c r="M35" s="283"/>
      <c r="N35" s="283">
        <f>N34*N38</f>
        <v>56376</v>
      </c>
      <c r="O35" s="283"/>
      <c r="P35" s="283">
        <f>P34*P38</f>
        <v>13000</v>
      </c>
      <c r="Q35" s="283"/>
      <c r="R35" s="283">
        <f>R34*R38</f>
        <v>54363</v>
      </c>
      <c r="S35" s="283"/>
      <c r="T35" s="283"/>
      <c r="U35" s="284"/>
      <c r="V35" s="283">
        <f>SUM(C35:R35)+1</f>
        <v>884715.28674599994</v>
      </c>
      <c r="W35" s="285"/>
      <c r="X35" s="5"/>
    </row>
    <row r="36" spans="1:24" ht="15.6" x14ac:dyDescent="0.3">
      <c r="A36" s="276"/>
      <c r="B36" s="279" t="s">
        <v>304</v>
      </c>
      <c r="C36" s="286"/>
      <c r="D36" s="289">
        <f>D34*D37</f>
        <v>414678.89221919997</v>
      </c>
      <c r="E36" s="286"/>
      <c r="F36" s="289">
        <f>F34*F37</f>
        <v>64966.65</v>
      </c>
      <c r="G36" s="289"/>
      <c r="H36" s="289">
        <f>H34*H37</f>
        <v>109876.2760788</v>
      </c>
      <c r="I36" s="289"/>
      <c r="J36" s="289">
        <f>J34*J37</f>
        <v>96758.338887000005</v>
      </c>
      <c r="K36" s="289"/>
      <c r="L36" s="289">
        <v>56000</v>
      </c>
      <c r="M36" s="289"/>
      <c r="N36" s="289">
        <v>56376</v>
      </c>
      <c r="O36" s="289"/>
      <c r="P36" s="289">
        <v>13000</v>
      </c>
      <c r="Q36" s="289"/>
      <c r="R36" s="289">
        <v>54363</v>
      </c>
      <c r="S36" s="314"/>
      <c r="T36" s="314"/>
      <c r="U36" s="284"/>
      <c r="V36" s="289">
        <f>SUM(C36:R36)+1</f>
        <v>866020.15718500002</v>
      </c>
      <c r="W36" s="285"/>
      <c r="X36" s="5"/>
    </row>
    <row r="37" spans="1:24" ht="15.6" x14ac:dyDescent="0.3">
      <c r="A37" s="271"/>
      <c r="B37" s="297" t="s">
        <v>133</v>
      </c>
      <c r="C37" s="298"/>
      <c r="D37" s="299">
        <v>0.5197311</v>
      </c>
      <c r="E37" s="300"/>
      <c r="F37" s="299">
        <v>0.51973320000000001</v>
      </c>
      <c r="G37" s="301"/>
      <c r="H37" s="299">
        <v>0.51973320000000001</v>
      </c>
      <c r="I37" s="301"/>
      <c r="J37" s="299">
        <v>0.5197311</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0.53388919999999995</v>
      </c>
      <c r="E38" s="300"/>
      <c r="F38" s="299">
        <v>0.53389140000000002</v>
      </c>
      <c r="G38" s="301"/>
      <c r="H38" s="299">
        <v>0.53389140000000002</v>
      </c>
      <c r="I38" s="301"/>
      <c r="J38" s="299">
        <v>0.53388930000000001</v>
      </c>
      <c r="K38" s="301"/>
      <c r="L38" s="299">
        <v>1</v>
      </c>
      <c r="M38" s="301"/>
      <c r="N38" s="299">
        <v>1</v>
      </c>
      <c r="O38" s="301"/>
      <c r="P38" s="299">
        <v>1</v>
      </c>
      <c r="Q38" s="301"/>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8.3063000000000008E-3</v>
      </c>
      <c r="E40" s="272"/>
      <c r="F40" s="308">
        <v>8.3063000000000008E-3</v>
      </c>
      <c r="G40" s="307"/>
      <c r="H40" s="308">
        <v>9.6000000000000002E-4</v>
      </c>
      <c r="I40" s="308"/>
      <c r="J40" s="308">
        <v>8.0199999999999994E-3</v>
      </c>
      <c r="K40" s="307"/>
      <c r="L40" s="308">
        <v>9.9062999999999998E-3</v>
      </c>
      <c r="M40" s="307"/>
      <c r="N40" s="308">
        <v>2.3600000000000001E-3</v>
      </c>
      <c r="O40" s="307"/>
      <c r="P40" s="308">
        <v>1.39063E-2</v>
      </c>
      <c r="Q40" s="307"/>
      <c r="R40" s="308">
        <v>6.3600000000000002E-3</v>
      </c>
      <c r="S40" s="307"/>
      <c r="T40" s="308"/>
      <c r="U40" s="274"/>
      <c r="V40" s="280"/>
      <c r="W40" s="275"/>
      <c r="X40" s="5"/>
    </row>
    <row r="41" spans="1:24" ht="15.6" x14ac:dyDescent="0.3">
      <c r="A41" s="271"/>
      <c r="B41" s="272" t="s">
        <v>13</v>
      </c>
      <c r="C41" s="272"/>
      <c r="D41" s="308">
        <v>8.1937999999999993E-3</v>
      </c>
      <c r="E41" s="272"/>
      <c r="F41" s="308">
        <v>8.1937999999999993E-3</v>
      </c>
      <c r="G41" s="307"/>
      <c r="H41" s="308">
        <v>1.91E-3</v>
      </c>
      <c r="I41" s="308"/>
      <c r="J41" s="308">
        <v>5.0049999999999999E-3</v>
      </c>
      <c r="K41" s="307"/>
      <c r="L41" s="308">
        <v>9.7938000000000001E-3</v>
      </c>
      <c r="M41" s="307"/>
      <c r="N41" s="308">
        <v>3.31E-3</v>
      </c>
      <c r="O41" s="307"/>
      <c r="P41" s="308">
        <v>1.37938E-2</v>
      </c>
      <c r="Q41" s="307"/>
      <c r="R41" s="308">
        <v>7.3099999999999997E-3</v>
      </c>
      <c r="S41" s="307"/>
      <c r="T41" s="308"/>
      <c r="U41" s="274"/>
      <c r="V41" s="307" t="s">
        <v>196</v>
      </c>
      <c r="W41" s="275"/>
      <c r="X41" s="5"/>
    </row>
    <row r="42" spans="1:24" ht="15.6" x14ac:dyDescent="0.3">
      <c r="A42" s="271"/>
      <c r="B42" s="272" t="s">
        <v>300</v>
      </c>
      <c r="C42" s="272"/>
      <c r="D42" s="280" t="s">
        <v>226</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f>+D40</f>
        <v>8.3063000000000008E-3</v>
      </c>
      <c r="E43" s="308"/>
      <c r="F43" s="308">
        <f>+F40</f>
        <v>8.3063000000000008E-3</v>
      </c>
      <c r="G43" s="308"/>
      <c r="H43" s="308">
        <v>8.5503000000000003E-3</v>
      </c>
      <c r="I43" s="308"/>
      <c r="J43" s="308">
        <v>8.3862999999999993E-3</v>
      </c>
      <c r="K43" s="308"/>
      <c r="L43" s="308">
        <f>+L40</f>
        <v>9.9062999999999998E-3</v>
      </c>
      <c r="M43" s="308"/>
      <c r="N43" s="308">
        <v>1.0086299999999999E-2</v>
      </c>
      <c r="O43" s="308"/>
      <c r="P43" s="308">
        <f>+P40</f>
        <v>1.39063E-2</v>
      </c>
      <c r="Q43" s="307"/>
      <c r="R43" s="308">
        <v>1.4306299999999999E-2</v>
      </c>
      <c r="S43" s="280"/>
      <c r="T43" s="280"/>
      <c r="U43" s="274"/>
      <c r="V43" s="307">
        <f>SUMPRODUCT(D43:R43,D35:R35)/V35</f>
        <v>9.0120758148825812E-3</v>
      </c>
      <c r="W43" s="275"/>
      <c r="X43" s="5"/>
    </row>
    <row r="44" spans="1:24" ht="15.6" x14ac:dyDescent="0.3">
      <c r="A44" s="271"/>
      <c r="B44" s="272" t="s">
        <v>302</v>
      </c>
      <c r="C44" s="309"/>
      <c r="D44" s="308">
        <f>+D41</f>
        <v>8.1937999999999993E-3</v>
      </c>
      <c r="E44" s="308"/>
      <c r="F44" s="308">
        <f>+F41</f>
        <v>8.1937999999999993E-3</v>
      </c>
      <c r="G44" s="308"/>
      <c r="H44" s="308">
        <v>8.4378000000000005E-3</v>
      </c>
      <c r="I44" s="308"/>
      <c r="J44" s="308">
        <v>8.2737999999999996E-3</v>
      </c>
      <c r="K44" s="308"/>
      <c r="L44" s="308">
        <f>+L41</f>
        <v>9.7938000000000001E-3</v>
      </c>
      <c r="M44" s="308"/>
      <c r="N44" s="308">
        <v>9.9737999999999997E-3</v>
      </c>
      <c r="O44" s="308"/>
      <c r="P44" s="308">
        <f>+P41</f>
        <v>1.37938E-2</v>
      </c>
      <c r="Q44" s="307"/>
      <c r="R44" s="308">
        <v>1.4193799999999999E-2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226</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0.26190324478746063</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358</v>
      </c>
      <c r="C54" s="272"/>
      <c r="D54" s="272"/>
      <c r="E54" s="272"/>
      <c r="F54" s="272"/>
      <c r="G54" s="272"/>
      <c r="H54" s="272"/>
      <c r="I54" s="272"/>
      <c r="J54" s="272"/>
      <c r="K54" s="272"/>
      <c r="L54" s="272"/>
      <c r="M54" s="272"/>
      <c r="N54" s="272"/>
      <c r="O54" s="272"/>
      <c r="P54" s="272"/>
      <c r="Q54" s="272"/>
      <c r="R54" s="272"/>
      <c r="S54" s="272"/>
      <c r="T54" s="280"/>
      <c r="U54" s="280"/>
      <c r="V54" s="315" t="s">
        <v>114</v>
      </c>
      <c r="W54" s="275"/>
      <c r="X54" s="5"/>
    </row>
    <row r="55" spans="1:25" ht="15.6" x14ac:dyDescent="0.3">
      <c r="A55" s="271"/>
      <c r="B55" s="279" t="s">
        <v>204</v>
      </c>
      <c r="C55" s="279"/>
      <c r="D55" s="279"/>
      <c r="E55" s="279"/>
      <c r="F55" s="279"/>
      <c r="G55" s="279"/>
      <c r="H55" s="279"/>
      <c r="I55" s="279"/>
      <c r="J55" s="279"/>
      <c r="K55" s="279"/>
      <c r="L55" s="279"/>
      <c r="M55" s="279"/>
      <c r="N55" s="279"/>
      <c r="O55" s="279"/>
      <c r="P55" s="279"/>
      <c r="Q55" s="279"/>
      <c r="R55" s="279"/>
      <c r="S55" s="279"/>
      <c r="T55" s="316"/>
      <c r="U55" s="316"/>
      <c r="V55" s="317">
        <v>42475</v>
      </c>
      <c r="W55" s="275"/>
      <c r="X55" s="5"/>
    </row>
    <row r="56" spans="1:25" ht="15.6" x14ac:dyDescent="0.3">
      <c r="A56" s="271"/>
      <c r="B56" s="272" t="s">
        <v>124</v>
      </c>
      <c r="C56" s="272"/>
      <c r="D56" s="272"/>
      <c r="E56" s="272"/>
      <c r="F56" s="272"/>
      <c r="G56" s="272"/>
      <c r="H56" s="318"/>
      <c r="I56" s="318"/>
      <c r="J56" s="318"/>
      <c r="K56" s="318"/>
      <c r="L56" s="318"/>
      <c r="M56" s="318"/>
      <c r="N56" s="318"/>
      <c r="O56" s="318"/>
      <c r="P56" s="318"/>
      <c r="Q56" s="318"/>
      <c r="R56" s="272">
        <f>+V56-T56+1</f>
        <v>92</v>
      </c>
      <c r="S56" s="318"/>
      <c r="T56" s="319">
        <v>42292</v>
      </c>
      <c r="U56" s="320"/>
      <c r="V56" s="319">
        <v>42383</v>
      </c>
      <c r="W56" s="275"/>
      <c r="X56" s="5"/>
    </row>
    <row r="57" spans="1:25" ht="15.6" x14ac:dyDescent="0.3">
      <c r="A57" s="271"/>
      <c r="B57" s="272" t="s">
        <v>125</v>
      </c>
      <c r="C57" s="272"/>
      <c r="D57" s="272"/>
      <c r="E57" s="272"/>
      <c r="F57" s="272"/>
      <c r="G57" s="272"/>
      <c r="H57" s="272"/>
      <c r="I57" s="272"/>
      <c r="J57" s="272"/>
      <c r="K57" s="272"/>
      <c r="L57" s="272"/>
      <c r="M57" s="272"/>
      <c r="N57" s="272"/>
      <c r="O57" s="272"/>
      <c r="P57" s="272"/>
      <c r="Q57" s="272"/>
      <c r="R57" s="272">
        <f>+V57-T57+1</f>
        <v>91</v>
      </c>
      <c r="S57" s="272"/>
      <c r="T57" s="319">
        <v>42384</v>
      </c>
      <c r="U57" s="320"/>
      <c r="V57" s="319">
        <v>42474</v>
      </c>
      <c r="W57" s="275"/>
      <c r="X57" s="5"/>
    </row>
    <row r="58" spans="1:25" ht="15.6" x14ac:dyDescent="0.3">
      <c r="A58" s="271"/>
      <c r="B58" s="272" t="s">
        <v>357</v>
      </c>
      <c r="C58" s="272"/>
      <c r="D58" s="272"/>
      <c r="E58" s="272"/>
      <c r="F58" s="272"/>
      <c r="G58" s="272"/>
      <c r="H58" s="272"/>
      <c r="I58" s="272"/>
      <c r="J58" s="272"/>
      <c r="K58" s="272"/>
      <c r="L58" s="272"/>
      <c r="M58" s="272"/>
      <c r="N58" s="272"/>
      <c r="O58" s="272"/>
      <c r="P58" s="272"/>
      <c r="Q58" s="272"/>
      <c r="R58" s="272"/>
      <c r="S58" s="272"/>
      <c r="T58" s="319"/>
      <c r="U58" s="320"/>
      <c r="V58" s="319" t="s">
        <v>123</v>
      </c>
      <c r="W58" s="275"/>
      <c r="X58" s="5"/>
    </row>
    <row r="59" spans="1:25" ht="15.6" x14ac:dyDescent="0.3">
      <c r="A59" s="271"/>
      <c r="B59" s="272" t="s">
        <v>356</v>
      </c>
      <c r="C59" s="272"/>
      <c r="D59" s="272"/>
      <c r="E59" s="272"/>
      <c r="F59" s="272"/>
      <c r="G59" s="272"/>
      <c r="H59" s="272"/>
      <c r="I59" s="272"/>
      <c r="J59" s="272"/>
      <c r="K59" s="272"/>
      <c r="L59" s="272"/>
      <c r="M59" s="272"/>
      <c r="N59" s="272"/>
      <c r="O59" s="272"/>
      <c r="P59" s="272"/>
      <c r="Q59" s="272"/>
      <c r="R59" s="272"/>
      <c r="S59" s="272"/>
      <c r="T59" s="319"/>
      <c r="U59" s="320"/>
      <c r="V59" s="319" t="s">
        <v>157</v>
      </c>
      <c r="W59" s="275"/>
      <c r="X59" s="5"/>
      <c r="Y59" s="134"/>
    </row>
    <row r="60" spans="1:25" ht="15.6" x14ac:dyDescent="0.3">
      <c r="A60" s="271"/>
      <c r="B60" s="272" t="s">
        <v>16</v>
      </c>
      <c r="C60" s="272"/>
      <c r="D60" s="272"/>
      <c r="E60" s="272"/>
      <c r="F60" s="272"/>
      <c r="G60" s="272"/>
      <c r="H60" s="272"/>
      <c r="I60" s="272"/>
      <c r="J60" s="272"/>
      <c r="K60" s="272"/>
      <c r="L60" s="272"/>
      <c r="M60" s="272"/>
      <c r="N60" s="272"/>
      <c r="O60" s="272"/>
      <c r="P60" s="272"/>
      <c r="Q60" s="272"/>
      <c r="R60" s="272"/>
      <c r="S60" s="272"/>
      <c r="T60" s="319"/>
      <c r="U60" s="320"/>
      <c r="V60" s="319">
        <v>42461</v>
      </c>
      <c r="W60" s="275"/>
      <c r="X60" s="5"/>
    </row>
    <row r="61" spans="1:25" ht="15.6" x14ac:dyDescent="0.3">
      <c r="A61" s="175"/>
      <c r="B61" s="268"/>
      <c r="C61" s="268"/>
      <c r="D61" s="268"/>
      <c r="E61" s="268"/>
      <c r="F61" s="268"/>
      <c r="G61" s="268"/>
      <c r="H61" s="268"/>
      <c r="I61" s="268"/>
      <c r="J61" s="268"/>
      <c r="K61" s="268"/>
      <c r="L61" s="268"/>
      <c r="M61" s="268"/>
      <c r="N61" s="268"/>
      <c r="O61" s="268"/>
      <c r="P61" s="268"/>
      <c r="Q61" s="268"/>
      <c r="R61" s="268"/>
      <c r="S61" s="268"/>
      <c r="T61" s="269"/>
      <c r="U61" s="270"/>
      <c r="V61" s="269"/>
      <c r="W61" s="268"/>
      <c r="X61" s="5"/>
    </row>
    <row r="62" spans="1:25" ht="15.6" x14ac:dyDescent="0.3">
      <c r="A62" s="175"/>
      <c r="B62" s="220"/>
      <c r="C62" s="220"/>
      <c r="D62" s="220"/>
      <c r="E62" s="220"/>
      <c r="F62" s="220"/>
      <c r="G62" s="220"/>
      <c r="H62" s="220"/>
      <c r="I62" s="220"/>
      <c r="J62" s="220"/>
      <c r="K62" s="220"/>
      <c r="L62" s="220"/>
      <c r="M62" s="220"/>
      <c r="N62" s="220"/>
      <c r="O62" s="220"/>
      <c r="P62" s="220"/>
      <c r="Q62" s="220"/>
      <c r="R62" s="220"/>
      <c r="S62" s="220"/>
      <c r="T62" s="232"/>
      <c r="U62" s="233"/>
      <c r="V62" s="232"/>
      <c r="W62" s="220"/>
      <c r="X62" s="5"/>
    </row>
    <row r="63" spans="1:25" ht="18" thickBot="1" x14ac:dyDescent="0.35">
      <c r="A63" s="194"/>
      <c r="B63" s="234" t="s">
        <v>352</v>
      </c>
      <c r="C63" s="235"/>
      <c r="D63" s="235"/>
      <c r="E63" s="235"/>
      <c r="F63" s="235"/>
      <c r="G63" s="235"/>
      <c r="H63" s="235"/>
      <c r="I63" s="235"/>
      <c r="J63" s="235"/>
      <c r="K63" s="235"/>
      <c r="L63" s="235"/>
      <c r="M63" s="235"/>
      <c r="N63" s="235"/>
      <c r="O63" s="235"/>
      <c r="P63" s="235"/>
      <c r="Q63" s="235"/>
      <c r="R63" s="235"/>
      <c r="S63" s="235"/>
      <c r="T63" s="235"/>
      <c r="U63" s="235"/>
      <c r="V63" s="236"/>
      <c r="W63" s="237"/>
      <c r="X63" s="5"/>
    </row>
    <row r="64" spans="1:25" ht="15.6" x14ac:dyDescent="0.3">
      <c r="A64" s="239"/>
      <c r="B64" s="253" t="s">
        <v>17</v>
      </c>
      <c r="C64" s="240"/>
      <c r="D64" s="240"/>
      <c r="E64" s="240"/>
      <c r="F64" s="240"/>
      <c r="G64" s="240"/>
      <c r="H64" s="240"/>
      <c r="I64" s="240"/>
      <c r="J64" s="240"/>
      <c r="K64" s="240"/>
      <c r="L64" s="240"/>
      <c r="M64" s="240"/>
      <c r="N64" s="240"/>
      <c r="O64" s="240"/>
      <c r="P64" s="240"/>
      <c r="Q64" s="240"/>
      <c r="R64" s="240"/>
      <c r="S64" s="240"/>
      <c r="T64" s="240"/>
      <c r="U64" s="240"/>
      <c r="V64" s="241"/>
      <c r="W64" s="240"/>
      <c r="X64" s="5"/>
    </row>
    <row r="65" spans="1:24" ht="15.6" x14ac:dyDescent="0.3">
      <c r="A65" s="175"/>
      <c r="B65" s="183"/>
      <c r="C65" s="177"/>
      <c r="D65" s="177"/>
      <c r="E65" s="177"/>
      <c r="F65" s="177"/>
      <c r="G65" s="177"/>
      <c r="H65" s="177"/>
      <c r="I65" s="177"/>
      <c r="J65" s="177"/>
      <c r="K65" s="177"/>
      <c r="L65" s="177"/>
      <c r="M65" s="177"/>
      <c r="N65" s="177"/>
      <c r="O65" s="177"/>
      <c r="P65" s="177"/>
      <c r="Q65" s="177"/>
      <c r="R65" s="177"/>
      <c r="S65" s="177"/>
      <c r="T65" s="177"/>
      <c r="U65" s="177"/>
      <c r="V65" s="196"/>
      <c r="W65" s="177"/>
      <c r="X65" s="5"/>
    </row>
    <row r="66" spans="1:24" ht="46.8" x14ac:dyDescent="0.3">
      <c r="A66" s="175"/>
      <c r="B66" s="197" t="s">
        <v>18</v>
      </c>
      <c r="C66" s="198"/>
      <c r="D66" s="198"/>
      <c r="E66" s="198"/>
      <c r="F66" s="198"/>
      <c r="G66" s="198"/>
      <c r="H66" s="198"/>
      <c r="I66" s="198"/>
      <c r="J66" s="198"/>
      <c r="K66" s="198"/>
      <c r="L66" s="198" t="s">
        <v>95</v>
      </c>
      <c r="M66" s="198"/>
      <c r="N66" s="198" t="s">
        <v>97</v>
      </c>
      <c r="O66" s="198"/>
      <c r="P66" s="198" t="s">
        <v>99</v>
      </c>
      <c r="Q66" s="198"/>
      <c r="R66" s="198" t="s">
        <v>101</v>
      </c>
      <c r="S66" s="198"/>
      <c r="T66" s="198" t="s">
        <v>108</v>
      </c>
      <c r="U66" s="198"/>
      <c r="V66" s="199" t="s">
        <v>115</v>
      </c>
      <c r="W66" s="200"/>
      <c r="X66" s="5"/>
    </row>
    <row r="67" spans="1:24" ht="15.6" x14ac:dyDescent="0.3">
      <c r="A67" s="271"/>
      <c r="B67" s="272" t="s">
        <v>19</v>
      </c>
      <c r="C67" s="324"/>
      <c r="D67" s="324"/>
      <c r="E67" s="324"/>
      <c r="F67" s="324"/>
      <c r="G67" s="324"/>
      <c r="H67" s="324"/>
      <c r="I67" s="324"/>
      <c r="J67" s="324"/>
      <c r="K67" s="324"/>
      <c r="L67" s="324">
        <f>1085286</f>
        <v>1085286</v>
      </c>
      <c r="M67" s="324"/>
      <c r="N67" s="325">
        <v>884715</v>
      </c>
      <c r="O67" s="324"/>
      <c r="P67" s="324">
        <f>18695+417+140</f>
        <v>19252</v>
      </c>
      <c r="Q67" s="324"/>
      <c r="R67" s="324">
        <f>417+140</f>
        <v>557</v>
      </c>
      <c r="S67" s="324"/>
      <c r="T67" s="324">
        <v>0</v>
      </c>
      <c r="U67" s="324"/>
      <c r="V67" s="325">
        <f>+N67-P67+R67-T67</f>
        <v>866020</v>
      </c>
      <c r="W67" s="275"/>
      <c r="X67" s="5"/>
    </row>
    <row r="68" spans="1:24" ht="15.6" x14ac:dyDescent="0.3">
      <c r="A68" s="271"/>
      <c r="B68" s="272" t="s">
        <v>20</v>
      </c>
      <c r="C68" s="324"/>
      <c r="D68" s="324"/>
      <c r="E68" s="324"/>
      <c r="F68" s="324"/>
      <c r="G68" s="324"/>
      <c r="H68" s="324"/>
      <c r="I68" s="324"/>
      <c r="J68" s="324"/>
      <c r="K68" s="324"/>
      <c r="L68" s="324">
        <v>35</v>
      </c>
      <c r="M68" s="324"/>
      <c r="N68" s="325">
        <v>0</v>
      </c>
      <c r="O68" s="324"/>
      <c r="P68" s="324">
        <v>0</v>
      </c>
      <c r="Q68" s="324"/>
      <c r="R68" s="324">
        <v>0</v>
      </c>
      <c r="S68" s="324"/>
      <c r="T68" s="324">
        <v>0</v>
      </c>
      <c r="U68" s="324"/>
      <c r="V68" s="325">
        <f>+N68-P68</f>
        <v>0</v>
      </c>
      <c r="W68" s="275"/>
      <c r="X68" s="5"/>
    </row>
    <row r="69" spans="1:24" ht="15.6" x14ac:dyDescent="0.3">
      <c r="A69" s="271"/>
      <c r="B69" s="272"/>
      <c r="C69" s="324"/>
      <c r="D69" s="324"/>
      <c r="E69" s="324"/>
      <c r="F69" s="324"/>
      <c r="G69" s="324"/>
      <c r="H69" s="324"/>
      <c r="I69" s="324"/>
      <c r="J69" s="324"/>
      <c r="K69" s="324"/>
      <c r="L69" s="324"/>
      <c r="M69" s="324"/>
      <c r="N69" s="325"/>
      <c r="O69" s="324"/>
      <c r="P69" s="324"/>
      <c r="Q69" s="324"/>
      <c r="R69" s="324"/>
      <c r="S69" s="324"/>
      <c r="T69" s="324"/>
      <c r="U69" s="324"/>
      <c r="V69" s="325"/>
      <c r="W69" s="275"/>
      <c r="X69" s="5"/>
    </row>
    <row r="70" spans="1:24" ht="15.6" x14ac:dyDescent="0.3">
      <c r="A70" s="271"/>
      <c r="B70" s="272" t="s">
        <v>21</v>
      </c>
      <c r="C70" s="324"/>
      <c r="D70" s="324"/>
      <c r="E70" s="324"/>
      <c r="F70" s="324"/>
      <c r="G70" s="324"/>
      <c r="H70" s="324"/>
      <c r="I70" s="324"/>
      <c r="J70" s="324"/>
      <c r="K70" s="324"/>
      <c r="L70" s="324">
        <f>SUM(L67:L69)</f>
        <v>1085321</v>
      </c>
      <c r="M70" s="324"/>
      <c r="N70" s="324">
        <f>N67+N68</f>
        <v>884715</v>
      </c>
      <c r="O70" s="324"/>
      <c r="P70" s="324">
        <f>SUM(P67:P69)</f>
        <v>19252</v>
      </c>
      <c r="Q70" s="324"/>
      <c r="R70" s="324">
        <f>SUM(R67:R69)</f>
        <v>557</v>
      </c>
      <c r="S70" s="324"/>
      <c r="T70" s="324">
        <f>SUM(T67:T69)</f>
        <v>0</v>
      </c>
      <c r="U70" s="324"/>
      <c r="V70" s="324">
        <f>SUM(V67:V69)</f>
        <v>866020</v>
      </c>
      <c r="W70" s="275"/>
      <c r="X70" s="5"/>
    </row>
    <row r="71" spans="1:24" ht="15.6" x14ac:dyDescent="0.3">
      <c r="A71" s="175"/>
      <c r="B71" s="321"/>
      <c r="C71" s="322"/>
      <c r="D71" s="322"/>
      <c r="E71" s="322"/>
      <c r="F71" s="322"/>
      <c r="G71" s="322"/>
      <c r="H71" s="322"/>
      <c r="I71" s="322"/>
      <c r="J71" s="322"/>
      <c r="K71" s="322"/>
      <c r="L71" s="322"/>
      <c r="M71" s="322"/>
      <c r="N71" s="322"/>
      <c r="O71" s="322"/>
      <c r="P71" s="322"/>
      <c r="Q71" s="322"/>
      <c r="R71" s="322"/>
      <c r="S71" s="322"/>
      <c r="T71" s="322"/>
      <c r="U71" s="322"/>
      <c r="V71" s="323"/>
      <c r="W71" s="321"/>
      <c r="X71" s="5"/>
    </row>
    <row r="72" spans="1:24" ht="15.6" x14ac:dyDescent="0.3">
      <c r="A72" s="175"/>
      <c r="B72" s="179" t="s">
        <v>22</v>
      </c>
      <c r="C72" s="201"/>
      <c r="D72" s="201"/>
      <c r="E72" s="201"/>
      <c r="F72" s="201"/>
      <c r="G72" s="201"/>
      <c r="H72" s="201"/>
      <c r="I72" s="201"/>
      <c r="J72" s="201"/>
      <c r="K72" s="201"/>
      <c r="L72" s="201"/>
      <c r="M72" s="201"/>
      <c r="N72" s="201"/>
      <c r="O72" s="201"/>
      <c r="P72" s="201"/>
      <c r="Q72" s="201"/>
      <c r="R72" s="201"/>
      <c r="S72" s="201"/>
      <c r="T72" s="201"/>
      <c r="U72" s="201"/>
      <c r="V72" s="202"/>
      <c r="W72" s="177"/>
      <c r="X72" s="5"/>
    </row>
    <row r="73" spans="1:24" ht="15.6" x14ac:dyDescent="0.3">
      <c r="A73" s="175"/>
      <c r="B73" s="177"/>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271"/>
      <c r="B74" s="272" t="s">
        <v>19</v>
      </c>
      <c r="C74" s="324"/>
      <c r="D74" s="324"/>
      <c r="E74" s="324"/>
      <c r="F74" s="324"/>
      <c r="G74" s="324"/>
      <c r="H74" s="324"/>
      <c r="I74" s="324"/>
      <c r="J74" s="324"/>
      <c r="K74" s="324"/>
      <c r="L74" s="324"/>
      <c r="M74" s="324"/>
      <c r="N74" s="324"/>
      <c r="O74" s="324"/>
      <c r="P74" s="324"/>
      <c r="Q74" s="324"/>
      <c r="R74" s="324"/>
      <c r="S74" s="324"/>
      <c r="T74" s="324"/>
      <c r="U74" s="324"/>
      <c r="V74" s="324"/>
      <c r="W74" s="275"/>
      <c r="X74" s="5"/>
    </row>
    <row r="75" spans="1:24" ht="15.6" x14ac:dyDescent="0.3">
      <c r="A75" s="271"/>
      <c r="B75" s="272" t="s">
        <v>20</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t="s">
        <v>21</v>
      </c>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t="s">
        <v>23</v>
      </c>
      <c r="C79" s="324"/>
      <c r="D79" s="324"/>
      <c r="E79" s="324"/>
      <c r="F79" s="324"/>
      <c r="G79" s="324"/>
      <c r="H79" s="324"/>
      <c r="I79" s="324"/>
      <c r="J79" s="324"/>
      <c r="K79" s="324"/>
      <c r="L79" s="324">
        <v>0</v>
      </c>
      <c r="M79" s="324"/>
      <c r="N79" s="324">
        <v>0</v>
      </c>
      <c r="O79" s="324"/>
      <c r="P79" s="324"/>
      <c r="Q79" s="324"/>
      <c r="R79" s="324"/>
      <c r="S79" s="324"/>
      <c r="T79" s="324"/>
      <c r="U79" s="324"/>
      <c r="V79" s="325">
        <v>0</v>
      </c>
      <c r="W79" s="275"/>
      <c r="X79" s="5"/>
    </row>
    <row r="80" spans="1:24" ht="15.6" x14ac:dyDescent="0.3">
      <c r="A80" s="271"/>
      <c r="B80" s="272" t="s">
        <v>120</v>
      </c>
      <c r="C80" s="324"/>
      <c r="D80" s="324"/>
      <c r="E80" s="324"/>
      <c r="F80" s="324"/>
      <c r="G80" s="324"/>
      <c r="H80" s="324"/>
      <c r="I80" s="324"/>
      <c r="J80" s="324"/>
      <c r="K80" s="324"/>
      <c r="L80" s="324">
        <f>414862+7</f>
        <v>414869</v>
      </c>
      <c r="M80" s="324"/>
      <c r="N80" s="324">
        <v>0</v>
      </c>
      <c r="O80" s="324"/>
      <c r="P80" s="324">
        <v>0</v>
      </c>
      <c r="Q80" s="324"/>
      <c r="R80" s="324"/>
      <c r="S80" s="324"/>
      <c r="T80" s="324"/>
      <c r="U80" s="324"/>
      <c r="V80" s="324">
        <f>SUM(N80:R80)</f>
        <v>0</v>
      </c>
      <c r="W80" s="275"/>
      <c r="X80" s="5"/>
    </row>
    <row r="81" spans="1:24" ht="15.6" x14ac:dyDescent="0.3">
      <c r="A81" s="271"/>
      <c r="B81" s="272" t="s">
        <v>149</v>
      </c>
      <c r="C81" s="324"/>
      <c r="D81" s="324"/>
      <c r="E81" s="324"/>
      <c r="F81" s="324"/>
      <c r="G81" s="324"/>
      <c r="H81" s="324"/>
      <c r="I81" s="324"/>
      <c r="J81" s="324"/>
      <c r="K81" s="324"/>
      <c r="L81" s="324">
        <v>0</v>
      </c>
      <c r="M81" s="324"/>
      <c r="N81" s="324">
        <v>0</v>
      </c>
      <c r="O81" s="324"/>
      <c r="P81" s="324">
        <v>0</v>
      </c>
      <c r="Q81" s="324"/>
      <c r="R81" s="324"/>
      <c r="S81" s="324"/>
      <c r="T81" s="324"/>
      <c r="U81" s="324"/>
      <c r="V81" s="324">
        <f>+N81+P81</f>
        <v>0</v>
      </c>
      <c r="W81" s="275"/>
      <c r="X81" s="5"/>
    </row>
    <row r="82" spans="1:24" ht="15.6" x14ac:dyDescent="0.3">
      <c r="A82" s="271"/>
      <c r="B82" s="272" t="s">
        <v>25</v>
      </c>
      <c r="C82" s="324"/>
      <c r="D82" s="324"/>
      <c r="E82" s="324"/>
      <c r="F82" s="324"/>
      <c r="G82" s="324"/>
      <c r="H82" s="324"/>
      <c r="I82" s="324"/>
      <c r="J82" s="324"/>
      <c r="K82" s="324"/>
      <c r="L82" s="324">
        <v>0</v>
      </c>
      <c r="M82" s="324"/>
      <c r="N82" s="324">
        <v>0</v>
      </c>
      <c r="O82" s="324"/>
      <c r="P82" s="324"/>
      <c r="Q82" s="324"/>
      <c r="R82" s="324"/>
      <c r="S82" s="324"/>
      <c r="T82" s="324"/>
      <c r="U82" s="324"/>
      <c r="V82" s="324">
        <v>0</v>
      </c>
      <c r="W82" s="275"/>
      <c r="X82" s="5"/>
    </row>
    <row r="83" spans="1:24" ht="15.6" x14ac:dyDescent="0.3">
      <c r="A83" s="326"/>
      <c r="B83" s="327" t="s">
        <v>26</v>
      </c>
      <c r="C83" s="328"/>
      <c r="D83" s="328"/>
      <c r="E83" s="328"/>
      <c r="F83" s="328"/>
      <c r="G83" s="328"/>
      <c r="H83" s="328"/>
      <c r="I83" s="328"/>
      <c r="J83" s="328"/>
      <c r="K83" s="328"/>
      <c r="L83" s="328">
        <f>SUM(L70:L82)</f>
        <v>1500190</v>
      </c>
      <c r="M83" s="328"/>
      <c r="N83" s="328">
        <f>SUM(N70:N82)</f>
        <v>884715</v>
      </c>
      <c r="O83" s="328"/>
      <c r="P83" s="328"/>
      <c r="Q83" s="328"/>
      <c r="R83" s="328"/>
      <c r="S83" s="328"/>
      <c r="T83" s="328"/>
      <c r="U83" s="328"/>
      <c r="V83" s="328">
        <f>SUM(V70:V82)</f>
        <v>866020</v>
      </c>
      <c r="W83" s="329"/>
      <c r="X83" s="5"/>
    </row>
    <row r="84" spans="1:24" ht="15.6" x14ac:dyDescent="0.3">
      <c r="A84" s="192"/>
      <c r="B84" s="229"/>
      <c r="C84" s="231"/>
      <c r="D84" s="231"/>
      <c r="E84" s="231"/>
      <c r="F84" s="231"/>
      <c r="G84" s="231"/>
      <c r="H84" s="231"/>
      <c r="I84" s="231"/>
      <c r="J84" s="231"/>
      <c r="K84" s="231"/>
      <c r="L84" s="231"/>
      <c r="M84" s="231"/>
      <c r="N84" s="231"/>
      <c r="O84" s="231"/>
      <c r="P84" s="231"/>
      <c r="Q84" s="231"/>
      <c r="R84" s="231"/>
      <c r="S84" s="231"/>
      <c r="T84" s="231"/>
      <c r="U84" s="231"/>
      <c r="V84" s="231"/>
      <c r="W84" s="229"/>
      <c r="X84" s="5"/>
    </row>
    <row r="85" spans="1:24" ht="15.6" x14ac:dyDescent="0.3">
      <c r="A85" s="175"/>
      <c r="B85" s="220"/>
      <c r="C85" s="220"/>
      <c r="D85" s="220"/>
      <c r="E85" s="220"/>
      <c r="F85" s="220"/>
      <c r="G85" s="220"/>
      <c r="H85" s="220"/>
      <c r="I85" s="220"/>
      <c r="J85" s="220"/>
      <c r="K85" s="220"/>
      <c r="L85" s="220"/>
      <c r="M85" s="220"/>
      <c r="N85" s="220"/>
      <c r="O85" s="220"/>
      <c r="P85" s="220"/>
      <c r="Q85" s="220"/>
      <c r="R85" s="220"/>
      <c r="S85" s="220"/>
      <c r="T85" s="220"/>
      <c r="U85" s="220"/>
      <c r="V85" s="220"/>
      <c r="W85" s="220"/>
      <c r="X85" s="5"/>
    </row>
    <row r="86" spans="1:24" ht="15.6" x14ac:dyDescent="0.3">
      <c r="A86" s="239"/>
      <c r="B86" s="253" t="s">
        <v>27</v>
      </c>
      <c r="C86" s="253"/>
      <c r="D86" s="253"/>
      <c r="E86" s="253"/>
      <c r="F86" s="253"/>
      <c r="G86" s="253"/>
      <c r="H86" s="254"/>
      <c r="I86" s="254"/>
      <c r="J86" s="254"/>
      <c r="K86" s="254"/>
      <c r="L86" s="330" t="s">
        <v>96</v>
      </c>
      <c r="M86" s="254"/>
      <c r="N86" s="331">
        <f>+T198</f>
        <v>42460</v>
      </c>
      <c r="O86" s="254"/>
      <c r="P86" s="254"/>
      <c r="Q86" s="254"/>
      <c r="R86" s="254"/>
      <c r="S86" s="254"/>
      <c r="T86" s="254" t="s">
        <v>109</v>
      </c>
      <c r="U86" s="254"/>
      <c r="V86" s="254" t="s">
        <v>116</v>
      </c>
      <c r="W86" s="240"/>
      <c r="X86" s="5"/>
    </row>
    <row r="87" spans="1:24" ht="15.6" x14ac:dyDescent="0.3">
      <c r="A87" s="271"/>
      <c r="B87" s="272" t="s">
        <v>28</v>
      </c>
      <c r="C87" s="272"/>
      <c r="D87" s="272"/>
      <c r="E87" s="272"/>
      <c r="F87" s="272"/>
      <c r="G87" s="272"/>
      <c r="H87" s="272"/>
      <c r="I87" s="272"/>
      <c r="J87" s="272"/>
      <c r="K87" s="272"/>
      <c r="L87" s="272"/>
      <c r="M87" s="272"/>
      <c r="N87" s="272"/>
      <c r="O87" s="272"/>
      <c r="P87" s="272"/>
      <c r="Q87" s="272"/>
      <c r="R87" s="272"/>
      <c r="S87" s="272"/>
      <c r="T87" s="324">
        <v>0</v>
      </c>
      <c r="U87" s="272"/>
      <c r="V87" s="325">
        <v>0</v>
      </c>
      <c r="W87" s="275"/>
      <c r="X87" s="5"/>
    </row>
    <row r="88" spans="1:24" ht="15.6" x14ac:dyDescent="0.3">
      <c r="A88" s="271"/>
      <c r="B88" s="272" t="s">
        <v>29</v>
      </c>
      <c r="C88" s="272"/>
      <c r="D88" s="272"/>
      <c r="E88" s="272"/>
      <c r="F88" s="272"/>
      <c r="G88" s="272"/>
      <c r="H88" s="311"/>
      <c r="I88" s="311"/>
      <c r="J88" s="311"/>
      <c r="K88" s="333"/>
      <c r="L88" s="311"/>
      <c r="M88" s="272"/>
      <c r="N88" s="334"/>
      <c r="O88" s="272"/>
      <c r="P88" s="272"/>
      <c r="Q88" s="272"/>
      <c r="R88" s="272"/>
      <c r="S88" s="272"/>
      <c r="T88" s="324">
        <f>19252+22</f>
        <v>19274</v>
      </c>
      <c r="U88" s="272"/>
      <c r="V88" s="325"/>
      <c r="W88" s="275"/>
      <c r="X88" s="5"/>
    </row>
    <row r="89" spans="1:24" ht="15.6" x14ac:dyDescent="0.3">
      <c r="A89" s="271"/>
      <c r="B89" s="272" t="s">
        <v>219</v>
      </c>
      <c r="C89" s="272"/>
      <c r="D89" s="272"/>
      <c r="E89" s="272"/>
      <c r="F89" s="272"/>
      <c r="G89" s="272"/>
      <c r="H89" s="311"/>
      <c r="I89" s="311"/>
      <c r="J89" s="311"/>
      <c r="K89" s="333"/>
      <c r="L89" s="311"/>
      <c r="M89" s="272"/>
      <c r="N89" s="334"/>
      <c r="O89" s="272"/>
      <c r="P89" s="272"/>
      <c r="Q89" s="272"/>
      <c r="R89" s="272"/>
      <c r="S89" s="272"/>
      <c r="T89" s="324"/>
      <c r="U89" s="272"/>
      <c r="V89" s="325">
        <f>3973+2937-995-1106</f>
        <v>4809</v>
      </c>
      <c r="W89" s="275"/>
      <c r="X89" s="5"/>
    </row>
    <row r="90" spans="1:24" ht="15.6" x14ac:dyDescent="0.3">
      <c r="A90" s="271"/>
      <c r="B90" s="272" t="s">
        <v>214</v>
      </c>
      <c r="C90" s="272"/>
      <c r="D90" s="272"/>
      <c r="E90" s="272"/>
      <c r="F90" s="272"/>
      <c r="G90" s="272"/>
      <c r="H90" s="311"/>
      <c r="I90" s="311"/>
      <c r="J90" s="311"/>
      <c r="K90" s="333"/>
      <c r="L90" s="311"/>
      <c r="M90" s="272"/>
      <c r="N90" s="334"/>
      <c r="O90" s="272"/>
      <c r="P90" s="272"/>
      <c r="Q90" s="272"/>
      <c r="R90" s="272"/>
      <c r="S90" s="272"/>
      <c r="T90" s="324"/>
      <c r="U90" s="272"/>
      <c r="V90" s="325">
        <f>169+145</f>
        <v>314</v>
      </c>
      <c r="W90" s="275"/>
      <c r="X90" s="5"/>
    </row>
    <row r="91" spans="1:24" ht="15.6" x14ac:dyDescent="0.3">
      <c r="A91" s="271"/>
      <c r="B91" s="272" t="s">
        <v>215</v>
      </c>
      <c r="C91" s="272"/>
      <c r="D91" s="272"/>
      <c r="E91" s="272"/>
      <c r="F91" s="272"/>
      <c r="G91" s="272"/>
      <c r="H91" s="311"/>
      <c r="I91" s="311"/>
      <c r="J91" s="311"/>
      <c r="K91" s="333"/>
      <c r="L91" s="311"/>
      <c r="M91" s="272"/>
      <c r="N91" s="334"/>
      <c r="O91" s="272"/>
      <c r="P91" s="272"/>
      <c r="Q91" s="272"/>
      <c r="R91" s="272"/>
      <c r="S91" s="272"/>
      <c r="T91" s="324"/>
      <c r="U91" s="272"/>
      <c r="V91" s="325">
        <v>53</v>
      </c>
      <c r="W91" s="275"/>
      <c r="X91" s="5"/>
    </row>
    <row r="92" spans="1:24" ht="15.6" x14ac:dyDescent="0.3">
      <c r="A92" s="271"/>
      <c r="B92" s="272" t="s">
        <v>277</v>
      </c>
      <c r="C92" s="272"/>
      <c r="D92" s="272"/>
      <c r="E92" s="272"/>
      <c r="F92" s="272"/>
      <c r="G92" s="272"/>
      <c r="H92" s="311"/>
      <c r="I92" s="311"/>
      <c r="J92" s="311"/>
      <c r="K92" s="333"/>
      <c r="L92" s="311"/>
      <c r="M92" s="272"/>
      <c r="N92" s="334"/>
      <c r="O92" s="272"/>
      <c r="P92" s="272"/>
      <c r="Q92" s="272"/>
      <c r="R92" s="272"/>
      <c r="S92" s="272"/>
      <c r="T92" s="324"/>
      <c r="U92" s="272"/>
      <c r="V92" s="325">
        <v>0</v>
      </c>
      <c r="W92" s="275"/>
      <c r="X92" s="5"/>
    </row>
    <row r="93" spans="1:24" ht="15.6" x14ac:dyDescent="0.3">
      <c r="A93" s="271"/>
      <c r="B93" s="272" t="s">
        <v>138</v>
      </c>
      <c r="C93" s="272"/>
      <c r="D93" s="272"/>
      <c r="E93" s="272"/>
      <c r="F93" s="272"/>
      <c r="G93" s="272"/>
      <c r="H93" s="272"/>
      <c r="I93" s="272"/>
      <c r="J93" s="272"/>
      <c r="K93" s="272"/>
      <c r="L93" s="272"/>
      <c r="M93" s="272"/>
      <c r="N93" s="272"/>
      <c r="O93" s="272"/>
      <c r="P93" s="272"/>
      <c r="Q93" s="272"/>
      <c r="R93" s="272"/>
      <c r="S93" s="272"/>
      <c r="T93" s="324"/>
      <c r="U93" s="272"/>
      <c r="V93" s="325">
        <v>0</v>
      </c>
      <c r="W93" s="275"/>
      <c r="X93" s="5"/>
    </row>
    <row r="94" spans="1:24" ht="15.6" x14ac:dyDescent="0.3">
      <c r="A94" s="271"/>
      <c r="B94" s="272" t="s">
        <v>265</v>
      </c>
      <c r="C94" s="272"/>
      <c r="D94" s="272"/>
      <c r="E94" s="272"/>
      <c r="F94" s="272"/>
      <c r="G94" s="272"/>
      <c r="H94" s="272"/>
      <c r="I94" s="272"/>
      <c r="J94" s="272"/>
      <c r="K94" s="272"/>
      <c r="L94" s="272"/>
      <c r="M94" s="272"/>
      <c r="N94" s="272"/>
      <c r="O94" s="272"/>
      <c r="P94" s="272"/>
      <c r="Q94" s="272"/>
      <c r="R94" s="272"/>
      <c r="S94" s="272"/>
      <c r="T94" s="324"/>
      <c r="U94" s="272"/>
      <c r="V94" s="325">
        <v>285</v>
      </c>
      <c r="W94" s="275"/>
      <c r="X94" s="5"/>
    </row>
    <row r="95" spans="1:24" ht="15.6" x14ac:dyDescent="0.3">
      <c r="A95" s="271"/>
      <c r="B95" s="272" t="s">
        <v>30</v>
      </c>
      <c r="C95" s="272"/>
      <c r="D95" s="272"/>
      <c r="E95" s="272"/>
      <c r="F95" s="272"/>
      <c r="G95" s="272"/>
      <c r="H95" s="272"/>
      <c r="I95" s="272"/>
      <c r="J95" s="272"/>
      <c r="K95" s="272"/>
      <c r="L95" s="272"/>
      <c r="M95" s="272"/>
      <c r="N95" s="272"/>
      <c r="O95" s="272"/>
      <c r="P95" s="272"/>
      <c r="Q95" s="272"/>
      <c r="R95" s="272"/>
      <c r="S95" s="272"/>
      <c r="T95" s="324">
        <f>SUM(T87:T94)</f>
        <v>19274</v>
      </c>
      <c r="U95" s="272"/>
      <c r="V95" s="324">
        <f>SUM(V87:V94)</f>
        <v>5461</v>
      </c>
      <c r="W95" s="275"/>
      <c r="X95" s="5"/>
    </row>
    <row r="96" spans="1:24" ht="15.6" x14ac:dyDescent="0.3">
      <c r="A96" s="271"/>
      <c r="B96" s="272" t="s">
        <v>164</v>
      </c>
      <c r="C96" s="272"/>
      <c r="D96" s="272"/>
      <c r="E96" s="272"/>
      <c r="F96" s="272"/>
      <c r="G96" s="272"/>
      <c r="H96" s="272"/>
      <c r="I96" s="272"/>
      <c r="J96" s="272"/>
      <c r="K96" s="272"/>
      <c r="L96" s="272"/>
      <c r="M96" s="272"/>
      <c r="N96" s="272"/>
      <c r="O96" s="272"/>
      <c r="P96" s="272"/>
      <c r="Q96" s="272"/>
      <c r="R96" s="272"/>
      <c r="S96" s="272"/>
      <c r="T96" s="324">
        <f>-V96</f>
        <v>0</v>
      </c>
      <c r="U96" s="272"/>
      <c r="V96" s="324">
        <v>0</v>
      </c>
      <c r="W96" s="275"/>
      <c r="X96" s="5"/>
    </row>
    <row r="97" spans="1:26" ht="15.6" x14ac:dyDescent="0.3">
      <c r="A97" s="271"/>
      <c r="B97" s="272" t="s">
        <v>31</v>
      </c>
      <c r="C97" s="272"/>
      <c r="D97" s="272"/>
      <c r="E97" s="272"/>
      <c r="F97" s="272"/>
      <c r="G97" s="272"/>
      <c r="H97" s="272"/>
      <c r="I97" s="272"/>
      <c r="J97" s="272"/>
      <c r="K97" s="272"/>
      <c r="L97" s="272"/>
      <c r="M97" s="272"/>
      <c r="N97" s="272"/>
      <c r="O97" s="272"/>
      <c r="P97" s="272"/>
      <c r="Q97" s="272"/>
      <c r="R97" s="272"/>
      <c r="S97" s="272"/>
      <c r="T97" s="324">
        <f>-V97</f>
        <v>0</v>
      </c>
      <c r="U97" s="272"/>
      <c r="V97" s="325">
        <v>0</v>
      </c>
      <c r="W97" s="275"/>
      <c r="X97" s="5"/>
    </row>
    <row r="98" spans="1:26" ht="15.6" x14ac:dyDescent="0.3">
      <c r="A98" s="271"/>
      <c r="B98" s="272" t="s">
        <v>288</v>
      </c>
      <c r="C98" s="272"/>
      <c r="D98" s="272"/>
      <c r="E98" s="272"/>
      <c r="F98" s="272"/>
      <c r="G98" s="272"/>
      <c r="H98" s="272"/>
      <c r="I98" s="272"/>
      <c r="J98" s="272"/>
      <c r="K98" s="272"/>
      <c r="L98" s="272"/>
      <c r="M98" s="272"/>
      <c r="N98" s="272"/>
      <c r="O98" s="272"/>
      <c r="P98" s="272"/>
      <c r="Q98" s="272"/>
      <c r="R98" s="272"/>
      <c r="S98" s="272"/>
      <c r="T98" s="324"/>
      <c r="U98" s="272"/>
      <c r="V98" s="325">
        <v>297</v>
      </c>
      <c r="W98" s="275"/>
      <c r="X98" s="5"/>
    </row>
    <row r="99" spans="1:26" ht="15.6" x14ac:dyDescent="0.3">
      <c r="A99" s="271"/>
      <c r="B99" s="272" t="s">
        <v>32</v>
      </c>
      <c r="C99" s="272"/>
      <c r="D99" s="272"/>
      <c r="E99" s="272"/>
      <c r="F99" s="272"/>
      <c r="G99" s="272"/>
      <c r="H99" s="272"/>
      <c r="I99" s="272"/>
      <c r="J99" s="272"/>
      <c r="K99" s="272"/>
      <c r="L99" s="272"/>
      <c r="M99" s="272"/>
      <c r="N99" s="272"/>
      <c r="O99" s="272"/>
      <c r="P99" s="272"/>
      <c r="Q99" s="272"/>
      <c r="R99" s="272"/>
      <c r="S99" s="272"/>
      <c r="T99" s="324">
        <f>T95+T97+T96</f>
        <v>19274</v>
      </c>
      <c r="U99" s="272"/>
      <c r="V99" s="324">
        <f>V95+V97+V96+V98</f>
        <v>5758</v>
      </c>
      <c r="W99" s="275"/>
      <c r="X99" s="5"/>
    </row>
    <row r="100" spans="1:26" ht="15.6" x14ac:dyDescent="0.3">
      <c r="A100" s="271"/>
      <c r="B100" s="335" t="s">
        <v>33</v>
      </c>
      <c r="C100" s="298"/>
      <c r="D100" s="298"/>
      <c r="E100" s="298"/>
      <c r="F100" s="298"/>
      <c r="G100" s="298"/>
      <c r="H100" s="298"/>
      <c r="I100" s="298"/>
      <c r="J100" s="298"/>
      <c r="K100" s="298"/>
      <c r="L100" s="298"/>
      <c r="M100" s="298"/>
      <c r="N100" s="298"/>
      <c r="O100" s="298"/>
      <c r="P100" s="298"/>
      <c r="Q100" s="298"/>
      <c r="R100" s="298"/>
      <c r="S100" s="298"/>
      <c r="T100" s="336"/>
      <c r="U100" s="298"/>
      <c r="V100" s="337"/>
      <c r="W100" s="304"/>
      <c r="X100" s="5"/>
    </row>
    <row r="101" spans="1:26" ht="15.6" x14ac:dyDescent="0.3">
      <c r="A101" s="338">
        <v>1</v>
      </c>
      <c r="B101" s="272" t="s">
        <v>34</v>
      </c>
      <c r="C101" s="272"/>
      <c r="D101" s="272"/>
      <c r="E101" s="272"/>
      <c r="F101" s="272"/>
      <c r="G101" s="272"/>
      <c r="H101" s="272"/>
      <c r="I101" s="272"/>
      <c r="J101" s="272"/>
      <c r="K101" s="272"/>
      <c r="L101" s="272"/>
      <c r="M101" s="272"/>
      <c r="N101" s="272"/>
      <c r="O101" s="272"/>
      <c r="P101" s="272"/>
      <c r="Q101" s="272"/>
      <c r="R101" s="272"/>
      <c r="S101" s="272"/>
      <c r="T101" s="272"/>
      <c r="U101" s="272"/>
      <c r="V101" s="325">
        <v>0</v>
      </c>
      <c r="W101" s="275"/>
      <c r="X101" s="5"/>
    </row>
    <row r="102" spans="1:26" ht="15.6" x14ac:dyDescent="0.3">
      <c r="A102" s="338">
        <f>+A101+1</f>
        <v>2</v>
      </c>
      <c r="B102" s="272" t="s">
        <v>331</v>
      </c>
      <c r="C102" s="272"/>
      <c r="D102" s="272"/>
      <c r="E102" s="272"/>
      <c r="F102" s="272"/>
      <c r="G102" s="272"/>
      <c r="H102" s="272"/>
      <c r="I102" s="272"/>
      <c r="J102" s="272"/>
      <c r="K102" s="272"/>
      <c r="L102" s="272"/>
      <c r="M102" s="272"/>
      <c r="N102" s="272"/>
      <c r="O102" s="272"/>
      <c r="P102" s="272"/>
      <c r="Q102" s="272"/>
      <c r="R102" s="272"/>
      <c r="S102" s="272"/>
      <c r="T102" s="272"/>
      <c r="U102" s="272"/>
      <c r="V102" s="325">
        <f>-2</f>
        <v>-2</v>
      </c>
      <c r="W102" s="275"/>
      <c r="X102" s="5"/>
    </row>
    <row r="103" spans="1:26" ht="15.6" x14ac:dyDescent="0.3">
      <c r="A103" s="338">
        <f>+A102+1</f>
        <v>3</v>
      </c>
      <c r="B103" s="343" t="s">
        <v>332</v>
      </c>
      <c r="C103" s="272"/>
      <c r="D103" s="272"/>
      <c r="E103" s="272"/>
      <c r="F103" s="272"/>
      <c r="G103" s="272"/>
      <c r="H103" s="272"/>
      <c r="I103" s="272"/>
      <c r="J103" s="272"/>
      <c r="K103" s="272"/>
      <c r="L103" s="272"/>
      <c r="M103" s="272"/>
      <c r="N103" s="272"/>
      <c r="O103" s="272"/>
      <c r="P103" s="272"/>
      <c r="Q103" s="272"/>
      <c r="R103" s="272"/>
      <c r="S103" s="272"/>
      <c r="T103" s="272"/>
      <c r="U103" s="272"/>
      <c r="V103" s="325">
        <f>-336-170-11</f>
        <v>-517</v>
      </c>
      <c r="W103" s="275"/>
      <c r="X103" s="5"/>
    </row>
    <row r="104" spans="1:26" ht="15.6" x14ac:dyDescent="0.3">
      <c r="A104" s="338" t="s">
        <v>130</v>
      </c>
      <c r="B104" s="272" t="s">
        <v>119</v>
      </c>
      <c r="C104" s="272"/>
      <c r="D104" s="272"/>
      <c r="E104" s="272"/>
      <c r="F104" s="272"/>
      <c r="G104" s="272"/>
      <c r="H104" s="272"/>
      <c r="I104" s="272"/>
      <c r="J104" s="272"/>
      <c r="K104" s="272"/>
      <c r="L104" s="272"/>
      <c r="M104" s="272"/>
      <c r="N104" s="272"/>
      <c r="O104" s="272"/>
      <c r="P104" s="272"/>
      <c r="Q104" s="272"/>
      <c r="R104" s="272"/>
      <c r="S104" s="272"/>
      <c r="T104" s="272"/>
      <c r="U104" s="272"/>
      <c r="V104" s="325">
        <v>0</v>
      </c>
      <c r="W104" s="275"/>
      <c r="X104" s="5"/>
    </row>
    <row r="105" spans="1:26" ht="15.6" x14ac:dyDescent="0.3">
      <c r="A105" s="338" t="s">
        <v>131</v>
      </c>
      <c r="B105" s="272" t="s">
        <v>362</v>
      </c>
      <c r="C105" s="272"/>
      <c r="D105" s="272"/>
      <c r="E105" s="272"/>
      <c r="F105" s="272"/>
      <c r="G105" s="272"/>
      <c r="H105" s="272"/>
      <c r="I105" s="272"/>
      <c r="J105" s="272"/>
      <c r="K105" s="272"/>
      <c r="L105" s="272"/>
      <c r="M105" s="272"/>
      <c r="N105" s="272"/>
      <c r="O105" s="272"/>
      <c r="P105" s="272"/>
      <c r="Q105" s="272"/>
      <c r="R105" s="272"/>
      <c r="S105" s="272"/>
      <c r="T105" s="272"/>
      <c r="U105" s="272"/>
      <c r="V105" s="325">
        <f>-882-138</f>
        <v>-1020</v>
      </c>
      <c r="W105" s="275"/>
      <c r="X105" s="5"/>
      <c r="Y105" s="109"/>
      <c r="Z105" s="109"/>
    </row>
    <row r="106" spans="1:26" ht="15.6" x14ac:dyDescent="0.3">
      <c r="A106" s="338" t="s">
        <v>153</v>
      </c>
      <c r="B106" s="272" t="s">
        <v>363</v>
      </c>
      <c r="C106" s="272"/>
      <c r="D106" s="272"/>
      <c r="E106" s="272"/>
      <c r="F106" s="272"/>
      <c r="G106" s="272"/>
      <c r="H106" s="272"/>
      <c r="I106" s="272"/>
      <c r="J106" s="272"/>
      <c r="K106" s="272"/>
      <c r="L106" s="272"/>
      <c r="M106" s="272"/>
      <c r="N106" s="272"/>
      <c r="O106" s="272"/>
      <c r="P106" s="272"/>
      <c r="Q106" s="272"/>
      <c r="R106" s="272"/>
      <c r="S106" s="272"/>
      <c r="T106" s="272"/>
      <c r="U106" s="272"/>
      <c r="V106" s="325">
        <f>-241-208</f>
        <v>-449</v>
      </c>
      <c r="W106" s="275"/>
      <c r="X106" s="5"/>
      <c r="Y106" s="109"/>
    </row>
    <row r="107" spans="1:26" ht="15.6" x14ac:dyDescent="0.3">
      <c r="A107" s="338" t="s">
        <v>266</v>
      </c>
      <c r="B107" s="272" t="s">
        <v>269</v>
      </c>
      <c r="C107" s="272"/>
      <c r="D107" s="272"/>
      <c r="E107" s="272"/>
      <c r="F107" s="272"/>
      <c r="G107" s="272"/>
      <c r="H107" s="272"/>
      <c r="I107" s="272"/>
      <c r="J107" s="272"/>
      <c r="K107" s="272"/>
      <c r="L107" s="272"/>
      <c r="M107" s="272"/>
      <c r="N107" s="272"/>
      <c r="O107" s="272"/>
      <c r="P107" s="272"/>
      <c r="Q107" s="272"/>
      <c r="R107" s="272"/>
      <c r="S107" s="272"/>
      <c r="T107" s="272"/>
      <c r="U107" s="272"/>
      <c r="V107" s="325">
        <v>0</v>
      </c>
      <c r="W107" s="275"/>
      <c r="X107" s="5"/>
    </row>
    <row r="108" spans="1:26" ht="15.6" x14ac:dyDescent="0.3">
      <c r="A108" s="338" t="s">
        <v>208</v>
      </c>
      <c r="B108" s="272" t="s">
        <v>188</v>
      </c>
      <c r="C108" s="272"/>
      <c r="D108" s="272"/>
      <c r="E108" s="272"/>
      <c r="F108" s="272"/>
      <c r="G108" s="272"/>
      <c r="H108" s="272"/>
      <c r="I108" s="272"/>
      <c r="J108" s="272"/>
      <c r="K108" s="272"/>
      <c r="L108" s="272"/>
      <c r="M108" s="272"/>
      <c r="N108" s="272"/>
      <c r="O108" s="272"/>
      <c r="P108" s="272"/>
      <c r="Q108" s="272"/>
      <c r="R108" s="272"/>
      <c r="S108" s="272"/>
      <c r="T108" s="272"/>
      <c r="U108" s="272"/>
      <c r="V108" s="325">
        <v>-142</v>
      </c>
      <c r="W108" s="275"/>
      <c r="X108" s="5"/>
      <c r="Y108" s="109"/>
    </row>
    <row r="109" spans="1:26" ht="15.6" x14ac:dyDescent="0.3">
      <c r="A109" s="338" t="s">
        <v>209</v>
      </c>
      <c r="B109" s="272" t="s">
        <v>189</v>
      </c>
      <c r="C109" s="272"/>
      <c r="D109" s="272"/>
      <c r="E109" s="272"/>
      <c r="F109" s="272"/>
      <c r="G109" s="272"/>
      <c r="H109" s="272"/>
      <c r="I109" s="272"/>
      <c r="J109" s="272"/>
      <c r="K109" s="272"/>
      <c r="L109" s="272"/>
      <c r="M109" s="272"/>
      <c r="N109" s="272"/>
      <c r="O109" s="272"/>
      <c r="P109" s="272"/>
      <c r="Q109" s="272"/>
      <c r="R109" s="272"/>
      <c r="S109" s="272"/>
      <c r="T109" s="272"/>
      <c r="U109" s="272"/>
      <c r="V109" s="325">
        <v>-138</v>
      </c>
      <c r="W109" s="275"/>
      <c r="X109" s="5"/>
      <c r="Y109" s="109"/>
    </row>
    <row r="110" spans="1:26" ht="15.6" x14ac:dyDescent="0.3">
      <c r="A110" s="338" t="s">
        <v>210</v>
      </c>
      <c r="B110" s="272" t="s">
        <v>199</v>
      </c>
      <c r="C110" s="272"/>
      <c r="D110" s="272"/>
      <c r="E110" s="272"/>
      <c r="F110" s="272"/>
      <c r="G110" s="272"/>
      <c r="H110" s="272"/>
      <c r="I110" s="272"/>
      <c r="J110" s="272"/>
      <c r="K110" s="272"/>
      <c r="L110" s="272"/>
      <c r="M110" s="272"/>
      <c r="N110" s="272"/>
      <c r="O110" s="272"/>
      <c r="P110" s="272"/>
      <c r="Q110" s="272"/>
      <c r="R110" s="272"/>
      <c r="S110" s="272"/>
      <c r="T110" s="272"/>
      <c r="U110" s="272"/>
      <c r="V110" s="325">
        <v>-194</v>
      </c>
      <c r="W110" s="275"/>
      <c r="X110" s="5"/>
      <c r="Y110" s="109"/>
    </row>
    <row r="111" spans="1:26" ht="15.6" x14ac:dyDescent="0.3">
      <c r="A111" s="338" t="s">
        <v>230</v>
      </c>
      <c r="B111" s="272" t="s">
        <v>229</v>
      </c>
      <c r="C111" s="272"/>
      <c r="D111" s="272"/>
      <c r="E111" s="272"/>
      <c r="F111" s="272"/>
      <c r="G111" s="272"/>
      <c r="H111" s="272"/>
      <c r="I111" s="272"/>
      <c r="J111" s="272"/>
      <c r="K111" s="272"/>
      <c r="L111" s="272"/>
      <c r="M111" s="272"/>
      <c r="N111" s="272"/>
      <c r="O111" s="272"/>
      <c r="P111" s="272"/>
      <c r="Q111" s="272"/>
      <c r="R111" s="272"/>
      <c r="S111" s="272"/>
      <c r="T111" s="272"/>
      <c r="U111" s="272"/>
      <c r="V111" s="325">
        <v>-45</v>
      </c>
      <c r="W111" s="275"/>
      <c r="X111" s="5"/>
      <c r="Y111" s="109"/>
    </row>
    <row r="112" spans="1:26" ht="15.6" x14ac:dyDescent="0.3">
      <c r="A112" s="392">
        <v>7</v>
      </c>
      <c r="B112" s="343" t="s">
        <v>333</v>
      </c>
      <c r="C112" s="343"/>
      <c r="D112" s="343"/>
      <c r="E112" s="343"/>
      <c r="F112" s="343"/>
      <c r="G112" s="272"/>
      <c r="H112" s="272"/>
      <c r="I112" s="272"/>
      <c r="J112" s="272"/>
      <c r="K112" s="272"/>
      <c r="L112" s="272"/>
      <c r="M112" s="272"/>
      <c r="N112" s="272"/>
      <c r="O112" s="272"/>
      <c r="P112" s="272"/>
      <c r="Q112" s="272"/>
      <c r="R112" s="272"/>
      <c r="S112" s="272"/>
      <c r="T112" s="272"/>
      <c r="U112" s="272"/>
      <c r="V112" s="325">
        <v>0</v>
      </c>
      <c r="W112" s="275"/>
      <c r="X112" s="5"/>
      <c r="Y112" s="109"/>
    </row>
    <row r="113" spans="1:24" ht="15.6" x14ac:dyDescent="0.3">
      <c r="A113" s="338">
        <f t="shared" ref="A113:A120" si="0">+A112+1</f>
        <v>8</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-10</v>
      </c>
      <c r="W113" s="275"/>
      <c r="X113" s="5"/>
    </row>
    <row r="114" spans="1:24" ht="15.6" x14ac:dyDescent="0.3">
      <c r="A114" s="338">
        <f t="shared" si="0"/>
        <v>9</v>
      </c>
      <c r="B114" s="272" t="s">
        <v>45</v>
      </c>
      <c r="C114" s="272"/>
      <c r="D114" s="272"/>
      <c r="E114" s="272"/>
      <c r="F114" s="272"/>
      <c r="G114" s="272"/>
      <c r="H114" s="272"/>
      <c r="I114" s="272"/>
      <c r="J114" s="272"/>
      <c r="K114" s="272"/>
      <c r="L114" s="272"/>
      <c r="M114" s="272"/>
      <c r="N114" s="272"/>
      <c r="O114" s="272"/>
      <c r="P114" s="272"/>
      <c r="Q114" s="272"/>
      <c r="R114" s="272"/>
      <c r="S114" s="272"/>
      <c r="T114" s="324">
        <f>-V114</f>
        <v>-22</v>
      </c>
      <c r="U114" s="272"/>
      <c r="V114" s="325">
        <v>22</v>
      </c>
      <c r="W114" s="275"/>
      <c r="X114" s="5"/>
    </row>
    <row r="115" spans="1:24" ht="15.6" x14ac:dyDescent="0.3">
      <c r="A115" s="338">
        <f t="shared" si="0"/>
        <v>10</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11</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12</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13</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14</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-336</v>
      </c>
      <c r="W119" s="275"/>
      <c r="X119" s="5"/>
    </row>
    <row r="120" spans="1:24" ht="15.6" x14ac:dyDescent="0.3">
      <c r="A120" s="338">
        <f t="shared" si="0"/>
        <v>15</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-V99-SUM(V101:V119)</f>
        <v>-2927</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0</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0</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-557</v>
      </c>
      <c r="U124" s="324"/>
      <c r="V124" s="325"/>
      <c r="W124" s="275"/>
      <c r="X124" s="5"/>
    </row>
    <row r="125" spans="1:24" ht="15.6" x14ac:dyDescent="0.3">
      <c r="A125" s="338"/>
      <c r="B125" s="272" t="s">
        <v>386</v>
      </c>
      <c r="C125" s="272"/>
      <c r="D125" s="272"/>
      <c r="E125" s="272"/>
      <c r="F125" s="272"/>
      <c r="G125" s="272"/>
      <c r="H125" s="272"/>
      <c r="I125" s="272"/>
      <c r="J125" s="272"/>
      <c r="K125" s="272"/>
      <c r="L125" s="272"/>
      <c r="M125" s="272"/>
      <c r="N125" s="272"/>
      <c r="O125" s="272"/>
      <c r="P125" s="272"/>
      <c r="Q125" s="272"/>
      <c r="R125" s="272"/>
      <c r="S125" s="272"/>
      <c r="T125" s="324">
        <v>-11296</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-1770</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-2993</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-2636</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-19252</v>
      </c>
      <c r="U133" s="324"/>
      <c r="V133" s="324">
        <f>SUM(V100:V130)</f>
        <v>-5758</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T99+T133+T114</f>
        <v>0</v>
      </c>
      <c r="U134" s="324"/>
      <c r="V134" s="324">
        <f>V99+V133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B63</f>
        <v>PM13 INVESTOR REPORT QUARTER ENDING MARCH 2016</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341</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-22</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-22</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22</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v>0</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V70</f>
        <v>866020</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V83</f>
        <v>866020</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+'Dec 15'!S183</f>
        <v>51053</v>
      </c>
      <c r="T181" s="325">
        <f>+'Dec 15'!T183</f>
        <v>9749</v>
      </c>
      <c r="U181" s="272"/>
      <c r="V181" s="325">
        <f>S181+T181</f>
        <v>60802</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f>417+140</f>
        <v>557</v>
      </c>
      <c r="T182" s="324">
        <v>0</v>
      </c>
      <c r="U182" s="272"/>
      <c r="V182" s="325">
        <f>S182+T182</f>
        <v>557</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51610</v>
      </c>
      <c r="T183" s="325">
        <f>T182+T181</f>
        <v>9749</v>
      </c>
      <c r="U183" s="272"/>
      <c r="V183" s="325">
        <f>S183+T183</f>
        <v>61359</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178671.4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(V99+V101+V102+V103+V104)/-(V105+V106)</f>
        <v>3.5663716814159292</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1.82</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(V99+V101+V102+V103+V104+V105+V106)/-(V108+V109)</f>
        <v>13.464285714285714</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7.35</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(V99+V101+V102+V103+V104+V105+V106+V108+V109)/-(V110+V111)</f>
        <v>14.602510460251047</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9.3000000000000007</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MARCH 2016</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42460</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2.2960000000000001E-2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9.0120758148825812E-3</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1.394792418511742E-2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+V99/N70</f>
        <v>6.5083105858948923E-3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11.91</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P67/N67</f>
        <v>2.1760679992992093E-2</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6.4000000000000001E-2</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0</v>
      </c>
      <c r="T216" s="357">
        <v>0</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134</v>
      </c>
      <c r="T217" s="357">
        <f>+T269</f>
        <v>21133</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f>+R281</f>
        <v>0</v>
      </c>
      <c r="T218" s="357">
        <f>+T281</f>
        <v>0</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+N80</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2" t="s">
        <v>84</v>
      </c>
      <c r="C222" s="272"/>
      <c r="D222" s="272"/>
      <c r="E222" s="272"/>
      <c r="F222" s="272"/>
      <c r="G222" s="272"/>
      <c r="H222" s="272"/>
      <c r="I222" s="272"/>
      <c r="J222" s="272"/>
      <c r="K222" s="272"/>
      <c r="L222" s="272"/>
      <c r="M222" s="272"/>
      <c r="N222" s="272"/>
      <c r="O222" s="272"/>
      <c r="P222" s="272"/>
      <c r="Q222" s="272"/>
      <c r="R222" s="272"/>
      <c r="S222" s="280"/>
      <c r="T222" s="357">
        <f>V166</f>
        <v>-22</v>
      </c>
      <c r="U222" s="272"/>
      <c r="V222" s="362"/>
      <c r="W222" s="367"/>
      <c r="X222" s="5"/>
    </row>
    <row r="223" spans="1:24" ht="15.6" x14ac:dyDescent="0.3">
      <c r="A223" s="356"/>
      <c r="B223" s="272" t="s">
        <v>85</v>
      </c>
      <c r="C223" s="324"/>
      <c r="D223" s="324"/>
      <c r="E223" s="324"/>
      <c r="F223" s="324"/>
      <c r="G223" s="272"/>
      <c r="H223" s="272"/>
      <c r="I223" s="272"/>
      <c r="J223" s="272"/>
      <c r="K223" s="272"/>
      <c r="L223" s="272"/>
      <c r="M223" s="272"/>
      <c r="N223" s="272"/>
      <c r="O223" s="272"/>
      <c r="P223" s="272"/>
      <c r="Q223" s="272"/>
      <c r="R223" s="272"/>
      <c r="S223" s="280"/>
      <c r="T223" s="357">
        <f>'Dec 15'!T223+T222</f>
        <v>8024</v>
      </c>
      <c r="U223" s="272"/>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5</v>
      </c>
      <c r="T229" s="357">
        <v>931</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0</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 t="shared" ref="R236:R243" si="1">+R248+R260+R272</f>
        <v>6720</v>
      </c>
      <c r="S236" s="381">
        <f t="shared" ref="S236:S243" si="2">R236/$R$245</f>
        <v>0.99422991566799823</v>
      </c>
      <c r="T236" s="325">
        <f t="shared" ref="T236:T243" si="3">+T248+T260+T272</f>
        <v>861556</v>
      </c>
      <c r="U236" s="381">
        <f t="shared" ref="U236:U243" si="4">T236/$T$245</f>
        <v>0.99484538463314931</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si="1"/>
        <v>4</v>
      </c>
      <c r="S237" s="381">
        <f t="shared" si="2"/>
        <v>5.9180352123095132E-4</v>
      </c>
      <c r="T237" s="325">
        <f t="shared" si="3"/>
        <v>412</v>
      </c>
      <c r="U237" s="381">
        <f t="shared" si="4"/>
        <v>4.757395903096926E-4</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5</v>
      </c>
      <c r="S238" s="381">
        <f t="shared" si="2"/>
        <v>7.3975440153868915E-4</v>
      </c>
      <c r="T238" s="325">
        <f t="shared" si="3"/>
        <v>468</v>
      </c>
      <c r="U238" s="381">
        <f t="shared" si="4"/>
        <v>5.4040322394401975E-4</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1</v>
      </c>
      <c r="S239" s="381">
        <f t="shared" si="2"/>
        <v>1.4795088030773783E-4</v>
      </c>
      <c r="T239" s="325">
        <f t="shared" si="3"/>
        <v>131</v>
      </c>
      <c r="U239" s="381">
        <f t="shared" si="4"/>
        <v>1.5126671439458673E-4</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1</v>
      </c>
      <c r="S240" s="381">
        <f t="shared" si="2"/>
        <v>1.4795088030773783E-4</v>
      </c>
      <c r="T240" s="325">
        <f t="shared" si="3"/>
        <v>90</v>
      </c>
      <c r="U240" s="381">
        <f t="shared" si="4"/>
        <v>1.039236969123115E-4</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2</v>
      </c>
      <c r="S241" s="381">
        <f t="shared" si="2"/>
        <v>2.9590176061547566E-4</v>
      </c>
      <c r="T241" s="325">
        <f t="shared" si="3"/>
        <v>188</v>
      </c>
      <c r="U241" s="381">
        <f t="shared" si="4"/>
        <v>2.17085055772384E-4</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5</v>
      </c>
      <c r="S242" s="381">
        <f t="shared" si="2"/>
        <v>7.3975440153868915E-4</v>
      </c>
      <c r="T242" s="325">
        <f t="shared" si="3"/>
        <v>435</v>
      </c>
      <c r="U242" s="381">
        <f t="shared" si="4"/>
        <v>5.0229786840950551E-4</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21</v>
      </c>
      <c r="S243" s="381">
        <f t="shared" si="2"/>
        <v>3.1069684864624943E-3</v>
      </c>
      <c r="T243" s="325">
        <f t="shared" si="3"/>
        <v>2740</v>
      </c>
      <c r="U243" s="381">
        <f t="shared" si="4"/>
        <v>3.16389921710815E-3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6759</v>
      </c>
      <c r="S245" s="381">
        <f>SUM(S236:S244)</f>
        <v>1</v>
      </c>
      <c r="T245" s="325">
        <f>SUM(T236:T244)</f>
        <v>866020</v>
      </c>
      <c r="U245" s="381">
        <f>SUM(U236:U244)</f>
        <v>0.99999999999999989</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6623</v>
      </c>
      <c r="S248" s="261">
        <f t="shared" ref="S248:S255" si="5">R248/$R$257</f>
        <v>0.9996981132075472</v>
      </c>
      <c r="T248" s="238">
        <v>844725</v>
      </c>
      <c r="U248" s="261">
        <f t="shared" ref="U248:U255" si="6">T248/$T$257</f>
        <v>0.99980825838248188</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1</v>
      </c>
      <c r="S249" s="381">
        <f t="shared" si="5"/>
        <v>1.509433962264151E-4</v>
      </c>
      <c r="T249" s="325">
        <v>76</v>
      </c>
      <c r="U249" s="381">
        <f t="shared" si="6"/>
        <v>8.9952857601075653E-5</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1</v>
      </c>
      <c r="S250" s="381">
        <f t="shared" si="5"/>
        <v>1.509433962264151E-4</v>
      </c>
      <c r="T250" s="325">
        <v>86</v>
      </c>
      <c r="U250" s="381">
        <f t="shared" si="6"/>
        <v>1.0178875991700665E-4</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0</v>
      </c>
      <c r="S251" s="381">
        <f t="shared" si="5"/>
        <v>0</v>
      </c>
      <c r="T251" s="325">
        <v>0</v>
      </c>
      <c r="U251" s="381">
        <f t="shared" si="6"/>
        <v>0</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0</v>
      </c>
      <c r="S255" s="381">
        <f t="shared" si="5"/>
        <v>0</v>
      </c>
      <c r="T255" s="325">
        <v>0</v>
      </c>
      <c r="U255" s="381">
        <f t="shared" si="6"/>
        <v>0</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6625</v>
      </c>
      <c r="S257" s="381">
        <f>SUM(S248:S256)</f>
        <v>1</v>
      </c>
      <c r="T257" s="325">
        <f>SUM(T248:T256)</f>
        <v>844887</v>
      </c>
      <c r="U257" s="381">
        <f>SUM(U248:U256)</f>
        <v>0.99999999999999989</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97</v>
      </c>
      <c r="S260" s="261">
        <f>R260/$R$269</f>
        <v>0.72388059701492535</v>
      </c>
      <c r="T260" s="238">
        <v>16831</v>
      </c>
      <c r="U260" s="261">
        <f t="shared" ref="U260:U267" si="7">T260/$T$269</f>
        <v>0.79643212038044764</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3</v>
      </c>
      <c r="S261" s="381">
        <f t="shared" ref="S261:S265" si="8">R261/$R$269</f>
        <v>2.2388059701492536E-2</v>
      </c>
      <c r="T261" s="325">
        <v>336</v>
      </c>
      <c r="U261" s="381">
        <f t="shared" si="7"/>
        <v>1.5899304405432264E-2</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4</v>
      </c>
      <c r="S262" s="381">
        <f t="shared" si="8"/>
        <v>2.9850746268656716E-2</v>
      </c>
      <c r="T262" s="325">
        <v>382</v>
      </c>
      <c r="U262" s="381">
        <f t="shared" si="7"/>
        <v>1.8075994889509298E-2</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1</v>
      </c>
      <c r="S263" s="381">
        <f t="shared" si="8"/>
        <v>7.462686567164179E-3</v>
      </c>
      <c r="T263" s="325">
        <v>131</v>
      </c>
      <c r="U263" s="381">
        <f t="shared" si="7"/>
        <v>6.1988359437846023E-3</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1</v>
      </c>
      <c r="S264" s="381">
        <f t="shared" si="8"/>
        <v>7.462686567164179E-3</v>
      </c>
      <c r="T264" s="325">
        <v>90</v>
      </c>
      <c r="U264" s="381">
        <f t="shared" si="7"/>
        <v>4.2587422514550706E-3</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2</v>
      </c>
      <c r="S265" s="381">
        <f t="shared" si="8"/>
        <v>1.4925373134328358E-2</v>
      </c>
      <c r="T265" s="325">
        <v>188</v>
      </c>
      <c r="U265" s="381">
        <f t="shared" si="7"/>
        <v>8.8960393697061473E-3</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5</v>
      </c>
      <c r="S266" s="381">
        <f>R266/$R$269</f>
        <v>3.7313432835820892E-2</v>
      </c>
      <c r="T266" s="325">
        <v>435</v>
      </c>
      <c r="U266" s="381">
        <f t="shared" si="7"/>
        <v>2.0583920882032841E-2</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21</v>
      </c>
      <c r="S267" s="381">
        <f>R267/$R$269</f>
        <v>0.15671641791044777</v>
      </c>
      <c r="T267" s="325">
        <v>2740</v>
      </c>
      <c r="U267" s="381">
        <f t="shared" si="7"/>
        <v>0.12965504187763213</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134</v>
      </c>
      <c r="S269" s="381">
        <f>SUM(S260:S268)</f>
        <v>1</v>
      </c>
      <c r="T269" s="325">
        <f>SUM(T260:T268)</f>
        <v>21133</v>
      </c>
      <c r="U269" s="381">
        <f>SUM(U260:U268)</f>
        <v>1</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v>0</v>
      </c>
      <c r="T272" s="238">
        <v>0</v>
      </c>
      <c r="U272" s="261">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v>0</v>
      </c>
      <c r="T273" s="325">
        <v>0</v>
      </c>
      <c r="U273" s="381">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0</v>
      </c>
      <c r="S281" s="381">
        <f>SUM(S272:S279)</f>
        <v>0</v>
      </c>
      <c r="T281" s="325">
        <f>SUM(T272:T279)</f>
        <v>0</v>
      </c>
      <c r="U281" s="381">
        <f>SUM(U272:U279)</f>
        <v>0</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79" t="s">
        <v>167</v>
      </c>
      <c r="C283" s="272"/>
      <c r="D283" s="272"/>
      <c r="E283" s="272"/>
      <c r="F283" s="272"/>
      <c r="G283" s="272"/>
      <c r="H283" s="383"/>
      <c r="I283" s="383"/>
      <c r="J283" s="383"/>
      <c r="K283" s="383"/>
      <c r="L283" s="383"/>
      <c r="M283" s="383"/>
      <c r="N283" s="383"/>
      <c r="O283" s="383"/>
      <c r="P283" s="383"/>
      <c r="Q283" s="383"/>
      <c r="R283" s="390">
        <f>R281+R269+R257</f>
        <v>6759</v>
      </c>
      <c r="S283" s="381"/>
      <c r="T283" s="387">
        <f>+T281+T269+T257</f>
        <v>866020</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335</v>
      </c>
      <c r="C287" s="220"/>
      <c r="D287" s="220"/>
      <c r="E287" s="220"/>
      <c r="F287" s="265" t="s">
        <v>151</v>
      </c>
      <c r="G287" s="220"/>
      <c r="H287" s="219" t="s">
        <v>155</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336</v>
      </c>
      <c r="C288" s="219"/>
      <c r="D288" s="219"/>
      <c r="E288" s="219"/>
      <c r="F288" s="265" t="s">
        <v>282</v>
      </c>
      <c r="G288" s="219"/>
      <c r="H288" s="219" t="s">
        <v>283</v>
      </c>
      <c r="I288" s="227"/>
      <c r="J288" s="219"/>
      <c r="K288" s="227"/>
      <c r="L288" s="227"/>
      <c r="M288" s="227"/>
      <c r="N288" s="227"/>
      <c r="O288" s="227"/>
      <c r="P288" s="227"/>
      <c r="Q288" s="227"/>
      <c r="R288" s="227"/>
      <c r="S288" s="227"/>
      <c r="T288" s="227"/>
      <c r="U288" s="227"/>
      <c r="V288" s="227"/>
      <c r="W288" s="227"/>
      <c r="X288" s="5"/>
    </row>
    <row r="289" spans="1:24" ht="15.6" x14ac:dyDescent="0.3">
      <c r="A289" s="216"/>
      <c r="B289" s="219" t="s">
        <v>337</v>
      </c>
      <c r="C289" s="219"/>
      <c r="D289" s="219"/>
      <c r="E289" s="219"/>
      <c r="F289" s="265" t="s">
        <v>150</v>
      </c>
      <c r="G289" s="219"/>
      <c r="H289" s="219" t="s">
        <v>156</v>
      </c>
      <c r="I289" s="219"/>
      <c r="J289" s="219"/>
      <c r="K289" s="227"/>
      <c r="L289" s="227"/>
      <c r="M289" s="227"/>
      <c r="N289" s="227"/>
      <c r="O289" s="227"/>
      <c r="P289" s="227"/>
      <c r="Q289" s="227"/>
      <c r="R289" s="227"/>
      <c r="S289" s="227"/>
      <c r="T289" s="227"/>
      <c r="U289" s="227"/>
      <c r="V289" s="227"/>
      <c r="W289" s="227"/>
      <c r="X289" s="5"/>
    </row>
    <row r="290" spans="1:24" ht="15.6" x14ac:dyDescent="0.3">
      <c r="A290" s="216"/>
      <c r="B290" s="219"/>
      <c r="C290" s="219"/>
      <c r="D290" s="219"/>
      <c r="E290" s="219"/>
      <c r="F290" s="265"/>
      <c r="G290" s="219"/>
      <c r="H290" s="219"/>
      <c r="I290" s="219"/>
      <c r="J290" s="219"/>
      <c r="K290" s="227"/>
      <c r="L290" s="227"/>
      <c r="M290" s="227"/>
      <c r="N290" s="227"/>
      <c r="O290" s="227"/>
      <c r="P290" s="227"/>
      <c r="Q290" s="227"/>
      <c r="R290" s="227"/>
      <c r="S290" s="227"/>
      <c r="T290" s="227"/>
      <c r="U290" s="227"/>
      <c r="V290" s="227"/>
      <c r="W290" s="227"/>
      <c r="X290" s="5"/>
    </row>
    <row r="291" spans="1:24" ht="15.6" x14ac:dyDescent="0.3">
      <c r="A291" s="216"/>
      <c r="B291" s="268" t="s">
        <v>367</v>
      </c>
      <c r="C291" s="219"/>
      <c r="D291" s="219"/>
      <c r="E291" s="219"/>
      <c r="F291" s="265"/>
      <c r="G291" s="219"/>
      <c r="H291" s="219"/>
      <c r="I291" s="219"/>
      <c r="J291" s="219"/>
      <c r="K291" s="227"/>
      <c r="L291" s="227"/>
      <c r="M291" s="227"/>
      <c r="N291" s="227"/>
      <c r="O291" s="227"/>
      <c r="P291" s="227"/>
      <c r="Q291" s="227"/>
      <c r="R291" s="227"/>
      <c r="S291" s="227"/>
      <c r="T291" s="227"/>
      <c r="U291" s="227"/>
      <c r="V291" s="227"/>
      <c r="W291" s="227"/>
      <c r="X291" s="5"/>
    </row>
    <row r="292" spans="1:24" ht="15.6" x14ac:dyDescent="0.3">
      <c r="A292" s="216"/>
      <c r="B292" s="268" t="s">
        <v>364</v>
      </c>
      <c r="C292" s="219"/>
      <c r="D292" s="219"/>
      <c r="E292" s="219"/>
      <c r="F292" s="265"/>
      <c r="G292" s="219"/>
      <c r="H292" s="219"/>
      <c r="I292" s="219"/>
      <c r="J292" s="219"/>
      <c r="K292" s="227"/>
      <c r="L292" s="227"/>
      <c r="M292" s="227"/>
      <c r="N292" s="227"/>
      <c r="O292" s="227"/>
      <c r="P292" s="227"/>
      <c r="Q292" s="227"/>
      <c r="R292" s="227"/>
      <c r="S292" s="227"/>
      <c r="T292" s="227"/>
      <c r="U292" s="227"/>
      <c r="V292" s="227"/>
      <c r="W292" s="227"/>
      <c r="X292" s="5"/>
    </row>
    <row r="293" spans="1:24" ht="15.6" x14ac:dyDescent="0.3">
      <c r="A293" s="216"/>
      <c r="B293" s="268" t="s">
        <v>365</v>
      </c>
      <c r="C293" s="219"/>
      <c r="D293" s="219"/>
      <c r="E293" s="219"/>
      <c r="F293" s="265"/>
      <c r="G293" s="219"/>
      <c r="H293" s="219"/>
      <c r="I293" s="219"/>
      <c r="J293" s="219"/>
      <c r="K293" s="227"/>
      <c r="L293" s="227"/>
      <c r="M293" s="227"/>
      <c r="N293" s="227"/>
      <c r="O293" s="227"/>
      <c r="P293" s="227"/>
      <c r="Q293" s="227"/>
      <c r="R293" s="227"/>
      <c r="S293" s="227"/>
      <c r="T293" s="227"/>
      <c r="U293" s="227"/>
      <c r="V293" s="227"/>
      <c r="W293" s="227"/>
      <c r="X293" s="5"/>
    </row>
    <row r="294" spans="1:24" ht="15.6" x14ac:dyDescent="0.3">
      <c r="A294" s="216"/>
      <c r="B294" s="268" t="s">
        <v>366</v>
      </c>
      <c r="C294" s="219"/>
      <c r="D294" s="219"/>
      <c r="E294" s="219"/>
      <c r="F294" s="265"/>
      <c r="G294" s="219"/>
      <c r="H294" s="219"/>
      <c r="I294" s="219"/>
      <c r="J294" s="219"/>
      <c r="K294" s="227"/>
      <c r="L294" s="227"/>
      <c r="M294" s="227"/>
      <c r="N294" s="227"/>
      <c r="O294" s="227"/>
      <c r="P294" s="227"/>
      <c r="Q294" s="227"/>
      <c r="R294" s="227"/>
      <c r="S294" s="227"/>
      <c r="T294" s="227"/>
      <c r="U294" s="227"/>
      <c r="V294" s="227"/>
      <c r="W294" s="227"/>
      <c r="X294" s="5"/>
    </row>
    <row r="295" spans="1:24" ht="15.6" x14ac:dyDescent="0.3">
      <c r="A295" s="216"/>
      <c r="B295" s="219"/>
      <c r="C295" s="219"/>
      <c r="D295" s="219"/>
      <c r="E295" s="219"/>
      <c r="F295" s="265"/>
      <c r="G295" s="219"/>
      <c r="H295" s="219"/>
      <c r="I295" s="219"/>
      <c r="J295" s="219"/>
      <c r="K295" s="227"/>
      <c r="L295" s="227"/>
      <c r="M295" s="227"/>
      <c r="N295" s="227"/>
      <c r="O295" s="227"/>
      <c r="P295" s="227"/>
      <c r="Q295" s="227"/>
      <c r="R295" s="227"/>
      <c r="S295" s="227"/>
      <c r="T295" s="227"/>
      <c r="U295" s="227"/>
      <c r="V295" s="227"/>
      <c r="W295" s="227"/>
      <c r="X295" s="5"/>
    </row>
    <row r="296" spans="1:24" ht="17.399999999999999" x14ac:dyDescent="0.3">
      <c r="A296" s="216"/>
      <c r="B296" s="400" t="s">
        <v>368</v>
      </c>
      <c r="C296" s="219"/>
      <c r="D296" s="219"/>
      <c r="E296" s="219"/>
      <c r="F296" s="219"/>
      <c r="G296" s="266"/>
      <c r="H296" s="227"/>
      <c r="I296" s="227"/>
      <c r="J296" s="227"/>
      <c r="K296" s="227"/>
      <c r="L296" s="187"/>
      <c r="M296" s="187"/>
      <c r="N296" s="401"/>
      <c r="O296" s="187"/>
      <c r="P296" s="401" t="s">
        <v>170</v>
      </c>
      <c r="Q296" s="227"/>
      <c r="R296" s="227"/>
      <c r="S296" s="227"/>
      <c r="T296" s="227"/>
      <c r="U296" s="227"/>
      <c r="V296" s="227"/>
      <c r="W296" s="227"/>
      <c r="X296" s="5"/>
    </row>
    <row r="297" spans="1:24" ht="15.6" x14ac:dyDescent="0.3">
      <c r="A297" s="216"/>
      <c r="B297" s="219"/>
      <c r="C297" s="219"/>
      <c r="D297" s="219"/>
      <c r="E297" s="219"/>
      <c r="F297" s="219"/>
      <c r="G297" s="266"/>
      <c r="H297" s="227"/>
      <c r="I297" s="227"/>
      <c r="J297" s="227"/>
      <c r="K297" s="227"/>
      <c r="L297" s="227"/>
      <c r="M297" s="227"/>
      <c r="N297" s="227"/>
      <c r="O297" s="227"/>
      <c r="P297" s="227"/>
      <c r="Q297" s="227"/>
      <c r="R297" s="227"/>
      <c r="S297" s="227"/>
      <c r="T297" s="227"/>
      <c r="U297" s="227"/>
      <c r="V297" s="227"/>
      <c r="W297" s="227"/>
      <c r="X297" s="5"/>
    </row>
    <row r="298" spans="1:24" ht="18" thickBot="1" x14ac:dyDescent="0.35">
      <c r="A298" s="216"/>
      <c r="B298" s="267" t="str">
        <f>B197</f>
        <v>PM13 INVESTOR REPORT QUARTER ENDING MARCH 2016</v>
      </c>
      <c r="C298" s="219"/>
      <c r="D298" s="219"/>
      <c r="E298" s="219"/>
      <c r="F298" s="219"/>
      <c r="G298" s="266"/>
      <c r="H298" s="227"/>
      <c r="I298" s="227"/>
      <c r="J298" s="227"/>
      <c r="K298" s="227"/>
      <c r="L298" s="227"/>
      <c r="M298" s="227"/>
      <c r="N298" s="227"/>
      <c r="O298" s="227"/>
      <c r="P298" s="227"/>
      <c r="Q298" s="227"/>
      <c r="R298" s="227"/>
      <c r="S298" s="227"/>
      <c r="T298" s="227"/>
      <c r="U298" s="227"/>
      <c r="V298" s="227"/>
      <c r="W298" s="227"/>
      <c r="X298" s="5"/>
    </row>
    <row r="299" spans="1:24" x14ac:dyDescent="0.25">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row>
  </sheetData>
  <hyperlinks>
    <hyperlink ref="P233" r:id="rId1" xr:uid="{00000000-0004-0000-2500-000000000000}"/>
    <hyperlink ref="I9" r:id="rId2" xr:uid="{00000000-0004-0000-2500-000001000000}"/>
    <hyperlink ref="P296" r:id="rId3" xr:uid="{00000000-0004-0000-2500-000002000000}"/>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37" max="22" man="1"/>
    <brk id="197" max="22" man="1"/>
  </rowBreaks>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89CB31"/>
  </sheetPr>
  <dimension ref="A1:Z29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0.66010000000000002</v>
      </c>
      <c r="T16" s="224" t="s">
        <v>143</v>
      </c>
      <c r="U16" s="223">
        <v>0.33989999999999998</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42572</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395"/>
      <c r="B22" s="396"/>
      <c r="C22" s="397"/>
      <c r="D22" s="397" t="s">
        <v>180</v>
      </c>
      <c r="E22" s="397"/>
      <c r="F22" s="397" t="s">
        <v>181</v>
      </c>
      <c r="G22" s="397"/>
      <c r="H22" s="397" t="s">
        <v>182</v>
      </c>
      <c r="I22" s="397"/>
      <c r="J22" s="397" t="s">
        <v>223</v>
      </c>
      <c r="K22" s="397"/>
      <c r="L22" s="397" t="s">
        <v>183</v>
      </c>
      <c r="M22" s="397"/>
      <c r="N22" s="397" t="s">
        <v>184</v>
      </c>
      <c r="O22" s="397"/>
      <c r="P22" s="397" t="s">
        <v>224</v>
      </c>
      <c r="Q22" s="397"/>
      <c r="R22" s="397" t="s">
        <v>185</v>
      </c>
      <c r="S22" s="398"/>
      <c r="T22" s="398"/>
      <c r="U22" s="399"/>
      <c r="V22" s="399"/>
      <c r="W22" s="396"/>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144</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168</v>
      </c>
      <c r="E27" s="389"/>
      <c r="F27" s="389" t="s">
        <v>168</v>
      </c>
      <c r="G27" s="389"/>
      <c r="H27" s="389" t="s">
        <v>168</v>
      </c>
      <c r="I27" s="389"/>
      <c r="J27" s="389" t="s">
        <v>168</v>
      </c>
      <c r="K27" s="389"/>
      <c r="L27" s="389" t="s">
        <v>324</v>
      </c>
      <c r="M27" s="389"/>
      <c r="N27" s="389" t="s">
        <v>324</v>
      </c>
      <c r="O27" s="389"/>
      <c r="P27" s="389" t="s">
        <v>349</v>
      </c>
      <c r="Q27" s="389"/>
      <c r="R27" s="389" t="s">
        <v>349</v>
      </c>
      <c r="S27" s="273"/>
      <c r="T27" s="280"/>
      <c r="U27" s="274"/>
      <c r="V27" s="274"/>
      <c r="W27" s="275"/>
      <c r="X27" s="5"/>
    </row>
    <row r="28" spans="1:24" ht="15.6" x14ac:dyDescent="0.3">
      <c r="A28" s="271"/>
      <c r="B28" s="279" t="s">
        <v>195</v>
      </c>
      <c r="C28" s="273"/>
      <c r="D28" s="389" t="s">
        <v>146</v>
      </c>
      <c r="E28" s="389"/>
      <c r="F28" s="389" t="s">
        <v>146</v>
      </c>
      <c r="G28" s="389"/>
      <c r="H28" s="389" t="s">
        <v>146</v>
      </c>
      <c r="I28" s="389"/>
      <c r="J28" s="389" t="s">
        <v>146</v>
      </c>
      <c r="K28" s="389"/>
      <c r="L28" s="389" t="s">
        <v>315</v>
      </c>
      <c r="M28" s="389"/>
      <c r="N28" s="389" t="s">
        <v>315</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394">
        <f>D34*D38</f>
        <v>414678.89221919997</v>
      </c>
      <c r="E32" s="282"/>
      <c r="F32" s="283">
        <f>F31*F38</f>
        <v>64966.65</v>
      </c>
      <c r="G32" s="283"/>
      <c r="H32" s="288">
        <f>H31*H38</f>
        <v>163715.95800000001</v>
      </c>
      <c r="I32" s="288"/>
      <c r="J32" s="287">
        <f>J31*J38</f>
        <v>181905.88500000001</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393">
        <f>D34*D37</f>
        <v>408294.87898560002</v>
      </c>
      <c r="E33" s="286"/>
      <c r="F33" s="289">
        <f>F37*F31</f>
        <v>63966.474999999991</v>
      </c>
      <c r="G33" s="289"/>
      <c r="H33" s="292">
        <f>H31*H37</f>
        <v>161195.51699999999</v>
      </c>
      <c r="I33" s="292"/>
      <c r="J33" s="291">
        <f>J37*J31</f>
        <v>179105.39499999999</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414678.89221919997</v>
      </c>
      <c r="E35" s="282"/>
      <c r="F35" s="283">
        <f>F34*F38</f>
        <v>64966.65</v>
      </c>
      <c r="G35" s="283"/>
      <c r="H35" s="283">
        <f>H34*H38</f>
        <v>109876.2760788</v>
      </c>
      <c r="I35" s="283"/>
      <c r="J35" s="283">
        <f>J34*J38</f>
        <v>96758.338887000005</v>
      </c>
      <c r="K35" s="283"/>
      <c r="L35" s="283">
        <f>L34*L38</f>
        <v>56000</v>
      </c>
      <c r="M35" s="283"/>
      <c r="N35" s="283">
        <f>N34*N38</f>
        <v>56376</v>
      </c>
      <c r="O35" s="283"/>
      <c r="P35" s="283">
        <f>P34*P38</f>
        <v>13000</v>
      </c>
      <c r="Q35" s="283"/>
      <c r="R35" s="283">
        <f>R34*R38</f>
        <v>54363</v>
      </c>
      <c r="S35" s="283"/>
      <c r="T35" s="283"/>
      <c r="U35" s="284"/>
      <c r="V35" s="283">
        <f>SUM(C35:R35)+1</f>
        <v>866020.15718500002</v>
      </c>
      <c r="W35" s="285"/>
      <c r="X35" s="5"/>
    </row>
    <row r="36" spans="1:24" ht="15.6" x14ac:dyDescent="0.3">
      <c r="A36" s="276"/>
      <c r="B36" s="279" t="s">
        <v>304</v>
      </c>
      <c r="C36" s="286"/>
      <c r="D36" s="289">
        <f>D34*D37</f>
        <v>408294.87898560002</v>
      </c>
      <c r="E36" s="286"/>
      <c r="F36" s="289">
        <f>F34*F37</f>
        <v>63966.474999999991</v>
      </c>
      <c r="G36" s="289"/>
      <c r="H36" s="289">
        <f>H34*H37</f>
        <v>108184.70810619999</v>
      </c>
      <c r="I36" s="289"/>
      <c r="J36" s="289">
        <f>J34*J37</f>
        <v>95268.718248999998</v>
      </c>
      <c r="K36" s="289"/>
      <c r="L36" s="289">
        <v>56000</v>
      </c>
      <c r="M36" s="289"/>
      <c r="N36" s="289">
        <v>56376</v>
      </c>
      <c r="O36" s="289"/>
      <c r="P36" s="289">
        <v>13000</v>
      </c>
      <c r="Q36" s="289"/>
      <c r="R36" s="289">
        <v>54363</v>
      </c>
      <c r="S36" s="314"/>
      <c r="T36" s="314"/>
      <c r="U36" s="284"/>
      <c r="V36" s="289">
        <f>SUM(C36:R36)</f>
        <v>855453.78034080006</v>
      </c>
      <c r="W36" s="285"/>
      <c r="X36" s="5"/>
    </row>
    <row r="37" spans="1:24" ht="15.6" x14ac:dyDescent="0.3">
      <c r="A37" s="271"/>
      <c r="B37" s="297" t="s">
        <v>133</v>
      </c>
      <c r="C37" s="298"/>
      <c r="D37" s="299">
        <v>0.51172980000000001</v>
      </c>
      <c r="E37" s="300"/>
      <c r="F37" s="299">
        <v>0.51173179999999996</v>
      </c>
      <c r="G37" s="301"/>
      <c r="H37" s="299">
        <v>0.51173179999999996</v>
      </c>
      <c r="I37" s="301"/>
      <c r="J37" s="299">
        <v>0.51172969999999995</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0.5197311</v>
      </c>
      <c r="E38" s="300"/>
      <c r="F38" s="299">
        <v>0.51973320000000001</v>
      </c>
      <c r="G38" s="301"/>
      <c r="H38" s="299">
        <v>0.51973320000000001</v>
      </c>
      <c r="I38" s="301"/>
      <c r="J38" s="299">
        <v>0.5197311</v>
      </c>
      <c r="K38" s="301"/>
      <c r="L38" s="299">
        <v>1</v>
      </c>
      <c r="M38" s="301"/>
      <c r="N38" s="299">
        <v>1</v>
      </c>
      <c r="O38" s="301"/>
      <c r="P38" s="299">
        <v>1</v>
      </c>
      <c r="Q38" s="301"/>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8.2781E-3</v>
      </c>
      <c r="E40" s="272"/>
      <c r="F40" s="308">
        <v>8.2781E-3</v>
      </c>
      <c r="G40" s="307"/>
      <c r="H40" s="308">
        <v>0</v>
      </c>
      <c r="I40" s="308"/>
      <c r="J40" s="308">
        <v>8.0835000000000004E-3</v>
      </c>
      <c r="K40" s="307"/>
      <c r="L40" s="308">
        <v>9.8781000000000008E-3</v>
      </c>
      <c r="M40" s="307"/>
      <c r="N40" s="308">
        <v>1.31E-3</v>
      </c>
      <c r="O40" s="307"/>
      <c r="P40" s="308">
        <v>1.3878100000000001E-2</v>
      </c>
      <c r="Q40" s="307"/>
      <c r="R40" s="308">
        <v>5.3099999999999996E-3</v>
      </c>
      <c r="S40" s="307"/>
      <c r="T40" s="308"/>
      <c r="U40" s="274"/>
      <c r="V40" s="280"/>
      <c r="W40" s="275"/>
      <c r="X40" s="5"/>
    </row>
    <row r="41" spans="1:24" ht="15.6" x14ac:dyDescent="0.3">
      <c r="A41" s="271"/>
      <c r="B41" s="272" t="s">
        <v>13</v>
      </c>
      <c r="C41" s="272"/>
      <c r="D41" s="308">
        <v>8.3063000000000008E-3</v>
      </c>
      <c r="E41" s="272"/>
      <c r="F41" s="308">
        <v>8.3063000000000008E-3</v>
      </c>
      <c r="G41" s="307"/>
      <c r="H41" s="308">
        <v>9.6000000000000002E-4</v>
      </c>
      <c r="I41" s="308"/>
      <c r="J41" s="308">
        <v>8.0199999999999994E-3</v>
      </c>
      <c r="K41" s="307"/>
      <c r="L41" s="308">
        <v>9.9062999999999998E-3</v>
      </c>
      <c r="M41" s="307"/>
      <c r="N41" s="308">
        <v>2.3600000000000001E-3</v>
      </c>
      <c r="O41" s="307"/>
      <c r="P41" s="308">
        <v>1.39063E-2</v>
      </c>
      <c r="Q41" s="307"/>
      <c r="R41" s="308">
        <v>6.3600000000000002E-3</v>
      </c>
      <c r="S41" s="307"/>
      <c r="T41" s="308"/>
      <c r="U41" s="274"/>
      <c r="V41" s="307" t="s">
        <v>196</v>
      </c>
      <c r="W41" s="275"/>
      <c r="X41" s="5"/>
    </row>
    <row r="42" spans="1:24" ht="15.6" x14ac:dyDescent="0.3">
      <c r="A42" s="271"/>
      <c r="B42" s="272" t="s">
        <v>300</v>
      </c>
      <c r="C42" s="272"/>
      <c r="D42" s="280" t="s">
        <v>226</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f>+D40</f>
        <v>8.2781E-3</v>
      </c>
      <c r="E43" s="308"/>
      <c r="F43" s="308">
        <f>+F40</f>
        <v>8.2781E-3</v>
      </c>
      <c r="G43" s="308"/>
      <c r="H43" s="308">
        <v>8.5220999999999995E-3</v>
      </c>
      <c r="I43" s="308"/>
      <c r="J43" s="308">
        <v>8.3581000000000003E-3</v>
      </c>
      <c r="K43" s="308"/>
      <c r="L43" s="308">
        <f>+L40</f>
        <v>9.8781000000000008E-3</v>
      </c>
      <c r="M43" s="308"/>
      <c r="N43" s="308">
        <v>1.00581E-2</v>
      </c>
      <c r="O43" s="308"/>
      <c r="P43" s="308">
        <f>+P40</f>
        <v>1.3878100000000001E-2</v>
      </c>
      <c r="Q43" s="307"/>
      <c r="R43" s="308">
        <v>1.42781E-2</v>
      </c>
      <c r="S43" s="280"/>
      <c r="T43" s="280"/>
      <c r="U43" s="274"/>
      <c r="V43" s="307">
        <f>SUMPRODUCT(D43:R43,D35:R35)/V35</f>
        <v>8.9980249061370286E-3</v>
      </c>
      <c r="W43" s="275"/>
      <c r="X43" s="5"/>
    </row>
    <row r="44" spans="1:24" ht="15.6" x14ac:dyDescent="0.3">
      <c r="A44" s="271"/>
      <c r="B44" s="272" t="s">
        <v>302</v>
      </c>
      <c r="C44" s="309"/>
      <c r="D44" s="308">
        <f>+D41</f>
        <v>8.3063000000000008E-3</v>
      </c>
      <c r="E44" s="308"/>
      <c r="F44" s="308">
        <f>+F41</f>
        <v>8.3063000000000008E-3</v>
      </c>
      <c r="G44" s="308"/>
      <c r="H44" s="308">
        <v>8.5503000000000003E-3</v>
      </c>
      <c r="I44" s="308"/>
      <c r="J44" s="308">
        <v>8.3862999999999993E-3</v>
      </c>
      <c r="K44" s="308"/>
      <c r="L44" s="308">
        <f>+L41</f>
        <v>9.9062999999999998E-3</v>
      </c>
      <c r="M44" s="308"/>
      <c r="N44" s="308">
        <v>1.0086299999999999E-2</v>
      </c>
      <c r="O44" s="308"/>
      <c r="P44" s="308">
        <f>+P41</f>
        <v>1.39063E-2</v>
      </c>
      <c r="Q44" s="307"/>
      <c r="R44" s="308">
        <v>1.4306299999999999E-2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226</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0.26599832537235274</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358</v>
      </c>
      <c r="C54" s="272"/>
      <c r="D54" s="272"/>
      <c r="E54" s="272"/>
      <c r="F54" s="272"/>
      <c r="G54" s="272"/>
      <c r="H54" s="272"/>
      <c r="I54" s="272"/>
      <c r="J54" s="272"/>
      <c r="K54" s="272"/>
      <c r="L54" s="272"/>
      <c r="M54" s="272"/>
      <c r="N54" s="272"/>
      <c r="O54" s="272"/>
      <c r="P54" s="272"/>
      <c r="Q54" s="272"/>
      <c r="R54" s="272"/>
      <c r="S54" s="272"/>
      <c r="T54" s="280"/>
      <c r="U54" s="280"/>
      <c r="V54" s="315" t="s">
        <v>114</v>
      </c>
      <c r="W54" s="275"/>
      <c r="X54" s="5"/>
    </row>
    <row r="55" spans="1:25" ht="15.6" x14ac:dyDescent="0.3">
      <c r="A55" s="271"/>
      <c r="B55" s="279" t="s">
        <v>204</v>
      </c>
      <c r="C55" s="279"/>
      <c r="D55" s="279"/>
      <c r="E55" s="279"/>
      <c r="F55" s="279"/>
      <c r="G55" s="279"/>
      <c r="H55" s="279"/>
      <c r="I55" s="279"/>
      <c r="J55" s="279"/>
      <c r="K55" s="279"/>
      <c r="L55" s="279"/>
      <c r="M55" s="279"/>
      <c r="N55" s="279"/>
      <c r="O55" s="279"/>
      <c r="P55" s="279"/>
      <c r="Q55" s="279"/>
      <c r="R55" s="279"/>
      <c r="S55" s="279"/>
      <c r="T55" s="316"/>
      <c r="U55" s="316"/>
      <c r="V55" s="317">
        <v>42566</v>
      </c>
      <c r="W55" s="275"/>
      <c r="X55" s="5"/>
    </row>
    <row r="56" spans="1:25" ht="15.6" x14ac:dyDescent="0.3">
      <c r="A56" s="271"/>
      <c r="B56" s="272" t="s">
        <v>124</v>
      </c>
      <c r="C56" s="272"/>
      <c r="D56" s="272"/>
      <c r="E56" s="272"/>
      <c r="F56" s="272"/>
      <c r="G56" s="272"/>
      <c r="H56" s="318"/>
      <c r="I56" s="318"/>
      <c r="J56" s="318"/>
      <c r="K56" s="318"/>
      <c r="L56" s="318"/>
      <c r="M56" s="318"/>
      <c r="N56" s="318"/>
      <c r="O56" s="318"/>
      <c r="P56" s="318"/>
      <c r="Q56" s="318"/>
      <c r="R56" s="272">
        <f>+V56-T56+1</f>
        <v>91</v>
      </c>
      <c r="S56" s="318"/>
      <c r="T56" s="319">
        <v>42384</v>
      </c>
      <c r="U56" s="320"/>
      <c r="V56" s="319">
        <v>42474</v>
      </c>
      <c r="W56" s="275"/>
      <c r="X56" s="5"/>
    </row>
    <row r="57" spans="1:25" ht="15.6" x14ac:dyDescent="0.3">
      <c r="A57" s="271"/>
      <c r="B57" s="272" t="s">
        <v>125</v>
      </c>
      <c r="C57" s="272"/>
      <c r="D57" s="272"/>
      <c r="E57" s="272"/>
      <c r="F57" s="272"/>
      <c r="G57" s="272"/>
      <c r="H57" s="272"/>
      <c r="I57" s="272"/>
      <c r="J57" s="272"/>
      <c r="K57" s="272"/>
      <c r="L57" s="272"/>
      <c r="M57" s="272"/>
      <c r="N57" s="272"/>
      <c r="O57" s="272"/>
      <c r="P57" s="272"/>
      <c r="Q57" s="272"/>
      <c r="R57" s="272">
        <f>+V57-T57+1</f>
        <v>91</v>
      </c>
      <c r="S57" s="272"/>
      <c r="T57" s="319">
        <v>42475</v>
      </c>
      <c r="U57" s="320"/>
      <c r="V57" s="319">
        <v>42565</v>
      </c>
      <c r="W57" s="275"/>
      <c r="X57" s="5"/>
    </row>
    <row r="58" spans="1:25" ht="15.6" x14ac:dyDescent="0.3">
      <c r="A58" s="271"/>
      <c r="B58" s="272" t="s">
        <v>357</v>
      </c>
      <c r="C58" s="272"/>
      <c r="D58" s="272"/>
      <c r="E58" s="272"/>
      <c r="F58" s="272"/>
      <c r="G58" s="272"/>
      <c r="H58" s="272"/>
      <c r="I58" s="272"/>
      <c r="J58" s="272"/>
      <c r="K58" s="272"/>
      <c r="L58" s="272"/>
      <c r="M58" s="272"/>
      <c r="N58" s="272"/>
      <c r="O58" s="272"/>
      <c r="P58" s="272"/>
      <c r="Q58" s="272"/>
      <c r="R58" s="272"/>
      <c r="S58" s="272"/>
      <c r="T58" s="319"/>
      <c r="U58" s="320"/>
      <c r="V58" s="319" t="s">
        <v>123</v>
      </c>
      <c r="W58" s="275"/>
      <c r="X58" s="5"/>
    </row>
    <row r="59" spans="1:25" ht="15.6" x14ac:dyDescent="0.3">
      <c r="A59" s="271"/>
      <c r="B59" s="272" t="s">
        <v>356</v>
      </c>
      <c r="C59" s="272"/>
      <c r="D59" s="272"/>
      <c r="E59" s="272"/>
      <c r="F59" s="272"/>
      <c r="G59" s="272"/>
      <c r="H59" s="272"/>
      <c r="I59" s="272"/>
      <c r="J59" s="272"/>
      <c r="K59" s="272"/>
      <c r="L59" s="272"/>
      <c r="M59" s="272"/>
      <c r="N59" s="272"/>
      <c r="O59" s="272"/>
      <c r="P59" s="272"/>
      <c r="Q59" s="272"/>
      <c r="R59" s="272"/>
      <c r="S59" s="272"/>
      <c r="T59" s="319"/>
      <c r="U59" s="320"/>
      <c r="V59" s="319" t="s">
        <v>157</v>
      </c>
      <c r="W59" s="275"/>
      <c r="X59" s="5"/>
      <c r="Y59" s="134"/>
    </row>
    <row r="60" spans="1:25" ht="15.6" x14ac:dyDescent="0.3">
      <c r="A60" s="271"/>
      <c r="B60" s="272" t="s">
        <v>16</v>
      </c>
      <c r="C60" s="272"/>
      <c r="D60" s="272"/>
      <c r="E60" s="272"/>
      <c r="F60" s="272"/>
      <c r="G60" s="272"/>
      <c r="H60" s="272"/>
      <c r="I60" s="272"/>
      <c r="J60" s="272"/>
      <c r="K60" s="272"/>
      <c r="L60" s="272"/>
      <c r="M60" s="272"/>
      <c r="N60" s="272"/>
      <c r="O60" s="272"/>
      <c r="P60" s="272"/>
      <c r="Q60" s="272"/>
      <c r="R60" s="272"/>
      <c r="S60" s="272"/>
      <c r="T60" s="319"/>
      <c r="U60" s="320"/>
      <c r="V60" s="319">
        <v>42552</v>
      </c>
      <c r="W60" s="275"/>
      <c r="X60" s="5"/>
    </row>
    <row r="61" spans="1:25" ht="15.6" x14ac:dyDescent="0.3">
      <c r="A61" s="175"/>
      <c r="B61" s="268"/>
      <c r="C61" s="268"/>
      <c r="D61" s="268"/>
      <c r="E61" s="268"/>
      <c r="F61" s="268"/>
      <c r="G61" s="268"/>
      <c r="H61" s="268"/>
      <c r="I61" s="268"/>
      <c r="J61" s="268"/>
      <c r="K61" s="268"/>
      <c r="L61" s="268"/>
      <c r="M61" s="268"/>
      <c r="N61" s="268"/>
      <c r="O61" s="268"/>
      <c r="P61" s="268"/>
      <c r="Q61" s="268"/>
      <c r="R61" s="268"/>
      <c r="S61" s="268"/>
      <c r="T61" s="269"/>
      <c r="U61" s="270"/>
      <c r="V61" s="269"/>
      <c r="W61" s="268"/>
      <c r="X61" s="5"/>
    </row>
    <row r="62" spans="1:25" ht="15.6" x14ac:dyDescent="0.3">
      <c r="A62" s="175"/>
      <c r="B62" s="220"/>
      <c r="C62" s="220"/>
      <c r="D62" s="220"/>
      <c r="E62" s="220"/>
      <c r="F62" s="220"/>
      <c r="G62" s="220"/>
      <c r="H62" s="220"/>
      <c r="I62" s="220"/>
      <c r="J62" s="220"/>
      <c r="K62" s="220"/>
      <c r="L62" s="220"/>
      <c r="M62" s="220"/>
      <c r="N62" s="220"/>
      <c r="O62" s="220"/>
      <c r="P62" s="220"/>
      <c r="Q62" s="220"/>
      <c r="R62" s="220"/>
      <c r="S62" s="220"/>
      <c r="T62" s="232"/>
      <c r="U62" s="233"/>
      <c r="V62" s="232"/>
      <c r="W62" s="220"/>
      <c r="X62" s="5"/>
    </row>
    <row r="63" spans="1:25" ht="18" thickBot="1" x14ac:dyDescent="0.35">
      <c r="A63" s="194"/>
      <c r="B63" s="234" t="s">
        <v>353</v>
      </c>
      <c r="C63" s="235"/>
      <c r="D63" s="235"/>
      <c r="E63" s="235"/>
      <c r="F63" s="235"/>
      <c r="G63" s="235"/>
      <c r="H63" s="235"/>
      <c r="I63" s="235"/>
      <c r="J63" s="235"/>
      <c r="K63" s="235"/>
      <c r="L63" s="235"/>
      <c r="M63" s="235"/>
      <c r="N63" s="235"/>
      <c r="O63" s="235"/>
      <c r="P63" s="235"/>
      <c r="Q63" s="235"/>
      <c r="R63" s="235"/>
      <c r="S63" s="235"/>
      <c r="T63" s="235"/>
      <c r="U63" s="235"/>
      <c r="V63" s="236"/>
      <c r="W63" s="237"/>
      <c r="X63" s="5"/>
    </row>
    <row r="64" spans="1:25" ht="15.6" x14ac:dyDescent="0.3">
      <c r="A64" s="239"/>
      <c r="B64" s="253" t="s">
        <v>17</v>
      </c>
      <c r="C64" s="240"/>
      <c r="D64" s="240"/>
      <c r="E64" s="240"/>
      <c r="F64" s="240"/>
      <c r="G64" s="240"/>
      <c r="H64" s="240"/>
      <c r="I64" s="240"/>
      <c r="J64" s="240"/>
      <c r="K64" s="240"/>
      <c r="L64" s="240"/>
      <c r="M64" s="240"/>
      <c r="N64" s="240"/>
      <c r="O64" s="240"/>
      <c r="P64" s="240"/>
      <c r="Q64" s="240"/>
      <c r="R64" s="240"/>
      <c r="S64" s="240"/>
      <c r="T64" s="240"/>
      <c r="U64" s="240"/>
      <c r="V64" s="241"/>
      <c r="W64" s="240"/>
      <c r="X64" s="5"/>
    </row>
    <row r="65" spans="1:24" ht="15.6" x14ac:dyDescent="0.3">
      <c r="A65" s="175"/>
      <c r="B65" s="183"/>
      <c r="C65" s="177"/>
      <c r="D65" s="177"/>
      <c r="E65" s="177"/>
      <c r="F65" s="177"/>
      <c r="G65" s="177"/>
      <c r="H65" s="177"/>
      <c r="I65" s="177"/>
      <c r="J65" s="177"/>
      <c r="K65" s="177"/>
      <c r="L65" s="177"/>
      <c r="M65" s="177"/>
      <c r="N65" s="177"/>
      <c r="O65" s="177"/>
      <c r="P65" s="177"/>
      <c r="Q65" s="177"/>
      <c r="R65" s="177"/>
      <c r="S65" s="177"/>
      <c r="T65" s="177"/>
      <c r="U65" s="177"/>
      <c r="V65" s="196"/>
      <c r="W65" s="177"/>
      <c r="X65" s="5"/>
    </row>
    <row r="66" spans="1:24" ht="46.8" x14ac:dyDescent="0.3">
      <c r="A66" s="175"/>
      <c r="B66" s="197" t="s">
        <v>18</v>
      </c>
      <c r="C66" s="198"/>
      <c r="D66" s="198"/>
      <c r="E66" s="198"/>
      <c r="F66" s="198"/>
      <c r="G66" s="198"/>
      <c r="H66" s="198"/>
      <c r="I66" s="198"/>
      <c r="J66" s="198"/>
      <c r="K66" s="198"/>
      <c r="L66" s="198" t="s">
        <v>95</v>
      </c>
      <c r="M66" s="198"/>
      <c r="N66" s="198" t="s">
        <v>97</v>
      </c>
      <c r="O66" s="198"/>
      <c r="P66" s="198" t="s">
        <v>99</v>
      </c>
      <c r="Q66" s="198"/>
      <c r="R66" s="198" t="s">
        <v>101</v>
      </c>
      <c r="S66" s="198"/>
      <c r="T66" s="198" t="s">
        <v>108</v>
      </c>
      <c r="U66" s="198"/>
      <c r="V66" s="199" t="s">
        <v>115</v>
      </c>
      <c r="W66" s="200"/>
      <c r="X66" s="5"/>
    </row>
    <row r="67" spans="1:24" ht="15.6" x14ac:dyDescent="0.3">
      <c r="A67" s="271"/>
      <c r="B67" s="272" t="s">
        <v>19</v>
      </c>
      <c r="C67" s="324"/>
      <c r="D67" s="324"/>
      <c r="E67" s="324"/>
      <c r="F67" s="324"/>
      <c r="G67" s="324"/>
      <c r="H67" s="324"/>
      <c r="I67" s="324"/>
      <c r="J67" s="324"/>
      <c r="K67" s="324"/>
      <c r="L67" s="324">
        <f>1085286</f>
        <v>1085286</v>
      </c>
      <c r="M67" s="324"/>
      <c r="N67" s="325">
        <v>866020</v>
      </c>
      <c r="O67" s="324"/>
      <c r="P67" s="324">
        <f>10566+519+122</f>
        <v>11207</v>
      </c>
      <c r="Q67" s="324"/>
      <c r="R67" s="324">
        <f>519+122</f>
        <v>641</v>
      </c>
      <c r="S67" s="324"/>
      <c r="T67" s="324">
        <v>0</v>
      </c>
      <c r="U67" s="324"/>
      <c r="V67" s="325">
        <f>+N67-P67+R67-T67</f>
        <v>855454</v>
      </c>
      <c r="W67" s="275"/>
      <c r="X67" s="5"/>
    </row>
    <row r="68" spans="1:24" ht="15.6" x14ac:dyDescent="0.3">
      <c r="A68" s="271"/>
      <c r="B68" s="272" t="s">
        <v>20</v>
      </c>
      <c r="C68" s="324"/>
      <c r="D68" s="324"/>
      <c r="E68" s="324"/>
      <c r="F68" s="324"/>
      <c r="G68" s="324"/>
      <c r="H68" s="324"/>
      <c r="I68" s="324"/>
      <c r="J68" s="324"/>
      <c r="K68" s="324"/>
      <c r="L68" s="324">
        <v>35</v>
      </c>
      <c r="M68" s="324"/>
      <c r="N68" s="325">
        <v>0</v>
      </c>
      <c r="O68" s="324"/>
      <c r="P68" s="324">
        <v>0</v>
      </c>
      <c r="Q68" s="324"/>
      <c r="R68" s="324">
        <v>0</v>
      </c>
      <c r="S68" s="324"/>
      <c r="T68" s="324">
        <v>0</v>
      </c>
      <c r="U68" s="324"/>
      <c r="V68" s="325">
        <f>+N68-P68</f>
        <v>0</v>
      </c>
      <c r="W68" s="275"/>
      <c r="X68" s="5"/>
    </row>
    <row r="69" spans="1:24" ht="15.6" x14ac:dyDescent="0.3">
      <c r="A69" s="271"/>
      <c r="B69" s="272"/>
      <c r="C69" s="324"/>
      <c r="D69" s="324"/>
      <c r="E69" s="324"/>
      <c r="F69" s="324"/>
      <c r="G69" s="324"/>
      <c r="H69" s="324"/>
      <c r="I69" s="324"/>
      <c r="J69" s="324"/>
      <c r="K69" s="324"/>
      <c r="L69" s="324"/>
      <c r="M69" s="324"/>
      <c r="N69" s="325"/>
      <c r="O69" s="324"/>
      <c r="P69" s="324"/>
      <c r="Q69" s="324"/>
      <c r="R69" s="324"/>
      <c r="S69" s="324"/>
      <c r="T69" s="324"/>
      <c r="U69" s="324"/>
      <c r="V69" s="325"/>
      <c r="W69" s="275"/>
      <c r="X69" s="5"/>
    </row>
    <row r="70" spans="1:24" ht="15.6" x14ac:dyDescent="0.3">
      <c r="A70" s="271"/>
      <c r="B70" s="272" t="s">
        <v>21</v>
      </c>
      <c r="C70" s="324"/>
      <c r="D70" s="324"/>
      <c r="E70" s="324"/>
      <c r="F70" s="324"/>
      <c r="G70" s="324"/>
      <c r="H70" s="324"/>
      <c r="I70" s="324"/>
      <c r="J70" s="324"/>
      <c r="K70" s="324"/>
      <c r="L70" s="324">
        <f>SUM(L67:L69)</f>
        <v>1085321</v>
      </c>
      <c r="M70" s="324"/>
      <c r="N70" s="324">
        <f>N67+N68</f>
        <v>866020</v>
      </c>
      <c r="O70" s="324"/>
      <c r="P70" s="324">
        <f>SUM(P67:P69)</f>
        <v>11207</v>
      </c>
      <c r="Q70" s="324"/>
      <c r="R70" s="324">
        <f>SUM(R67:R69)</f>
        <v>641</v>
      </c>
      <c r="S70" s="324"/>
      <c r="T70" s="324">
        <f>SUM(T67:T69)</f>
        <v>0</v>
      </c>
      <c r="U70" s="324"/>
      <c r="V70" s="324">
        <f>SUM(V67:V69)</f>
        <v>855454</v>
      </c>
      <c r="W70" s="275"/>
      <c r="X70" s="5"/>
    </row>
    <row r="71" spans="1:24" ht="15.6" x14ac:dyDescent="0.3">
      <c r="A71" s="175"/>
      <c r="B71" s="321"/>
      <c r="C71" s="322"/>
      <c r="D71" s="322"/>
      <c r="E71" s="322"/>
      <c r="F71" s="322"/>
      <c r="G71" s="322"/>
      <c r="H71" s="322"/>
      <c r="I71" s="322"/>
      <c r="J71" s="322"/>
      <c r="K71" s="322"/>
      <c r="L71" s="322"/>
      <c r="M71" s="322"/>
      <c r="N71" s="322"/>
      <c r="O71" s="322"/>
      <c r="P71" s="322"/>
      <c r="Q71" s="322"/>
      <c r="R71" s="322"/>
      <c r="S71" s="322"/>
      <c r="T71" s="322"/>
      <c r="U71" s="322"/>
      <c r="V71" s="323"/>
      <c r="W71" s="321"/>
      <c r="X71" s="5"/>
    </row>
    <row r="72" spans="1:24" ht="15.6" x14ac:dyDescent="0.3">
      <c r="A72" s="175"/>
      <c r="B72" s="179" t="s">
        <v>22</v>
      </c>
      <c r="C72" s="201"/>
      <c r="D72" s="201"/>
      <c r="E72" s="201"/>
      <c r="F72" s="201"/>
      <c r="G72" s="201"/>
      <c r="H72" s="201"/>
      <c r="I72" s="201"/>
      <c r="J72" s="201"/>
      <c r="K72" s="201"/>
      <c r="L72" s="201"/>
      <c r="M72" s="201"/>
      <c r="N72" s="201"/>
      <c r="O72" s="201"/>
      <c r="P72" s="201"/>
      <c r="Q72" s="201"/>
      <c r="R72" s="201"/>
      <c r="S72" s="201"/>
      <c r="T72" s="201"/>
      <c r="U72" s="201"/>
      <c r="V72" s="202"/>
      <c r="W72" s="177"/>
      <c r="X72" s="5"/>
    </row>
    <row r="73" spans="1:24" ht="15.6" x14ac:dyDescent="0.3">
      <c r="A73" s="175"/>
      <c r="B73" s="177"/>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271"/>
      <c r="B74" s="272" t="s">
        <v>19</v>
      </c>
      <c r="C74" s="324"/>
      <c r="D74" s="324"/>
      <c r="E74" s="324"/>
      <c r="F74" s="324"/>
      <c r="G74" s="324"/>
      <c r="H74" s="324"/>
      <c r="I74" s="324"/>
      <c r="J74" s="324"/>
      <c r="K74" s="324"/>
      <c r="L74" s="324"/>
      <c r="M74" s="324"/>
      <c r="N74" s="324"/>
      <c r="O74" s="324"/>
      <c r="P74" s="324"/>
      <c r="Q74" s="324"/>
      <c r="R74" s="324"/>
      <c r="S74" s="324"/>
      <c r="T74" s="324"/>
      <c r="U74" s="324"/>
      <c r="V74" s="324"/>
      <c r="W74" s="275"/>
      <c r="X74" s="5"/>
    </row>
    <row r="75" spans="1:24" ht="15.6" x14ac:dyDescent="0.3">
      <c r="A75" s="271"/>
      <c r="B75" s="272" t="s">
        <v>20</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t="s">
        <v>21</v>
      </c>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t="s">
        <v>23</v>
      </c>
      <c r="C79" s="324"/>
      <c r="D79" s="324"/>
      <c r="E79" s="324"/>
      <c r="F79" s="324"/>
      <c r="G79" s="324"/>
      <c r="H79" s="324"/>
      <c r="I79" s="324"/>
      <c r="J79" s="324"/>
      <c r="K79" s="324"/>
      <c r="L79" s="324">
        <v>0</v>
      </c>
      <c r="M79" s="324"/>
      <c r="N79" s="324">
        <v>0</v>
      </c>
      <c r="O79" s="324"/>
      <c r="P79" s="324"/>
      <c r="Q79" s="324"/>
      <c r="R79" s="324"/>
      <c r="S79" s="324"/>
      <c r="T79" s="324"/>
      <c r="U79" s="324"/>
      <c r="V79" s="325">
        <v>0</v>
      </c>
      <c r="W79" s="275"/>
      <c r="X79" s="5"/>
    </row>
    <row r="80" spans="1:24" ht="15.6" x14ac:dyDescent="0.3">
      <c r="A80" s="271"/>
      <c r="B80" s="272" t="s">
        <v>120</v>
      </c>
      <c r="C80" s="324"/>
      <c r="D80" s="324"/>
      <c r="E80" s="324"/>
      <c r="F80" s="324"/>
      <c r="G80" s="324"/>
      <c r="H80" s="324"/>
      <c r="I80" s="324"/>
      <c r="J80" s="324"/>
      <c r="K80" s="324"/>
      <c r="L80" s="324">
        <f>414862+7</f>
        <v>414869</v>
      </c>
      <c r="M80" s="324"/>
      <c r="N80" s="324">
        <v>0</v>
      </c>
      <c r="O80" s="324"/>
      <c r="P80" s="324">
        <v>0</v>
      </c>
      <c r="Q80" s="324"/>
      <c r="R80" s="324"/>
      <c r="S80" s="324"/>
      <c r="T80" s="324"/>
      <c r="U80" s="324"/>
      <c r="V80" s="324">
        <f>SUM(N80:R80)</f>
        <v>0</v>
      </c>
      <c r="W80" s="275"/>
      <c r="X80" s="5"/>
    </row>
    <row r="81" spans="1:24" ht="15.6" x14ac:dyDescent="0.3">
      <c r="A81" s="271"/>
      <c r="B81" s="272" t="s">
        <v>149</v>
      </c>
      <c r="C81" s="324"/>
      <c r="D81" s="324"/>
      <c r="E81" s="324"/>
      <c r="F81" s="324"/>
      <c r="G81" s="324"/>
      <c r="H81" s="324"/>
      <c r="I81" s="324"/>
      <c r="J81" s="324"/>
      <c r="K81" s="324"/>
      <c r="L81" s="324">
        <v>0</v>
      </c>
      <c r="M81" s="324"/>
      <c r="N81" s="324">
        <v>0</v>
      </c>
      <c r="O81" s="324"/>
      <c r="P81" s="324">
        <v>0</v>
      </c>
      <c r="Q81" s="324"/>
      <c r="R81" s="324"/>
      <c r="S81" s="324"/>
      <c r="T81" s="324"/>
      <c r="U81" s="324"/>
      <c r="V81" s="324">
        <f>+N81+P81</f>
        <v>0</v>
      </c>
      <c r="W81" s="275"/>
      <c r="X81" s="5"/>
    </row>
    <row r="82" spans="1:24" ht="15.6" x14ac:dyDescent="0.3">
      <c r="A82" s="271"/>
      <c r="B82" s="272" t="s">
        <v>25</v>
      </c>
      <c r="C82" s="324"/>
      <c r="D82" s="324"/>
      <c r="E82" s="324"/>
      <c r="F82" s="324"/>
      <c r="G82" s="324"/>
      <c r="H82" s="324"/>
      <c r="I82" s="324"/>
      <c r="J82" s="324"/>
      <c r="K82" s="324"/>
      <c r="L82" s="324">
        <v>0</v>
      </c>
      <c r="M82" s="324"/>
      <c r="N82" s="324">
        <v>0</v>
      </c>
      <c r="O82" s="324"/>
      <c r="P82" s="324"/>
      <c r="Q82" s="324"/>
      <c r="R82" s="324"/>
      <c r="S82" s="324"/>
      <c r="T82" s="324"/>
      <c r="U82" s="324"/>
      <c r="V82" s="324">
        <v>0</v>
      </c>
      <c r="W82" s="275"/>
      <c r="X82" s="5"/>
    </row>
    <row r="83" spans="1:24" ht="15.6" x14ac:dyDescent="0.3">
      <c r="A83" s="326"/>
      <c r="B83" s="327" t="s">
        <v>26</v>
      </c>
      <c r="C83" s="328"/>
      <c r="D83" s="328"/>
      <c r="E83" s="328"/>
      <c r="F83" s="328"/>
      <c r="G83" s="328"/>
      <c r="H83" s="328"/>
      <c r="I83" s="328"/>
      <c r="J83" s="328"/>
      <c r="K83" s="328"/>
      <c r="L83" s="328">
        <f>SUM(L70:L82)</f>
        <v>1500190</v>
      </c>
      <c r="M83" s="328"/>
      <c r="N83" s="328">
        <f>SUM(N70:N82)</f>
        <v>866020</v>
      </c>
      <c r="O83" s="328"/>
      <c r="P83" s="328"/>
      <c r="Q83" s="328"/>
      <c r="R83" s="328"/>
      <c r="S83" s="328"/>
      <c r="T83" s="328"/>
      <c r="U83" s="328"/>
      <c r="V83" s="328">
        <f>SUM(V70:V82)</f>
        <v>855454</v>
      </c>
      <c r="W83" s="329"/>
      <c r="X83" s="5"/>
    </row>
    <row r="84" spans="1:24" ht="15.6" x14ac:dyDescent="0.3">
      <c r="A84" s="192"/>
      <c r="B84" s="229"/>
      <c r="C84" s="231"/>
      <c r="D84" s="231"/>
      <c r="E84" s="231"/>
      <c r="F84" s="231"/>
      <c r="G84" s="231"/>
      <c r="H84" s="231"/>
      <c r="I84" s="231"/>
      <c r="J84" s="231"/>
      <c r="K84" s="231"/>
      <c r="L84" s="231"/>
      <c r="M84" s="231"/>
      <c r="N84" s="231"/>
      <c r="O84" s="231"/>
      <c r="P84" s="231"/>
      <c r="Q84" s="231"/>
      <c r="R84" s="231"/>
      <c r="S84" s="231"/>
      <c r="T84" s="231"/>
      <c r="U84" s="231"/>
      <c r="V84" s="231"/>
      <c r="W84" s="229"/>
      <c r="X84" s="5"/>
    </row>
    <row r="85" spans="1:24" ht="15.6" x14ac:dyDescent="0.3">
      <c r="A85" s="175"/>
      <c r="B85" s="220"/>
      <c r="C85" s="220"/>
      <c r="D85" s="220"/>
      <c r="E85" s="220"/>
      <c r="F85" s="220"/>
      <c r="G85" s="220"/>
      <c r="H85" s="220"/>
      <c r="I85" s="220"/>
      <c r="J85" s="220"/>
      <c r="K85" s="220"/>
      <c r="L85" s="220"/>
      <c r="M85" s="220"/>
      <c r="N85" s="220"/>
      <c r="O85" s="220"/>
      <c r="P85" s="220"/>
      <c r="Q85" s="220"/>
      <c r="R85" s="220"/>
      <c r="S85" s="220"/>
      <c r="T85" s="220"/>
      <c r="U85" s="220"/>
      <c r="V85" s="220"/>
      <c r="W85" s="220"/>
      <c r="X85" s="5"/>
    </row>
    <row r="86" spans="1:24" ht="15.6" x14ac:dyDescent="0.3">
      <c r="A86" s="239"/>
      <c r="B86" s="253" t="s">
        <v>27</v>
      </c>
      <c r="C86" s="253"/>
      <c r="D86" s="253"/>
      <c r="E86" s="253"/>
      <c r="F86" s="253"/>
      <c r="G86" s="253"/>
      <c r="H86" s="254"/>
      <c r="I86" s="254"/>
      <c r="J86" s="254"/>
      <c r="K86" s="254"/>
      <c r="L86" s="330" t="s">
        <v>96</v>
      </c>
      <c r="M86" s="254"/>
      <c r="N86" s="331">
        <f>+T198</f>
        <v>42551</v>
      </c>
      <c r="O86" s="254"/>
      <c r="P86" s="254"/>
      <c r="Q86" s="254"/>
      <c r="R86" s="254"/>
      <c r="S86" s="254"/>
      <c r="T86" s="254" t="s">
        <v>109</v>
      </c>
      <c r="U86" s="254"/>
      <c r="V86" s="254" t="s">
        <v>116</v>
      </c>
      <c r="W86" s="240"/>
      <c r="X86" s="5"/>
    </row>
    <row r="87" spans="1:24" ht="15.6" x14ac:dyDescent="0.3">
      <c r="A87" s="271"/>
      <c r="B87" s="272" t="s">
        <v>28</v>
      </c>
      <c r="C87" s="272"/>
      <c r="D87" s="272"/>
      <c r="E87" s="272"/>
      <c r="F87" s="272"/>
      <c r="G87" s="272"/>
      <c r="H87" s="272"/>
      <c r="I87" s="272"/>
      <c r="J87" s="272"/>
      <c r="K87" s="272"/>
      <c r="L87" s="272"/>
      <c r="M87" s="272"/>
      <c r="N87" s="272"/>
      <c r="O87" s="272"/>
      <c r="P87" s="272"/>
      <c r="Q87" s="272"/>
      <c r="R87" s="272"/>
      <c r="S87" s="272"/>
      <c r="T87" s="324">
        <v>0</v>
      </c>
      <c r="U87" s="272"/>
      <c r="V87" s="325">
        <v>0</v>
      </c>
      <c r="W87" s="275"/>
      <c r="X87" s="5"/>
    </row>
    <row r="88" spans="1:24" ht="15.6" x14ac:dyDescent="0.3">
      <c r="A88" s="271"/>
      <c r="B88" s="272" t="s">
        <v>29</v>
      </c>
      <c r="C88" s="272"/>
      <c r="D88" s="272"/>
      <c r="E88" s="272"/>
      <c r="F88" s="272"/>
      <c r="G88" s="272"/>
      <c r="H88" s="311"/>
      <c r="I88" s="311"/>
      <c r="J88" s="311"/>
      <c r="K88" s="333"/>
      <c r="L88" s="311"/>
      <c r="M88" s="272"/>
      <c r="N88" s="334"/>
      <c r="O88" s="272"/>
      <c r="P88" s="272"/>
      <c r="Q88" s="272"/>
      <c r="R88" s="272"/>
      <c r="S88" s="272"/>
      <c r="T88" s="324">
        <f>11207-164</f>
        <v>11043</v>
      </c>
      <c r="U88" s="272"/>
      <c r="V88" s="325"/>
      <c r="W88" s="275"/>
      <c r="X88" s="5"/>
    </row>
    <row r="89" spans="1:24" ht="15.6" x14ac:dyDescent="0.3">
      <c r="A89" s="271"/>
      <c r="B89" s="272" t="s">
        <v>219</v>
      </c>
      <c r="C89" s="272"/>
      <c r="D89" s="272"/>
      <c r="E89" s="272"/>
      <c r="F89" s="272"/>
      <c r="G89" s="272"/>
      <c r="H89" s="311"/>
      <c r="I89" s="311"/>
      <c r="J89" s="311"/>
      <c r="K89" s="333"/>
      <c r="L89" s="311"/>
      <c r="M89" s="272"/>
      <c r="N89" s="334"/>
      <c r="O89" s="272"/>
      <c r="P89" s="272"/>
      <c r="Q89" s="272"/>
      <c r="R89" s="272"/>
      <c r="S89" s="272"/>
      <c r="T89" s="324"/>
      <c r="U89" s="272"/>
      <c r="V89" s="325">
        <f>4214+2701-1044-918</f>
        <v>4953</v>
      </c>
      <c r="W89" s="275"/>
      <c r="X89" s="5"/>
    </row>
    <row r="90" spans="1:24" ht="15.6" x14ac:dyDescent="0.3">
      <c r="A90" s="271"/>
      <c r="B90" s="272" t="s">
        <v>214</v>
      </c>
      <c r="C90" s="272"/>
      <c r="D90" s="272"/>
      <c r="E90" s="272"/>
      <c r="F90" s="272"/>
      <c r="G90" s="272"/>
      <c r="H90" s="311"/>
      <c r="I90" s="311"/>
      <c r="J90" s="311"/>
      <c r="K90" s="333"/>
      <c r="L90" s="311"/>
      <c r="M90" s="272"/>
      <c r="N90" s="334"/>
      <c r="O90" s="272"/>
      <c r="P90" s="272"/>
      <c r="Q90" s="272"/>
      <c r="R90" s="272"/>
      <c r="S90" s="272"/>
      <c r="T90" s="324"/>
      <c r="U90" s="272"/>
      <c r="V90" s="325">
        <f>52+77</f>
        <v>129</v>
      </c>
      <c r="W90" s="275"/>
      <c r="X90" s="5"/>
    </row>
    <row r="91" spans="1:24" ht="15.6" x14ac:dyDescent="0.3">
      <c r="A91" s="271"/>
      <c r="B91" s="272" t="s">
        <v>215</v>
      </c>
      <c r="C91" s="272"/>
      <c r="D91" s="272"/>
      <c r="E91" s="272"/>
      <c r="F91" s="272"/>
      <c r="G91" s="272"/>
      <c r="H91" s="311"/>
      <c r="I91" s="311"/>
      <c r="J91" s="311"/>
      <c r="K91" s="333"/>
      <c r="L91" s="311"/>
      <c r="M91" s="272"/>
      <c r="N91" s="334"/>
      <c r="O91" s="272"/>
      <c r="P91" s="272"/>
      <c r="Q91" s="272"/>
      <c r="R91" s="272"/>
      <c r="S91" s="272"/>
      <c r="T91" s="324"/>
      <c r="U91" s="272"/>
      <c r="V91" s="325">
        <v>57</v>
      </c>
      <c r="W91" s="275"/>
      <c r="X91" s="5"/>
    </row>
    <row r="92" spans="1:24" ht="15.6" x14ac:dyDescent="0.3">
      <c r="A92" s="271"/>
      <c r="B92" s="272" t="s">
        <v>277</v>
      </c>
      <c r="C92" s="272"/>
      <c r="D92" s="272"/>
      <c r="E92" s="272"/>
      <c r="F92" s="272"/>
      <c r="G92" s="272"/>
      <c r="H92" s="311"/>
      <c r="I92" s="311"/>
      <c r="J92" s="311"/>
      <c r="K92" s="333"/>
      <c r="L92" s="311"/>
      <c r="M92" s="272"/>
      <c r="N92" s="334"/>
      <c r="O92" s="272"/>
      <c r="P92" s="272"/>
      <c r="Q92" s="272"/>
      <c r="R92" s="272"/>
      <c r="S92" s="272"/>
      <c r="T92" s="324"/>
      <c r="U92" s="272"/>
      <c r="V92" s="325">
        <v>0</v>
      </c>
      <c r="W92" s="275"/>
      <c r="X92" s="5"/>
    </row>
    <row r="93" spans="1:24" ht="15.6" x14ac:dyDescent="0.3">
      <c r="A93" s="271"/>
      <c r="B93" s="272" t="s">
        <v>138</v>
      </c>
      <c r="C93" s="272"/>
      <c r="D93" s="272"/>
      <c r="E93" s="272"/>
      <c r="F93" s="272"/>
      <c r="G93" s="272"/>
      <c r="H93" s="272"/>
      <c r="I93" s="272"/>
      <c r="J93" s="272"/>
      <c r="K93" s="272"/>
      <c r="L93" s="272"/>
      <c r="M93" s="272"/>
      <c r="N93" s="272"/>
      <c r="O93" s="272"/>
      <c r="P93" s="272"/>
      <c r="Q93" s="272"/>
      <c r="R93" s="272"/>
      <c r="S93" s="272"/>
      <c r="T93" s="324"/>
      <c r="U93" s="272"/>
      <c r="V93" s="325">
        <v>0</v>
      </c>
      <c r="W93" s="275"/>
      <c r="X93" s="5"/>
    </row>
    <row r="94" spans="1:24" ht="15.6" x14ac:dyDescent="0.3">
      <c r="A94" s="271"/>
      <c r="B94" s="272" t="s">
        <v>265</v>
      </c>
      <c r="C94" s="272"/>
      <c r="D94" s="272"/>
      <c r="E94" s="272"/>
      <c r="F94" s="272"/>
      <c r="G94" s="272"/>
      <c r="H94" s="272"/>
      <c r="I94" s="272"/>
      <c r="J94" s="272"/>
      <c r="K94" s="272"/>
      <c r="L94" s="272"/>
      <c r="M94" s="272"/>
      <c r="N94" s="272"/>
      <c r="O94" s="272"/>
      <c r="P94" s="272"/>
      <c r="Q94" s="272"/>
      <c r="R94" s="272"/>
      <c r="S94" s="272"/>
      <c r="T94" s="324"/>
      <c r="U94" s="272"/>
      <c r="V94" s="325">
        <v>440</v>
      </c>
      <c r="W94" s="275"/>
      <c r="X94" s="5"/>
    </row>
    <row r="95" spans="1:24" ht="15.6" x14ac:dyDescent="0.3">
      <c r="A95" s="271"/>
      <c r="B95" s="272" t="s">
        <v>30</v>
      </c>
      <c r="C95" s="272"/>
      <c r="D95" s="272"/>
      <c r="E95" s="272"/>
      <c r="F95" s="272"/>
      <c r="G95" s="272"/>
      <c r="H95" s="272"/>
      <c r="I95" s="272"/>
      <c r="J95" s="272"/>
      <c r="K95" s="272"/>
      <c r="L95" s="272"/>
      <c r="M95" s="272"/>
      <c r="N95" s="272"/>
      <c r="O95" s="272"/>
      <c r="P95" s="272"/>
      <c r="Q95" s="272"/>
      <c r="R95" s="272"/>
      <c r="S95" s="272"/>
      <c r="T95" s="324">
        <f>SUM(T87:T94)</f>
        <v>11043</v>
      </c>
      <c r="U95" s="272"/>
      <c r="V95" s="324">
        <f>SUM(V87:V94)</f>
        <v>5579</v>
      </c>
      <c r="W95" s="275"/>
      <c r="X95" s="5"/>
    </row>
    <row r="96" spans="1:24" ht="15.6" x14ac:dyDescent="0.3">
      <c r="A96" s="271"/>
      <c r="B96" s="272" t="s">
        <v>164</v>
      </c>
      <c r="C96" s="272"/>
      <c r="D96" s="272"/>
      <c r="E96" s="272"/>
      <c r="F96" s="272"/>
      <c r="G96" s="272"/>
      <c r="H96" s="272"/>
      <c r="I96" s="272"/>
      <c r="J96" s="272"/>
      <c r="K96" s="272"/>
      <c r="L96" s="272"/>
      <c r="M96" s="272"/>
      <c r="N96" s="272"/>
      <c r="O96" s="272"/>
      <c r="P96" s="272"/>
      <c r="Q96" s="272"/>
      <c r="R96" s="272"/>
      <c r="S96" s="272"/>
      <c r="T96" s="324">
        <f>-V96</f>
        <v>0</v>
      </c>
      <c r="U96" s="272"/>
      <c r="V96" s="324">
        <v>0</v>
      </c>
      <c r="W96" s="275"/>
      <c r="X96" s="5"/>
    </row>
    <row r="97" spans="1:26" ht="15.6" x14ac:dyDescent="0.3">
      <c r="A97" s="271"/>
      <c r="B97" s="272" t="s">
        <v>31</v>
      </c>
      <c r="C97" s="272"/>
      <c r="D97" s="272"/>
      <c r="E97" s="272"/>
      <c r="F97" s="272"/>
      <c r="G97" s="272"/>
      <c r="H97" s="272"/>
      <c r="I97" s="272"/>
      <c r="J97" s="272"/>
      <c r="K97" s="272"/>
      <c r="L97" s="272"/>
      <c r="M97" s="272"/>
      <c r="N97" s="272"/>
      <c r="O97" s="272"/>
      <c r="P97" s="272"/>
      <c r="Q97" s="272"/>
      <c r="R97" s="272"/>
      <c r="S97" s="272"/>
      <c r="T97" s="324">
        <f>-V97</f>
        <v>0</v>
      </c>
      <c r="U97" s="272"/>
      <c r="V97" s="325">
        <v>0</v>
      </c>
      <c r="W97" s="275"/>
      <c r="X97" s="5"/>
    </row>
    <row r="98" spans="1:26" ht="15.6" x14ac:dyDescent="0.3">
      <c r="A98" s="271"/>
      <c r="B98" s="272" t="s">
        <v>288</v>
      </c>
      <c r="C98" s="272"/>
      <c r="D98" s="272"/>
      <c r="E98" s="272"/>
      <c r="F98" s="272"/>
      <c r="G98" s="272"/>
      <c r="H98" s="272"/>
      <c r="I98" s="272"/>
      <c r="J98" s="272"/>
      <c r="K98" s="272"/>
      <c r="L98" s="272"/>
      <c r="M98" s="272"/>
      <c r="N98" s="272"/>
      <c r="O98" s="272"/>
      <c r="P98" s="272"/>
      <c r="Q98" s="272"/>
      <c r="R98" s="272"/>
      <c r="S98" s="272"/>
      <c r="T98" s="324"/>
      <c r="U98" s="272"/>
      <c r="V98" s="325">
        <v>-345</v>
      </c>
      <c r="W98" s="275"/>
      <c r="X98" s="5"/>
    </row>
    <row r="99" spans="1:26" ht="15.6" x14ac:dyDescent="0.3">
      <c r="A99" s="271"/>
      <c r="B99" s="272" t="s">
        <v>32</v>
      </c>
      <c r="C99" s="272"/>
      <c r="D99" s="272"/>
      <c r="E99" s="272"/>
      <c r="F99" s="272"/>
      <c r="G99" s="272"/>
      <c r="H99" s="272"/>
      <c r="I99" s="272"/>
      <c r="J99" s="272"/>
      <c r="K99" s="272"/>
      <c r="L99" s="272"/>
      <c r="M99" s="272"/>
      <c r="N99" s="272"/>
      <c r="O99" s="272"/>
      <c r="P99" s="272"/>
      <c r="Q99" s="272"/>
      <c r="R99" s="272"/>
      <c r="S99" s="272"/>
      <c r="T99" s="324">
        <f>T95+T97+T96</f>
        <v>11043</v>
      </c>
      <c r="U99" s="272"/>
      <c r="V99" s="324">
        <f>V95+V97+V96+V98</f>
        <v>5234</v>
      </c>
      <c r="W99" s="275"/>
      <c r="X99" s="5"/>
    </row>
    <row r="100" spans="1:26" ht="15.6" x14ac:dyDescent="0.3">
      <c r="A100" s="271"/>
      <c r="B100" s="335" t="s">
        <v>33</v>
      </c>
      <c r="C100" s="298"/>
      <c r="D100" s="298"/>
      <c r="E100" s="298"/>
      <c r="F100" s="298"/>
      <c r="G100" s="298"/>
      <c r="H100" s="298"/>
      <c r="I100" s="298"/>
      <c r="J100" s="298"/>
      <c r="K100" s="298"/>
      <c r="L100" s="298"/>
      <c r="M100" s="298"/>
      <c r="N100" s="298"/>
      <c r="O100" s="298"/>
      <c r="P100" s="298"/>
      <c r="Q100" s="298"/>
      <c r="R100" s="298"/>
      <c r="S100" s="298"/>
      <c r="T100" s="336"/>
      <c r="U100" s="298"/>
      <c r="V100" s="337"/>
      <c r="W100" s="304"/>
      <c r="X100" s="5"/>
    </row>
    <row r="101" spans="1:26" ht="15.6" x14ac:dyDescent="0.3">
      <c r="A101" s="338">
        <v>1</v>
      </c>
      <c r="B101" s="272" t="s">
        <v>34</v>
      </c>
      <c r="C101" s="272"/>
      <c r="D101" s="272"/>
      <c r="E101" s="272"/>
      <c r="F101" s="272"/>
      <c r="G101" s="272"/>
      <c r="H101" s="272"/>
      <c r="I101" s="272"/>
      <c r="J101" s="272"/>
      <c r="K101" s="272"/>
      <c r="L101" s="272"/>
      <c r="M101" s="272"/>
      <c r="N101" s="272"/>
      <c r="O101" s="272"/>
      <c r="P101" s="272"/>
      <c r="Q101" s="272"/>
      <c r="R101" s="272"/>
      <c r="S101" s="272"/>
      <c r="T101" s="272"/>
      <c r="U101" s="272"/>
      <c r="V101" s="325">
        <v>0</v>
      </c>
      <c r="W101" s="275"/>
      <c r="X101" s="5"/>
    </row>
    <row r="102" spans="1:26" ht="15.6" x14ac:dyDescent="0.3">
      <c r="A102" s="338">
        <f>+A101+1</f>
        <v>2</v>
      </c>
      <c r="B102" s="272" t="s">
        <v>331</v>
      </c>
      <c r="C102" s="272"/>
      <c r="D102" s="272"/>
      <c r="E102" s="272"/>
      <c r="F102" s="272"/>
      <c r="G102" s="272"/>
      <c r="H102" s="272"/>
      <c r="I102" s="272"/>
      <c r="J102" s="272"/>
      <c r="K102" s="272"/>
      <c r="L102" s="272"/>
      <c r="M102" s="272"/>
      <c r="N102" s="272"/>
      <c r="O102" s="272"/>
      <c r="P102" s="272"/>
      <c r="Q102" s="272"/>
      <c r="R102" s="272"/>
      <c r="S102" s="272"/>
      <c r="T102" s="272"/>
      <c r="U102" s="272"/>
      <c r="V102" s="325">
        <f>-2</f>
        <v>-2</v>
      </c>
      <c r="W102" s="275"/>
      <c r="X102" s="5"/>
    </row>
    <row r="103" spans="1:26" ht="15.6" x14ac:dyDescent="0.3">
      <c r="A103" s="338">
        <f>+A102+1</f>
        <v>3</v>
      </c>
      <c r="B103" s="343" t="s">
        <v>332</v>
      </c>
      <c r="C103" s="272"/>
      <c r="D103" s="272"/>
      <c r="E103" s="272"/>
      <c r="F103" s="272"/>
      <c r="G103" s="272"/>
      <c r="H103" s="272"/>
      <c r="I103" s="272"/>
      <c r="J103" s="272"/>
      <c r="K103" s="272"/>
      <c r="L103" s="272"/>
      <c r="M103" s="272"/>
      <c r="N103" s="272"/>
      <c r="O103" s="272"/>
      <c r="P103" s="272"/>
      <c r="Q103" s="272"/>
      <c r="R103" s="272"/>
      <c r="S103" s="272"/>
      <c r="T103" s="272"/>
      <c r="U103" s="272"/>
      <c r="V103" s="325">
        <f>-329-131-11</f>
        <v>-471</v>
      </c>
      <c r="W103" s="275"/>
      <c r="X103" s="5"/>
    </row>
    <row r="104" spans="1:26" ht="15.6" x14ac:dyDescent="0.3">
      <c r="A104" s="338" t="s">
        <v>130</v>
      </c>
      <c r="B104" s="272" t="s">
        <v>119</v>
      </c>
      <c r="C104" s="272"/>
      <c r="D104" s="272"/>
      <c r="E104" s="272"/>
      <c r="F104" s="272"/>
      <c r="G104" s="272"/>
      <c r="H104" s="272"/>
      <c r="I104" s="272"/>
      <c r="J104" s="272"/>
      <c r="K104" s="272"/>
      <c r="L104" s="272"/>
      <c r="M104" s="272"/>
      <c r="N104" s="272"/>
      <c r="O104" s="272"/>
      <c r="P104" s="272"/>
      <c r="Q104" s="272"/>
      <c r="R104" s="272"/>
      <c r="S104" s="272"/>
      <c r="T104" s="272"/>
      <c r="U104" s="272"/>
      <c r="V104" s="325">
        <v>0</v>
      </c>
      <c r="W104" s="275"/>
      <c r="X104" s="5"/>
    </row>
    <row r="105" spans="1:26" ht="15.6" x14ac:dyDescent="0.3">
      <c r="A105" s="338" t="s">
        <v>131</v>
      </c>
      <c r="B105" s="272" t="s">
        <v>362</v>
      </c>
      <c r="C105" s="272"/>
      <c r="D105" s="272"/>
      <c r="E105" s="272"/>
      <c r="F105" s="272"/>
      <c r="G105" s="272"/>
      <c r="H105" s="272"/>
      <c r="I105" s="272"/>
      <c r="J105" s="272"/>
      <c r="K105" s="272"/>
      <c r="L105" s="272"/>
      <c r="M105" s="272"/>
      <c r="N105" s="272"/>
      <c r="O105" s="272"/>
      <c r="P105" s="272"/>
      <c r="Q105" s="272"/>
      <c r="R105" s="272"/>
      <c r="S105" s="272"/>
      <c r="T105" s="272"/>
      <c r="U105" s="272"/>
      <c r="V105" s="325">
        <f>-856-134</f>
        <v>-990</v>
      </c>
      <c r="W105" s="275"/>
      <c r="X105" s="5"/>
      <c r="Y105" s="109"/>
      <c r="Z105" s="109"/>
    </row>
    <row r="106" spans="1:26" ht="15.6" x14ac:dyDescent="0.3">
      <c r="A106" s="338" t="s">
        <v>153</v>
      </c>
      <c r="B106" s="272" t="s">
        <v>363</v>
      </c>
      <c r="C106" s="272"/>
      <c r="D106" s="272"/>
      <c r="E106" s="272"/>
      <c r="F106" s="272"/>
      <c r="G106" s="272"/>
      <c r="H106" s="272"/>
      <c r="I106" s="272"/>
      <c r="J106" s="272"/>
      <c r="K106" s="272"/>
      <c r="L106" s="272"/>
      <c r="M106" s="272"/>
      <c r="N106" s="272"/>
      <c r="O106" s="272"/>
      <c r="P106" s="272"/>
      <c r="Q106" s="272"/>
      <c r="R106" s="272"/>
      <c r="S106" s="272"/>
      <c r="T106" s="272"/>
      <c r="U106" s="272"/>
      <c r="V106" s="325">
        <f>-233-202</f>
        <v>-435</v>
      </c>
      <c r="W106" s="275"/>
      <c r="X106" s="5"/>
      <c r="Y106" s="109"/>
    </row>
    <row r="107" spans="1:26" ht="15.6" x14ac:dyDescent="0.3">
      <c r="A107" s="338" t="s">
        <v>266</v>
      </c>
      <c r="B107" s="272" t="s">
        <v>269</v>
      </c>
      <c r="C107" s="272"/>
      <c r="D107" s="272"/>
      <c r="E107" s="272"/>
      <c r="F107" s="272"/>
      <c r="G107" s="272"/>
      <c r="H107" s="272"/>
      <c r="I107" s="272"/>
      <c r="J107" s="272"/>
      <c r="K107" s="272"/>
      <c r="L107" s="272"/>
      <c r="M107" s="272"/>
      <c r="N107" s="272"/>
      <c r="O107" s="272"/>
      <c r="P107" s="272"/>
      <c r="Q107" s="272"/>
      <c r="R107" s="272"/>
      <c r="S107" s="272"/>
      <c r="T107" s="272"/>
      <c r="U107" s="272"/>
      <c r="V107" s="325">
        <v>0</v>
      </c>
      <c r="W107" s="275"/>
      <c r="X107" s="5"/>
    </row>
    <row r="108" spans="1:26" ht="15.6" x14ac:dyDescent="0.3">
      <c r="A108" s="338" t="s">
        <v>208</v>
      </c>
      <c r="B108" s="272" t="s">
        <v>188</v>
      </c>
      <c r="C108" s="272"/>
      <c r="D108" s="272"/>
      <c r="E108" s="272"/>
      <c r="F108" s="272"/>
      <c r="G108" s="272"/>
      <c r="H108" s="272"/>
      <c r="I108" s="272"/>
      <c r="J108" s="272"/>
      <c r="K108" s="272"/>
      <c r="L108" s="272"/>
      <c r="M108" s="272"/>
      <c r="N108" s="272"/>
      <c r="O108" s="272"/>
      <c r="P108" s="272"/>
      <c r="Q108" s="272"/>
      <c r="R108" s="272"/>
      <c r="S108" s="272"/>
      <c r="T108" s="272"/>
      <c r="U108" s="272"/>
      <c r="V108" s="325">
        <v>-141</v>
      </c>
      <c r="W108" s="275"/>
      <c r="X108" s="5"/>
      <c r="Y108" s="109"/>
    </row>
    <row r="109" spans="1:26" ht="15.6" x14ac:dyDescent="0.3">
      <c r="A109" s="338" t="s">
        <v>209</v>
      </c>
      <c r="B109" s="272" t="s">
        <v>189</v>
      </c>
      <c r="C109" s="272"/>
      <c r="D109" s="272"/>
      <c r="E109" s="272"/>
      <c r="F109" s="272"/>
      <c r="G109" s="272"/>
      <c r="H109" s="272"/>
      <c r="I109" s="272"/>
      <c r="J109" s="272"/>
      <c r="K109" s="272"/>
      <c r="L109" s="272"/>
      <c r="M109" s="272"/>
      <c r="N109" s="272"/>
      <c r="O109" s="272"/>
      <c r="P109" s="272"/>
      <c r="Q109" s="272"/>
      <c r="R109" s="272"/>
      <c r="S109" s="272"/>
      <c r="T109" s="272"/>
      <c r="U109" s="272"/>
      <c r="V109" s="325">
        <v>-138</v>
      </c>
      <c r="W109" s="275"/>
      <c r="X109" s="5"/>
      <c r="Y109" s="109"/>
    </row>
    <row r="110" spans="1:26" ht="15.6" x14ac:dyDescent="0.3">
      <c r="A110" s="338" t="s">
        <v>210</v>
      </c>
      <c r="B110" s="272" t="s">
        <v>199</v>
      </c>
      <c r="C110" s="272"/>
      <c r="D110" s="272"/>
      <c r="E110" s="272"/>
      <c r="F110" s="272"/>
      <c r="G110" s="272"/>
      <c r="H110" s="272"/>
      <c r="I110" s="272"/>
      <c r="J110" s="272"/>
      <c r="K110" s="272"/>
      <c r="L110" s="272"/>
      <c r="M110" s="272"/>
      <c r="N110" s="272"/>
      <c r="O110" s="272"/>
      <c r="P110" s="272"/>
      <c r="Q110" s="272"/>
      <c r="R110" s="272"/>
      <c r="S110" s="272"/>
      <c r="T110" s="272"/>
      <c r="U110" s="272"/>
      <c r="V110" s="325">
        <v>-193</v>
      </c>
      <c r="W110" s="275"/>
      <c r="X110" s="5"/>
      <c r="Y110" s="109"/>
    </row>
    <row r="111" spans="1:26" ht="15.6" x14ac:dyDescent="0.3">
      <c r="A111" s="338" t="s">
        <v>230</v>
      </c>
      <c r="B111" s="272" t="s">
        <v>229</v>
      </c>
      <c r="C111" s="272"/>
      <c r="D111" s="272"/>
      <c r="E111" s="272"/>
      <c r="F111" s="272"/>
      <c r="G111" s="272"/>
      <c r="H111" s="272"/>
      <c r="I111" s="272"/>
      <c r="J111" s="272"/>
      <c r="K111" s="272"/>
      <c r="L111" s="272"/>
      <c r="M111" s="272"/>
      <c r="N111" s="272"/>
      <c r="O111" s="272"/>
      <c r="P111" s="272"/>
      <c r="Q111" s="272"/>
      <c r="R111" s="272"/>
      <c r="S111" s="272"/>
      <c r="T111" s="272"/>
      <c r="U111" s="272"/>
      <c r="V111" s="325">
        <v>-45</v>
      </c>
      <c r="W111" s="275"/>
      <c r="X111" s="5"/>
      <c r="Y111" s="109"/>
    </row>
    <row r="112" spans="1:26" ht="15.6" x14ac:dyDescent="0.3">
      <c r="A112" s="392">
        <v>7</v>
      </c>
      <c r="B112" s="343" t="s">
        <v>333</v>
      </c>
      <c r="C112" s="343"/>
      <c r="D112" s="343"/>
      <c r="E112" s="343"/>
      <c r="F112" s="343"/>
      <c r="G112" s="272"/>
      <c r="H112" s="272"/>
      <c r="I112" s="272"/>
      <c r="J112" s="272"/>
      <c r="K112" s="272"/>
      <c r="L112" s="272"/>
      <c r="M112" s="272"/>
      <c r="N112" s="272"/>
      <c r="O112" s="272"/>
      <c r="P112" s="272"/>
      <c r="Q112" s="272"/>
      <c r="R112" s="272"/>
      <c r="S112" s="272"/>
      <c r="T112" s="272"/>
      <c r="U112" s="272"/>
      <c r="V112" s="325">
        <v>0</v>
      </c>
      <c r="W112" s="275"/>
      <c r="X112" s="5"/>
      <c r="Y112" s="109"/>
    </row>
    <row r="113" spans="1:24" ht="15.6" x14ac:dyDescent="0.3">
      <c r="A113" s="338">
        <f t="shared" ref="A113:A120" si="0">+A112+1</f>
        <v>8</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-14</v>
      </c>
      <c r="W113" s="275"/>
      <c r="X113" s="5"/>
    </row>
    <row r="114" spans="1:24" ht="15.6" x14ac:dyDescent="0.3">
      <c r="A114" s="338">
        <f t="shared" si="0"/>
        <v>9</v>
      </c>
      <c r="B114" s="272" t="s">
        <v>45</v>
      </c>
      <c r="C114" s="272"/>
      <c r="D114" s="272"/>
      <c r="E114" s="272"/>
      <c r="F114" s="272"/>
      <c r="G114" s="272"/>
      <c r="H114" s="272"/>
      <c r="I114" s="272"/>
      <c r="J114" s="272"/>
      <c r="K114" s="272"/>
      <c r="L114" s="272"/>
      <c r="M114" s="272"/>
      <c r="N114" s="272"/>
      <c r="O114" s="272"/>
      <c r="P114" s="272"/>
      <c r="Q114" s="272"/>
      <c r="R114" s="272"/>
      <c r="S114" s="272"/>
      <c r="T114" s="324">
        <f>-V114</f>
        <v>164</v>
      </c>
      <c r="U114" s="272"/>
      <c r="V114" s="325">
        <v>-164</v>
      </c>
      <c r="W114" s="275"/>
      <c r="X114" s="5"/>
    </row>
    <row r="115" spans="1:24" ht="15.6" x14ac:dyDescent="0.3">
      <c r="A115" s="338">
        <f t="shared" si="0"/>
        <v>10</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11</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12</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13</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14</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-328</v>
      </c>
      <c r="W119" s="275"/>
      <c r="X119" s="5"/>
    </row>
    <row r="120" spans="1:24" ht="15.6" x14ac:dyDescent="0.3">
      <c r="A120" s="338">
        <f t="shared" si="0"/>
        <v>15</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-V99-SUM(V101:V119)</f>
        <v>-2313</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0</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0</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-641</v>
      </c>
      <c r="U124" s="324"/>
      <c r="V124" s="325"/>
      <c r="W124" s="275"/>
      <c r="X124" s="5"/>
    </row>
    <row r="125" spans="1:24" ht="15.6" x14ac:dyDescent="0.3">
      <c r="A125" s="338"/>
      <c r="B125" s="272" t="s">
        <v>386</v>
      </c>
      <c r="C125" s="272"/>
      <c r="D125" s="272"/>
      <c r="E125" s="272"/>
      <c r="F125" s="272"/>
      <c r="G125" s="272"/>
      <c r="H125" s="272"/>
      <c r="I125" s="272"/>
      <c r="J125" s="272"/>
      <c r="K125" s="272"/>
      <c r="L125" s="272"/>
      <c r="M125" s="272"/>
      <c r="N125" s="272"/>
      <c r="O125" s="272"/>
      <c r="P125" s="272"/>
      <c r="Q125" s="272"/>
      <c r="R125" s="272"/>
      <c r="S125" s="272"/>
      <c r="T125" s="324">
        <v>-6384</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-1000</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-1692</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-1490</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-11207</v>
      </c>
      <c r="U133" s="324"/>
      <c r="V133" s="324">
        <f>SUM(V100:V130)</f>
        <v>-5234</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T99+T133+T114</f>
        <v>0</v>
      </c>
      <c r="U134" s="324"/>
      <c r="V134" s="324">
        <f>V99+V133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B63</f>
        <v>PM13 INVESTOR REPORT QUARTER ENDING JUNE 2016</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341</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164</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164</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-164</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f>-V98</f>
        <v>345</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V70</f>
        <v>855454</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V83</f>
        <v>855454</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+'March 16'!S183</f>
        <v>51610</v>
      </c>
      <c r="T181" s="325">
        <f>+'March 16'!T183</f>
        <v>9749</v>
      </c>
      <c r="U181" s="272"/>
      <c r="V181" s="325">
        <f>S181+T181</f>
        <v>61359</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f>122+519</f>
        <v>641</v>
      </c>
      <c r="T182" s="324">
        <v>0</v>
      </c>
      <c r="U182" s="272"/>
      <c r="V182" s="325">
        <f>S182+T182</f>
        <v>641</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52251</v>
      </c>
      <c r="T183" s="325">
        <f>T182+T181</f>
        <v>9749</v>
      </c>
      <c r="U183" s="272"/>
      <c r="V183" s="325">
        <f>S183+T183</f>
        <v>62000</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178030.4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(V99+V101+V102+V103+V104)/-(V105+V106)</f>
        <v>3.3410526315789473</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1.83</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(V99+V101+V102+V103+V104+V105+V106)/-(V108+V109)</f>
        <v>11.956989247311828</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7.4</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(V99+V101+V102+V103+V104+V105+V106+V108+V109)/-(V110+V111)</f>
        <v>12.844537815126051</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9.35</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JUNE 2016</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42551</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2.2950000000000002E-2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8.9980249061370286E-3</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1.3951975093862973E-2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+V99/N70</f>
        <v>6.0437403293226487E-3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11.7</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P67/N67</f>
        <v>1.2940809681069721E-2</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6.3600000000000004E-2</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1</v>
      </c>
      <c r="T216" s="357">
        <v>118</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134</v>
      </c>
      <c r="T217" s="357">
        <f>+T269</f>
        <v>21123</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f>+R281</f>
        <v>0</v>
      </c>
      <c r="T218" s="357">
        <f>+T281</f>
        <v>0</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+N80</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2" t="s">
        <v>84</v>
      </c>
      <c r="C222" s="272"/>
      <c r="D222" s="272"/>
      <c r="E222" s="272"/>
      <c r="F222" s="272"/>
      <c r="G222" s="272"/>
      <c r="H222" s="272"/>
      <c r="I222" s="272"/>
      <c r="J222" s="272"/>
      <c r="K222" s="272"/>
      <c r="L222" s="272"/>
      <c r="M222" s="272"/>
      <c r="N222" s="272"/>
      <c r="O222" s="272"/>
      <c r="P222" s="272"/>
      <c r="Q222" s="272"/>
      <c r="R222" s="272"/>
      <c r="S222" s="280"/>
      <c r="T222" s="357">
        <f>V166</f>
        <v>164</v>
      </c>
      <c r="U222" s="272"/>
      <c r="V222" s="362"/>
      <c r="W222" s="367"/>
      <c r="X222" s="5"/>
    </row>
    <row r="223" spans="1:24" ht="15.6" x14ac:dyDescent="0.3">
      <c r="A223" s="356"/>
      <c r="B223" s="272" t="s">
        <v>85</v>
      </c>
      <c r="C223" s="324"/>
      <c r="D223" s="324"/>
      <c r="E223" s="324"/>
      <c r="F223" s="324"/>
      <c r="G223" s="272"/>
      <c r="H223" s="272"/>
      <c r="I223" s="272"/>
      <c r="J223" s="272"/>
      <c r="K223" s="272"/>
      <c r="L223" s="272"/>
      <c r="M223" s="272"/>
      <c r="N223" s="272"/>
      <c r="O223" s="272"/>
      <c r="P223" s="272"/>
      <c r="Q223" s="272"/>
      <c r="R223" s="272"/>
      <c r="S223" s="280"/>
      <c r="T223" s="357">
        <f>'March 16'!T223+T222</f>
        <v>8188</v>
      </c>
      <c r="U223" s="272"/>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7</v>
      </c>
      <c r="T229" s="357">
        <v>675</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5.13</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 t="shared" ref="R236:R243" si="1">+R248+R260+R272</f>
        <v>6649</v>
      </c>
      <c r="S236" s="381">
        <f t="shared" ref="S236:S243" si="2">R236/$R$245</f>
        <v>0.99416866028708128</v>
      </c>
      <c r="T236" s="325">
        <f t="shared" ref="T236:T243" si="3">+T248+T260+T272</f>
        <v>850427</v>
      </c>
      <c r="U236" s="381">
        <f t="shared" ref="U236:U243" si="4">T236/$T$245</f>
        <v>0.99412358817657054</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si="1"/>
        <v>8</v>
      </c>
      <c r="S237" s="381">
        <f t="shared" si="2"/>
        <v>1.1961722488038277E-3</v>
      </c>
      <c r="T237" s="325">
        <f t="shared" si="3"/>
        <v>907</v>
      </c>
      <c r="U237" s="381">
        <f t="shared" si="4"/>
        <v>1.060255723861248E-3</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3</v>
      </c>
      <c r="S238" s="381">
        <f t="shared" si="2"/>
        <v>4.4856459330143542E-4</v>
      </c>
      <c r="T238" s="325">
        <f t="shared" si="3"/>
        <v>336</v>
      </c>
      <c r="U238" s="381">
        <f t="shared" si="4"/>
        <v>3.927738954987644E-4</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3</v>
      </c>
      <c r="S239" s="381">
        <f t="shared" si="2"/>
        <v>4.4856459330143542E-4</v>
      </c>
      <c r="T239" s="325">
        <f t="shared" si="3"/>
        <v>695</v>
      </c>
      <c r="U239" s="381">
        <f t="shared" si="4"/>
        <v>8.1243409932036086E-4</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2</v>
      </c>
      <c r="S240" s="381">
        <f t="shared" si="2"/>
        <v>2.9904306220095693E-4</v>
      </c>
      <c r="T240" s="325">
        <f t="shared" si="3"/>
        <v>225</v>
      </c>
      <c r="U240" s="381">
        <f t="shared" si="4"/>
        <v>2.6301823359292257E-4</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1</v>
      </c>
      <c r="S241" s="381">
        <f t="shared" si="2"/>
        <v>1.4952153110047846E-4</v>
      </c>
      <c r="T241" s="325">
        <f t="shared" si="3"/>
        <v>89</v>
      </c>
      <c r="U241" s="381">
        <f t="shared" si="4"/>
        <v>1.0403832351008939E-4</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3</v>
      </c>
      <c r="S242" s="381">
        <f t="shared" si="2"/>
        <v>4.4856459330143542E-4</v>
      </c>
      <c r="T242" s="325">
        <f t="shared" si="3"/>
        <v>234</v>
      </c>
      <c r="U242" s="381">
        <f t="shared" si="4"/>
        <v>2.7353896293663948E-4</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19</v>
      </c>
      <c r="S243" s="381">
        <f t="shared" si="2"/>
        <v>2.840909090909091E-3</v>
      </c>
      <c r="T243" s="325">
        <f t="shared" si="3"/>
        <v>2541</v>
      </c>
      <c r="U243" s="381">
        <f t="shared" si="4"/>
        <v>2.9703525847094058E-3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6688</v>
      </c>
      <c r="S245" s="381">
        <f>SUM(S236:S244)</f>
        <v>1</v>
      </c>
      <c r="T245" s="325">
        <f>SUM(T236:T244)</f>
        <v>855454</v>
      </c>
      <c r="U245" s="381">
        <f>SUM(U236:U244)</f>
        <v>1</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6551</v>
      </c>
      <c r="S248" s="261">
        <f t="shared" ref="S248:S255" si="5">R248/$R$257</f>
        <v>0.99954226426609705</v>
      </c>
      <c r="T248" s="238">
        <v>834066</v>
      </c>
      <c r="U248" s="261">
        <f t="shared" ref="U248:U255" si="6">T248/$T$257</f>
        <v>0.99968238025435951</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3</v>
      </c>
      <c r="S249" s="381">
        <f t="shared" si="5"/>
        <v>4.5773573390296002E-4</v>
      </c>
      <c r="T249" s="325">
        <v>265</v>
      </c>
      <c r="U249" s="381">
        <f t="shared" si="6"/>
        <v>3.1761974564051916E-4</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0</v>
      </c>
      <c r="S250" s="381">
        <f t="shared" si="5"/>
        <v>0</v>
      </c>
      <c r="T250" s="325">
        <v>0</v>
      </c>
      <c r="U250" s="381">
        <f t="shared" si="6"/>
        <v>0</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0</v>
      </c>
      <c r="S251" s="381">
        <f t="shared" si="5"/>
        <v>0</v>
      </c>
      <c r="T251" s="325">
        <v>0</v>
      </c>
      <c r="U251" s="381">
        <f t="shared" si="6"/>
        <v>0</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0</v>
      </c>
      <c r="S255" s="381">
        <f t="shared" si="5"/>
        <v>0</v>
      </c>
      <c r="T255" s="325">
        <v>0</v>
      </c>
      <c r="U255" s="381">
        <f t="shared" si="6"/>
        <v>0</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6554</v>
      </c>
      <c r="S257" s="381">
        <f>SUM(S248:S256)</f>
        <v>1</v>
      </c>
      <c r="T257" s="325">
        <f>SUM(T248:T256)</f>
        <v>834331</v>
      </c>
      <c r="U257" s="381">
        <f>SUM(U248:U256)</f>
        <v>1</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98</v>
      </c>
      <c r="S260" s="261">
        <f>R260/$R$269</f>
        <v>0.73134328358208955</v>
      </c>
      <c r="T260" s="238">
        <v>16361</v>
      </c>
      <c r="U260" s="261">
        <f t="shared" ref="U260:U267" si="7">T260/$T$269</f>
        <v>0.77455853808644604</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5</v>
      </c>
      <c r="S261" s="381">
        <f t="shared" ref="S261:S265" si="8">R261/$R$269</f>
        <v>3.7313432835820892E-2</v>
      </c>
      <c r="T261" s="325">
        <v>642</v>
      </c>
      <c r="U261" s="381">
        <f t="shared" si="7"/>
        <v>3.0393410026984802E-2</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3</v>
      </c>
      <c r="S262" s="381">
        <f t="shared" si="8"/>
        <v>2.2388059701492536E-2</v>
      </c>
      <c r="T262" s="325">
        <v>336</v>
      </c>
      <c r="U262" s="381">
        <f t="shared" si="7"/>
        <v>1.5906831415992046E-2</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3</v>
      </c>
      <c r="S263" s="381">
        <f t="shared" si="8"/>
        <v>2.2388059701492536E-2</v>
      </c>
      <c r="T263" s="325">
        <v>695</v>
      </c>
      <c r="U263" s="381">
        <f t="shared" si="7"/>
        <v>3.2902523315816883E-2</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2</v>
      </c>
      <c r="S264" s="381">
        <f t="shared" si="8"/>
        <v>1.4925373134328358E-2</v>
      </c>
      <c r="T264" s="325">
        <v>225</v>
      </c>
      <c r="U264" s="381">
        <f t="shared" si="7"/>
        <v>1.0651896037494673E-2</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1</v>
      </c>
      <c r="S265" s="381">
        <f t="shared" si="8"/>
        <v>7.462686567164179E-3</v>
      </c>
      <c r="T265" s="325">
        <v>89</v>
      </c>
      <c r="U265" s="381">
        <f t="shared" si="7"/>
        <v>4.2134166548312268E-3</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3</v>
      </c>
      <c r="S266" s="381">
        <f>R266/$R$269</f>
        <v>2.2388059701492536E-2</v>
      </c>
      <c r="T266" s="325">
        <v>234</v>
      </c>
      <c r="U266" s="381">
        <f t="shared" si="7"/>
        <v>1.1077971878994461E-2</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19</v>
      </c>
      <c r="S267" s="381">
        <f>R267/$R$269</f>
        <v>0.1417910447761194</v>
      </c>
      <c r="T267" s="325">
        <v>2541</v>
      </c>
      <c r="U267" s="381">
        <f t="shared" si="7"/>
        <v>0.12029541258343986</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134</v>
      </c>
      <c r="S269" s="381">
        <f>SUM(S260:S268)</f>
        <v>0.99999999999999989</v>
      </c>
      <c r="T269" s="325">
        <f>SUM(T260:T268)</f>
        <v>21123</v>
      </c>
      <c r="U269" s="381">
        <f>SUM(U260:U268)</f>
        <v>1</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v>0</v>
      </c>
      <c r="T272" s="238">
        <v>0</v>
      </c>
      <c r="U272" s="261">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v>0</v>
      </c>
      <c r="T273" s="325">
        <v>0</v>
      </c>
      <c r="U273" s="381">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0</v>
      </c>
      <c r="S281" s="381">
        <f>SUM(S272:S279)</f>
        <v>0</v>
      </c>
      <c r="T281" s="325">
        <f>SUM(T272:T279)</f>
        <v>0</v>
      </c>
      <c r="U281" s="381">
        <f>SUM(U272:U279)</f>
        <v>0</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79" t="s">
        <v>167</v>
      </c>
      <c r="C283" s="272"/>
      <c r="D283" s="272"/>
      <c r="E283" s="272"/>
      <c r="F283" s="272"/>
      <c r="G283" s="272"/>
      <c r="H283" s="383"/>
      <c r="I283" s="383"/>
      <c r="J283" s="383"/>
      <c r="K283" s="383"/>
      <c r="L283" s="383"/>
      <c r="M283" s="383"/>
      <c r="N283" s="383"/>
      <c r="O283" s="383"/>
      <c r="P283" s="383"/>
      <c r="Q283" s="383"/>
      <c r="R283" s="390">
        <f>R281+R269+R257</f>
        <v>6688</v>
      </c>
      <c r="S283" s="381"/>
      <c r="T283" s="387">
        <f>+T281+T269+T257</f>
        <v>855454</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335</v>
      </c>
      <c r="C287" s="220"/>
      <c r="D287" s="220"/>
      <c r="E287" s="220"/>
      <c r="F287" s="265" t="s">
        <v>151</v>
      </c>
      <c r="G287" s="220"/>
      <c r="H287" s="219" t="s">
        <v>155</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336</v>
      </c>
      <c r="C288" s="219"/>
      <c r="D288" s="219"/>
      <c r="E288" s="219"/>
      <c r="F288" s="265" t="s">
        <v>282</v>
      </c>
      <c r="G288" s="219"/>
      <c r="H288" s="219" t="s">
        <v>283</v>
      </c>
      <c r="I288" s="227"/>
      <c r="J288" s="219"/>
      <c r="K288" s="227"/>
      <c r="L288" s="227"/>
      <c r="M288" s="227"/>
      <c r="N288" s="227"/>
      <c r="O288" s="227"/>
      <c r="P288" s="227"/>
      <c r="Q288" s="227"/>
      <c r="R288" s="227"/>
      <c r="S288" s="227"/>
      <c r="T288" s="227"/>
      <c r="U288" s="227"/>
      <c r="V288" s="227"/>
      <c r="W288" s="227"/>
      <c r="X288" s="5"/>
    </row>
    <row r="289" spans="1:24" ht="15.6" x14ac:dyDescent="0.3">
      <c r="A289" s="216"/>
      <c r="B289" s="219" t="s">
        <v>337</v>
      </c>
      <c r="C289" s="219"/>
      <c r="D289" s="219"/>
      <c r="E289" s="219"/>
      <c r="F289" s="265" t="s">
        <v>150</v>
      </c>
      <c r="G289" s="219"/>
      <c r="H289" s="219" t="s">
        <v>156</v>
      </c>
      <c r="I289" s="219"/>
      <c r="J289" s="219"/>
      <c r="K289" s="227"/>
      <c r="L289" s="227"/>
      <c r="M289" s="227"/>
      <c r="N289" s="227"/>
      <c r="O289" s="227"/>
      <c r="P289" s="227"/>
      <c r="Q289" s="227"/>
      <c r="R289" s="227"/>
      <c r="S289" s="227"/>
      <c r="T289" s="227"/>
      <c r="U289" s="227"/>
      <c r="V289" s="227"/>
      <c r="W289" s="227"/>
      <c r="X289" s="5"/>
    </row>
    <row r="290" spans="1:24" ht="15.6" x14ac:dyDescent="0.3">
      <c r="A290" s="216"/>
      <c r="B290" s="219"/>
      <c r="C290" s="219"/>
      <c r="D290" s="219"/>
      <c r="E290" s="219"/>
      <c r="F290" s="265"/>
      <c r="G290" s="219"/>
      <c r="H290" s="219"/>
      <c r="I290" s="219"/>
      <c r="J290" s="219"/>
      <c r="K290" s="227"/>
      <c r="L290" s="227"/>
      <c r="M290" s="227"/>
      <c r="N290" s="227"/>
      <c r="O290" s="227"/>
      <c r="P290" s="227"/>
      <c r="Q290" s="227"/>
      <c r="R290" s="227"/>
      <c r="S290" s="227"/>
      <c r="T290" s="227"/>
      <c r="U290" s="227"/>
      <c r="V290" s="227"/>
      <c r="W290" s="227"/>
      <c r="X290" s="5"/>
    </row>
    <row r="291" spans="1:24" ht="15.6" x14ac:dyDescent="0.3">
      <c r="A291" s="216"/>
      <c r="B291" s="268" t="s">
        <v>367</v>
      </c>
      <c r="C291" s="219"/>
      <c r="D291" s="219"/>
      <c r="E291" s="219"/>
      <c r="F291" s="265"/>
      <c r="G291" s="219"/>
      <c r="H291" s="219"/>
      <c r="I291" s="219"/>
      <c r="J291" s="219"/>
      <c r="K291" s="227"/>
      <c r="L291" s="227"/>
      <c r="M291" s="227"/>
      <c r="N291" s="227"/>
      <c r="O291" s="227"/>
      <c r="P291" s="227"/>
      <c r="Q291" s="227"/>
      <c r="R291" s="227"/>
      <c r="S291" s="227"/>
      <c r="T291" s="227"/>
      <c r="U291" s="227"/>
      <c r="V291" s="227"/>
      <c r="W291" s="227"/>
      <c r="X291" s="5"/>
    </row>
    <row r="292" spans="1:24" ht="15.6" x14ac:dyDescent="0.3">
      <c r="A292" s="216"/>
      <c r="B292" s="268" t="s">
        <v>364</v>
      </c>
      <c r="C292" s="219"/>
      <c r="D292" s="219"/>
      <c r="E292" s="219"/>
      <c r="F292" s="265"/>
      <c r="G292" s="219"/>
      <c r="H292" s="219"/>
      <c r="I292" s="219"/>
      <c r="J292" s="219"/>
      <c r="K292" s="227"/>
      <c r="L292" s="227"/>
      <c r="M292" s="227"/>
      <c r="N292" s="227"/>
      <c r="O292" s="227"/>
      <c r="P292" s="227"/>
      <c r="Q292" s="227"/>
      <c r="R292" s="227"/>
      <c r="S292" s="227"/>
      <c r="T292" s="227"/>
      <c r="U292" s="227"/>
      <c r="V292" s="227"/>
      <c r="W292" s="227"/>
      <c r="X292" s="5"/>
    </row>
    <row r="293" spans="1:24" ht="15.6" x14ac:dyDescent="0.3">
      <c r="A293" s="216"/>
      <c r="B293" s="268" t="s">
        <v>365</v>
      </c>
      <c r="C293" s="219"/>
      <c r="D293" s="219"/>
      <c r="E293" s="219"/>
      <c r="F293" s="265"/>
      <c r="G293" s="219"/>
      <c r="H293" s="219"/>
      <c r="I293" s="219"/>
      <c r="J293" s="219"/>
      <c r="K293" s="227"/>
      <c r="L293" s="227"/>
      <c r="M293" s="227"/>
      <c r="N293" s="227"/>
      <c r="O293" s="227"/>
      <c r="P293" s="227"/>
      <c r="Q293" s="227"/>
      <c r="R293" s="227"/>
      <c r="S293" s="227"/>
      <c r="T293" s="227"/>
      <c r="U293" s="227"/>
      <c r="V293" s="227"/>
      <c r="W293" s="227"/>
      <c r="X293" s="5"/>
    </row>
    <row r="294" spans="1:24" ht="15.6" x14ac:dyDescent="0.3">
      <c r="A294" s="216"/>
      <c r="B294" s="268" t="s">
        <v>366</v>
      </c>
      <c r="C294" s="219"/>
      <c r="D294" s="219"/>
      <c r="E294" s="219"/>
      <c r="F294" s="265"/>
      <c r="G294" s="219"/>
      <c r="H294" s="219"/>
      <c r="I294" s="219"/>
      <c r="J294" s="219"/>
      <c r="K294" s="227"/>
      <c r="L294" s="227"/>
      <c r="M294" s="227"/>
      <c r="N294" s="227"/>
      <c r="O294" s="227"/>
      <c r="P294" s="227"/>
      <c r="Q294" s="227"/>
      <c r="R294" s="227"/>
      <c r="S294" s="227"/>
      <c r="T294" s="227"/>
      <c r="U294" s="227"/>
      <c r="V294" s="227"/>
      <c r="W294" s="227"/>
      <c r="X294" s="5"/>
    </row>
    <row r="295" spans="1:24" ht="15.6" x14ac:dyDescent="0.3">
      <c r="A295" s="216"/>
      <c r="B295" s="219"/>
      <c r="C295" s="219"/>
      <c r="D295" s="219"/>
      <c r="E295" s="219"/>
      <c r="F295" s="265"/>
      <c r="G295" s="219"/>
      <c r="H295" s="219"/>
      <c r="I295" s="219"/>
      <c r="J295" s="219"/>
      <c r="K295" s="227"/>
      <c r="L295" s="227"/>
      <c r="M295" s="227"/>
      <c r="N295" s="227"/>
      <c r="O295" s="227"/>
      <c r="P295" s="227"/>
      <c r="Q295" s="227"/>
      <c r="R295" s="227"/>
      <c r="S295" s="227"/>
      <c r="T295" s="227"/>
      <c r="U295" s="227"/>
      <c r="V295" s="227"/>
      <c r="W295" s="227"/>
      <c r="X295" s="5"/>
    </row>
    <row r="296" spans="1:24" ht="17.399999999999999" x14ac:dyDescent="0.3">
      <c r="A296" s="216"/>
      <c r="B296" s="400" t="s">
        <v>368</v>
      </c>
      <c r="C296" s="219"/>
      <c r="D296" s="219"/>
      <c r="E296" s="219"/>
      <c r="F296" s="219"/>
      <c r="G296" s="266"/>
      <c r="H296" s="227"/>
      <c r="I296" s="227"/>
      <c r="J296" s="227"/>
      <c r="K296" s="227"/>
      <c r="L296" s="187"/>
      <c r="M296" s="187"/>
      <c r="N296" s="401"/>
      <c r="O296" s="187"/>
      <c r="P296" s="401" t="s">
        <v>170</v>
      </c>
      <c r="Q296" s="227"/>
      <c r="R296" s="227"/>
      <c r="S296" s="227"/>
      <c r="T296" s="227"/>
      <c r="U296" s="227"/>
      <c r="V296" s="227"/>
      <c r="W296" s="227"/>
      <c r="X296" s="5"/>
    </row>
    <row r="297" spans="1:24" ht="15.6" x14ac:dyDescent="0.3">
      <c r="A297" s="216"/>
      <c r="B297" s="219"/>
      <c r="C297" s="219"/>
      <c r="D297" s="219"/>
      <c r="E297" s="219"/>
      <c r="F297" s="219"/>
      <c r="G297" s="266"/>
      <c r="H297" s="227"/>
      <c r="I297" s="227"/>
      <c r="J297" s="227"/>
      <c r="K297" s="227"/>
      <c r="L297" s="227"/>
      <c r="M297" s="227"/>
      <c r="N297" s="227"/>
      <c r="O297" s="227"/>
      <c r="P297" s="227"/>
      <c r="Q297" s="227"/>
      <c r="R297" s="227"/>
      <c r="S297" s="227"/>
      <c r="T297" s="227"/>
      <c r="U297" s="227"/>
      <c r="V297" s="227"/>
      <c r="W297" s="227"/>
      <c r="X297" s="5"/>
    </row>
    <row r="298" spans="1:24" ht="18" thickBot="1" x14ac:dyDescent="0.35">
      <c r="A298" s="216"/>
      <c r="B298" s="267" t="str">
        <f>B197</f>
        <v>PM13 INVESTOR REPORT QUARTER ENDING JUNE 2016</v>
      </c>
      <c r="C298" s="219"/>
      <c r="D298" s="219"/>
      <c r="E298" s="219"/>
      <c r="F298" s="219"/>
      <c r="G298" s="266"/>
      <c r="H298" s="227"/>
      <c r="I298" s="227"/>
      <c r="J298" s="227"/>
      <c r="K298" s="227"/>
      <c r="L298" s="227"/>
      <c r="M298" s="227"/>
      <c r="N298" s="227"/>
      <c r="O298" s="227"/>
      <c r="P298" s="227"/>
      <c r="Q298" s="227"/>
      <c r="R298" s="227"/>
      <c r="S298" s="227"/>
      <c r="T298" s="227"/>
      <c r="U298" s="227"/>
      <c r="V298" s="227"/>
      <c r="W298" s="227"/>
      <c r="X298" s="5"/>
    </row>
    <row r="299" spans="1:24" x14ac:dyDescent="0.25">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row>
  </sheetData>
  <hyperlinks>
    <hyperlink ref="P233" r:id="rId1" xr:uid="{00000000-0004-0000-2600-000000000000}"/>
    <hyperlink ref="I9" r:id="rId2" xr:uid="{00000000-0004-0000-2600-000001000000}"/>
    <hyperlink ref="P296" r:id="rId3" xr:uid="{00000000-0004-0000-2600-000002000000}"/>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37" max="22" man="1"/>
    <brk id="197" max="22" man="1"/>
  </row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D2926"/>
  </sheetPr>
  <dimension ref="A1:Y280"/>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238</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239</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140</v>
      </c>
      <c r="C5" s="8"/>
      <c r="D5" s="8"/>
      <c r="E5" s="8"/>
      <c r="F5" s="8"/>
      <c r="G5" s="8"/>
      <c r="H5" s="8"/>
      <c r="I5" s="8"/>
      <c r="J5" s="8"/>
      <c r="K5" s="8"/>
      <c r="L5" s="8"/>
      <c r="M5" s="8"/>
      <c r="N5" s="8"/>
      <c r="O5" s="8"/>
      <c r="P5" s="8"/>
      <c r="Q5" s="8"/>
      <c r="R5" s="8"/>
      <c r="S5" s="8"/>
      <c r="T5" s="8"/>
      <c r="U5" s="8"/>
      <c r="V5" s="8"/>
      <c r="W5" s="8"/>
      <c r="X5" s="5"/>
    </row>
    <row r="6" spans="1:24" ht="15.6" x14ac:dyDescent="0.3">
      <c r="A6" s="6"/>
      <c r="B6" s="11" t="s">
        <v>142</v>
      </c>
      <c r="C6" s="8"/>
      <c r="D6" s="8"/>
      <c r="E6" s="8"/>
      <c r="F6" s="8"/>
      <c r="G6" s="8"/>
      <c r="H6" s="8"/>
      <c r="I6" s="8"/>
      <c r="J6" s="8"/>
      <c r="K6" s="8"/>
      <c r="L6" s="8"/>
      <c r="M6" s="8"/>
      <c r="N6" s="8"/>
      <c r="O6" s="8"/>
      <c r="P6" s="8"/>
      <c r="Q6" s="8"/>
      <c r="R6" s="8"/>
      <c r="S6" s="8"/>
      <c r="T6" s="8"/>
      <c r="U6" s="8"/>
      <c r="V6" s="8"/>
      <c r="W6" s="8"/>
      <c r="X6" s="5"/>
    </row>
    <row r="7" spans="1:24" ht="15.6" x14ac:dyDescent="0.3">
      <c r="A7" s="6"/>
      <c r="B7" s="11" t="s">
        <v>141</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169</v>
      </c>
      <c r="C9" s="8"/>
      <c r="D9" s="8"/>
      <c r="E9" s="8"/>
      <c r="F9" s="8"/>
      <c r="G9" s="8"/>
      <c r="H9" s="8"/>
      <c r="I9" s="148" t="s">
        <v>170</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240</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105</v>
      </c>
      <c r="S15" s="137">
        <v>0.57609999999999995</v>
      </c>
      <c r="T15" s="17" t="s">
        <v>143</v>
      </c>
      <c r="U15" s="137">
        <v>0.4239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105</v>
      </c>
      <c r="S16" s="137">
        <v>0.55149999999999999</v>
      </c>
      <c r="T16" s="17" t="s">
        <v>143</v>
      </c>
      <c r="U16" s="137">
        <v>0.44850000000000001</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39016</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39374</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106</v>
      </c>
      <c r="U20" s="8"/>
      <c r="V20" s="16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180</v>
      </c>
      <c r="E22" s="112"/>
      <c r="F22" s="112" t="s">
        <v>181</v>
      </c>
      <c r="G22" s="112"/>
      <c r="H22" s="112" t="s">
        <v>182</v>
      </c>
      <c r="I22" s="112"/>
      <c r="J22" s="112" t="s">
        <v>223</v>
      </c>
      <c r="K22" s="112"/>
      <c r="L22" s="112" t="s">
        <v>183</v>
      </c>
      <c r="M22" s="112"/>
      <c r="N22" s="112" t="s">
        <v>184</v>
      </c>
      <c r="O22" s="112"/>
      <c r="P22" s="112" t="s">
        <v>224</v>
      </c>
      <c r="Q22" s="112"/>
      <c r="R22" s="112" t="s">
        <v>185</v>
      </c>
      <c r="S22" s="113"/>
      <c r="T22" s="23"/>
      <c r="U22" s="162"/>
      <c r="V22" s="162"/>
      <c r="W22" s="8"/>
      <c r="X22" s="5"/>
    </row>
    <row r="23" spans="1:24" ht="15.6" x14ac:dyDescent="0.3">
      <c r="A23" s="24"/>
      <c r="B23" s="25" t="s">
        <v>7</v>
      </c>
      <c r="C23" s="26"/>
      <c r="D23" s="26" t="s">
        <v>216</v>
      </c>
      <c r="E23" s="26"/>
      <c r="F23" s="26" t="s">
        <v>144</v>
      </c>
      <c r="G23" s="26"/>
      <c r="H23" s="26" t="s">
        <v>144</v>
      </c>
      <c r="I23" s="26"/>
      <c r="J23" s="26" t="s">
        <v>144</v>
      </c>
      <c r="K23" s="26"/>
      <c r="L23" s="26" t="s">
        <v>186</v>
      </c>
      <c r="M23" s="26"/>
      <c r="N23" s="26" t="s">
        <v>186</v>
      </c>
      <c r="O23" s="26"/>
      <c r="P23" s="26" t="s">
        <v>145</v>
      </c>
      <c r="Q23" s="26"/>
      <c r="R23" s="26" t="s">
        <v>145</v>
      </c>
      <c r="S23" s="26"/>
      <c r="T23" s="26"/>
      <c r="U23" s="163"/>
      <c r="V23" s="163"/>
      <c r="W23" s="25"/>
      <c r="X23" s="5"/>
    </row>
    <row r="24" spans="1:24" ht="15.6" x14ac:dyDescent="0.3">
      <c r="A24" s="24"/>
      <c r="B24" s="25" t="s">
        <v>8</v>
      </c>
      <c r="C24" s="26"/>
      <c r="D24" s="26" t="s">
        <v>217</v>
      </c>
      <c r="E24" s="26"/>
      <c r="F24" s="26" t="s">
        <v>146</v>
      </c>
      <c r="G24" s="26"/>
      <c r="H24" s="26" t="s">
        <v>146</v>
      </c>
      <c r="I24" s="26"/>
      <c r="J24" s="26" t="s">
        <v>146</v>
      </c>
      <c r="K24" s="26"/>
      <c r="L24" s="26" t="s">
        <v>168</v>
      </c>
      <c r="M24" s="26"/>
      <c r="N24" s="26" t="s">
        <v>168</v>
      </c>
      <c r="O24" s="26"/>
      <c r="P24" s="26" t="s">
        <v>147</v>
      </c>
      <c r="Q24" s="26"/>
      <c r="R24" s="26" t="s">
        <v>147</v>
      </c>
      <c r="S24" s="26"/>
      <c r="T24" s="26"/>
      <c r="U24" s="163"/>
      <c r="V24" s="163"/>
      <c r="W24" s="25"/>
      <c r="X24" s="5"/>
    </row>
    <row r="25" spans="1:24" ht="15.6" x14ac:dyDescent="0.3">
      <c r="A25" s="28"/>
      <c r="B25" s="131" t="s">
        <v>193</v>
      </c>
      <c r="C25" s="123"/>
      <c r="D25" s="26" t="s">
        <v>218</v>
      </c>
      <c r="E25" s="26"/>
      <c r="F25" s="26" t="s">
        <v>146</v>
      </c>
      <c r="G25" s="26"/>
      <c r="H25" s="26" t="s">
        <v>146</v>
      </c>
      <c r="I25" s="26"/>
      <c r="J25" s="26" t="s">
        <v>146</v>
      </c>
      <c r="K25" s="26"/>
      <c r="L25" s="26" t="s">
        <v>168</v>
      </c>
      <c r="M25" s="26"/>
      <c r="N25" s="26" t="s">
        <v>168</v>
      </c>
      <c r="O25" s="26"/>
      <c r="P25" s="26" t="s">
        <v>147</v>
      </c>
      <c r="Q25" s="26"/>
      <c r="R25" s="26" t="s">
        <v>147</v>
      </c>
      <c r="S25" s="123"/>
      <c r="T25" s="26"/>
      <c r="U25" s="163"/>
      <c r="V25" s="163"/>
      <c r="W25" s="25"/>
      <c r="X25" s="5"/>
    </row>
    <row r="26" spans="1:24" ht="15.6" x14ac:dyDescent="0.3">
      <c r="A26" s="28"/>
      <c r="B26" s="29" t="s">
        <v>9</v>
      </c>
      <c r="C26" s="123"/>
      <c r="D26" s="123" t="s">
        <v>216</v>
      </c>
      <c r="E26" s="123"/>
      <c r="F26" s="123" t="s">
        <v>144</v>
      </c>
      <c r="G26" s="123"/>
      <c r="H26" s="123" t="s">
        <v>144</v>
      </c>
      <c r="I26" s="123"/>
      <c r="J26" s="123" t="s">
        <v>144</v>
      </c>
      <c r="K26" s="123"/>
      <c r="L26" s="123" t="s">
        <v>186</v>
      </c>
      <c r="M26" s="123"/>
      <c r="N26" s="123" t="s">
        <v>186</v>
      </c>
      <c r="O26" s="123"/>
      <c r="P26" s="123" t="s">
        <v>145</v>
      </c>
      <c r="Q26" s="123"/>
      <c r="R26" s="123" t="s">
        <v>145</v>
      </c>
      <c r="S26" s="123"/>
      <c r="T26" s="26"/>
      <c r="U26" s="163"/>
      <c r="V26" s="163"/>
      <c r="W26" s="25"/>
      <c r="X26" s="5"/>
    </row>
    <row r="27" spans="1:24" ht="15.6" x14ac:dyDescent="0.3">
      <c r="A27" s="24"/>
      <c r="B27" s="29" t="s">
        <v>194</v>
      </c>
      <c r="C27" s="26"/>
      <c r="D27" s="123" t="s">
        <v>217</v>
      </c>
      <c r="E27" s="123"/>
      <c r="F27" s="123" t="s">
        <v>146</v>
      </c>
      <c r="G27" s="123"/>
      <c r="H27" s="123" t="s">
        <v>146</v>
      </c>
      <c r="I27" s="123"/>
      <c r="J27" s="123" t="s">
        <v>146</v>
      </c>
      <c r="K27" s="123"/>
      <c r="L27" s="123" t="s">
        <v>168</v>
      </c>
      <c r="M27" s="123"/>
      <c r="N27" s="123" t="s">
        <v>168</v>
      </c>
      <c r="O27" s="123"/>
      <c r="P27" s="123" t="s">
        <v>147</v>
      </c>
      <c r="Q27" s="123"/>
      <c r="R27" s="123" t="s">
        <v>147</v>
      </c>
      <c r="S27" s="26"/>
      <c r="T27" s="30"/>
      <c r="U27" s="163"/>
      <c r="V27" s="163"/>
      <c r="W27" s="25"/>
      <c r="X27" s="5"/>
    </row>
    <row r="28" spans="1:24" ht="15.6" x14ac:dyDescent="0.3">
      <c r="A28" s="24"/>
      <c r="B28" s="153" t="s">
        <v>195</v>
      </c>
      <c r="C28" s="26"/>
      <c r="D28" s="123" t="s">
        <v>218</v>
      </c>
      <c r="E28" s="123"/>
      <c r="F28" s="123" t="s">
        <v>146</v>
      </c>
      <c r="G28" s="123"/>
      <c r="H28" s="123" t="s">
        <v>146</v>
      </c>
      <c r="I28" s="123"/>
      <c r="J28" s="123" t="s">
        <v>146</v>
      </c>
      <c r="K28" s="123"/>
      <c r="L28" s="123" t="s">
        <v>168</v>
      </c>
      <c r="M28" s="123"/>
      <c r="N28" s="123" t="s">
        <v>168</v>
      </c>
      <c r="O28" s="123"/>
      <c r="P28" s="123" t="s">
        <v>147</v>
      </c>
      <c r="Q28" s="123"/>
      <c r="R28" s="123" t="s">
        <v>147</v>
      </c>
      <c r="S28" s="26"/>
      <c r="T28" s="30"/>
      <c r="U28" s="163"/>
      <c r="V28" s="163"/>
      <c r="W28" s="25"/>
      <c r="X28" s="5"/>
    </row>
    <row r="29" spans="1:24" ht="15.6" x14ac:dyDescent="0.3">
      <c r="A29" s="24"/>
      <c r="B29" s="25" t="s">
        <v>10</v>
      </c>
      <c r="C29" s="32"/>
      <c r="D29" s="26" t="s">
        <v>348</v>
      </c>
      <c r="E29" s="26"/>
      <c r="F29" s="30" t="s">
        <v>242</v>
      </c>
      <c r="G29" s="26"/>
      <c r="H29" s="26" t="s">
        <v>243</v>
      </c>
      <c r="I29" s="26"/>
      <c r="J29" s="26" t="s">
        <v>245</v>
      </c>
      <c r="K29" s="26"/>
      <c r="L29" s="26" t="s">
        <v>246</v>
      </c>
      <c r="M29" s="26"/>
      <c r="N29" s="26" t="s">
        <v>247</v>
      </c>
      <c r="O29" s="26"/>
      <c r="P29" s="26" t="s">
        <v>248</v>
      </c>
      <c r="Q29" s="26"/>
      <c r="R29" s="26" t="s">
        <v>249</v>
      </c>
      <c r="S29" s="31"/>
      <c r="T29" s="31"/>
      <c r="U29" s="164"/>
      <c r="V29" s="31"/>
      <c r="W29" s="34"/>
      <c r="X29" s="5"/>
    </row>
    <row r="30" spans="1:24" ht="15.6" x14ac:dyDescent="0.3">
      <c r="A30" s="24"/>
      <c r="B30" s="25" t="s">
        <v>10</v>
      </c>
      <c r="C30" s="32"/>
      <c r="D30" s="26" t="s">
        <v>241</v>
      </c>
      <c r="E30" s="26"/>
      <c r="F30" s="30" t="s">
        <v>121</v>
      </c>
      <c r="G30" s="26"/>
      <c r="H30" s="26" t="s">
        <v>121</v>
      </c>
      <c r="I30" s="26"/>
      <c r="J30" s="26" t="s">
        <v>244</v>
      </c>
      <c r="K30" s="26"/>
      <c r="L30" s="26" t="s">
        <v>121</v>
      </c>
      <c r="M30" s="26"/>
      <c r="N30" s="26" t="s">
        <v>121</v>
      </c>
      <c r="O30" s="26"/>
      <c r="P30" s="26" t="s">
        <v>121</v>
      </c>
      <c r="Q30" s="26"/>
      <c r="R30" s="26" t="s">
        <v>121</v>
      </c>
      <c r="S30" s="31"/>
      <c r="T30" s="31"/>
      <c r="U30" s="164"/>
      <c r="V30" s="31"/>
      <c r="W30" s="34"/>
      <c r="X30" s="5"/>
    </row>
    <row r="31" spans="1:24" ht="15.6" x14ac:dyDescent="0.3">
      <c r="A31" s="28"/>
      <c r="B31" s="25" t="s">
        <v>136</v>
      </c>
      <c r="C31" s="36"/>
      <c r="D31" s="146">
        <v>1500000</v>
      </c>
      <c r="E31" s="32"/>
      <c r="F31" s="31">
        <v>125000</v>
      </c>
      <c r="G31" s="31"/>
      <c r="H31" s="124">
        <v>315000</v>
      </c>
      <c r="I31" s="124"/>
      <c r="J31" s="146">
        <v>350000</v>
      </c>
      <c r="K31" s="31"/>
      <c r="L31" s="31">
        <v>56000</v>
      </c>
      <c r="M31" s="31"/>
      <c r="N31" s="124">
        <v>84000</v>
      </c>
      <c r="O31" s="31"/>
      <c r="P31" s="31">
        <v>13000</v>
      </c>
      <c r="Q31" s="31"/>
      <c r="R31" s="124">
        <v>81000</v>
      </c>
      <c r="S31" s="35"/>
      <c r="T31" s="35"/>
      <c r="U31" s="37"/>
      <c r="V31" s="35"/>
      <c r="W31" s="34"/>
      <c r="X31" s="5"/>
    </row>
    <row r="32" spans="1:24" ht="15.6" x14ac:dyDescent="0.3">
      <c r="A32" s="24"/>
      <c r="B32" s="25" t="s">
        <v>135</v>
      </c>
      <c r="C32" s="32"/>
      <c r="D32" s="146">
        <f>D31*D38</f>
        <v>1412073.5999999999</v>
      </c>
      <c r="E32" s="32"/>
      <c r="F32" s="31">
        <f>F31*F38</f>
        <v>117672.825</v>
      </c>
      <c r="G32" s="31"/>
      <c r="H32" s="124">
        <f>H31*H38</f>
        <v>296535.51899999997</v>
      </c>
      <c r="I32" s="124"/>
      <c r="J32" s="146">
        <f>J31*J38</f>
        <v>329483.83999999997</v>
      </c>
      <c r="K32" s="31"/>
      <c r="L32" s="31">
        <f>L31*L38</f>
        <v>56000</v>
      </c>
      <c r="M32" s="31"/>
      <c r="N32" s="124">
        <f>N31*N38</f>
        <v>84000</v>
      </c>
      <c r="O32" s="31"/>
      <c r="P32" s="31">
        <f>P31*P38</f>
        <v>13000</v>
      </c>
      <c r="Q32" s="31"/>
      <c r="R32" s="124">
        <f>R31*R38</f>
        <v>81000</v>
      </c>
      <c r="S32" s="31"/>
      <c r="T32" s="31"/>
      <c r="U32" s="164"/>
      <c r="V32" s="31"/>
      <c r="W32" s="34"/>
      <c r="X32" s="5"/>
    </row>
    <row r="33" spans="1:24" ht="15.6" x14ac:dyDescent="0.3">
      <c r="A33" s="24"/>
      <c r="B33" s="29" t="s">
        <v>137</v>
      </c>
      <c r="C33" s="32"/>
      <c r="D33" s="151">
        <f>D37*D31</f>
        <v>1369147.95</v>
      </c>
      <c r="E33" s="36"/>
      <c r="F33" s="35">
        <f>F37*F31</f>
        <v>114095.7</v>
      </c>
      <c r="G33" s="35"/>
      <c r="H33" s="125">
        <f>H31*H37</f>
        <v>287521.16399999999</v>
      </c>
      <c r="I33" s="125"/>
      <c r="J33" s="151">
        <f>J37*J31</f>
        <v>319467.85499999998</v>
      </c>
      <c r="K33" s="35"/>
      <c r="L33" s="35">
        <f>L31*L37</f>
        <v>56000</v>
      </c>
      <c r="M33" s="35"/>
      <c r="N33" s="125">
        <f>N31*N37</f>
        <v>84000</v>
      </c>
      <c r="O33" s="35"/>
      <c r="P33" s="35">
        <f>P31*P37</f>
        <v>13000</v>
      </c>
      <c r="Q33" s="35"/>
      <c r="R33" s="125">
        <f>R31*R37</f>
        <v>81000</v>
      </c>
      <c r="S33" s="31"/>
      <c r="T33" s="31"/>
      <c r="U33" s="164"/>
      <c r="V33" s="31"/>
      <c r="W33" s="34"/>
      <c r="X33" s="5"/>
    </row>
    <row r="34" spans="1:24" ht="15.6" x14ac:dyDescent="0.3">
      <c r="A34" s="28"/>
      <c r="B34" s="25" t="s">
        <v>298</v>
      </c>
      <c r="C34" s="36"/>
      <c r="D34" s="31">
        <v>797872</v>
      </c>
      <c r="E34" s="32"/>
      <c r="F34" s="31">
        <v>125000</v>
      </c>
      <c r="G34" s="31"/>
      <c r="H34" s="31">
        <v>211409</v>
      </c>
      <c r="I34" s="31"/>
      <c r="J34" s="31">
        <v>186170</v>
      </c>
      <c r="K34" s="31"/>
      <c r="L34" s="31">
        <v>56000</v>
      </c>
      <c r="M34" s="31"/>
      <c r="N34" s="31">
        <v>56376</v>
      </c>
      <c r="O34" s="31"/>
      <c r="P34" s="31">
        <v>13000</v>
      </c>
      <c r="Q34" s="31"/>
      <c r="R34" s="31">
        <v>54363</v>
      </c>
      <c r="S34" s="35"/>
      <c r="T34" s="35"/>
      <c r="U34" s="37"/>
      <c r="V34" s="154">
        <f>SUM(C34:R34)</f>
        <v>1500190</v>
      </c>
      <c r="W34" s="34"/>
      <c r="X34" s="5"/>
    </row>
    <row r="35" spans="1:24" ht="15.6" x14ac:dyDescent="0.3">
      <c r="A35" s="28"/>
      <c r="B35" s="25" t="s">
        <v>299</v>
      </c>
      <c r="C35" s="126"/>
      <c r="D35" s="31">
        <f>D34*D38</f>
        <v>751102.6582528</v>
      </c>
      <c r="E35" s="32"/>
      <c r="F35" s="31">
        <f>F34*F38</f>
        <v>117672.825</v>
      </c>
      <c r="G35" s="31"/>
      <c r="H35" s="31">
        <f>H34*H38</f>
        <v>199016.75408339998</v>
      </c>
      <c r="I35" s="31"/>
      <c r="J35" s="31">
        <f>J34*J38</f>
        <v>175257.16140799999</v>
      </c>
      <c r="K35" s="31"/>
      <c r="L35" s="31">
        <f>L34*L38</f>
        <v>56000</v>
      </c>
      <c r="M35" s="31"/>
      <c r="N35" s="31">
        <f>N34*N38</f>
        <v>56376</v>
      </c>
      <c r="O35" s="31"/>
      <c r="P35" s="31">
        <f>P34*P38</f>
        <v>13000</v>
      </c>
      <c r="Q35" s="31"/>
      <c r="R35" s="31">
        <f>R34*R38</f>
        <v>54363</v>
      </c>
      <c r="S35" s="31"/>
      <c r="T35" s="31"/>
      <c r="U35" s="164"/>
      <c r="V35" s="154">
        <f>SUM(C35:R35)-1</f>
        <v>1422787.3987441999</v>
      </c>
      <c r="W35" s="34"/>
      <c r="X35" s="5"/>
    </row>
    <row r="36" spans="1:24" ht="15.6" x14ac:dyDescent="0.3">
      <c r="A36" s="28"/>
      <c r="B36" s="29" t="s">
        <v>304</v>
      </c>
      <c r="C36" s="126"/>
      <c r="D36" s="35">
        <f>D34*D37</f>
        <v>728269.87544159999</v>
      </c>
      <c r="E36" s="36"/>
      <c r="F36" s="35">
        <f>F34*F37</f>
        <v>114095.7</v>
      </c>
      <c r="G36" s="35"/>
      <c r="H36" s="35">
        <f>H34*H37</f>
        <v>192966.8627304</v>
      </c>
      <c r="I36" s="35"/>
      <c r="J36" s="35">
        <f>J34*J37</f>
        <v>169929.51590100001</v>
      </c>
      <c r="K36" s="35"/>
      <c r="L36" s="35">
        <v>56000</v>
      </c>
      <c r="M36" s="35"/>
      <c r="N36" s="35">
        <v>56376</v>
      </c>
      <c r="O36" s="35"/>
      <c r="P36" s="35">
        <v>13000</v>
      </c>
      <c r="Q36" s="35"/>
      <c r="R36" s="35">
        <v>54363</v>
      </c>
      <c r="S36" s="128"/>
      <c r="T36" s="128"/>
      <c r="U36" s="164"/>
      <c r="V36" s="155">
        <f>SUM(C36:R36)</f>
        <v>1385000.954073</v>
      </c>
      <c r="W36" s="34"/>
      <c r="X36" s="5"/>
    </row>
    <row r="37" spans="1:24" ht="15.6" x14ac:dyDescent="0.3">
      <c r="A37" s="24"/>
      <c r="B37" s="122" t="s">
        <v>133</v>
      </c>
      <c r="C37" s="25"/>
      <c r="D37" s="168">
        <v>0.9127653</v>
      </c>
      <c r="E37" s="136"/>
      <c r="F37" s="168">
        <v>0.91276559999999995</v>
      </c>
      <c r="G37" s="135"/>
      <c r="H37" s="168">
        <v>0.91276559999999995</v>
      </c>
      <c r="I37" s="135"/>
      <c r="J37" s="168">
        <v>0.9127653</v>
      </c>
      <c r="K37" s="135"/>
      <c r="L37" s="168">
        <v>1</v>
      </c>
      <c r="M37" s="135"/>
      <c r="N37" s="168">
        <v>1</v>
      </c>
      <c r="O37" s="135"/>
      <c r="P37" s="168">
        <v>1</v>
      </c>
      <c r="Q37" s="135"/>
      <c r="R37" s="168">
        <v>1</v>
      </c>
      <c r="S37" s="30"/>
      <c r="T37" s="30"/>
      <c r="U37" s="163"/>
      <c r="V37" s="163"/>
      <c r="W37" s="25"/>
      <c r="X37" s="5"/>
    </row>
    <row r="38" spans="1:24" ht="15.6" x14ac:dyDescent="0.3">
      <c r="A38" s="24"/>
      <c r="B38" s="122" t="s">
        <v>134</v>
      </c>
      <c r="C38" s="25"/>
      <c r="D38" s="168">
        <v>0.94138239999999995</v>
      </c>
      <c r="E38" s="136"/>
      <c r="F38" s="168">
        <v>0.94138259999999996</v>
      </c>
      <c r="G38" s="135"/>
      <c r="H38" s="168">
        <v>0.94138259999999996</v>
      </c>
      <c r="I38" s="135"/>
      <c r="J38" s="168">
        <v>0.94138239999999995</v>
      </c>
      <c r="K38" s="135"/>
      <c r="L38" s="135">
        <v>1</v>
      </c>
      <c r="M38" s="135"/>
      <c r="N38" s="135">
        <v>1</v>
      </c>
      <c r="O38" s="135"/>
      <c r="P38" s="135">
        <v>1</v>
      </c>
      <c r="Q38" s="135"/>
      <c r="R38" s="135">
        <v>1</v>
      </c>
      <c r="S38" s="39"/>
      <c r="T38" s="38"/>
      <c r="U38" s="163"/>
      <c r="V38" s="39"/>
      <c r="W38" s="25"/>
      <c r="X38" s="5"/>
    </row>
    <row r="39" spans="1:24" ht="15.6" x14ac:dyDescent="0.3">
      <c r="A39" s="24"/>
      <c r="B39" s="25" t="s">
        <v>11</v>
      </c>
      <c r="C39" s="25"/>
      <c r="D39" s="30" t="s">
        <v>280</v>
      </c>
      <c r="E39" s="25"/>
      <c r="F39" s="30" t="s">
        <v>225</v>
      </c>
      <c r="G39" s="30"/>
      <c r="H39" s="30" t="s">
        <v>225</v>
      </c>
      <c r="I39" s="30"/>
      <c r="J39" s="30" t="s">
        <v>251</v>
      </c>
      <c r="K39" s="30"/>
      <c r="L39" s="30" t="s">
        <v>252</v>
      </c>
      <c r="M39" s="30"/>
      <c r="N39" s="30" t="s">
        <v>253</v>
      </c>
      <c r="O39" s="30"/>
      <c r="P39" s="30" t="s">
        <v>254</v>
      </c>
      <c r="Q39" s="30"/>
      <c r="R39" s="30" t="s">
        <v>255</v>
      </c>
      <c r="S39" s="39"/>
      <c r="T39" s="38"/>
      <c r="U39" s="163"/>
      <c r="V39" s="163"/>
      <c r="W39" s="25"/>
      <c r="X39" s="5"/>
    </row>
    <row r="40" spans="1:24" ht="15.6" x14ac:dyDescent="0.3">
      <c r="A40" s="24"/>
      <c r="B40" s="25" t="s">
        <v>12</v>
      </c>
      <c r="C40" s="25"/>
      <c r="D40" s="38">
        <v>5.7525E-2</v>
      </c>
      <c r="E40" s="25"/>
      <c r="F40" s="38">
        <v>6.13E-2</v>
      </c>
      <c r="G40" s="39"/>
      <c r="H40" s="38">
        <v>4.3290000000000002E-2</v>
      </c>
      <c r="I40" s="38"/>
      <c r="J40" s="38">
        <v>5.45E-2</v>
      </c>
      <c r="K40" s="39"/>
      <c r="L40" s="38">
        <v>6.2100000000000002E-2</v>
      </c>
      <c r="M40" s="39"/>
      <c r="N40" s="38">
        <v>4.3990000000000001E-2</v>
      </c>
      <c r="O40" s="39"/>
      <c r="P40" s="38">
        <v>6.4100000000000004E-2</v>
      </c>
      <c r="Q40" s="39"/>
      <c r="R40" s="38">
        <v>4.5990000000000003E-2</v>
      </c>
      <c r="S40" s="39"/>
      <c r="T40" s="38"/>
      <c r="U40" s="163"/>
      <c r="V40" s="30"/>
      <c r="W40" s="25"/>
      <c r="X40" s="5"/>
    </row>
    <row r="41" spans="1:24" ht="15.6" x14ac:dyDescent="0.3">
      <c r="A41" s="24"/>
      <c r="B41" s="25" t="s">
        <v>13</v>
      </c>
      <c r="C41" s="25"/>
      <c r="D41" s="38">
        <v>5.3100000000000001E-2</v>
      </c>
      <c r="E41" s="25"/>
      <c r="F41" s="38">
        <v>5.7200000000000001E-2</v>
      </c>
      <c r="G41" s="39"/>
      <c r="H41" s="38">
        <v>4.088E-2</v>
      </c>
      <c r="I41" s="38"/>
      <c r="J41" s="38">
        <v>5.4456299999999999E-2</v>
      </c>
      <c r="K41" s="39"/>
      <c r="L41" s="38">
        <v>5.8000000000000003E-2</v>
      </c>
      <c r="M41" s="39"/>
      <c r="N41" s="38">
        <v>4.1579999999999999E-2</v>
      </c>
      <c r="O41" s="39"/>
      <c r="P41" s="38">
        <v>0.06</v>
      </c>
      <c r="Q41" s="39"/>
      <c r="R41" s="38">
        <v>4.3580000000000001E-2</v>
      </c>
      <c r="S41" s="39"/>
      <c r="T41" s="38"/>
      <c r="U41" s="163"/>
      <c r="V41" s="39" t="s">
        <v>196</v>
      </c>
      <c r="W41" s="25"/>
      <c r="X41" s="5"/>
    </row>
    <row r="42" spans="1:24" ht="15.6" x14ac:dyDescent="0.3">
      <c r="A42" s="24"/>
      <c r="B42" s="25" t="s">
        <v>300</v>
      </c>
      <c r="C42" s="25"/>
      <c r="D42" s="30" t="s">
        <v>285</v>
      </c>
      <c r="E42" s="25"/>
      <c r="F42" s="30" t="s">
        <v>225</v>
      </c>
      <c r="G42" s="30"/>
      <c r="H42" s="30" t="s">
        <v>263</v>
      </c>
      <c r="I42" s="30"/>
      <c r="J42" s="30" t="s">
        <v>262</v>
      </c>
      <c r="K42" s="30"/>
      <c r="L42" s="30" t="s">
        <v>252</v>
      </c>
      <c r="M42" s="30"/>
      <c r="N42" s="30" t="s">
        <v>264</v>
      </c>
      <c r="O42" s="30"/>
      <c r="P42" s="30" t="s">
        <v>254</v>
      </c>
      <c r="Q42" s="30"/>
      <c r="R42" s="30" t="s">
        <v>260</v>
      </c>
      <c r="S42" s="39"/>
      <c r="T42" s="38"/>
      <c r="U42" s="163"/>
      <c r="V42" s="163"/>
      <c r="W42" s="25"/>
      <c r="X42" s="5"/>
    </row>
    <row r="43" spans="1:24" ht="15.6" x14ac:dyDescent="0.3">
      <c r="A43" s="24"/>
      <c r="B43" s="25" t="s">
        <v>301</v>
      </c>
      <c r="C43" s="110"/>
      <c r="D43" s="38">
        <v>6.0518299999999997E-2</v>
      </c>
      <c r="E43" s="38"/>
      <c r="F43" s="38">
        <f>+F40</f>
        <v>6.13E-2</v>
      </c>
      <c r="G43" s="38"/>
      <c r="H43" s="38">
        <v>6.1421999999999997E-2</v>
      </c>
      <c r="I43" s="38"/>
      <c r="J43" s="38">
        <v>6.1339999999999999E-2</v>
      </c>
      <c r="K43" s="38"/>
      <c r="L43" s="38">
        <f>+L40</f>
        <v>6.2100000000000002E-2</v>
      </c>
      <c r="M43" s="38"/>
      <c r="N43" s="38">
        <v>6.2190000000000002E-2</v>
      </c>
      <c r="O43" s="38"/>
      <c r="P43" s="38">
        <f>+P40</f>
        <v>6.4100000000000004E-2</v>
      </c>
      <c r="Q43" s="39"/>
      <c r="R43" s="38">
        <v>6.4299999999999996E-2</v>
      </c>
      <c r="S43" s="30"/>
      <c r="T43" s="30"/>
      <c r="U43" s="163"/>
      <c r="V43" s="39">
        <f>SUMPRODUCT(D43:R43,D35:R35)/V35</f>
        <v>6.1116331183610179E-2</v>
      </c>
      <c r="W43" s="25"/>
      <c r="X43" s="5"/>
    </row>
    <row r="44" spans="1:24" ht="15.6" x14ac:dyDescent="0.3">
      <c r="A44" s="24"/>
      <c r="B44" s="25" t="s">
        <v>302</v>
      </c>
      <c r="C44" s="110"/>
      <c r="D44" s="38">
        <v>5.6214500000000001E-2</v>
      </c>
      <c r="E44" s="38"/>
      <c r="F44" s="38">
        <f>+F41</f>
        <v>5.7200000000000001E-2</v>
      </c>
      <c r="G44" s="38"/>
      <c r="H44" s="38">
        <v>5.7321999999999998E-2</v>
      </c>
      <c r="I44" s="38"/>
      <c r="J44" s="38">
        <v>5.7239999999999999E-2</v>
      </c>
      <c r="K44" s="38"/>
      <c r="L44" s="38">
        <f>+L41</f>
        <v>5.8000000000000003E-2</v>
      </c>
      <c r="M44" s="38"/>
      <c r="N44" s="38">
        <v>5.8090000000000003E-2</v>
      </c>
      <c r="O44" s="38"/>
      <c r="P44" s="38">
        <f>+P41</f>
        <v>0.06</v>
      </c>
      <c r="Q44" s="39"/>
      <c r="R44" s="38">
        <v>6.0199999999999997E-2</v>
      </c>
      <c r="S44" s="30"/>
      <c r="T44" s="30"/>
      <c r="U44" s="163"/>
      <c r="V44" s="163"/>
      <c r="W44" s="25"/>
      <c r="X44" s="5"/>
    </row>
    <row r="45" spans="1:24" ht="15.6" x14ac:dyDescent="0.3">
      <c r="A45" s="24"/>
      <c r="B45" s="25" t="s">
        <v>14</v>
      </c>
      <c r="C45" s="25"/>
      <c r="D45" s="110">
        <v>40466</v>
      </c>
      <c r="E45" s="110"/>
      <c r="F45" s="110">
        <v>40466</v>
      </c>
      <c r="G45" s="110"/>
      <c r="H45" s="110">
        <v>40466</v>
      </c>
      <c r="I45" s="110"/>
      <c r="J45" s="110">
        <v>40466</v>
      </c>
      <c r="K45" s="110"/>
      <c r="L45" s="110">
        <v>40466</v>
      </c>
      <c r="M45" s="110"/>
      <c r="N45" s="110">
        <v>40466</v>
      </c>
      <c r="O45" s="110"/>
      <c r="P45" s="110">
        <v>40466</v>
      </c>
      <c r="Q45" s="110"/>
      <c r="R45" s="110">
        <v>40466</v>
      </c>
      <c r="S45" s="30"/>
      <c r="T45" s="30"/>
      <c r="U45" s="163"/>
      <c r="V45" s="163"/>
      <c r="W45" s="25"/>
      <c r="X45" s="5"/>
    </row>
    <row r="46" spans="1:24" ht="15.6" x14ac:dyDescent="0.3">
      <c r="A46" s="24"/>
      <c r="B46" s="25" t="s">
        <v>15</v>
      </c>
      <c r="C46" s="25"/>
      <c r="D46" s="110" t="s">
        <v>121</v>
      </c>
      <c r="E46" s="110"/>
      <c r="F46" s="110">
        <v>40831</v>
      </c>
      <c r="G46" s="110"/>
      <c r="H46" s="110">
        <v>40831</v>
      </c>
      <c r="I46" s="110"/>
      <c r="J46" s="110">
        <v>40831</v>
      </c>
      <c r="K46" s="30"/>
      <c r="L46" s="110">
        <v>40831</v>
      </c>
      <c r="M46" s="30"/>
      <c r="N46" s="110">
        <v>40831</v>
      </c>
      <c r="O46" s="30"/>
      <c r="P46" s="110">
        <v>40831</v>
      </c>
      <c r="Q46" s="30"/>
      <c r="R46" s="110">
        <v>40831</v>
      </c>
      <c r="S46" s="30"/>
      <c r="T46" s="30"/>
      <c r="U46" s="163"/>
      <c r="V46" s="163"/>
      <c r="W46" s="25"/>
      <c r="X46" s="5"/>
    </row>
    <row r="47" spans="1:24" ht="15.6" x14ac:dyDescent="0.3">
      <c r="A47" s="24"/>
      <c r="B47" s="25" t="s">
        <v>122</v>
      </c>
      <c r="C47" s="25"/>
      <c r="D47" s="160" t="s">
        <v>121</v>
      </c>
      <c r="E47" s="25"/>
      <c r="F47" s="30" t="s">
        <v>226</v>
      </c>
      <c r="G47" s="30"/>
      <c r="H47" s="30" t="s">
        <v>226</v>
      </c>
      <c r="I47" s="30"/>
      <c r="J47" s="30" t="s">
        <v>256</v>
      </c>
      <c r="K47" s="30"/>
      <c r="L47" s="30" t="s">
        <v>254</v>
      </c>
      <c r="M47" s="30"/>
      <c r="N47" s="30" t="s">
        <v>257</v>
      </c>
      <c r="O47" s="30"/>
      <c r="P47" s="30" t="s">
        <v>258</v>
      </c>
      <c r="Q47" s="30"/>
      <c r="R47" s="30" t="s">
        <v>259</v>
      </c>
      <c r="S47" s="40"/>
      <c r="T47" s="40"/>
      <c r="U47" s="40"/>
      <c r="V47" s="40"/>
      <c r="W47" s="25"/>
      <c r="X47" s="5"/>
    </row>
    <row r="48" spans="1:24" ht="15.6" x14ac:dyDescent="0.3">
      <c r="A48" s="24"/>
      <c r="B48" s="25" t="s">
        <v>303</v>
      </c>
      <c r="C48" s="25"/>
      <c r="D48" s="30" t="s">
        <v>203</v>
      </c>
      <c r="E48" s="25"/>
      <c r="F48" s="30" t="s">
        <v>226</v>
      </c>
      <c r="G48" s="30"/>
      <c r="H48" s="30" t="s">
        <v>227</v>
      </c>
      <c r="I48" s="30"/>
      <c r="J48" s="30" t="s">
        <v>237</v>
      </c>
      <c r="K48" s="30"/>
      <c r="L48" s="30" t="s">
        <v>254</v>
      </c>
      <c r="M48" s="30"/>
      <c r="N48" s="30" t="s">
        <v>260</v>
      </c>
      <c r="O48" s="30"/>
      <c r="P48" s="30" t="s">
        <v>258</v>
      </c>
      <c r="Q48" s="30"/>
      <c r="R48" s="30" t="s">
        <v>261</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196</v>
      </c>
      <c r="W49" s="25"/>
      <c r="X49" s="5"/>
    </row>
    <row r="50" spans="1:25" ht="15.6" x14ac:dyDescent="0.3">
      <c r="A50" s="24"/>
      <c r="B50" s="25" t="s">
        <v>172</v>
      </c>
      <c r="C50" s="25"/>
      <c r="D50" s="30"/>
      <c r="E50" s="25"/>
      <c r="F50" s="30"/>
      <c r="G50" s="30"/>
      <c r="H50" s="30"/>
      <c r="I50" s="30"/>
      <c r="J50" s="30"/>
      <c r="K50" s="30"/>
      <c r="L50" s="30"/>
      <c r="M50" s="30"/>
      <c r="N50" s="30"/>
      <c r="O50" s="30"/>
      <c r="P50" s="30"/>
      <c r="Q50" s="30"/>
      <c r="R50" s="30"/>
      <c r="S50" s="25"/>
      <c r="T50" s="25"/>
      <c r="U50" s="25"/>
      <c r="V50" s="39">
        <f>SUM(L34:R34)/SUM(D34:J34)</f>
        <v>0.13611940162868597</v>
      </c>
      <c r="W50" s="25"/>
      <c r="X50" s="5"/>
    </row>
    <row r="51" spans="1:25" ht="15.6" x14ac:dyDescent="0.3">
      <c r="A51" s="24"/>
      <c r="B51" s="25" t="s">
        <v>173</v>
      </c>
      <c r="C51" s="25"/>
      <c r="D51" s="25"/>
      <c r="E51" s="25"/>
      <c r="F51" s="41"/>
      <c r="G51" s="25"/>
      <c r="H51" s="25"/>
      <c r="I51" s="25"/>
      <c r="J51" s="25"/>
      <c r="K51" s="25"/>
      <c r="L51" s="25"/>
      <c r="M51" s="25"/>
      <c r="N51" s="25"/>
      <c r="O51" s="25"/>
      <c r="P51" s="25"/>
      <c r="Q51" s="25"/>
      <c r="R51" s="25"/>
      <c r="S51" s="25"/>
      <c r="T51" s="25"/>
      <c r="U51" s="25"/>
      <c r="V51" s="39">
        <f>SUM(L36:R36)/SUM(D36:J36)</f>
        <v>0.14912857689782649</v>
      </c>
      <c r="W51" s="25"/>
      <c r="X51" s="5"/>
    </row>
    <row r="52" spans="1:25" ht="15.6" x14ac:dyDescent="0.3">
      <c r="A52" s="24"/>
      <c r="B52" s="25" t="s">
        <v>174</v>
      </c>
      <c r="C52" s="25"/>
      <c r="D52" s="25"/>
      <c r="E52" s="25"/>
      <c r="F52" s="25"/>
      <c r="G52" s="25"/>
      <c r="H52" s="25"/>
      <c r="I52" s="25"/>
      <c r="J52" s="25"/>
      <c r="K52" s="25"/>
      <c r="L52" s="25"/>
      <c r="M52" s="25"/>
      <c r="N52" s="25"/>
      <c r="O52" s="25"/>
      <c r="P52" s="25"/>
      <c r="Q52" s="25"/>
      <c r="R52" s="25"/>
      <c r="S52" s="25"/>
      <c r="T52" s="30" t="s">
        <v>107</v>
      </c>
      <c r="U52" s="30" t="s">
        <v>112</v>
      </c>
      <c r="V52" s="31">
        <f>+V34/2-SUM(L34:R34)</f>
        <v>570356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205</v>
      </c>
      <c r="C54" s="25"/>
      <c r="D54" s="25"/>
      <c r="E54" s="25"/>
      <c r="F54" s="25"/>
      <c r="G54" s="25"/>
      <c r="H54" s="25"/>
      <c r="I54" s="25"/>
      <c r="J54" s="25"/>
      <c r="K54" s="25"/>
      <c r="L54" s="25"/>
      <c r="M54" s="25"/>
      <c r="N54" s="25"/>
      <c r="O54" s="25"/>
      <c r="P54" s="25"/>
      <c r="Q54" s="25"/>
      <c r="R54" s="25"/>
      <c r="S54" s="25"/>
      <c r="T54" s="25"/>
      <c r="U54" s="25"/>
      <c r="V54" s="156" t="s">
        <v>206</v>
      </c>
      <c r="W54" s="25"/>
      <c r="X54" s="5"/>
    </row>
    <row r="55" spans="1:25" ht="15.6" x14ac:dyDescent="0.3">
      <c r="A55" s="24"/>
      <c r="B55" s="25" t="s">
        <v>236</v>
      </c>
      <c r="C55" s="25"/>
      <c r="D55" s="25"/>
      <c r="E55" s="25"/>
      <c r="F55" s="25"/>
      <c r="G55" s="25"/>
      <c r="H55" s="25"/>
      <c r="I55" s="25"/>
      <c r="J55" s="25"/>
      <c r="K55" s="25"/>
      <c r="L55" s="25"/>
      <c r="M55" s="25"/>
      <c r="N55" s="25"/>
      <c r="O55" s="25"/>
      <c r="P55" s="25"/>
      <c r="Q55" s="25"/>
      <c r="R55" s="25"/>
      <c r="S55" s="25"/>
      <c r="T55" s="30"/>
      <c r="U55" s="30"/>
      <c r="V55" s="157" t="s">
        <v>114</v>
      </c>
      <c r="W55" s="25"/>
      <c r="X55" s="5"/>
    </row>
    <row r="56" spans="1:25" ht="15.6" x14ac:dyDescent="0.3">
      <c r="A56" s="24"/>
      <c r="B56" s="29" t="s">
        <v>204</v>
      </c>
      <c r="C56" s="29"/>
      <c r="D56" s="29"/>
      <c r="E56" s="29"/>
      <c r="F56" s="29"/>
      <c r="G56" s="29"/>
      <c r="H56" s="29"/>
      <c r="I56" s="29"/>
      <c r="J56" s="29"/>
      <c r="K56" s="29"/>
      <c r="L56" s="29"/>
      <c r="M56" s="29"/>
      <c r="N56" s="29"/>
      <c r="O56" s="29"/>
      <c r="P56" s="29"/>
      <c r="Q56" s="29"/>
      <c r="R56" s="29"/>
      <c r="S56" s="29"/>
      <c r="T56" s="43"/>
      <c r="U56" s="43"/>
      <c r="V56" s="44">
        <v>39370</v>
      </c>
      <c r="W56" s="25"/>
      <c r="X56" s="5"/>
    </row>
    <row r="57" spans="1:25" ht="15.6" x14ac:dyDescent="0.3">
      <c r="A57" s="24"/>
      <c r="B57" s="25" t="s">
        <v>124</v>
      </c>
      <c r="C57" s="25"/>
      <c r="D57" s="25"/>
      <c r="E57" s="25"/>
      <c r="F57" s="25"/>
      <c r="G57" s="25"/>
      <c r="H57" s="58"/>
      <c r="I57" s="58"/>
      <c r="J57" s="58"/>
      <c r="K57" s="58"/>
      <c r="L57" s="58"/>
      <c r="M57" s="58"/>
      <c r="N57" s="58"/>
      <c r="O57" s="58"/>
      <c r="P57" s="58"/>
      <c r="Q57" s="58"/>
      <c r="R57" s="25">
        <f>+V57-T57+1</f>
        <v>91</v>
      </c>
      <c r="S57" s="58"/>
      <c r="T57" s="45">
        <v>39188</v>
      </c>
      <c r="U57" s="46"/>
      <c r="V57" s="45">
        <v>39278</v>
      </c>
      <c r="W57" s="25"/>
      <c r="X57" s="5"/>
    </row>
    <row r="58" spans="1:25" ht="15.6" x14ac:dyDescent="0.3">
      <c r="A58" s="24"/>
      <c r="B58" s="25" t="s">
        <v>125</v>
      </c>
      <c r="C58" s="25"/>
      <c r="D58" s="25"/>
      <c r="E58" s="25"/>
      <c r="F58" s="25"/>
      <c r="G58" s="25"/>
      <c r="H58" s="25"/>
      <c r="I58" s="25"/>
      <c r="J58" s="25"/>
      <c r="K58" s="25"/>
      <c r="L58" s="25"/>
      <c r="M58" s="25"/>
      <c r="N58" s="25"/>
      <c r="O58" s="25"/>
      <c r="P58" s="25"/>
      <c r="Q58" s="25"/>
      <c r="R58" s="25">
        <f>+V58-T58+1</f>
        <v>91</v>
      </c>
      <c r="S58" s="25"/>
      <c r="T58" s="45">
        <v>39279</v>
      </c>
      <c r="U58" s="46"/>
      <c r="V58" s="45">
        <v>39369</v>
      </c>
      <c r="W58" s="25"/>
      <c r="X58" s="5"/>
    </row>
    <row r="59" spans="1:25" ht="15.6" x14ac:dyDescent="0.3">
      <c r="A59" s="24"/>
      <c r="B59" s="25" t="s">
        <v>235</v>
      </c>
      <c r="C59" s="25"/>
      <c r="D59" s="25"/>
      <c r="E59" s="25"/>
      <c r="F59" s="25"/>
      <c r="G59" s="25"/>
      <c r="H59" s="25"/>
      <c r="I59" s="25"/>
      <c r="J59" s="25"/>
      <c r="K59" s="25"/>
      <c r="L59" s="25"/>
      <c r="M59" s="25"/>
      <c r="N59" s="25"/>
      <c r="O59" s="25"/>
      <c r="P59" s="25"/>
      <c r="Q59" s="25"/>
      <c r="R59" s="25"/>
      <c r="S59" s="25"/>
      <c r="T59" s="45"/>
      <c r="U59" s="46"/>
      <c r="V59" s="45" t="s">
        <v>123</v>
      </c>
      <c r="W59" s="25"/>
      <c r="X59" s="5"/>
    </row>
    <row r="60" spans="1:25" ht="15.6" x14ac:dyDescent="0.3">
      <c r="A60" s="24"/>
      <c r="B60" s="25" t="s">
        <v>234</v>
      </c>
      <c r="C60" s="25"/>
      <c r="D60" s="25"/>
      <c r="E60" s="25"/>
      <c r="F60" s="25"/>
      <c r="G60" s="25"/>
      <c r="H60" s="25"/>
      <c r="I60" s="25"/>
      <c r="J60" s="25"/>
      <c r="K60" s="25"/>
      <c r="L60" s="25"/>
      <c r="M60" s="25"/>
      <c r="N60" s="25"/>
      <c r="O60" s="25"/>
      <c r="P60" s="25"/>
      <c r="Q60" s="25"/>
      <c r="R60" s="25"/>
      <c r="S60" s="25"/>
      <c r="T60" s="45"/>
      <c r="U60" s="46"/>
      <c r="V60" s="45" t="s">
        <v>157</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39356</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284</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95</v>
      </c>
      <c r="M68" s="115"/>
      <c r="N68" s="115" t="s">
        <v>97</v>
      </c>
      <c r="O68" s="115"/>
      <c r="P68" s="115" t="s">
        <v>99</v>
      </c>
      <c r="Q68" s="115"/>
      <c r="R68" s="115" t="s">
        <v>101</v>
      </c>
      <c r="S68" s="115"/>
      <c r="T68" s="115" t="s">
        <v>108</v>
      </c>
      <c r="U68" s="115"/>
      <c r="V68" s="116" t="s">
        <v>115</v>
      </c>
      <c r="W68" s="117"/>
      <c r="X68" s="5"/>
    </row>
    <row r="69" spans="1:24" ht="15.6" x14ac:dyDescent="0.3">
      <c r="A69" s="24"/>
      <c r="B69" s="25" t="s">
        <v>19</v>
      </c>
      <c r="C69" s="34"/>
      <c r="D69" s="34"/>
      <c r="E69" s="34"/>
      <c r="F69" s="34"/>
      <c r="G69" s="34"/>
      <c r="H69" s="34"/>
      <c r="I69" s="34"/>
      <c r="J69" s="34"/>
      <c r="K69" s="34"/>
      <c r="L69" s="34">
        <f>1085286</f>
        <v>1085286</v>
      </c>
      <c r="M69" s="34"/>
      <c r="N69" s="53">
        <v>1422788</v>
      </c>
      <c r="O69" s="34"/>
      <c r="P69" s="34">
        <f>37788+3758+4275-1</f>
        <v>45820</v>
      </c>
      <c r="Q69" s="34"/>
      <c r="R69" s="34">
        <f>3758+4275</f>
        <v>8033</v>
      </c>
      <c r="S69" s="34"/>
      <c r="T69" s="34">
        <v>0</v>
      </c>
      <c r="U69" s="34"/>
      <c r="V69" s="53">
        <f>+N69-P69+R69-T69</f>
        <v>1385001</v>
      </c>
      <c r="W69" s="25"/>
      <c r="X69" s="5"/>
    </row>
    <row r="70" spans="1:24" ht="15.6" x14ac:dyDescent="0.3">
      <c r="A70" s="24"/>
      <c r="B70" s="25" t="s">
        <v>20</v>
      </c>
      <c r="C70" s="34"/>
      <c r="D70" s="34"/>
      <c r="E70" s="34"/>
      <c r="F70" s="34"/>
      <c r="G70" s="34"/>
      <c r="H70" s="34"/>
      <c r="I70" s="34"/>
      <c r="J70" s="34"/>
      <c r="K70" s="34"/>
      <c r="L70" s="34">
        <v>35</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1085321</v>
      </c>
      <c r="M72" s="34"/>
      <c r="N72" s="54">
        <f>N69+N70</f>
        <v>1422788</v>
      </c>
      <c r="O72" s="34"/>
      <c r="P72" s="34">
        <f>SUM(P69:P71)</f>
        <v>45820</v>
      </c>
      <c r="Q72" s="34"/>
      <c r="R72" s="34">
        <f>SUM(R69:R71)</f>
        <v>8033</v>
      </c>
      <c r="S72" s="34"/>
      <c r="T72" s="34">
        <f>SUM(T69:T71)</f>
        <v>0</v>
      </c>
      <c r="U72" s="34"/>
      <c r="V72" s="54">
        <f>SUM(V69:V71)</f>
        <v>1385001</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120</v>
      </c>
      <c r="C82" s="34"/>
      <c r="D82" s="34"/>
      <c r="E82" s="34"/>
      <c r="F82" s="34"/>
      <c r="G82" s="34"/>
      <c r="H82" s="34"/>
      <c r="I82" s="34"/>
      <c r="J82" s="34"/>
      <c r="K82" s="34"/>
      <c r="L82" s="34">
        <f>414862+7</f>
        <v>414869</v>
      </c>
      <c r="M82" s="34"/>
      <c r="N82" s="34">
        <v>0</v>
      </c>
      <c r="O82" s="34"/>
      <c r="P82" s="34">
        <v>0</v>
      </c>
      <c r="Q82" s="34"/>
      <c r="R82" s="34"/>
      <c r="S82" s="34"/>
      <c r="T82" s="34"/>
      <c r="U82" s="34"/>
      <c r="V82" s="54">
        <f>SUM(N82:R82)</f>
        <v>0</v>
      </c>
      <c r="W82" s="25"/>
      <c r="X82" s="5"/>
    </row>
    <row r="83" spans="1:24" ht="15.6" x14ac:dyDescent="0.3">
      <c r="A83" s="24"/>
      <c r="B83" s="25" t="s">
        <v>149</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1500190</v>
      </c>
      <c r="M85" s="34"/>
      <c r="N85" s="54">
        <f>SUM(N72:N84)</f>
        <v>1422788</v>
      </c>
      <c r="O85" s="34"/>
      <c r="P85" s="34"/>
      <c r="Q85" s="34"/>
      <c r="R85" s="34"/>
      <c r="S85" s="34"/>
      <c r="T85" s="54"/>
      <c r="U85" s="34"/>
      <c r="V85" s="54">
        <f>SUM(V72:V84)</f>
        <v>1385001</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96</v>
      </c>
      <c r="M88" s="17"/>
      <c r="N88" s="158">
        <f>+T197</f>
        <v>39353</v>
      </c>
      <c r="O88" s="17"/>
      <c r="P88" s="17"/>
      <c r="Q88" s="17"/>
      <c r="R88" s="17"/>
      <c r="S88" s="17"/>
      <c r="T88" s="17" t="s">
        <v>109</v>
      </c>
      <c r="U88" s="17"/>
      <c r="V88" s="17" t="s">
        <v>116</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45820-12</f>
        <v>45808</v>
      </c>
      <c r="U90" s="25"/>
      <c r="V90" s="53"/>
      <c r="W90" s="25"/>
      <c r="X90" s="5"/>
    </row>
    <row r="91" spans="1:24" ht="15.6" x14ac:dyDescent="0.3">
      <c r="A91" s="24"/>
      <c r="B91" s="25" t="s">
        <v>219</v>
      </c>
      <c r="C91" s="25"/>
      <c r="D91" s="25"/>
      <c r="E91" s="25"/>
      <c r="F91" s="25"/>
      <c r="G91" s="25"/>
      <c r="H91" s="40"/>
      <c r="I91" s="40"/>
      <c r="J91" s="40"/>
      <c r="K91" s="57"/>
      <c r="L91" s="40"/>
      <c r="M91" s="25"/>
      <c r="N91" s="127"/>
      <c r="O91" s="25"/>
      <c r="P91" s="25"/>
      <c r="Q91" s="25"/>
      <c r="R91" s="25"/>
      <c r="S91" s="25"/>
      <c r="T91" s="34"/>
      <c r="U91" s="25"/>
      <c r="V91" s="53">
        <f>11542+11464-937-4125</f>
        <v>17944</v>
      </c>
      <c r="W91" s="25"/>
      <c r="X91" s="5"/>
    </row>
    <row r="92" spans="1:24" ht="15.6" x14ac:dyDescent="0.3">
      <c r="A92" s="24"/>
      <c r="B92" s="25" t="s">
        <v>214</v>
      </c>
      <c r="C92" s="25"/>
      <c r="D92" s="25"/>
      <c r="E92" s="25"/>
      <c r="F92" s="25"/>
      <c r="G92" s="25"/>
      <c r="H92" s="40"/>
      <c r="I92" s="40"/>
      <c r="J92" s="40"/>
      <c r="K92" s="57"/>
      <c r="L92" s="40"/>
      <c r="M92" s="25"/>
      <c r="N92" s="127"/>
      <c r="O92" s="25"/>
      <c r="P92" s="25"/>
      <c r="Q92" s="25"/>
      <c r="R92" s="25"/>
      <c r="S92" s="25"/>
      <c r="T92" s="34"/>
      <c r="U92" s="25"/>
      <c r="V92" s="53">
        <f>435+366</f>
        <v>801</v>
      </c>
      <c r="W92" s="25"/>
      <c r="X92" s="5"/>
    </row>
    <row r="93" spans="1:24" ht="15.6" x14ac:dyDescent="0.3">
      <c r="A93" s="24"/>
      <c r="B93" s="25" t="s">
        <v>215</v>
      </c>
      <c r="C93" s="25"/>
      <c r="D93" s="25"/>
      <c r="E93" s="25"/>
      <c r="F93" s="25"/>
      <c r="G93" s="25"/>
      <c r="H93" s="40"/>
      <c r="I93" s="40"/>
      <c r="J93" s="40"/>
      <c r="K93" s="57"/>
      <c r="L93" s="40"/>
      <c r="M93" s="25"/>
      <c r="N93" s="127"/>
      <c r="O93" s="25"/>
      <c r="P93" s="25"/>
      <c r="Q93" s="25"/>
      <c r="R93" s="25"/>
      <c r="S93" s="25"/>
      <c r="T93" s="34"/>
      <c r="U93" s="25"/>
      <c r="V93" s="53">
        <v>827</v>
      </c>
      <c r="W93" s="25"/>
      <c r="X93" s="5"/>
    </row>
    <row r="94" spans="1:24" ht="15.6" x14ac:dyDescent="0.3">
      <c r="A94" s="24"/>
      <c r="B94" s="25" t="s">
        <v>277</v>
      </c>
      <c r="C94" s="25"/>
      <c r="D94" s="25"/>
      <c r="E94" s="25"/>
      <c r="F94" s="25"/>
      <c r="G94" s="25"/>
      <c r="H94" s="40"/>
      <c r="I94" s="40"/>
      <c r="J94" s="40"/>
      <c r="K94" s="57"/>
      <c r="L94" s="40"/>
      <c r="M94" s="25"/>
      <c r="N94" s="127"/>
      <c r="O94" s="25"/>
      <c r="P94" s="25"/>
      <c r="Q94" s="25"/>
      <c r="R94" s="25"/>
      <c r="S94" s="25"/>
      <c r="T94" s="34"/>
      <c r="U94" s="25"/>
      <c r="V94" s="53">
        <v>1617</v>
      </c>
      <c r="W94" s="25"/>
      <c r="X94" s="5"/>
    </row>
    <row r="95" spans="1:24" ht="15.6" x14ac:dyDescent="0.3">
      <c r="A95" s="24"/>
      <c r="B95" s="25" t="s">
        <v>138</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265</v>
      </c>
      <c r="C96" s="25"/>
      <c r="D96" s="25"/>
      <c r="E96" s="25"/>
      <c r="F96" s="25"/>
      <c r="G96" s="25"/>
      <c r="H96" s="25"/>
      <c r="I96" s="25"/>
      <c r="J96" s="25"/>
      <c r="K96" s="25"/>
      <c r="L96" s="25"/>
      <c r="M96" s="25"/>
      <c r="N96" s="25"/>
      <c r="O96" s="25"/>
      <c r="P96" s="25"/>
      <c r="Q96" s="25"/>
      <c r="R96" s="25"/>
      <c r="S96" s="25"/>
      <c r="T96" s="34"/>
      <c r="U96" s="25"/>
      <c r="V96" s="53">
        <v>4286</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45808</v>
      </c>
      <c r="U97" s="25"/>
      <c r="V97" s="54">
        <f>SUM(V89:V96)</f>
        <v>25475</v>
      </c>
      <c r="W97" s="25"/>
      <c r="X97" s="5"/>
    </row>
    <row r="98" spans="1:25" ht="15.6" x14ac:dyDescent="0.3">
      <c r="A98" s="24"/>
      <c r="B98" s="25" t="s">
        <v>164</v>
      </c>
      <c r="C98" s="25"/>
      <c r="D98" s="25"/>
      <c r="E98" s="25"/>
      <c r="F98" s="25"/>
      <c r="G98" s="25"/>
      <c r="H98" s="25"/>
      <c r="I98" s="25"/>
      <c r="J98" s="25"/>
      <c r="K98" s="25"/>
      <c r="L98" s="25"/>
      <c r="M98" s="25"/>
      <c r="N98" s="25"/>
      <c r="O98" s="25"/>
      <c r="P98" s="25"/>
      <c r="Q98" s="25"/>
      <c r="R98" s="25"/>
      <c r="S98" s="25"/>
      <c r="T98" s="34">
        <f>-V98</f>
        <v>-1108</v>
      </c>
      <c r="U98" s="25"/>
      <c r="V98" s="54">
        <v>1108</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32</v>
      </c>
      <c r="C100" s="25"/>
      <c r="D100" s="25"/>
      <c r="E100" s="25"/>
      <c r="F100" s="25"/>
      <c r="G100" s="25"/>
      <c r="H100" s="25"/>
      <c r="I100" s="25"/>
      <c r="J100" s="25"/>
      <c r="K100" s="25"/>
      <c r="L100" s="25"/>
      <c r="M100" s="25"/>
      <c r="N100" s="25"/>
      <c r="O100" s="25"/>
      <c r="P100" s="25"/>
      <c r="Q100" s="25"/>
      <c r="R100" s="25"/>
      <c r="S100" s="25"/>
      <c r="T100" s="34">
        <f>T97+T99+T98</f>
        <v>44700</v>
      </c>
      <c r="U100" s="25"/>
      <c r="V100" s="54">
        <f>V97+V99+V98</f>
        <v>26583</v>
      </c>
      <c r="W100" s="25"/>
      <c r="X100" s="5"/>
    </row>
    <row r="101" spans="1:25" ht="15.6" x14ac:dyDescent="0.3">
      <c r="A101" s="24"/>
      <c r="B101" s="118" t="s">
        <v>33</v>
      </c>
      <c r="C101" s="25"/>
      <c r="D101" s="25"/>
      <c r="E101" s="25"/>
      <c r="F101" s="25"/>
      <c r="G101" s="25"/>
      <c r="H101" s="25"/>
      <c r="I101" s="25"/>
      <c r="J101" s="25"/>
      <c r="K101" s="25"/>
      <c r="L101" s="25"/>
      <c r="M101" s="25"/>
      <c r="N101" s="25"/>
      <c r="O101" s="25"/>
      <c r="P101" s="25"/>
      <c r="Q101" s="25"/>
      <c r="R101" s="25"/>
      <c r="S101" s="25"/>
      <c r="T101" s="34"/>
      <c r="U101" s="25"/>
      <c r="V101" s="53"/>
      <c r="W101" s="25"/>
      <c r="X101" s="5"/>
    </row>
    <row r="102" spans="1:25" ht="15.6" x14ac:dyDescent="0.3">
      <c r="A102" s="24">
        <v>1</v>
      </c>
      <c r="B102" s="25" t="s">
        <v>34</v>
      </c>
      <c r="C102" s="25"/>
      <c r="D102" s="25"/>
      <c r="E102" s="25"/>
      <c r="F102" s="25"/>
      <c r="G102" s="25"/>
      <c r="H102" s="25"/>
      <c r="I102" s="25"/>
      <c r="J102" s="25"/>
      <c r="K102" s="25"/>
      <c r="L102" s="25"/>
      <c r="M102" s="25"/>
      <c r="N102" s="25"/>
      <c r="O102" s="25"/>
      <c r="P102" s="25"/>
      <c r="Q102" s="25"/>
      <c r="R102" s="25"/>
      <c r="S102" s="25"/>
      <c r="T102" s="25"/>
      <c r="U102" s="25"/>
      <c r="V102" s="53">
        <v>0</v>
      </c>
      <c r="W102" s="25"/>
      <c r="X102" s="5"/>
    </row>
    <row r="103" spans="1:25" ht="15.6" x14ac:dyDescent="0.3">
      <c r="A103" s="24">
        <f>+A102+1</f>
        <v>2</v>
      </c>
      <c r="B103" s="25" t="s">
        <v>231</v>
      </c>
      <c r="C103" s="25"/>
      <c r="D103" s="25"/>
      <c r="E103" s="25"/>
      <c r="F103" s="25"/>
      <c r="G103" s="25"/>
      <c r="H103" s="25"/>
      <c r="I103" s="25"/>
      <c r="J103" s="25"/>
      <c r="K103" s="25"/>
      <c r="L103" s="25"/>
      <c r="M103" s="25"/>
      <c r="N103" s="25"/>
      <c r="O103" s="25"/>
      <c r="P103" s="25"/>
      <c r="Q103" s="25"/>
      <c r="R103" s="25"/>
      <c r="S103" s="25"/>
      <c r="T103" s="25"/>
      <c r="U103" s="25"/>
      <c r="V103" s="53">
        <f>-2</f>
        <v>-2</v>
      </c>
      <c r="W103" s="25"/>
      <c r="X103" s="5"/>
    </row>
    <row r="104" spans="1:25" ht="15.6" x14ac:dyDescent="0.3">
      <c r="A104" s="24">
        <f>+A103+1</f>
        <v>3</v>
      </c>
      <c r="B104" s="25" t="s">
        <v>207</v>
      </c>
      <c r="C104" s="25"/>
      <c r="D104" s="25"/>
      <c r="E104" s="25"/>
      <c r="F104" s="25"/>
      <c r="G104" s="25"/>
      <c r="H104" s="25"/>
      <c r="I104" s="25"/>
      <c r="J104" s="25"/>
      <c r="K104" s="25"/>
      <c r="L104" s="25"/>
      <c r="M104" s="25"/>
      <c r="N104" s="25"/>
      <c r="O104" s="25"/>
      <c r="P104" s="25"/>
      <c r="Q104" s="25"/>
      <c r="R104" s="25"/>
      <c r="S104" s="25"/>
      <c r="T104" s="25"/>
      <c r="U104" s="25"/>
      <c r="V104" s="53">
        <f>-538-18-17</f>
        <v>-573</v>
      </c>
      <c r="W104" s="25"/>
      <c r="X104" s="5"/>
    </row>
    <row r="105" spans="1:25" ht="15.6" x14ac:dyDescent="0.3">
      <c r="A105" s="24" t="s">
        <v>130</v>
      </c>
      <c r="B105" s="25" t="s">
        <v>119</v>
      </c>
      <c r="C105" s="25"/>
      <c r="D105" s="25"/>
      <c r="E105" s="25"/>
      <c r="F105" s="25"/>
      <c r="G105" s="25"/>
      <c r="H105" s="25"/>
      <c r="I105" s="25"/>
      <c r="J105" s="25"/>
      <c r="K105" s="25"/>
      <c r="L105" s="25"/>
      <c r="M105" s="25"/>
      <c r="N105" s="25"/>
      <c r="O105" s="25"/>
      <c r="P105" s="25"/>
      <c r="Q105" s="25"/>
      <c r="R105" s="25"/>
      <c r="S105" s="25"/>
      <c r="T105" s="25"/>
      <c r="U105" s="25"/>
      <c r="V105" s="53">
        <v>0</v>
      </c>
      <c r="W105" s="25"/>
      <c r="X105" s="5"/>
    </row>
    <row r="106" spans="1:25" ht="15.6" x14ac:dyDescent="0.3">
      <c r="A106" s="24" t="s">
        <v>131</v>
      </c>
      <c r="B106" s="25" t="s">
        <v>228</v>
      </c>
      <c r="C106" s="25"/>
      <c r="D106" s="25"/>
      <c r="E106" s="25"/>
      <c r="F106" s="25"/>
      <c r="G106" s="25"/>
      <c r="H106" s="25"/>
      <c r="I106" s="25"/>
      <c r="J106" s="25"/>
      <c r="K106" s="25"/>
      <c r="L106" s="25"/>
      <c r="M106" s="25"/>
      <c r="N106" s="25"/>
      <c r="O106" s="25"/>
      <c r="P106" s="25"/>
      <c r="Q106" s="25"/>
      <c r="R106" s="25"/>
      <c r="S106" s="25"/>
      <c r="T106" s="25"/>
      <c r="U106" s="25"/>
      <c r="V106" s="53">
        <f>-11333-3047-2680</f>
        <v>-17060</v>
      </c>
      <c r="W106" s="25"/>
      <c r="X106" s="5"/>
      <c r="Y106" s="109"/>
    </row>
    <row r="107" spans="1:25" ht="15.6" x14ac:dyDescent="0.3">
      <c r="A107" s="24" t="s">
        <v>153</v>
      </c>
      <c r="B107" s="25" t="s">
        <v>187</v>
      </c>
      <c r="C107" s="25"/>
      <c r="D107" s="25"/>
      <c r="E107" s="25"/>
      <c r="F107" s="25"/>
      <c r="G107" s="25"/>
      <c r="H107" s="25"/>
      <c r="I107" s="25"/>
      <c r="J107" s="25"/>
      <c r="K107" s="25"/>
      <c r="L107" s="25"/>
      <c r="M107" s="25"/>
      <c r="N107" s="25"/>
      <c r="O107" s="25"/>
      <c r="P107" s="25"/>
      <c r="Q107" s="25"/>
      <c r="R107" s="25"/>
      <c r="S107" s="25"/>
      <c r="T107" s="25"/>
      <c r="U107" s="25"/>
      <c r="V107" s="53">
        <v>-1799</v>
      </c>
      <c r="W107" s="25"/>
      <c r="X107" s="5"/>
      <c r="Y107" s="109"/>
    </row>
    <row r="108" spans="1:25" ht="15.6" x14ac:dyDescent="0.3">
      <c r="A108" s="24" t="s">
        <v>266</v>
      </c>
      <c r="B108" s="25" t="s">
        <v>269</v>
      </c>
      <c r="C108" s="25"/>
      <c r="D108" s="25"/>
      <c r="E108" s="25"/>
      <c r="F108" s="25"/>
      <c r="G108" s="25"/>
      <c r="H108" s="25"/>
      <c r="I108" s="25"/>
      <c r="J108" s="25"/>
      <c r="K108" s="25"/>
      <c r="L108" s="25"/>
      <c r="M108" s="25"/>
      <c r="N108" s="25"/>
      <c r="O108" s="25"/>
      <c r="P108" s="25"/>
      <c r="Q108" s="25"/>
      <c r="R108" s="25"/>
      <c r="S108" s="25"/>
      <c r="T108" s="25"/>
      <c r="U108" s="25"/>
      <c r="V108" s="53">
        <v>-4</v>
      </c>
      <c r="W108" s="25"/>
      <c r="X108" s="5"/>
    </row>
    <row r="109" spans="1:25" ht="15.6" x14ac:dyDescent="0.3">
      <c r="A109" s="24" t="s">
        <v>208</v>
      </c>
      <c r="B109" s="25" t="s">
        <v>188</v>
      </c>
      <c r="C109" s="25"/>
      <c r="D109" s="25"/>
      <c r="E109" s="25"/>
      <c r="F109" s="25"/>
      <c r="G109" s="25"/>
      <c r="H109" s="25"/>
      <c r="I109" s="25"/>
      <c r="J109" s="25"/>
      <c r="K109" s="25"/>
      <c r="L109" s="25"/>
      <c r="M109" s="25"/>
      <c r="N109" s="25"/>
      <c r="O109" s="25"/>
      <c r="P109" s="25"/>
      <c r="Q109" s="25"/>
      <c r="R109" s="25"/>
      <c r="S109" s="25"/>
      <c r="T109" s="25"/>
      <c r="U109" s="25"/>
      <c r="V109" s="53">
        <v>-874</v>
      </c>
      <c r="W109" s="25"/>
      <c r="X109" s="5"/>
      <c r="Y109" s="109"/>
    </row>
    <row r="110" spans="1:25" ht="15.6" x14ac:dyDescent="0.3">
      <c r="A110" s="24" t="s">
        <v>209</v>
      </c>
      <c r="B110" s="25" t="s">
        <v>189</v>
      </c>
      <c r="C110" s="25"/>
      <c r="D110" s="25"/>
      <c r="E110" s="25"/>
      <c r="F110" s="25"/>
      <c r="G110" s="25"/>
      <c r="H110" s="25"/>
      <c r="I110" s="25"/>
      <c r="J110" s="25"/>
      <c r="K110" s="25"/>
      <c r="L110" s="25"/>
      <c r="M110" s="25"/>
      <c r="N110" s="25"/>
      <c r="O110" s="25"/>
      <c r="P110" s="25"/>
      <c r="Q110" s="25"/>
      <c r="R110" s="25"/>
      <c r="S110" s="25"/>
      <c r="T110" s="25"/>
      <c r="U110" s="25"/>
      <c r="V110" s="53">
        <v>-867</v>
      </c>
      <c r="W110" s="25"/>
      <c r="X110" s="5"/>
      <c r="Y110" s="109"/>
    </row>
    <row r="111" spans="1:25" ht="15.6" x14ac:dyDescent="0.3">
      <c r="A111" s="24" t="s">
        <v>210</v>
      </c>
      <c r="B111" s="25" t="s">
        <v>199</v>
      </c>
      <c r="C111" s="25"/>
      <c r="D111" s="25"/>
      <c r="E111" s="25"/>
      <c r="F111" s="25"/>
      <c r="G111" s="25"/>
      <c r="H111" s="25"/>
      <c r="I111" s="25"/>
      <c r="J111" s="25"/>
      <c r="K111" s="25"/>
      <c r="L111" s="25"/>
      <c r="M111" s="25"/>
      <c r="N111" s="25"/>
      <c r="O111" s="25"/>
      <c r="P111" s="25"/>
      <c r="Q111" s="25"/>
      <c r="R111" s="25"/>
      <c r="S111" s="25"/>
      <c r="T111" s="25"/>
      <c r="U111" s="25"/>
      <c r="V111" s="53">
        <v>-871</v>
      </c>
      <c r="W111" s="25"/>
      <c r="X111" s="5"/>
      <c r="Y111" s="109"/>
    </row>
    <row r="112" spans="1:25" ht="15.6" x14ac:dyDescent="0.3">
      <c r="A112" s="24" t="s">
        <v>230</v>
      </c>
      <c r="B112" s="25" t="s">
        <v>229</v>
      </c>
      <c r="C112" s="25"/>
      <c r="D112" s="25"/>
      <c r="E112" s="25"/>
      <c r="F112" s="25"/>
      <c r="G112" s="25"/>
      <c r="H112" s="25"/>
      <c r="I112" s="25"/>
      <c r="J112" s="25"/>
      <c r="K112" s="25"/>
      <c r="L112" s="25"/>
      <c r="M112" s="25"/>
      <c r="N112" s="25"/>
      <c r="O112" s="25"/>
      <c r="P112" s="25"/>
      <c r="Q112" s="25"/>
      <c r="R112" s="25"/>
      <c r="S112" s="25"/>
      <c r="T112" s="25"/>
      <c r="U112" s="25"/>
      <c r="V112" s="53">
        <v>-208</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20" si="0">+A113+1</f>
        <v>8</v>
      </c>
      <c r="B114" s="25" t="s">
        <v>45</v>
      </c>
      <c r="C114" s="25"/>
      <c r="D114" s="25"/>
      <c r="E114" s="25"/>
      <c r="F114" s="25"/>
      <c r="G114" s="25"/>
      <c r="H114" s="25"/>
      <c r="I114" s="25"/>
      <c r="J114" s="25"/>
      <c r="K114" s="25"/>
      <c r="L114" s="25"/>
      <c r="M114" s="25"/>
      <c r="N114" s="25"/>
      <c r="O114" s="25"/>
      <c r="P114" s="25"/>
      <c r="Q114" s="25"/>
      <c r="R114" s="25"/>
      <c r="S114" s="25"/>
      <c r="T114" s="34">
        <f>-V114</f>
        <v>12</v>
      </c>
      <c r="U114" s="25"/>
      <c r="V114" s="53">
        <v>-12</v>
      </c>
      <c r="W114" s="25"/>
      <c r="X114" s="5"/>
    </row>
    <row r="115" spans="1:24" ht="15.6" x14ac:dyDescent="0.3">
      <c r="A115" s="24">
        <f t="shared" si="0"/>
        <v>9</v>
      </c>
      <c r="B115" s="25" t="s">
        <v>128</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271</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36</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270</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4" ht="15.6" x14ac:dyDescent="0.3">
      <c r="A119" s="24">
        <f t="shared" si="0"/>
        <v>13</v>
      </c>
      <c r="B119" s="25" t="s">
        <v>152</v>
      </c>
      <c r="C119" s="25"/>
      <c r="D119" s="25"/>
      <c r="E119" s="25"/>
      <c r="F119" s="25"/>
      <c r="G119" s="25"/>
      <c r="H119" s="25"/>
      <c r="I119" s="25"/>
      <c r="J119" s="25"/>
      <c r="K119" s="25"/>
      <c r="L119" s="25"/>
      <c r="M119" s="25"/>
      <c r="N119" s="25"/>
      <c r="O119" s="25"/>
      <c r="P119" s="25"/>
      <c r="Q119" s="25"/>
      <c r="R119" s="25"/>
      <c r="S119" s="25"/>
      <c r="T119" s="25"/>
      <c r="U119" s="25"/>
      <c r="V119" s="53">
        <v>-538</v>
      </c>
      <c r="W119" s="25"/>
      <c r="X119" s="5"/>
    </row>
    <row r="120" spans="1:24" ht="15.6" x14ac:dyDescent="0.3">
      <c r="A120" s="24">
        <f t="shared" si="0"/>
        <v>14</v>
      </c>
      <c r="B120" s="25" t="s">
        <v>129</v>
      </c>
      <c r="C120" s="25"/>
      <c r="D120" s="25"/>
      <c r="E120" s="25"/>
      <c r="F120" s="25"/>
      <c r="G120" s="25"/>
      <c r="H120" s="25"/>
      <c r="I120" s="25"/>
      <c r="J120" s="25"/>
      <c r="K120" s="25"/>
      <c r="L120" s="25"/>
      <c r="M120" s="25"/>
      <c r="N120" s="25"/>
      <c r="O120" s="25"/>
      <c r="P120" s="25"/>
      <c r="Q120" s="25"/>
      <c r="R120" s="25"/>
      <c r="S120" s="25"/>
      <c r="T120" s="25"/>
      <c r="U120" s="25"/>
      <c r="V120" s="53">
        <f>-V100-SUM(V102:V119)</f>
        <v>-3765</v>
      </c>
      <c r="W120" s="25"/>
      <c r="X120" s="5"/>
    </row>
    <row r="121" spans="1:24" ht="15.6" x14ac:dyDescent="0.3">
      <c r="A121" s="24"/>
      <c r="B121" s="118" t="s">
        <v>37</v>
      </c>
      <c r="C121" s="25"/>
      <c r="D121" s="25"/>
      <c r="E121" s="25"/>
      <c r="F121" s="25"/>
      <c r="G121" s="25"/>
      <c r="H121" s="25"/>
      <c r="I121" s="25"/>
      <c r="J121" s="25"/>
      <c r="K121" s="25"/>
      <c r="L121" s="25"/>
      <c r="M121" s="25"/>
      <c r="N121" s="25"/>
      <c r="O121" s="25"/>
      <c r="P121" s="25"/>
      <c r="Q121" s="25"/>
      <c r="R121" s="25"/>
      <c r="S121" s="25"/>
      <c r="T121" s="25"/>
      <c r="U121" s="25"/>
      <c r="V121" s="59"/>
      <c r="W121" s="25"/>
      <c r="X121" s="5"/>
    </row>
    <row r="122" spans="1:24" ht="15.6" x14ac:dyDescent="0.3">
      <c r="A122" s="24"/>
      <c r="B122" s="25" t="s">
        <v>176</v>
      </c>
      <c r="C122" s="25"/>
      <c r="D122" s="25"/>
      <c r="E122" s="25"/>
      <c r="F122" s="25"/>
      <c r="G122" s="25"/>
      <c r="H122" s="25"/>
      <c r="I122" s="25"/>
      <c r="J122" s="25"/>
      <c r="K122" s="25"/>
      <c r="L122" s="25"/>
      <c r="M122" s="25"/>
      <c r="N122" s="25"/>
      <c r="O122" s="25"/>
      <c r="P122" s="25"/>
      <c r="Q122" s="25"/>
      <c r="R122" s="25"/>
      <c r="S122" s="25"/>
      <c r="T122" s="34">
        <f>-T181</f>
        <v>-502</v>
      </c>
      <c r="U122" s="34"/>
      <c r="V122" s="53"/>
      <c r="W122" s="25"/>
      <c r="X122" s="5"/>
    </row>
    <row r="123" spans="1:24" ht="15.6" x14ac:dyDescent="0.3">
      <c r="A123" s="24"/>
      <c r="B123" s="25" t="s">
        <v>177</v>
      </c>
      <c r="C123" s="25"/>
      <c r="D123" s="25"/>
      <c r="E123" s="25"/>
      <c r="F123" s="25"/>
      <c r="G123" s="25"/>
      <c r="H123" s="25"/>
      <c r="I123" s="25"/>
      <c r="J123" s="25"/>
      <c r="K123" s="25"/>
      <c r="L123" s="25"/>
      <c r="M123" s="25"/>
      <c r="N123" s="25"/>
      <c r="O123" s="25"/>
      <c r="P123" s="25"/>
      <c r="Q123" s="25"/>
      <c r="R123" s="25"/>
      <c r="S123" s="25"/>
      <c r="T123" s="34">
        <v>-1474</v>
      </c>
      <c r="U123" s="34"/>
      <c r="V123" s="53"/>
      <c r="W123" s="25"/>
      <c r="X123" s="5"/>
    </row>
    <row r="124" spans="1:24" ht="15.6" x14ac:dyDescent="0.3">
      <c r="A124" s="24"/>
      <c r="B124" s="25" t="s">
        <v>38</v>
      </c>
      <c r="C124" s="25"/>
      <c r="D124" s="25"/>
      <c r="E124" s="25"/>
      <c r="F124" s="25"/>
      <c r="G124" s="25"/>
      <c r="H124" s="25"/>
      <c r="I124" s="25"/>
      <c r="J124" s="25"/>
      <c r="K124" s="25"/>
      <c r="L124" s="25"/>
      <c r="M124" s="25"/>
      <c r="N124" s="25"/>
      <c r="O124" s="25"/>
      <c r="P124" s="25"/>
      <c r="Q124" s="25"/>
      <c r="R124" s="25"/>
      <c r="S124" s="25"/>
      <c r="T124" s="34">
        <f>-S181</f>
        <v>-4949</v>
      </c>
      <c r="U124" s="34"/>
      <c r="V124" s="53"/>
      <c r="W124" s="25"/>
      <c r="X124" s="5"/>
    </row>
    <row r="125" spans="1:24" ht="15.6" x14ac:dyDescent="0.3">
      <c r="A125" s="24"/>
      <c r="B125" s="25" t="s">
        <v>200</v>
      </c>
      <c r="C125" s="25"/>
      <c r="D125" s="25"/>
      <c r="E125" s="25"/>
      <c r="F125" s="25"/>
      <c r="G125" s="25"/>
      <c r="H125" s="25"/>
      <c r="I125" s="25"/>
      <c r="J125" s="25"/>
      <c r="K125" s="25"/>
      <c r="L125" s="25"/>
      <c r="M125" s="25"/>
      <c r="N125" s="25"/>
      <c r="O125" s="25"/>
      <c r="P125" s="25"/>
      <c r="Q125" s="25"/>
      <c r="R125" s="25"/>
      <c r="S125" s="25"/>
      <c r="T125" s="34">
        <v>-22833</v>
      </c>
      <c r="U125" s="34"/>
      <c r="V125" s="53"/>
      <c r="W125" s="25"/>
      <c r="X125" s="5"/>
    </row>
    <row r="126" spans="1:24" ht="15.6" x14ac:dyDescent="0.3">
      <c r="A126" s="24"/>
      <c r="B126" s="25" t="s">
        <v>198</v>
      </c>
      <c r="C126" s="25"/>
      <c r="D126" s="25"/>
      <c r="E126" s="25"/>
      <c r="F126" s="25"/>
      <c r="G126" s="25"/>
      <c r="H126" s="25"/>
      <c r="I126" s="25"/>
      <c r="J126" s="25"/>
      <c r="K126" s="25"/>
      <c r="L126" s="25"/>
      <c r="M126" s="25"/>
      <c r="N126" s="25"/>
      <c r="O126" s="25"/>
      <c r="P126" s="25"/>
      <c r="Q126" s="25"/>
      <c r="R126" s="25"/>
      <c r="S126" s="25"/>
      <c r="T126" s="34">
        <v>-3577</v>
      </c>
      <c r="U126" s="34"/>
      <c r="V126" s="53"/>
      <c r="W126" s="25"/>
      <c r="X126" s="5"/>
    </row>
    <row r="127" spans="1:24" ht="15.6" x14ac:dyDescent="0.3">
      <c r="A127" s="24"/>
      <c r="B127" s="25" t="s">
        <v>197</v>
      </c>
      <c r="C127" s="25"/>
      <c r="D127" s="25"/>
      <c r="E127" s="25"/>
      <c r="F127" s="25"/>
      <c r="G127" s="25"/>
      <c r="H127" s="25"/>
      <c r="I127" s="25"/>
      <c r="J127" s="25"/>
      <c r="K127" s="25"/>
      <c r="L127" s="25"/>
      <c r="M127" s="25"/>
      <c r="N127" s="25"/>
      <c r="O127" s="25"/>
      <c r="P127" s="25"/>
      <c r="Q127" s="25"/>
      <c r="R127" s="25"/>
      <c r="S127" s="25"/>
      <c r="T127" s="34">
        <v>-6050</v>
      </c>
      <c r="U127" s="34"/>
      <c r="V127" s="53"/>
      <c r="W127" s="25"/>
      <c r="X127" s="5"/>
    </row>
    <row r="128" spans="1:24" ht="15.6" x14ac:dyDescent="0.3">
      <c r="A128" s="24"/>
      <c r="B128" s="25" t="s">
        <v>232</v>
      </c>
      <c r="C128" s="25"/>
      <c r="D128" s="25"/>
      <c r="E128" s="25"/>
      <c r="F128" s="25"/>
      <c r="G128" s="25"/>
      <c r="H128" s="25"/>
      <c r="I128" s="25"/>
      <c r="J128" s="25"/>
      <c r="K128" s="25"/>
      <c r="L128" s="25"/>
      <c r="M128" s="25"/>
      <c r="N128" s="25"/>
      <c r="O128" s="25"/>
      <c r="P128" s="25"/>
      <c r="Q128" s="25"/>
      <c r="R128" s="25"/>
      <c r="S128" s="25"/>
      <c r="T128" s="34">
        <v>-5327</v>
      </c>
      <c r="U128" s="34"/>
      <c r="V128" s="53"/>
      <c r="W128" s="25"/>
      <c r="X128" s="5"/>
    </row>
    <row r="129" spans="1:24" ht="15.6" x14ac:dyDescent="0.3">
      <c r="A129" s="24"/>
      <c r="B129" s="25" t="s">
        <v>192</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191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233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190</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39</v>
      </c>
      <c r="C133" s="25"/>
      <c r="D133" s="25"/>
      <c r="E133" s="25"/>
      <c r="F133" s="25"/>
      <c r="G133" s="25"/>
      <c r="H133" s="25"/>
      <c r="I133" s="25"/>
      <c r="J133" s="25"/>
      <c r="K133" s="25"/>
      <c r="L133" s="25"/>
      <c r="M133" s="25"/>
      <c r="N133" s="25"/>
      <c r="O133" s="25"/>
      <c r="P133" s="25"/>
      <c r="Q133" s="25"/>
      <c r="R133" s="25"/>
      <c r="S133" s="25"/>
      <c r="T133" s="34">
        <f>SUM(T122:T132)</f>
        <v>-44712</v>
      </c>
      <c r="U133" s="34"/>
      <c r="V133" s="34">
        <f>SUM(V101:V130)</f>
        <v>-26583</v>
      </c>
      <c r="W133" s="25"/>
      <c r="X133" s="5"/>
    </row>
    <row r="134" spans="1:24" ht="15.6" x14ac:dyDescent="0.3">
      <c r="A134" s="24"/>
      <c r="B134" s="25" t="s">
        <v>40</v>
      </c>
      <c r="C134" s="25"/>
      <c r="D134" s="25"/>
      <c r="E134" s="25"/>
      <c r="F134" s="25"/>
      <c r="G134" s="25"/>
      <c r="H134" s="25"/>
      <c r="I134" s="25"/>
      <c r="J134" s="25"/>
      <c r="K134" s="25"/>
      <c r="L134" s="25"/>
      <c r="M134" s="25"/>
      <c r="N134" s="25"/>
      <c r="O134" s="25"/>
      <c r="P134" s="25"/>
      <c r="Q134" s="25"/>
      <c r="R134" s="25"/>
      <c r="S134" s="25"/>
      <c r="T134" s="34">
        <f>T100+T133+T114</f>
        <v>0</v>
      </c>
      <c r="U134" s="34"/>
      <c r="V134" s="34">
        <f>V100+V133</f>
        <v>0</v>
      </c>
      <c r="W134" s="25"/>
      <c r="X134" s="5"/>
    </row>
    <row r="135" spans="1:24" ht="15.6" x14ac:dyDescent="0.3">
      <c r="A135" s="24"/>
      <c r="B135" s="25"/>
      <c r="C135" s="25"/>
      <c r="D135" s="25"/>
      <c r="E135" s="25"/>
      <c r="F135" s="25"/>
      <c r="G135" s="25"/>
      <c r="H135" s="25"/>
      <c r="I135" s="25"/>
      <c r="J135" s="25"/>
      <c r="K135" s="25"/>
      <c r="L135" s="25"/>
      <c r="M135" s="25"/>
      <c r="N135" s="25"/>
      <c r="O135" s="25"/>
      <c r="P135" s="25"/>
      <c r="Q135" s="25"/>
      <c r="R135" s="25"/>
      <c r="S135" s="25"/>
      <c r="T135" s="34"/>
      <c r="U135" s="34"/>
      <c r="V135" s="34"/>
      <c r="W135" s="25"/>
      <c r="X135" s="5"/>
    </row>
    <row r="136" spans="1:24" ht="15.6" x14ac:dyDescent="0.3">
      <c r="A136" s="6"/>
      <c r="B136" s="8"/>
      <c r="C136" s="8"/>
      <c r="D136" s="8"/>
      <c r="E136" s="8"/>
      <c r="F136" s="8"/>
      <c r="G136" s="8"/>
      <c r="H136" s="8"/>
      <c r="I136" s="8"/>
      <c r="J136" s="8"/>
      <c r="K136" s="8"/>
      <c r="L136" s="8"/>
      <c r="M136" s="8"/>
      <c r="N136" s="8"/>
      <c r="O136" s="8"/>
      <c r="P136" s="8"/>
      <c r="Q136" s="8"/>
      <c r="R136" s="8"/>
      <c r="S136" s="8"/>
      <c r="T136" s="8"/>
      <c r="U136" s="8"/>
      <c r="V136" s="52"/>
      <c r="W136" s="8"/>
      <c r="X136" s="5"/>
    </row>
    <row r="137" spans="1:24" ht="18" thickBot="1" x14ac:dyDescent="0.35">
      <c r="A137" s="101"/>
      <c r="B137" s="102" t="str">
        <f>B64</f>
        <v>PM13 INVESTOR REPORT QUARTER ENDING SEPTEMBER 2007</v>
      </c>
      <c r="C137" s="103"/>
      <c r="D137" s="103"/>
      <c r="E137" s="103"/>
      <c r="F137" s="103"/>
      <c r="G137" s="103"/>
      <c r="H137" s="103"/>
      <c r="I137" s="103"/>
      <c r="J137" s="103"/>
      <c r="K137" s="103"/>
      <c r="L137" s="103"/>
      <c r="M137" s="103"/>
      <c r="N137" s="103"/>
      <c r="O137" s="103"/>
      <c r="P137" s="103"/>
      <c r="Q137" s="103"/>
      <c r="R137" s="103"/>
      <c r="S137" s="103"/>
      <c r="T137" s="103"/>
      <c r="U137" s="103"/>
      <c r="V137" s="106"/>
      <c r="W137" s="105"/>
      <c r="X137" s="5"/>
    </row>
    <row r="138" spans="1:24" ht="15.6" x14ac:dyDescent="0.3">
      <c r="A138" s="2"/>
      <c r="B138" s="60" t="s">
        <v>41</v>
      </c>
      <c r="C138" s="4"/>
      <c r="D138" s="4"/>
      <c r="E138" s="4"/>
      <c r="F138" s="4"/>
      <c r="G138" s="4"/>
      <c r="H138" s="4"/>
      <c r="I138" s="4"/>
      <c r="J138" s="4"/>
      <c r="K138" s="4"/>
      <c r="L138" s="4"/>
      <c r="M138" s="4"/>
      <c r="N138" s="4"/>
      <c r="O138" s="4"/>
      <c r="P138" s="4"/>
      <c r="Q138" s="4"/>
      <c r="R138" s="4"/>
      <c r="S138" s="4"/>
      <c r="T138" s="4"/>
      <c r="U138" s="4"/>
      <c r="V138" s="50"/>
      <c r="W138" s="4"/>
      <c r="X138" s="5"/>
    </row>
    <row r="139" spans="1:24" ht="15.6" x14ac:dyDescent="0.3">
      <c r="A139" s="6"/>
      <c r="B139" s="21"/>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6"/>
      <c r="B140" s="119" t="s">
        <v>42</v>
      </c>
      <c r="C140" s="8"/>
      <c r="D140" s="8"/>
      <c r="E140" s="8"/>
      <c r="F140" s="8"/>
      <c r="G140" s="8"/>
      <c r="H140" s="8"/>
      <c r="I140" s="8"/>
      <c r="J140" s="8"/>
      <c r="K140" s="8"/>
      <c r="L140" s="8"/>
      <c r="M140" s="8"/>
      <c r="N140" s="8"/>
      <c r="O140" s="8"/>
      <c r="P140" s="8"/>
      <c r="Q140" s="8"/>
      <c r="R140" s="8"/>
      <c r="S140" s="8"/>
      <c r="T140" s="8"/>
      <c r="U140" s="8"/>
      <c r="V140" s="52"/>
      <c r="W140" s="8"/>
      <c r="X140" s="5"/>
    </row>
    <row r="141" spans="1:24" ht="15.6" x14ac:dyDescent="0.3">
      <c r="A141" s="24"/>
      <c r="B141" s="25" t="s">
        <v>43</v>
      </c>
      <c r="C141" s="25"/>
      <c r="D141" s="25"/>
      <c r="E141" s="25"/>
      <c r="F141" s="25"/>
      <c r="G141" s="25"/>
      <c r="H141" s="25"/>
      <c r="I141" s="25"/>
      <c r="J141" s="25"/>
      <c r="K141" s="25"/>
      <c r="L141" s="25"/>
      <c r="M141" s="25"/>
      <c r="N141" s="25"/>
      <c r="O141" s="25"/>
      <c r="P141" s="25"/>
      <c r="Q141" s="25"/>
      <c r="R141" s="25"/>
      <c r="S141" s="25"/>
      <c r="T141" s="25"/>
      <c r="U141" s="25"/>
      <c r="V141" s="53">
        <f>+V34*0.019</f>
        <v>28503.61</v>
      </c>
      <c r="W141" s="25"/>
      <c r="X141" s="5"/>
    </row>
    <row r="142" spans="1:24" ht="15.6" x14ac:dyDescent="0.3">
      <c r="A142" s="24"/>
      <c r="B142" s="25" t="s">
        <v>44</v>
      </c>
      <c r="C142" s="25"/>
      <c r="D142" s="25"/>
      <c r="E142" s="25"/>
      <c r="F142" s="25"/>
      <c r="G142" s="25"/>
      <c r="H142" s="25"/>
      <c r="I142" s="25"/>
      <c r="J142" s="25"/>
      <c r="K142" s="25"/>
      <c r="L142" s="25"/>
      <c r="M142" s="25"/>
      <c r="N142" s="25"/>
      <c r="O142" s="25"/>
      <c r="P142" s="25"/>
      <c r="Q142" s="25"/>
      <c r="R142" s="25"/>
      <c r="S142" s="25"/>
      <c r="T142" s="25"/>
      <c r="U142" s="25"/>
      <c r="V142" s="53">
        <v>28504</v>
      </c>
      <c r="W142" s="25"/>
      <c r="X142" s="5"/>
    </row>
    <row r="143" spans="1:24" ht="15.6" x14ac:dyDescent="0.3">
      <c r="A143" s="24"/>
      <c r="B143" s="25" t="s">
        <v>139</v>
      </c>
      <c r="C143" s="25"/>
      <c r="D143" s="25"/>
      <c r="E143" s="25"/>
      <c r="F143" s="25"/>
      <c r="G143" s="25"/>
      <c r="H143" s="25"/>
      <c r="I143" s="25"/>
      <c r="J143" s="25"/>
      <c r="K143" s="25"/>
      <c r="L143" s="25"/>
      <c r="M143" s="25"/>
      <c r="N143" s="25"/>
      <c r="O143" s="25"/>
      <c r="P143" s="25"/>
      <c r="Q143" s="25"/>
      <c r="R143" s="25"/>
      <c r="S143" s="25"/>
      <c r="T143" s="25"/>
      <c r="U143" s="25"/>
      <c r="V143" s="53"/>
      <c r="W143" s="25"/>
      <c r="X143" s="5"/>
    </row>
    <row r="144" spans="1:24" ht="15.6" x14ac:dyDescent="0.3">
      <c r="A144" s="24"/>
      <c r="B144" s="25" t="s">
        <v>126</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127</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178</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45</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132</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267</v>
      </c>
      <c r="C149" s="25"/>
      <c r="D149" s="25"/>
      <c r="E149" s="25"/>
      <c r="F149" s="25"/>
      <c r="G149" s="25"/>
      <c r="H149" s="25"/>
      <c r="I149" s="25"/>
      <c r="J149" s="25"/>
      <c r="K149" s="25"/>
      <c r="L149" s="25"/>
      <c r="M149" s="25"/>
      <c r="N149" s="25"/>
      <c r="O149" s="25"/>
      <c r="P149" s="25"/>
      <c r="Q149" s="25"/>
      <c r="R149" s="25"/>
      <c r="S149" s="25"/>
      <c r="T149" s="25"/>
      <c r="U149" s="25"/>
      <c r="V149" s="53">
        <v>0</v>
      </c>
      <c r="W149" s="25"/>
      <c r="X149" s="5"/>
      <c r="Y149" s="109"/>
    </row>
    <row r="150" spans="1:25" ht="15.6" x14ac:dyDescent="0.3">
      <c r="A150" s="24"/>
      <c r="B150" s="25" t="s">
        <v>46</v>
      </c>
      <c r="C150" s="25"/>
      <c r="D150" s="25"/>
      <c r="E150" s="25"/>
      <c r="F150" s="25"/>
      <c r="G150" s="25"/>
      <c r="H150" s="25"/>
      <c r="I150" s="25"/>
      <c r="J150" s="25"/>
      <c r="K150" s="25"/>
      <c r="L150" s="25"/>
      <c r="M150" s="25"/>
      <c r="N150" s="25"/>
      <c r="O150" s="25"/>
      <c r="P150" s="25"/>
      <c r="Q150" s="25"/>
      <c r="R150" s="25"/>
      <c r="S150" s="25"/>
      <c r="T150" s="25"/>
      <c r="U150" s="25"/>
      <c r="V150" s="53">
        <f>SUM(V142:V149)</f>
        <v>28504</v>
      </c>
      <c r="W150" s="25"/>
      <c r="X150" s="5"/>
    </row>
    <row r="151" spans="1:25" ht="15.6" x14ac:dyDescent="0.3">
      <c r="A151" s="24"/>
      <c r="B151" s="25"/>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138" t="s">
        <v>268</v>
      </c>
      <c r="C152" s="25"/>
      <c r="D152" s="25"/>
      <c r="E152" s="25"/>
      <c r="F152" s="25"/>
      <c r="G152" s="25"/>
      <c r="H152" s="25"/>
      <c r="I152" s="25"/>
      <c r="J152" s="25"/>
      <c r="K152" s="25"/>
      <c r="L152" s="25"/>
      <c r="M152" s="25"/>
      <c r="N152" s="25"/>
      <c r="O152" s="25"/>
      <c r="P152" s="25"/>
      <c r="Q152" s="25"/>
      <c r="R152" s="25"/>
      <c r="S152" s="25"/>
      <c r="T152" s="25"/>
      <c r="U152" s="25"/>
      <c r="V152" s="53"/>
      <c r="W152" s="25"/>
      <c r="X152" s="5"/>
    </row>
    <row r="153" spans="1:25" ht="15.6" x14ac:dyDescent="0.3">
      <c r="A153" s="24"/>
      <c r="B153" s="25" t="s">
        <v>158</v>
      </c>
      <c r="C153" s="25"/>
      <c r="D153" s="25"/>
      <c r="E153" s="25"/>
      <c r="F153" s="25"/>
      <c r="G153" s="25"/>
      <c r="H153" s="25"/>
      <c r="I153" s="25"/>
      <c r="J153" s="25"/>
      <c r="K153" s="25"/>
      <c r="L153" s="25"/>
      <c r="M153" s="25"/>
      <c r="N153" s="25"/>
      <c r="O153" s="25"/>
      <c r="P153" s="25"/>
      <c r="Q153" s="25"/>
      <c r="R153" s="25"/>
      <c r="S153" s="25"/>
      <c r="T153" s="25"/>
      <c r="U153" s="25"/>
      <c r="V153" s="53">
        <v>15000</v>
      </c>
      <c r="W153" s="25"/>
      <c r="X153" s="5"/>
    </row>
    <row r="154" spans="1:25" ht="15.6" x14ac:dyDescent="0.3">
      <c r="A154" s="24"/>
      <c r="B154" s="25" t="s">
        <v>175</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t="s">
        <v>272</v>
      </c>
      <c r="C155" s="25"/>
      <c r="D155" s="25"/>
      <c r="E155" s="25"/>
      <c r="F155" s="25"/>
      <c r="G155" s="25"/>
      <c r="H155" s="25"/>
      <c r="I155" s="25"/>
      <c r="J155" s="25"/>
      <c r="K155" s="25"/>
      <c r="L155" s="25"/>
      <c r="M155" s="25"/>
      <c r="N155" s="25"/>
      <c r="O155" s="25"/>
      <c r="P155" s="25"/>
      <c r="Q155" s="25"/>
      <c r="R155" s="25"/>
      <c r="S155" s="25"/>
      <c r="T155" s="25"/>
      <c r="U155" s="25"/>
      <c r="V155" s="53">
        <v>11763</v>
      </c>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53"/>
      <c r="W156" s="25"/>
      <c r="X156" s="5"/>
    </row>
    <row r="157" spans="1:25" ht="15.6" x14ac:dyDescent="0.3">
      <c r="A157" s="24"/>
      <c r="B157" s="25"/>
      <c r="C157" s="25"/>
      <c r="D157" s="25"/>
      <c r="E157" s="25"/>
      <c r="F157" s="25"/>
      <c r="G157" s="25"/>
      <c r="H157" s="25"/>
      <c r="I157" s="25"/>
      <c r="J157" s="25"/>
      <c r="K157" s="25"/>
      <c r="L157" s="25"/>
      <c r="M157" s="25"/>
      <c r="N157" s="25"/>
      <c r="O157" s="25"/>
      <c r="P157" s="25"/>
      <c r="Q157" s="25"/>
      <c r="R157" s="25"/>
      <c r="S157" s="25"/>
      <c r="T157" s="25"/>
      <c r="U157" s="25"/>
      <c r="V157" s="61"/>
      <c r="W157" s="25"/>
      <c r="X157" s="5"/>
    </row>
    <row r="158" spans="1:25" ht="15.6" x14ac:dyDescent="0.3">
      <c r="A158" s="6"/>
      <c r="B158" s="119" t="s">
        <v>24</v>
      </c>
      <c r="C158" s="8"/>
      <c r="D158" s="8"/>
      <c r="E158" s="8"/>
      <c r="F158" s="8"/>
      <c r="G158" s="8"/>
      <c r="H158" s="8"/>
      <c r="I158" s="8"/>
      <c r="J158" s="8"/>
      <c r="K158" s="8"/>
      <c r="L158" s="8"/>
      <c r="M158" s="8"/>
      <c r="N158" s="8"/>
      <c r="O158" s="8"/>
      <c r="P158" s="8"/>
      <c r="Q158" s="8"/>
      <c r="R158" s="8"/>
      <c r="S158" s="8"/>
      <c r="T158" s="8"/>
      <c r="U158" s="8"/>
      <c r="V158" s="52"/>
      <c r="W158" s="8"/>
      <c r="X158" s="5"/>
    </row>
    <row r="159" spans="1:25" ht="15.6" x14ac:dyDescent="0.3">
      <c r="A159" s="24"/>
      <c r="B159" s="25" t="s">
        <v>47</v>
      </c>
      <c r="C159" s="25"/>
      <c r="D159" s="25"/>
      <c r="E159" s="25"/>
      <c r="F159" s="25"/>
      <c r="G159" s="25"/>
      <c r="H159" s="25"/>
      <c r="I159" s="25"/>
      <c r="J159" s="25"/>
      <c r="K159" s="25"/>
      <c r="L159" s="25"/>
      <c r="M159" s="25"/>
      <c r="N159" s="25"/>
      <c r="O159" s="25"/>
      <c r="P159" s="25"/>
      <c r="Q159" s="25"/>
      <c r="R159" s="25"/>
      <c r="S159" s="25"/>
      <c r="T159" s="25"/>
      <c r="U159" s="25"/>
      <c r="V159" s="59" t="s">
        <v>121</v>
      </c>
      <c r="W159" s="25"/>
      <c r="X159" s="5"/>
    </row>
    <row r="160" spans="1:25" ht="15.6" x14ac:dyDescent="0.3">
      <c r="A160" s="24"/>
      <c r="B160" s="25" t="s">
        <v>48</v>
      </c>
      <c r="C160" s="163"/>
      <c r="D160" s="163"/>
      <c r="E160" s="163"/>
      <c r="F160" s="163"/>
      <c r="G160" s="163"/>
      <c r="H160" s="163"/>
      <c r="I160" s="163"/>
      <c r="J160" s="163"/>
      <c r="K160" s="163"/>
      <c r="L160" s="163"/>
      <c r="M160" s="163"/>
      <c r="N160" s="163"/>
      <c r="O160" s="163"/>
      <c r="P160" s="163"/>
      <c r="Q160" s="163"/>
      <c r="R160" s="163"/>
      <c r="S160" s="163"/>
      <c r="T160" s="163"/>
      <c r="U160" s="163"/>
      <c r="V160" s="59" t="s">
        <v>121</v>
      </c>
      <c r="W160" s="25"/>
      <c r="X160" s="5"/>
    </row>
    <row r="161" spans="1:24" ht="15.6" x14ac:dyDescent="0.3">
      <c r="A161" s="24"/>
      <c r="B161" s="25" t="s">
        <v>49</v>
      </c>
      <c r="C161" s="25"/>
      <c r="D161" s="25"/>
      <c r="E161" s="25"/>
      <c r="F161" s="25"/>
      <c r="G161" s="25"/>
      <c r="H161" s="25"/>
      <c r="I161" s="25"/>
      <c r="J161" s="25"/>
      <c r="K161" s="25"/>
      <c r="L161" s="25"/>
      <c r="M161" s="25"/>
      <c r="N161" s="25"/>
      <c r="O161" s="25"/>
      <c r="P161" s="25"/>
      <c r="Q161" s="25"/>
      <c r="R161" s="25"/>
      <c r="S161" s="25"/>
      <c r="T161" s="25"/>
      <c r="U161" s="25"/>
      <c r="V161" s="59" t="s">
        <v>121</v>
      </c>
      <c r="W161" s="25"/>
      <c r="X161" s="5"/>
    </row>
    <row r="162" spans="1:24" ht="15.6" x14ac:dyDescent="0.3">
      <c r="A162" s="24"/>
      <c r="B162" s="25" t="s">
        <v>50</v>
      </c>
      <c r="C162" s="25"/>
      <c r="D162" s="25"/>
      <c r="E162" s="25"/>
      <c r="F162" s="25"/>
      <c r="G162" s="25"/>
      <c r="H162" s="25"/>
      <c r="I162" s="25"/>
      <c r="J162" s="25"/>
      <c r="K162" s="25"/>
      <c r="L162" s="25"/>
      <c r="M162" s="25"/>
      <c r="N162" s="25"/>
      <c r="O162" s="25"/>
      <c r="P162" s="25"/>
      <c r="Q162" s="25"/>
      <c r="R162" s="25"/>
      <c r="S162" s="25"/>
      <c r="T162" s="25"/>
      <c r="U162" s="25"/>
      <c r="V162" s="59" t="s">
        <v>121</v>
      </c>
      <c r="W162" s="25"/>
      <c r="X162" s="5"/>
    </row>
    <row r="163" spans="1:24" ht="15.6" x14ac:dyDescent="0.3">
      <c r="A163" s="24"/>
      <c r="B163" s="25"/>
      <c r="C163" s="25"/>
      <c r="D163" s="25"/>
      <c r="E163" s="25"/>
      <c r="F163" s="25"/>
      <c r="G163" s="25"/>
      <c r="H163" s="25"/>
      <c r="I163" s="25"/>
      <c r="J163" s="25"/>
      <c r="K163" s="25"/>
      <c r="L163" s="25"/>
      <c r="M163" s="25"/>
      <c r="N163" s="25"/>
      <c r="O163" s="25"/>
      <c r="P163" s="25"/>
      <c r="Q163" s="25"/>
      <c r="R163" s="25"/>
      <c r="S163" s="25"/>
      <c r="T163" s="25"/>
      <c r="U163" s="25"/>
      <c r="V163" s="61"/>
      <c r="W163" s="25"/>
      <c r="X163" s="5"/>
    </row>
    <row r="164" spans="1:24" ht="15.6" x14ac:dyDescent="0.3">
      <c r="A164" s="6"/>
      <c r="B164" s="119" t="s">
        <v>51</v>
      </c>
      <c r="C164" s="8"/>
      <c r="D164" s="8"/>
      <c r="E164" s="8"/>
      <c r="F164" s="8"/>
      <c r="G164" s="8"/>
      <c r="H164" s="8"/>
      <c r="I164" s="8"/>
      <c r="J164" s="8"/>
      <c r="K164" s="8"/>
      <c r="L164" s="8"/>
      <c r="M164" s="8"/>
      <c r="N164" s="8"/>
      <c r="O164" s="8"/>
      <c r="P164" s="8"/>
      <c r="Q164" s="8"/>
      <c r="R164" s="8"/>
      <c r="S164" s="8"/>
      <c r="T164" s="8"/>
      <c r="U164" s="8"/>
      <c r="V164" s="63"/>
      <c r="W164" s="8"/>
      <c r="X164" s="5"/>
    </row>
    <row r="165" spans="1:24" ht="15.6" x14ac:dyDescent="0.3">
      <c r="A165" s="24"/>
      <c r="B165" s="25" t="s">
        <v>52</v>
      </c>
      <c r="C165" s="25"/>
      <c r="D165" s="25"/>
      <c r="E165" s="25"/>
      <c r="F165" s="25"/>
      <c r="G165" s="25"/>
      <c r="H165" s="25"/>
      <c r="I165" s="25"/>
      <c r="J165" s="25"/>
      <c r="K165" s="25"/>
      <c r="L165" s="25"/>
      <c r="M165" s="25"/>
      <c r="N165" s="25"/>
      <c r="O165" s="25"/>
      <c r="P165" s="25"/>
      <c r="Q165" s="25"/>
      <c r="R165" s="25"/>
      <c r="S165" s="25"/>
      <c r="T165" s="25"/>
      <c r="U165" s="25"/>
      <c r="V165" s="53">
        <v>0</v>
      </c>
      <c r="W165" s="25"/>
      <c r="X165" s="5"/>
    </row>
    <row r="166" spans="1:24" ht="15.6" x14ac:dyDescent="0.3">
      <c r="A166" s="24"/>
      <c r="B166" s="25" t="s">
        <v>53</v>
      </c>
      <c r="C166" s="25"/>
      <c r="D166" s="25"/>
      <c r="E166" s="25"/>
      <c r="F166" s="25"/>
      <c r="G166" s="25"/>
      <c r="H166" s="25"/>
      <c r="I166" s="25"/>
      <c r="J166" s="25"/>
      <c r="K166" s="25"/>
      <c r="L166" s="25"/>
      <c r="M166" s="25"/>
      <c r="N166" s="25"/>
      <c r="O166" s="25"/>
      <c r="P166" s="25"/>
      <c r="Q166" s="25"/>
      <c r="R166" s="25"/>
      <c r="S166" s="25"/>
      <c r="T166" s="25"/>
      <c r="U166" s="25"/>
      <c r="V166" s="53">
        <v>12</v>
      </c>
      <c r="W166" s="25"/>
      <c r="X166" s="5"/>
    </row>
    <row r="167" spans="1:24" ht="15.6" x14ac:dyDescent="0.3">
      <c r="A167" s="24"/>
      <c r="B167" s="25" t="s">
        <v>54</v>
      </c>
      <c r="C167" s="25"/>
      <c r="D167" s="25"/>
      <c r="E167" s="25"/>
      <c r="F167" s="25"/>
      <c r="G167" s="25"/>
      <c r="H167" s="25"/>
      <c r="I167" s="25"/>
      <c r="J167" s="25"/>
      <c r="K167" s="25"/>
      <c r="L167" s="25"/>
      <c r="M167" s="25"/>
      <c r="N167" s="25"/>
      <c r="O167" s="25"/>
      <c r="P167" s="25"/>
      <c r="Q167" s="25"/>
      <c r="R167" s="25"/>
      <c r="S167" s="25"/>
      <c r="T167" s="25"/>
      <c r="U167" s="25"/>
      <c r="V167" s="53">
        <f>V166+V165</f>
        <v>12</v>
      </c>
      <c r="W167" s="25"/>
      <c r="X167" s="5"/>
    </row>
    <row r="168" spans="1:24" ht="15.6" x14ac:dyDescent="0.3">
      <c r="A168" s="24"/>
      <c r="B168" s="391" t="s">
        <v>318</v>
      </c>
      <c r="C168" s="25"/>
      <c r="D168" s="25"/>
      <c r="E168" s="25"/>
      <c r="F168" s="25"/>
      <c r="G168" s="25"/>
      <c r="H168" s="25"/>
      <c r="I168" s="25"/>
      <c r="J168" s="25"/>
      <c r="K168" s="25"/>
      <c r="L168" s="25"/>
      <c r="M168" s="25"/>
      <c r="N168" s="25"/>
      <c r="O168" s="25"/>
      <c r="P168" s="25"/>
      <c r="Q168" s="25"/>
      <c r="R168" s="25"/>
      <c r="S168" s="25"/>
      <c r="T168" s="25"/>
      <c r="U168" s="25"/>
      <c r="V168" s="53">
        <f>V114</f>
        <v>-12</v>
      </c>
      <c r="W168" s="25"/>
      <c r="X168" s="5"/>
    </row>
    <row r="169" spans="1:24" ht="15.6" x14ac:dyDescent="0.3">
      <c r="A169" s="24"/>
      <c r="B169" s="25" t="s">
        <v>55</v>
      </c>
      <c r="C169" s="25"/>
      <c r="D169" s="25"/>
      <c r="E169" s="25"/>
      <c r="F169" s="25"/>
      <c r="G169" s="25"/>
      <c r="H169" s="25"/>
      <c r="I169" s="25"/>
      <c r="J169" s="25"/>
      <c r="K169" s="25"/>
      <c r="L169" s="25"/>
      <c r="M169" s="25"/>
      <c r="N169" s="25"/>
      <c r="O169" s="25"/>
      <c r="P169" s="25"/>
      <c r="Q169" s="25"/>
      <c r="R169" s="25"/>
      <c r="S169" s="25"/>
      <c r="T169" s="25"/>
      <c r="U169" s="25"/>
      <c r="V169" s="53">
        <f>V167+V168</f>
        <v>0</v>
      </c>
      <c r="W169" s="25"/>
      <c r="X169" s="5"/>
    </row>
    <row r="170" spans="1:24" ht="16.2" thickBot="1" x14ac:dyDescent="0.35">
      <c r="A170" s="24"/>
      <c r="B170" s="25"/>
      <c r="C170" s="25"/>
      <c r="D170" s="25"/>
      <c r="E170" s="25"/>
      <c r="F170" s="25"/>
      <c r="G170" s="25"/>
      <c r="H170" s="25"/>
      <c r="I170" s="25"/>
      <c r="J170" s="25"/>
      <c r="K170" s="25"/>
      <c r="L170" s="25"/>
      <c r="M170" s="25"/>
      <c r="N170" s="25"/>
      <c r="O170" s="25"/>
      <c r="P170" s="25"/>
      <c r="Q170" s="25"/>
      <c r="R170" s="25"/>
      <c r="S170" s="25"/>
      <c r="T170" s="25"/>
      <c r="U170" s="25"/>
      <c r="V170" s="61"/>
      <c r="W170" s="25"/>
      <c r="X170" s="5"/>
    </row>
    <row r="171" spans="1:24" ht="15.6" x14ac:dyDescent="0.3">
      <c r="A171" s="2"/>
      <c r="B171" s="4"/>
      <c r="C171" s="4"/>
      <c r="D171" s="4"/>
      <c r="E171" s="4"/>
      <c r="F171" s="4"/>
      <c r="G171" s="4"/>
      <c r="H171" s="4"/>
      <c r="I171" s="4"/>
      <c r="J171" s="4"/>
      <c r="K171" s="4"/>
      <c r="L171" s="4"/>
      <c r="M171" s="4"/>
      <c r="N171" s="4"/>
      <c r="O171" s="4"/>
      <c r="P171" s="4"/>
      <c r="Q171" s="4"/>
      <c r="R171" s="4"/>
      <c r="S171" s="4"/>
      <c r="T171" s="4"/>
      <c r="U171" s="4"/>
      <c r="V171" s="50"/>
      <c r="W171" s="4"/>
      <c r="X171" s="5"/>
    </row>
    <row r="172" spans="1:24" ht="15.6" x14ac:dyDescent="0.3">
      <c r="A172" s="6"/>
      <c r="B172" s="119" t="s">
        <v>56</v>
      </c>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6"/>
      <c r="B173" s="21"/>
      <c r="C173" s="8"/>
      <c r="D173" s="8"/>
      <c r="E173" s="8"/>
      <c r="F173" s="8"/>
      <c r="G173" s="8"/>
      <c r="H173" s="8"/>
      <c r="I173" s="8"/>
      <c r="J173" s="8"/>
      <c r="K173" s="8"/>
      <c r="L173" s="8"/>
      <c r="M173" s="8"/>
      <c r="N173" s="8"/>
      <c r="O173" s="8"/>
      <c r="P173" s="8"/>
      <c r="Q173" s="8"/>
      <c r="R173" s="8"/>
      <c r="S173" s="8"/>
      <c r="T173" s="8"/>
      <c r="U173" s="8"/>
      <c r="V173" s="52"/>
      <c r="W173" s="8"/>
      <c r="X173" s="5"/>
    </row>
    <row r="174" spans="1:24" ht="15.6" x14ac:dyDescent="0.3">
      <c r="A174" s="24"/>
      <c r="B174" s="25" t="s">
        <v>57</v>
      </c>
      <c r="C174" s="25"/>
      <c r="D174" s="25"/>
      <c r="E174" s="25"/>
      <c r="F174" s="25"/>
      <c r="G174" s="25"/>
      <c r="H174" s="25"/>
      <c r="I174" s="25"/>
      <c r="J174" s="25"/>
      <c r="K174" s="25"/>
      <c r="L174" s="25"/>
      <c r="M174" s="25"/>
      <c r="N174" s="25"/>
      <c r="O174" s="25"/>
      <c r="P174" s="25"/>
      <c r="Q174" s="25"/>
      <c r="R174" s="25"/>
      <c r="S174" s="25"/>
      <c r="T174" s="25"/>
      <c r="U174" s="25"/>
      <c r="V174" s="53">
        <f>V72</f>
        <v>1385001</v>
      </c>
      <c r="W174" s="25"/>
      <c r="X174" s="5"/>
    </row>
    <row r="175" spans="1:24" ht="15.6" x14ac:dyDescent="0.3">
      <c r="A175" s="24"/>
      <c r="B175" s="25" t="s">
        <v>58</v>
      </c>
      <c r="C175" s="25"/>
      <c r="D175" s="25"/>
      <c r="E175" s="25"/>
      <c r="F175" s="25"/>
      <c r="G175" s="25"/>
      <c r="H175" s="25"/>
      <c r="I175" s="25"/>
      <c r="J175" s="25"/>
      <c r="K175" s="25"/>
      <c r="L175" s="25"/>
      <c r="M175" s="25"/>
      <c r="N175" s="25"/>
      <c r="O175" s="25"/>
      <c r="P175" s="25"/>
      <c r="Q175" s="25"/>
      <c r="R175" s="25"/>
      <c r="S175" s="25"/>
      <c r="T175" s="25"/>
      <c r="U175" s="25"/>
      <c r="V175" s="53">
        <f>V85</f>
        <v>1385001</v>
      </c>
      <c r="W175" s="25"/>
      <c r="X175" s="5"/>
    </row>
    <row r="176" spans="1:24" ht="16.2" thickBot="1" x14ac:dyDescent="0.35">
      <c r="A176" s="24"/>
      <c r="B176" s="25"/>
      <c r="C176" s="25"/>
      <c r="D176" s="25"/>
      <c r="E176" s="25"/>
      <c r="F176" s="25"/>
      <c r="G176" s="25"/>
      <c r="H176" s="25"/>
      <c r="I176" s="25"/>
      <c r="J176" s="25"/>
      <c r="K176" s="25"/>
      <c r="L176" s="25"/>
      <c r="M176" s="25"/>
      <c r="N176" s="25"/>
      <c r="O176" s="25"/>
      <c r="P176" s="25"/>
      <c r="Q176" s="25"/>
      <c r="R176" s="25"/>
      <c r="S176" s="25"/>
      <c r="T176" s="25"/>
      <c r="U176" s="25"/>
      <c r="V176" s="61"/>
      <c r="W176" s="25"/>
      <c r="X176" s="5"/>
    </row>
    <row r="177" spans="1:24" ht="15.6" x14ac:dyDescent="0.3">
      <c r="A177" s="2"/>
      <c r="B177" s="4"/>
      <c r="C177" s="4"/>
      <c r="D177" s="4"/>
      <c r="E177" s="4"/>
      <c r="F177" s="4"/>
      <c r="G177" s="4"/>
      <c r="H177" s="4"/>
      <c r="I177" s="4"/>
      <c r="J177" s="4"/>
      <c r="K177" s="4"/>
      <c r="L177" s="4"/>
      <c r="M177" s="4"/>
      <c r="N177" s="4"/>
      <c r="O177" s="4"/>
      <c r="P177" s="4"/>
      <c r="Q177" s="4"/>
      <c r="R177" s="4"/>
      <c r="S177" s="4"/>
      <c r="T177" s="4"/>
      <c r="U177" s="4"/>
      <c r="V177" s="50"/>
      <c r="W177" s="4"/>
      <c r="X177" s="5"/>
    </row>
    <row r="178" spans="1:24" ht="15.6" x14ac:dyDescent="0.3">
      <c r="A178" s="6"/>
      <c r="B178" s="119" t="s">
        <v>59</v>
      </c>
      <c r="C178" s="117"/>
      <c r="D178" s="117"/>
      <c r="E178" s="117"/>
      <c r="F178" s="117"/>
      <c r="G178" s="117"/>
      <c r="H178" s="120"/>
      <c r="I178" s="120"/>
      <c r="J178" s="120"/>
      <c r="K178" s="120"/>
      <c r="L178" s="120"/>
      <c r="M178" s="120"/>
      <c r="N178" s="120"/>
      <c r="O178" s="120"/>
      <c r="P178" s="120"/>
      <c r="Q178" s="120"/>
      <c r="R178" s="120"/>
      <c r="S178" s="120" t="s">
        <v>102</v>
      </c>
      <c r="T178" s="120" t="s">
        <v>179</v>
      </c>
      <c r="U178" s="111"/>
      <c r="V178" s="121" t="s">
        <v>117</v>
      </c>
      <c r="W178" s="10"/>
      <c r="X178" s="5"/>
    </row>
    <row r="179" spans="1:24" ht="15.6" x14ac:dyDescent="0.3">
      <c r="A179" s="24"/>
      <c r="B179" s="25" t="s">
        <v>60</v>
      </c>
      <c r="C179" s="25"/>
      <c r="D179" s="25"/>
      <c r="E179" s="25"/>
      <c r="F179" s="25"/>
      <c r="G179" s="25"/>
      <c r="H179" s="25"/>
      <c r="I179" s="25"/>
      <c r="J179" s="25"/>
      <c r="K179" s="25"/>
      <c r="L179" s="25"/>
      <c r="M179" s="25"/>
      <c r="N179" s="25"/>
      <c r="O179" s="25"/>
      <c r="P179" s="25"/>
      <c r="Q179" s="25"/>
      <c r="R179" s="25"/>
      <c r="S179" s="53">
        <f>+V34*0.16</f>
        <v>240030.4</v>
      </c>
      <c r="T179" s="40"/>
      <c r="U179" s="25"/>
      <c r="V179" s="53"/>
      <c r="W179" s="25"/>
      <c r="X179" s="5"/>
    </row>
    <row r="180" spans="1:24" ht="15.6" x14ac:dyDescent="0.3">
      <c r="A180" s="24"/>
      <c r="B180" s="25" t="s">
        <v>61</v>
      </c>
      <c r="C180" s="25"/>
      <c r="D180" s="25"/>
      <c r="E180" s="25"/>
      <c r="F180" s="25"/>
      <c r="G180" s="25"/>
      <c r="H180" s="25"/>
      <c r="I180" s="25"/>
      <c r="J180" s="25"/>
      <c r="K180" s="25"/>
      <c r="L180" s="25"/>
      <c r="M180" s="25"/>
      <c r="N180" s="25"/>
      <c r="O180" s="25"/>
      <c r="P180" s="25"/>
      <c r="Q180" s="25"/>
      <c r="R180" s="25"/>
      <c r="S180" s="53">
        <f>+'June 07'!S182</f>
        <v>17102</v>
      </c>
      <c r="T180" s="53">
        <f>+'June 07'!T182</f>
        <v>6455</v>
      </c>
      <c r="U180" s="25"/>
      <c r="V180" s="53">
        <f>S180+T180</f>
        <v>23557</v>
      </c>
      <c r="W180" s="25"/>
      <c r="X180" s="5"/>
    </row>
    <row r="181" spans="1:24" ht="15.6" x14ac:dyDescent="0.3">
      <c r="A181" s="24"/>
      <c r="B181" s="25" t="s">
        <v>62</v>
      </c>
      <c r="C181" s="25"/>
      <c r="D181" s="25"/>
      <c r="E181" s="25"/>
      <c r="F181" s="25"/>
      <c r="G181" s="25"/>
      <c r="H181" s="25"/>
      <c r="I181" s="25"/>
      <c r="J181" s="25"/>
      <c r="K181" s="25"/>
      <c r="L181" s="25"/>
      <c r="M181" s="25"/>
      <c r="N181" s="25"/>
      <c r="O181" s="25"/>
      <c r="P181" s="25"/>
      <c r="Q181" s="25"/>
      <c r="R181" s="25"/>
      <c r="S181" s="34">
        <v>4949</v>
      </c>
      <c r="T181" s="34">
        <v>502</v>
      </c>
      <c r="U181" s="25"/>
      <c r="V181" s="53">
        <f>S181+T181</f>
        <v>5451</v>
      </c>
      <c r="W181" s="25"/>
      <c r="X181" s="5"/>
    </row>
    <row r="182" spans="1:24" ht="15.6" x14ac:dyDescent="0.3">
      <c r="A182" s="24"/>
      <c r="B182" s="25" t="s">
        <v>63</v>
      </c>
      <c r="C182" s="25"/>
      <c r="D182" s="25"/>
      <c r="E182" s="25"/>
      <c r="F182" s="25"/>
      <c r="G182" s="25"/>
      <c r="H182" s="25"/>
      <c r="I182" s="25"/>
      <c r="J182" s="25"/>
      <c r="K182" s="25"/>
      <c r="L182" s="25"/>
      <c r="M182" s="25"/>
      <c r="N182" s="25"/>
      <c r="O182" s="25"/>
      <c r="P182" s="25"/>
      <c r="Q182" s="25"/>
      <c r="R182" s="25"/>
      <c r="S182" s="53">
        <f>S180+S181</f>
        <v>22051</v>
      </c>
      <c r="T182" s="53">
        <f>T181+T180</f>
        <v>6957</v>
      </c>
      <c r="U182" s="25"/>
      <c r="V182" s="53">
        <f>S182+T182</f>
        <v>29008</v>
      </c>
      <c r="W182" s="25"/>
      <c r="X182" s="5"/>
    </row>
    <row r="183" spans="1:24" ht="15.6" x14ac:dyDescent="0.3">
      <c r="A183" s="24"/>
      <c r="B183" s="25" t="s">
        <v>64</v>
      </c>
      <c r="C183" s="25"/>
      <c r="D183" s="25"/>
      <c r="E183" s="25"/>
      <c r="F183" s="25"/>
      <c r="G183" s="25"/>
      <c r="H183" s="25"/>
      <c r="I183" s="25"/>
      <c r="J183" s="25"/>
      <c r="K183" s="25"/>
      <c r="L183" s="25"/>
      <c r="M183" s="25"/>
      <c r="N183" s="25"/>
      <c r="O183" s="25"/>
      <c r="P183" s="25"/>
      <c r="Q183" s="25"/>
      <c r="R183" s="25"/>
      <c r="S183" s="53">
        <f>S179-S182-T182</f>
        <v>211022.4</v>
      </c>
      <c r="T183" s="40"/>
      <c r="U183" s="25"/>
      <c r="V183" s="53"/>
      <c r="W183" s="25"/>
      <c r="X183" s="5"/>
    </row>
    <row r="184" spans="1:24" ht="16.2" thickBot="1" x14ac:dyDescent="0.35">
      <c r="A184" s="24"/>
      <c r="B184" s="25"/>
      <c r="C184" s="25"/>
      <c r="D184" s="25"/>
      <c r="E184" s="25"/>
      <c r="F184" s="25"/>
      <c r="G184" s="25"/>
      <c r="H184" s="25"/>
      <c r="I184" s="25"/>
      <c r="J184" s="25"/>
      <c r="K184" s="25"/>
      <c r="L184" s="25"/>
      <c r="M184" s="25"/>
      <c r="N184" s="25"/>
      <c r="O184" s="25"/>
      <c r="P184" s="25"/>
      <c r="Q184" s="25"/>
      <c r="R184" s="25"/>
      <c r="S184" s="25"/>
      <c r="T184" s="25"/>
      <c r="U184" s="25"/>
      <c r="V184" s="61"/>
      <c r="W184" s="25"/>
      <c r="X184" s="5"/>
    </row>
    <row r="185" spans="1:24" ht="15.6" x14ac:dyDescent="0.3">
      <c r="A185" s="2"/>
      <c r="B185" s="4"/>
      <c r="C185" s="4"/>
      <c r="D185" s="4"/>
      <c r="E185" s="4"/>
      <c r="F185" s="4"/>
      <c r="G185" s="4"/>
      <c r="H185" s="4"/>
      <c r="I185" s="4"/>
      <c r="J185" s="4"/>
      <c r="K185" s="4"/>
      <c r="L185" s="4"/>
      <c r="M185" s="4"/>
      <c r="N185" s="4"/>
      <c r="O185" s="4"/>
      <c r="P185" s="4"/>
      <c r="Q185" s="4"/>
      <c r="R185" s="4"/>
      <c r="S185" s="4"/>
      <c r="T185" s="4"/>
      <c r="U185" s="4"/>
      <c r="V185" s="50"/>
      <c r="W185" s="4"/>
      <c r="X185" s="5"/>
    </row>
    <row r="186" spans="1:24" ht="15.6" x14ac:dyDescent="0.3">
      <c r="A186" s="6"/>
      <c r="B186" s="119" t="s">
        <v>65</v>
      </c>
      <c r="C186" s="8"/>
      <c r="D186" s="8"/>
      <c r="E186" s="8"/>
      <c r="F186" s="8"/>
      <c r="G186" s="8"/>
      <c r="H186" s="8"/>
      <c r="I186" s="8"/>
      <c r="J186" s="8"/>
      <c r="K186" s="8"/>
      <c r="L186" s="8"/>
      <c r="M186" s="8"/>
      <c r="N186" s="8"/>
      <c r="O186" s="8"/>
      <c r="P186" s="8"/>
      <c r="Q186" s="8"/>
      <c r="R186" s="8"/>
      <c r="S186" s="8"/>
      <c r="T186" s="8"/>
      <c r="U186" s="8"/>
      <c r="V186" s="65"/>
      <c r="W186" s="8"/>
      <c r="X186" s="5"/>
    </row>
    <row r="187" spans="1:24" ht="15.6" x14ac:dyDescent="0.3">
      <c r="A187" s="24"/>
      <c r="B187" s="25" t="s">
        <v>66</v>
      </c>
      <c r="C187" s="25"/>
      <c r="D187" s="25"/>
      <c r="E187" s="25"/>
      <c r="F187" s="25"/>
      <c r="G187" s="25"/>
      <c r="H187" s="25"/>
      <c r="I187" s="25"/>
      <c r="J187" s="25"/>
      <c r="K187" s="25"/>
      <c r="L187" s="25"/>
      <c r="M187" s="25"/>
      <c r="N187" s="25"/>
      <c r="O187" s="25"/>
      <c r="P187" s="25"/>
      <c r="Q187" s="25"/>
      <c r="R187" s="25"/>
      <c r="S187" s="25"/>
      <c r="T187" s="25"/>
      <c r="U187" s="25"/>
      <c r="V187" s="59">
        <f>(V100+V102+V103+V104+V105)/-(V106+V107)</f>
        <v>1.3790763030913622</v>
      </c>
      <c r="W187" s="25" t="s">
        <v>118</v>
      </c>
      <c r="X187" s="5"/>
    </row>
    <row r="188" spans="1:24" ht="15.6" x14ac:dyDescent="0.3">
      <c r="A188" s="24"/>
      <c r="B188" s="25" t="s">
        <v>67</v>
      </c>
      <c r="C188" s="25"/>
      <c r="D188" s="25"/>
      <c r="E188" s="25"/>
      <c r="F188" s="25"/>
      <c r="G188" s="25"/>
      <c r="H188" s="25"/>
      <c r="I188" s="25"/>
      <c r="J188" s="25"/>
      <c r="K188" s="25"/>
      <c r="L188" s="25"/>
      <c r="M188" s="25"/>
      <c r="N188" s="25"/>
      <c r="O188" s="25"/>
      <c r="P188" s="25"/>
      <c r="Q188" s="25"/>
      <c r="R188" s="25"/>
      <c r="S188" s="25"/>
      <c r="T188" s="25"/>
      <c r="U188" s="25"/>
      <c r="V188" s="66">
        <v>1.35</v>
      </c>
      <c r="W188" s="25" t="s">
        <v>118</v>
      </c>
      <c r="X188" s="5"/>
    </row>
    <row r="189" spans="1:24" ht="15.6" x14ac:dyDescent="0.3">
      <c r="A189" s="24"/>
      <c r="B189" s="25" t="s">
        <v>68</v>
      </c>
      <c r="C189" s="25"/>
      <c r="D189" s="25"/>
      <c r="E189" s="25"/>
      <c r="F189" s="25"/>
      <c r="G189" s="25"/>
      <c r="H189" s="25"/>
      <c r="I189" s="25"/>
      <c r="J189" s="25"/>
      <c r="K189" s="25"/>
      <c r="L189" s="25"/>
      <c r="M189" s="25"/>
      <c r="N189" s="25"/>
      <c r="O189" s="25"/>
      <c r="P189" s="25"/>
      <c r="Q189" s="25"/>
      <c r="R189" s="25"/>
      <c r="S189" s="25"/>
      <c r="T189" s="25"/>
      <c r="U189" s="25"/>
      <c r="V189" s="59">
        <f>(V100+V102+V103+V104+V105+V106+V107)/-(V109+V110)</f>
        <v>4.1062607696726019</v>
      </c>
      <c r="W189" s="25" t="s">
        <v>118</v>
      </c>
      <c r="X189" s="5"/>
    </row>
    <row r="190" spans="1:24" ht="15.6" x14ac:dyDescent="0.3">
      <c r="A190" s="24"/>
      <c r="B190" s="25" t="s">
        <v>69</v>
      </c>
      <c r="C190" s="25"/>
      <c r="D190" s="25"/>
      <c r="E190" s="25"/>
      <c r="F190" s="25"/>
      <c r="G190" s="25"/>
      <c r="H190" s="25"/>
      <c r="I190" s="25"/>
      <c r="J190" s="25"/>
      <c r="K190" s="25"/>
      <c r="L190" s="25"/>
      <c r="M190" s="25"/>
      <c r="N190" s="25"/>
      <c r="O190" s="25"/>
      <c r="P190" s="25"/>
      <c r="Q190" s="25"/>
      <c r="R190" s="25"/>
      <c r="S190" s="25"/>
      <c r="T190" s="25"/>
      <c r="U190" s="25"/>
      <c r="V190" s="66">
        <v>3.92</v>
      </c>
      <c r="W190" s="25" t="s">
        <v>118</v>
      </c>
      <c r="X190" s="5"/>
    </row>
    <row r="191" spans="1:24" ht="15.6" x14ac:dyDescent="0.3">
      <c r="A191" s="24"/>
      <c r="B191" s="25" t="s">
        <v>201</v>
      </c>
      <c r="C191" s="25"/>
      <c r="D191" s="25"/>
      <c r="E191" s="25"/>
      <c r="F191" s="25"/>
      <c r="G191" s="25"/>
      <c r="H191" s="25"/>
      <c r="I191" s="25"/>
      <c r="J191" s="25"/>
      <c r="K191" s="25"/>
      <c r="L191" s="25"/>
      <c r="M191" s="25"/>
      <c r="N191" s="25"/>
      <c r="O191" s="25"/>
      <c r="P191" s="25"/>
      <c r="Q191" s="25"/>
      <c r="R191" s="25"/>
      <c r="S191" s="25"/>
      <c r="T191" s="25"/>
      <c r="U191" s="25"/>
      <c r="V191" s="59">
        <f>(V100+V102+V103+V104+V105+V106+V107+V109+V110)/-(V111+V112)</f>
        <v>5.0120481927710845</v>
      </c>
      <c r="W191" s="25" t="s">
        <v>118</v>
      </c>
      <c r="X191" s="5"/>
    </row>
    <row r="192" spans="1:24" ht="15.6" x14ac:dyDescent="0.3">
      <c r="A192" s="24"/>
      <c r="B192" s="25" t="s">
        <v>202</v>
      </c>
      <c r="C192" s="25"/>
      <c r="D192" s="25"/>
      <c r="E192" s="25"/>
      <c r="F192" s="25"/>
      <c r="G192" s="25"/>
      <c r="H192" s="25"/>
      <c r="I192" s="25"/>
      <c r="J192" s="25"/>
      <c r="K192" s="25"/>
      <c r="L192" s="25"/>
      <c r="M192" s="25"/>
      <c r="N192" s="25"/>
      <c r="O192" s="25"/>
      <c r="P192" s="25"/>
      <c r="Q192" s="25"/>
      <c r="R192" s="25"/>
      <c r="S192" s="25"/>
      <c r="T192" s="25"/>
      <c r="U192" s="25"/>
      <c r="V192" s="66">
        <v>4.71</v>
      </c>
      <c r="W192" s="25" t="s">
        <v>118</v>
      </c>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5"/>
    </row>
    <row r="195" spans="1:24" ht="15.6" x14ac:dyDescent="0.3">
      <c r="A195" s="6"/>
      <c r="B195" s="8"/>
      <c r="C195" s="8"/>
      <c r="D195" s="8"/>
      <c r="E195" s="8"/>
      <c r="F195" s="8"/>
      <c r="G195" s="8"/>
      <c r="H195" s="8"/>
      <c r="I195" s="8"/>
      <c r="J195" s="8"/>
      <c r="K195" s="8"/>
      <c r="L195" s="8"/>
      <c r="M195" s="8"/>
      <c r="N195" s="8"/>
      <c r="O195" s="8"/>
      <c r="P195" s="8"/>
      <c r="Q195" s="8"/>
      <c r="R195" s="8"/>
      <c r="S195" s="8"/>
      <c r="T195" s="8"/>
      <c r="U195" s="8"/>
      <c r="V195" s="8"/>
      <c r="W195" s="8"/>
      <c r="X195" s="5"/>
    </row>
    <row r="196" spans="1:24" ht="18" thickBot="1" x14ac:dyDescent="0.35">
      <c r="A196" s="101"/>
      <c r="B196" s="102" t="str">
        <f>B137</f>
        <v>PM13 INVESTOR REPORT QUARTER ENDING SEPTEMBER 2007</v>
      </c>
      <c r="C196" s="165"/>
      <c r="D196" s="165"/>
      <c r="E196" s="165"/>
      <c r="F196" s="165"/>
      <c r="G196" s="165"/>
      <c r="H196" s="165"/>
      <c r="I196" s="165"/>
      <c r="J196" s="165"/>
      <c r="K196" s="165"/>
      <c r="L196" s="165"/>
      <c r="M196" s="165"/>
      <c r="N196" s="165"/>
      <c r="O196" s="165"/>
      <c r="P196" s="165"/>
      <c r="Q196" s="165"/>
      <c r="R196" s="165"/>
      <c r="S196" s="165"/>
      <c r="T196" s="165"/>
      <c r="U196" s="165"/>
      <c r="V196" s="165"/>
      <c r="W196" s="166"/>
      <c r="X196" s="5"/>
    </row>
    <row r="197" spans="1:24" ht="15.6" x14ac:dyDescent="0.3">
      <c r="A197" s="67"/>
      <c r="B197" s="60" t="s">
        <v>70</v>
      </c>
      <c r="C197" s="68"/>
      <c r="D197" s="68"/>
      <c r="E197" s="68"/>
      <c r="F197" s="68"/>
      <c r="G197" s="69"/>
      <c r="H197" s="69"/>
      <c r="I197" s="69"/>
      <c r="J197" s="69"/>
      <c r="K197" s="69"/>
      <c r="L197" s="69"/>
      <c r="M197" s="69"/>
      <c r="N197" s="69"/>
      <c r="O197" s="69"/>
      <c r="P197" s="69"/>
      <c r="Q197" s="69"/>
      <c r="R197" s="69"/>
      <c r="S197" s="69"/>
      <c r="T197" s="70">
        <v>39353</v>
      </c>
      <c r="U197" s="4"/>
      <c r="V197" s="4"/>
      <c r="W197" s="4"/>
      <c r="X197" s="5"/>
    </row>
    <row r="198" spans="1:24" ht="15.6" x14ac:dyDescent="0.3">
      <c r="A198" s="71"/>
      <c r="B198" s="72"/>
      <c r="C198" s="73"/>
      <c r="D198" s="73"/>
      <c r="E198" s="73"/>
      <c r="F198" s="73"/>
      <c r="G198" s="74"/>
      <c r="H198" s="74"/>
      <c r="I198" s="74"/>
      <c r="J198" s="74"/>
      <c r="K198" s="74"/>
      <c r="L198" s="74"/>
      <c r="M198" s="74"/>
      <c r="N198" s="74"/>
      <c r="O198" s="74"/>
      <c r="P198" s="74"/>
      <c r="Q198" s="74"/>
      <c r="R198" s="74"/>
      <c r="S198" s="74"/>
      <c r="T198" s="74"/>
      <c r="U198" s="8"/>
      <c r="V198" s="8"/>
      <c r="W198" s="8"/>
      <c r="X198" s="5"/>
    </row>
    <row r="199" spans="1:24" ht="15.6" x14ac:dyDescent="0.3">
      <c r="A199" s="75"/>
      <c r="B199" s="76" t="s">
        <v>71</v>
      </c>
      <c r="C199" s="77"/>
      <c r="D199" s="77"/>
      <c r="E199" s="77"/>
      <c r="F199" s="77"/>
      <c r="G199" s="64"/>
      <c r="H199" s="64"/>
      <c r="I199" s="64"/>
      <c r="J199" s="64"/>
      <c r="K199" s="64"/>
      <c r="L199" s="64"/>
      <c r="M199" s="64"/>
      <c r="N199" s="64"/>
      <c r="O199" s="64"/>
      <c r="P199" s="64"/>
      <c r="Q199" s="64"/>
      <c r="R199" s="64"/>
      <c r="S199" s="64"/>
      <c r="T199" s="78">
        <v>5.4539999999999998E-2</v>
      </c>
      <c r="U199" s="25"/>
      <c r="V199" s="25"/>
      <c r="W199" s="25"/>
      <c r="X199" s="5"/>
    </row>
    <row r="200" spans="1:24" ht="15.6" x14ac:dyDescent="0.3">
      <c r="A200" s="75"/>
      <c r="B200" s="76" t="s">
        <v>154</v>
      </c>
      <c r="C200" s="77"/>
      <c r="D200" s="77"/>
      <c r="E200" s="77"/>
      <c r="F200" s="77"/>
      <c r="G200" s="64"/>
      <c r="H200" s="64"/>
      <c r="I200" s="64"/>
      <c r="J200" s="64"/>
      <c r="K200" s="64"/>
      <c r="L200" s="64"/>
      <c r="M200" s="64"/>
      <c r="N200" s="64"/>
      <c r="O200" s="64"/>
      <c r="P200" s="64"/>
      <c r="Q200" s="64"/>
      <c r="R200" s="64"/>
      <c r="S200" s="64"/>
      <c r="T200" s="39">
        <f>'Dec 06'!T199</f>
        <v>5.238600504269459E-2</v>
      </c>
      <c r="U200" s="25"/>
      <c r="V200" s="25"/>
      <c r="W200" s="25"/>
      <c r="X200" s="5"/>
    </row>
    <row r="201" spans="1:24" ht="15.6" x14ac:dyDescent="0.3">
      <c r="A201" s="75"/>
      <c r="B201" s="76" t="s">
        <v>72</v>
      </c>
      <c r="C201" s="77"/>
      <c r="D201" s="77"/>
      <c r="E201" s="77"/>
      <c r="F201" s="77"/>
      <c r="G201" s="64"/>
      <c r="H201" s="64"/>
      <c r="I201" s="64"/>
      <c r="J201" s="64"/>
      <c r="K201" s="64"/>
      <c r="L201" s="64"/>
      <c r="M201" s="64"/>
      <c r="N201" s="64"/>
      <c r="O201" s="64"/>
      <c r="P201" s="64"/>
      <c r="Q201" s="64"/>
      <c r="R201" s="64"/>
      <c r="S201" s="64"/>
      <c r="T201" s="78">
        <f>+T199-T200</f>
        <v>2.1539949573054079E-3</v>
      </c>
      <c r="U201" s="25"/>
      <c r="V201" s="25"/>
      <c r="W201" s="25"/>
      <c r="X201" s="5"/>
    </row>
    <row r="202" spans="1:24" ht="15.6" x14ac:dyDescent="0.3">
      <c r="A202" s="75"/>
      <c r="B202" s="76" t="s">
        <v>73</v>
      </c>
      <c r="C202" s="77"/>
      <c r="D202" s="77"/>
      <c r="E202" s="77"/>
      <c r="F202" s="77"/>
      <c r="G202" s="64"/>
      <c r="H202" s="64"/>
      <c r="I202" s="64"/>
      <c r="J202" s="64"/>
      <c r="K202" s="64"/>
      <c r="L202" s="64"/>
      <c r="M202" s="64"/>
      <c r="N202" s="64"/>
      <c r="O202" s="64"/>
      <c r="P202" s="64"/>
      <c r="Q202" s="64"/>
      <c r="R202" s="64"/>
      <c r="S202" s="64"/>
      <c r="T202" s="78">
        <v>5.7959999999999998E-2</v>
      </c>
      <c r="U202" s="25"/>
      <c r="V202" s="25"/>
      <c r="W202" s="25"/>
      <c r="X202" s="5"/>
    </row>
    <row r="203" spans="1:24" ht="15.6" x14ac:dyDescent="0.3">
      <c r="A203" s="75"/>
      <c r="B203" s="76" t="s">
        <v>222</v>
      </c>
      <c r="C203" s="77"/>
      <c r="D203" s="77"/>
      <c r="E203" s="77"/>
      <c r="F203" s="77"/>
      <c r="G203" s="64"/>
      <c r="H203" s="64"/>
      <c r="I203" s="64"/>
      <c r="J203" s="64"/>
      <c r="K203" s="64"/>
      <c r="L203" s="64"/>
      <c r="M203" s="64"/>
      <c r="N203" s="64"/>
      <c r="O203" s="64"/>
      <c r="P203" s="64"/>
      <c r="Q203" s="64"/>
      <c r="R203" s="64"/>
      <c r="S203" s="64"/>
      <c r="T203" s="78">
        <f>V43</f>
        <v>6.1116331183610179E-2</v>
      </c>
      <c r="U203" s="25"/>
      <c r="V203" s="25"/>
      <c r="W203" s="25"/>
      <c r="X203" s="5"/>
    </row>
    <row r="204" spans="1:24" ht="15.6" x14ac:dyDescent="0.3">
      <c r="A204" s="75"/>
      <c r="B204" s="76" t="s">
        <v>74</v>
      </c>
      <c r="C204" s="77"/>
      <c r="D204" s="77"/>
      <c r="E204" s="77"/>
      <c r="F204" s="77"/>
      <c r="G204" s="64"/>
      <c r="H204" s="64"/>
      <c r="I204" s="64"/>
      <c r="J204" s="64"/>
      <c r="K204" s="64"/>
      <c r="L204" s="64"/>
      <c r="M204" s="64"/>
      <c r="N204" s="64"/>
      <c r="O204" s="64"/>
      <c r="P204" s="64"/>
      <c r="Q204" s="64"/>
      <c r="R204" s="64"/>
      <c r="S204" s="64"/>
      <c r="T204" s="78">
        <f>T202-T203</f>
        <v>-3.1563311836101809E-3</v>
      </c>
      <c r="U204" s="25"/>
      <c r="V204" s="25"/>
      <c r="W204" s="25"/>
      <c r="X204" s="5"/>
    </row>
    <row r="205" spans="1:24" ht="15.6" x14ac:dyDescent="0.3">
      <c r="A205" s="75"/>
      <c r="B205" s="76" t="s">
        <v>274</v>
      </c>
      <c r="C205" s="77"/>
      <c r="D205" s="77"/>
      <c r="E205" s="77"/>
      <c r="F205" s="77"/>
      <c r="G205" s="64"/>
      <c r="H205" s="64"/>
      <c r="I205" s="64"/>
      <c r="J205" s="64"/>
      <c r="K205" s="64"/>
      <c r="L205" s="64"/>
      <c r="M205" s="64"/>
      <c r="N205" s="64"/>
      <c r="O205" s="64"/>
      <c r="P205" s="64"/>
      <c r="Q205" s="64"/>
      <c r="R205" s="64"/>
      <c r="S205" s="64"/>
      <c r="T205" s="78">
        <f>+V100/N72</f>
        <v>1.8683739249979618E-2</v>
      </c>
      <c r="U205" s="25"/>
      <c r="V205" s="25"/>
      <c r="W205" s="25"/>
      <c r="X205" s="5"/>
    </row>
    <row r="206" spans="1:24" ht="15.6" x14ac:dyDescent="0.3">
      <c r="A206" s="75"/>
      <c r="B206" s="76" t="s">
        <v>211</v>
      </c>
      <c r="C206" s="77"/>
      <c r="D206" s="77"/>
      <c r="E206" s="77"/>
      <c r="F206" s="77"/>
      <c r="G206" s="64"/>
      <c r="H206" s="64"/>
      <c r="I206" s="64"/>
      <c r="J206" s="64"/>
      <c r="K206" s="64"/>
      <c r="L206" s="64"/>
      <c r="M206" s="64"/>
      <c r="N206" s="64"/>
      <c r="O206" s="64"/>
      <c r="P206" s="64"/>
      <c r="Q206" s="64"/>
      <c r="R206" s="64"/>
      <c r="S206" s="64"/>
      <c r="T206" s="129">
        <v>50771</v>
      </c>
      <c r="U206" s="25"/>
      <c r="V206" s="25"/>
      <c r="W206" s="25"/>
      <c r="X206" s="5"/>
    </row>
    <row r="207" spans="1:24" ht="15.6" x14ac:dyDescent="0.3">
      <c r="A207" s="75"/>
      <c r="B207" s="76" t="s">
        <v>212</v>
      </c>
      <c r="C207" s="77"/>
      <c r="D207" s="77"/>
      <c r="E207" s="77"/>
      <c r="F207" s="77"/>
      <c r="G207" s="64"/>
      <c r="H207" s="64"/>
      <c r="I207" s="64"/>
      <c r="J207" s="64"/>
      <c r="K207" s="64"/>
      <c r="L207" s="64"/>
      <c r="M207" s="64"/>
      <c r="N207" s="64"/>
      <c r="O207" s="64"/>
      <c r="P207" s="64"/>
      <c r="Q207" s="64"/>
      <c r="R207" s="64"/>
      <c r="S207" s="64"/>
      <c r="T207" s="129">
        <v>50771</v>
      </c>
      <c r="U207" s="25"/>
      <c r="V207" s="25"/>
      <c r="W207" s="25"/>
      <c r="X207" s="5"/>
    </row>
    <row r="208" spans="1:24" ht="15.6" x14ac:dyDescent="0.3">
      <c r="A208" s="75"/>
      <c r="B208" s="76" t="s">
        <v>213</v>
      </c>
      <c r="C208" s="77"/>
      <c r="D208" s="77"/>
      <c r="E208" s="77"/>
      <c r="F208" s="77"/>
      <c r="G208" s="64"/>
      <c r="H208" s="64"/>
      <c r="I208" s="64"/>
      <c r="J208" s="64"/>
      <c r="K208" s="64"/>
      <c r="L208" s="64"/>
      <c r="M208" s="64"/>
      <c r="N208" s="64"/>
      <c r="O208" s="64"/>
      <c r="P208" s="64"/>
      <c r="Q208" s="64"/>
      <c r="R208" s="64"/>
      <c r="S208" s="64"/>
      <c r="T208" s="129">
        <v>50771</v>
      </c>
      <c r="U208" s="25"/>
      <c r="V208" s="25"/>
      <c r="W208" s="25"/>
      <c r="X208" s="5"/>
    </row>
    <row r="209" spans="1:24" ht="15.6" x14ac:dyDescent="0.3">
      <c r="A209" s="75"/>
      <c r="B209" s="76" t="s">
        <v>75</v>
      </c>
      <c r="C209" s="77"/>
      <c r="D209" s="77"/>
      <c r="E209" s="77"/>
      <c r="F209" s="77"/>
      <c r="G209" s="64"/>
      <c r="H209" s="64"/>
      <c r="I209" s="64"/>
      <c r="J209" s="64"/>
      <c r="K209" s="64"/>
      <c r="L209" s="64"/>
      <c r="M209" s="64"/>
      <c r="N209" s="64"/>
      <c r="O209" s="64"/>
      <c r="P209" s="64"/>
      <c r="Q209" s="64"/>
      <c r="R209" s="64"/>
      <c r="S209" s="64"/>
      <c r="T209" s="133">
        <v>20.66</v>
      </c>
      <c r="U209" s="25" t="s">
        <v>113</v>
      </c>
      <c r="V209" s="25"/>
      <c r="W209" s="25"/>
      <c r="X209" s="5"/>
    </row>
    <row r="210" spans="1:24" ht="15.6" x14ac:dyDescent="0.3">
      <c r="A210" s="75"/>
      <c r="B210" s="76" t="s">
        <v>76</v>
      </c>
      <c r="C210" s="77"/>
      <c r="D210" s="77"/>
      <c r="E210" s="77"/>
      <c r="F210" s="77"/>
      <c r="G210" s="64"/>
      <c r="H210" s="64"/>
      <c r="I210" s="64"/>
      <c r="J210" s="64"/>
      <c r="K210" s="64"/>
      <c r="L210" s="64"/>
      <c r="M210" s="64"/>
      <c r="N210" s="64"/>
      <c r="O210" s="64"/>
      <c r="P210" s="64"/>
      <c r="Q210" s="64"/>
      <c r="R210" s="64"/>
      <c r="S210" s="64"/>
      <c r="T210" s="133">
        <v>19.93</v>
      </c>
      <c r="U210" s="25" t="s">
        <v>113</v>
      </c>
      <c r="V210" s="25"/>
      <c r="W210" s="25"/>
      <c r="X210" s="5"/>
    </row>
    <row r="211" spans="1:24" ht="15.6" x14ac:dyDescent="0.3">
      <c r="A211" s="75"/>
      <c r="B211" s="76" t="s">
        <v>77</v>
      </c>
      <c r="C211" s="77"/>
      <c r="D211" s="77"/>
      <c r="E211" s="77"/>
      <c r="F211" s="77"/>
      <c r="G211" s="64"/>
      <c r="H211" s="64"/>
      <c r="I211" s="64"/>
      <c r="J211" s="64"/>
      <c r="K211" s="64"/>
      <c r="L211" s="64"/>
      <c r="M211" s="64"/>
      <c r="N211" s="64"/>
      <c r="O211" s="64"/>
      <c r="P211" s="64"/>
      <c r="Q211" s="64"/>
      <c r="R211" s="64"/>
      <c r="S211" s="64"/>
      <c r="T211" s="78">
        <f>+P69/N69</f>
        <v>3.2204376196594289E-2</v>
      </c>
      <c r="U211" s="25"/>
      <c r="V211" s="25"/>
      <c r="W211" s="25"/>
      <c r="X211" s="5"/>
    </row>
    <row r="212" spans="1:24" ht="15.6" x14ac:dyDescent="0.3">
      <c r="A212" s="75"/>
      <c r="B212" s="76" t="s">
        <v>78</v>
      </c>
      <c r="C212" s="77"/>
      <c r="D212" s="77"/>
      <c r="E212" s="77"/>
      <c r="F212" s="77"/>
      <c r="G212" s="64"/>
      <c r="H212" s="64"/>
      <c r="I212" s="64"/>
      <c r="J212" s="64"/>
      <c r="K212" s="64"/>
      <c r="L212" s="64"/>
      <c r="M212" s="64"/>
      <c r="N212" s="64"/>
      <c r="O212" s="64"/>
      <c r="P212" s="64"/>
      <c r="Q212" s="64"/>
      <c r="R212" s="64"/>
      <c r="S212" s="64"/>
      <c r="T212" s="78">
        <v>0.1079</v>
      </c>
      <c r="U212" s="25"/>
      <c r="V212" s="25"/>
      <c r="W212" s="25"/>
      <c r="X212" s="5"/>
    </row>
    <row r="213" spans="1:24" ht="15.6" x14ac:dyDescent="0.3">
      <c r="A213" s="75"/>
      <c r="B213" s="76"/>
      <c r="C213" s="76"/>
      <c r="D213" s="76"/>
      <c r="E213" s="76"/>
      <c r="F213" s="76"/>
      <c r="G213" s="25"/>
      <c r="H213" s="25"/>
      <c r="I213" s="25"/>
      <c r="J213" s="25"/>
      <c r="K213" s="25"/>
      <c r="L213" s="25"/>
      <c r="M213" s="25"/>
      <c r="N213" s="25"/>
      <c r="O213" s="25"/>
      <c r="P213" s="25"/>
      <c r="Q213" s="25"/>
      <c r="R213" s="25"/>
      <c r="S213" s="25"/>
      <c r="T213" s="61"/>
      <c r="U213" s="25"/>
      <c r="V213" s="79"/>
      <c r="W213" s="25"/>
      <c r="X213" s="5"/>
    </row>
    <row r="214" spans="1:24" ht="15.6" x14ac:dyDescent="0.3">
      <c r="A214" s="80"/>
      <c r="B214" s="14" t="s">
        <v>79</v>
      </c>
      <c r="C214" s="81"/>
      <c r="D214" s="81"/>
      <c r="E214" s="81"/>
      <c r="F214" s="82"/>
      <c r="G214" s="81"/>
      <c r="H214" s="17"/>
      <c r="I214" s="17"/>
      <c r="J214" s="17"/>
      <c r="K214" s="17"/>
      <c r="L214" s="17"/>
      <c r="M214" s="17"/>
      <c r="N214" s="17"/>
      <c r="O214" s="17"/>
      <c r="P214" s="17"/>
      <c r="Q214" s="17"/>
      <c r="R214" s="17"/>
      <c r="S214" s="17" t="s">
        <v>103</v>
      </c>
      <c r="T214" s="83" t="s">
        <v>110</v>
      </c>
      <c r="U214" s="8"/>
      <c r="V214" s="8"/>
      <c r="W214" s="8"/>
      <c r="X214" s="5"/>
    </row>
    <row r="215" spans="1:24" ht="15.6" x14ac:dyDescent="0.3">
      <c r="A215" s="84"/>
      <c r="B215" s="76" t="s">
        <v>80</v>
      </c>
      <c r="C215" s="54"/>
      <c r="D215" s="54"/>
      <c r="E215" s="54"/>
      <c r="F215" s="25"/>
      <c r="G215" s="25"/>
      <c r="H215" s="30"/>
      <c r="I215" s="30"/>
      <c r="J215" s="30"/>
      <c r="K215" s="30"/>
      <c r="L215" s="30"/>
      <c r="M215" s="30"/>
      <c r="N215" s="30"/>
      <c r="O215" s="30"/>
      <c r="P215" s="30"/>
      <c r="Q215" s="30"/>
      <c r="R215" s="30"/>
      <c r="S215" s="30">
        <v>0</v>
      </c>
      <c r="T215" s="85">
        <v>0</v>
      </c>
      <c r="U215" s="25"/>
      <c r="V215" s="79"/>
      <c r="W215" s="86"/>
      <c r="X215" s="5"/>
    </row>
    <row r="216" spans="1:24" ht="15.6" x14ac:dyDescent="0.3">
      <c r="A216" s="84"/>
      <c r="B216" s="76" t="s">
        <v>148</v>
      </c>
      <c r="C216" s="54"/>
      <c r="D216" s="54"/>
      <c r="E216" s="54"/>
      <c r="F216" s="25"/>
      <c r="G216" s="25"/>
      <c r="H216" s="30"/>
      <c r="I216" s="30"/>
      <c r="J216" s="30"/>
      <c r="K216" s="30"/>
      <c r="L216" s="30"/>
      <c r="M216" s="30"/>
      <c r="N216" s="30"/>
      <c r="O216" s="30"/>
      <c r="P216" s="30"/>
      <c r="Q216" s="30"/>
      <c r="R216" s="30"/>
      <c r="S216" s="152">
        <f>+R256</f>
        <v>20</v>
      </c>
      <c r="T216" s="85">
        <f>+T256</f>
        <v>2770</v>
      </c>
      <c r="U216" s="25"/>
      <c r="V216" s="79"/>
      <c r="W216" s="86"/>
      <c r="X216" s="5"/>
    </row>
    <row r="217" spans="1:24" ht="15.6" x14ac:dyDescent="0.3">
      <c r="A217" s="84"/>
      <c r="B217" s="76" t="s">
        <v>81</v>
      </c>
      <c r="C217" s="54"/>
      <c r="D217" s="54"/>
      <c r="E217" s="54"/>
      <c r="F217" s="25"/>
      <c r="G217" s="25"/>
      <c r="H217" s="30"/>
      <c r="I217" s="30"/>
      <c r="J217" s="30"/>
      <c r="K217" s="30"/>
      <c r="L217" s="30"/>
      <c r="M217" s="30"/>
      <c r="N217" s="30"/>
      <c r="O217" s="30"/>
      <c r="P217" s="30"/>
      <c r="Q217" s="30"/>
      <c r="R217" s="30"/>
      <c r="S217" s="30">
        <v>0</v>
      </c>
      <c r="T217" s="85">
        <v>0</v>
      </c>
      <c r="U217" s="25"/>
      <c r="V217" s="79"/>
      <c r="W217" s="86"/>
      <c r="X217" s="5"/>
    </row>
    <row r="218" spans="1:24" ht="15.6" x14ac:dyDescent="0.3">
      <c r="A218" s="84"/>
      <c r="B218" s="122" t="s">
        <v>82</v>
      </c>
      <c r="C218" s="54"/>
      <c r="D218" s="54"/>
      <c r="E218" s="54"/>
      <c r="F218" s="25"/>
      <c r="G218" s="25"/>
      <c r="H218" s="25"/>
      <c r="I218" s="25"/>
      <c r="J218" s="25"/>
      <c r="K218" s="25"/>
      <c r="L218" s="25"/>
      <c r="M218" s="25"/>
      <c r="N218" s="25"/>
      <c r="O218" s="25"/>
      <c r="P218" s="25"/>
      <c r="Q218" s="25"/>
      <c r="R218" s="25"/>
      <c r="S218" s="25"/>
      <c r="T218" s="85">
        <v>0</v>
      </c>
      <c r="U218" s="25"/>
      <c r="V218" s="79"/>
      <c r="W218" s="86"/>
      <c r="X218" s="5"/>
    </row>
    <row r="219" spans="1:24" ht="15.6" x14ac:dyDescent="0.3">
      <c r="A219" s="84"/>
      <c r="B219" s="122" t="s">
        <v>275</v>
      </c>
      <c r="C219" s="54"/>
      <c r="D219" s="54"/>
      <c r="E219" s="54"/>
      <c r="F219" s="25"/>
      <c r="G219" s="25"/>
      <c r="H219" s="25"/>
      <c r="I219" s="25"/>
      <c r="J219" s="25"/>
      <c r="K219" s="25"/>
      <c r="L219" s="25"/>
      <c r="M219" s="25"/>
      <c r="N219" s="25"/>
      <c r="O219" s="25"/>
      <c r="P219" s="25"/>
      <c r="Q219" s="25"/>
      <c r="R219" s="25"/>
      <c r="S219" s="25"/>
      <c r="T219" s="85">
        <f>+N82</f>
        <v>0</v>
      </c>
      <c r="U219" s="25"/>
      <c r="V219" s="79"/>
      <c r="W219" s="86"/>
      <c r="X219" s="5"/>
    </row>
    <row r="220" spans="1:24" ht="15.6" x14ac:dyDescent="0.3">
      <c r="A220" s="87"/>
      <c r="B220" s="122" t="s">
        <v>83</v>
      </c>
      <c r="C220" s="76"/>
      <c r="D220" s="76"/>
      <c r="E220" s="76"/>
      <c r="F220" s="76"/>
      <c r="G220" s="25"/>
      <c r="H220" s="25"/>
      <c r="I220" s="25"/>
      <c r="J220" s="25"/>
      <c r="K220" s="25"/>
      <c r="L220" s="25"/>
      <c r="M220" s="25"/>
      <c r="N220" s="25"/>
      <c r="O220" s="25"/>
      <c r="P220" s="25"/>
      <c r="Q220" s="25"/>
      <c r="R220" s="25"/>
      <c r="S220" s="25"/>
      <c r="T220" s="85"/>
      <c r="U220" s="25"/>
      <c r="V220" s="79"/>
      <c r="W220" s="88"/>
      <c r="X220" s="5"/>
    </row>
    <row r="221" spans="1:24" ht="15.6" x14ac:dyDescent="0.3">
      <c r="A221" s="87"/>
      <c r="B221" s="131" t="s">
        <v>84</v>
      </c>
      <c r="C221" s="76"/>
      <c r="D221" s="76"/>
      <c r="E221" s="76"/>
      <c r="F221" s="76"/>
      <c r="G221" s="25"/>
      <c r="H221" s="25"/>
      <c r="I221" s="25"/>
      <c r="J221" s="25"/>
      <c r="K221" s="25"/>
      <c r="L221" s="25"/>
      <c r="M221" s="25"/>
      <c r="N221" s="25"/>
      <c r="O221" s="25"/>
      <c r="P221" s="25"/>
      <c r="Q221" s="25"/>
      <c r="R221" s="25"/>
      <c r="S221" s="30"/>
      <c r="T221" s="85">
        <f>V166</f>
        <v>12</v>
      </c>
      <c r="U221" s="25"/>
      <c r="V221" s="79"/>
      <c r="W221" s="88"/>
      <c r="X221" s="5"/>
    </row>
    <row r="222" spans="1:24" ht="15.6" x14ac:dyDescent="0.3">
      <c r="A222" s="84"/>
      <c r="B222" s="76" t="s">
        <v>85</v>
      </c>
      <c r="C222" s="54"/>
      <c r="D222" s="54"/>
      <c r="E222" s="54"/>
      <c r="F222" s="54"/>
      <c r="G222" s="25"/>
      <c r="H222" s="25"/>
      <c r="I222" s="25"/>
      <c r="J222" s="25"/>
      <c r="K222" s="25"/>
      <c r="L222" s="25"/>
      <c r="M222" s="25"/>
      <c r="N222" s="25"/>
      <c r="O222" s="25"/>
      <c r="P222" s="25"/>
      <c r="Q222" s="25"/>
      <c r="R222" s="25"/>
      <c r="S222" s="30"/>
      <c r="T222" s="85">
        <f>+'June 07'!T222+T221</f>
        <v>16</v>
      </c>
      <c r="U222" s="25"/>
      <c r="V222" s="79"/>
      <c r="W222" s="88"/>
      <c r="X222" s="5"/>
    </row>
    <row r="223" spans="1:24" ht="15.6" x14ac:dyDescent="0.3">
      <c r="A223" s="87"/>
      <c r="B223" s="122" t="s">
        <v>297</v>
      </c>
      <c r="C223" s="76"/>
      <c r="D223" s="76"/>
      <c r="E223" s="76"/>
      <c r="F223" s="76"/>
      <c r="G223" s="25"/>
      <c r="H223" s="25"/>
      <c r="I223" s="25"/>
      <c r="J223" s="25"/>
      <c r="K223" s="25"/>
      <c r="L223" s="25"/>
      <c r="M223" s="25"/>
      <c r="N223" s="25"/>
      <c r="O223" s="25"/>
      <c r="P223" s="25"/>
      <c r="Q223" s="25"/>
      <c r="R223" s="25"/>
      <c r="S223" s="30"/>
      <c r="T223" s="85"/>
      <c r="U223" s="25"/>
      <c r="V223" s="79"/>
      <c r="W223" s="88"/>
      <c r="X223" s="5"/>
    </row>
    <row r="224" spans="1:24" ht="15.6" x14ac:dyDescent="0.3">
      <c r="A224" s="87"/>
      <c r="B224" s="76" t="s">
        <v>295</v>
      </c>
      <c r="C224" s="76"/>
      <c r="D224" s="76"/>
      <c r="E224" s="76"/>
      <c r="F224" s="76"/>
      <c r="G224" s="25"/>
      <c r="H224" s="25"/>
      <c r="I224" s="25"/>
      <c r="J224" s="25"/>
      <c r="K224" s="25"/>
      <c r="L224" s="25"/>
      <c r="M224" s="25"/>
      <c r="N224" s="25"/>
      <c r="O224" s="25"/>
      <c r="P224" s="25"/>
      <c r="Q224" s="25"/>
      <c r="R224" s="25"/>
      <c r="S224" s="30">
        <v>0</v>
      </c>
      <c r="T224" s="85">
        <v>0</v>
      </c>
      <c r="U224" s="25"/>
      <c r="V224" s="79"/>
      <c r="W224" s="88"/>
      <c r="X224" s="5"/>
    </row>
    <row r="225" spans="1:25" ht="15.6" x14ac:dyDescent="0.3">
      <c r="A225" s="84"/>
      <c r="B225" s="76" t="s">
        <v>87</v>
      </c>
      <c r="C225" s="89"/>
      <c r="D225" s="89"/>
      <c r="E225" s="89"/>
      <c r="F225" s="90"/>
      <c r="G225" s="25"/>
      <c r="H225" s="25"/>
      <c r="I225" s="25"/>
      <c r="J225" s="25"/>
      <c r="K225" s="25"/>
      <c r="L225" s="25"/>
      <c r="M225" s="25"/>
      <c r="N225" s="25"/>
      <c r="O225" s="25"/>
      <c r="P225" s="25"/>
      <c r="Q225" s="25"/>
      <c r="R225" s="25"/>
      <c r="S225" s="25"/>
      <c r="T225" s="62">
        <v>0</v>
      </c>
      <c r="U225" s="25"/>
      <c r="V225" s="79"/>
      <c r="W225" s="88"/>
      <c r="X225" s="5"/>
    </row>
    <row r="226" spans="1:25" ht="15.6" x14ac:dyDescent="0.3">
      <c r="A226" s="84"/>
      <c r="B226" s="76" t="s">
        <v>88</v>
      </c>
      <c r="C226" s="89"/>
      <c r="D226" s="89"/>
      <c r="E226" s="89"/>
      <c r="F226" s="90"/>
      <c r="G226" s="25"/>
      <c r="H226" s="25"/>
      <c r="I226" s="25"/>
      <c r="J226" s="25"/>
      <c r="K226" s="25"/>
      <c r="L226" s="25"/>
      <c r="M226" s="25"/>
      <c r="N226" s="25"/>
      <c r="O226" s="25"/>
      <c r="P226" s="25"/>
      <c r="Q226" s="25"/>
      <c r="R226" s="25"/>
      <c r="S226" s="25"/>
      <c r="T226" s="62">
        <v>0</v>
      </c>
      <c r="U226" s="25"/>
      <c r="V226" s="79"/>
      <c r="W226" s="88"/>
      <c r="X226" s="5"/>
    </row>
    <row r="227" spans="1:25" ht="15.6" x14ac:dyDescent="0.3">
      <c r="A227" s="84"/>
      <c r="B227" s="122" t="s">
        <v>220</v>
      </c>
      <c r="C227" s="89"/>
      <c r="D227" s="89"/>
      <c r="E227" s="89"/>
      <c r="F227" s="90"/>
      <c r="G227" s="25"/>
      <c r="H227" s="25"/>
      <c r="I227" s="25"/>
      <c r="J227" s="25"/>
      <c r="K227" s="25"/>
      <c r="L227" s="25"/>
      <c r="M227" s="25"/>
      <c r="N227" s="25"/>
      <c r="O227" s="25"/>
      <c r="P227" s="25"/>
      <c r="Q227" s="25"/>
      <c r="R227" s="25"/>
      <c r="S227" s="25"/>
      <c r="T227" s="91"/>
      <c r="U227" s="25"/>
      <c r="V227" s="79"/>
      <c r="W227" s="88"/>
      <c r="X227" s="5"/>
    </row>
    <row r="228" spans="1:25" ht="15.6" x14ac:dyDescent="0.3">
      <c r="A228" s="84"/>
      <c r="B228" s="76" t="s">
        <v>295</v>
      </c>
      <c r="C228" s="89"/>
      <c r="D228" s="89"/>
      <c r="E228" s="89"/>
      <c r="F228" s="90"/>
      <c r="G228" s="25"/>
      <c r="H228" s="25"/>
      <c r="I228" s="25"/>
      <c r="J228" s="25"/>
      <c r="K228" s="25"/>
      <c r="L228" s="25"/>
      <c r="M228" s="25"/>
      <c r="N228" s="25"/>
      <c r="O228" s="25"/>
      <c r="P228" s="25"/>
      <c r="Q228" s="25"/>
      <c r="R228" s="25"/>
      <c r="S228" s="30">
        <v>1</v>
      </c>
      <c r="T228" s="85">
        <v>97</v>
      </c>
      <c r="U228" s="25"/>
      <c r="V228" s="79"/>
      <c r="W228" s="88"/>
      <c r="X228" s="5"/>
    </row>
    <row r="229" spans="1:25" ht="15.6" x14ac:dyDescent="0.3">
      <c r="A229" s="84"/>
      <c r="B229" s="76" t="s">
        <v>221</v>
      </c>
      <c r="C229" s="89"/>
      <c r="D229" s="89"/>
      <c r="E229" s="89"/>
      <c r="F229" s="90"/>
      <c r="G229" s="25"/>
      <c r="H229" s="25"/>
      <c r="I229" s="25"/>
      <c r="J229" s="25"/>
      <c r="K229" s="25"/>
      <c r="L229" s="25"/>
      <c r="M229" s="25"/>
      <c r="N229" s="25"/>
      <c r="O229" s="25"/>
      <c r="P229" s="25"/>
      <c r="Q229" s="25"/>
      <c r="R229" s="25"/>
      <c r="S229" s="25"/>
      <c r="T229" s="62">
        <v>1.02</v>
      </c>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7.399999999999999" x14ac:dyDescent="0.3">
      <c r="A232" s="84"/>
      <c r="B232" s="149" t="s">
        <v>171</v>
      </c>
      <c r="C232" s="89"/>
      <c r="D232" s="89"/>
      <c r="E232" s="89"/>
      <c r="F232" s="90"/>
      <c r="G232" s="25"/>
      <c r="H232" s="25"/>
      <c r="I232" s="25"/>
      <c r="J232" s="25"/>
      <c r="K232" s="25"/>
      <c r="L232" s="25"/>
      <c r="M232" s="25"/>
      <c r="N232" s="25"/>
      <c r="O232" s="25"/>
      <c r="P232" s="150" t="s">
        <v>170</v>
      </c>
      <c r="Q232" s="25"/>
      <c r="R232" s="25"/>
      <c r="S232" s="25"/>
      <c r="T232" s="91"/>
      <c r="U232" s="25"/>
      <c r="V232" s="79"/>
      <c r="W232" s="88"/>
      <c r="X232" s="5"/>
    </row>
    <row r="233" spans="1:25" ht="15.6" x14ac:dyDescent="0.3">
      <c r="A233" s="84"/>
      <c r="B233" s="76"/>
      <c r="C233" s="89"/>
      <c r="D233" s="89"/>
      <c r="E233" s="89"/>
      <c r="F233" s="90"/>
      <c r="G233" s="25"/>
      <c r="H233" s="25"/>
      <c r="I233" s="25"/>
      <c r="J233" s="25"/>
      <c r="K233" s="25"/>
      <c r="L233" s="25"/>
      <c r="M233" s="25"/>
      <c r="N233" s="25"/>
      <c r="O233" s="25"/>
      <c r="P233" s="25"/>
      <c r="Q233" s="25"/>
      <c r="R233" s="25"/>
      <c r="S233" s="25"/>
      <c r="T233" s="91"/>
      <c r="U233" s="25"/>
      <c r="V233" s="79"/>
      <c r="W233" s="88"/>
      <c r="X233" s="5"/>
    </row>
    <row r="234" spans="1:25" ht="15.6" x14ac:dyDescent="0.3">
      <c r="A234" s="6"/>
      <c r="B234" s="14" t="s">
        <v>165</v>
      </c>
      <c r="C234" s="81"/>
      <c r="D234" s="81"/>
      <c r="E234" s="81"/>
      <c r="F234" s="82"/>
      <c r="G234" s="81"/>
      <c r="H234" s="17"/>
      <c r="I234" s="17"/>
      <c r="J234" s="17"/>
      <c r="K234" s="17"/>
      <c r="L234" s="17"/>
      <c r="M234" s="17"/>
      <c r="N234" s="17"/>
      <c r="O234" s="17"/>
      <c r="P234" s="17"/>
      <c r="Q234" s="17"/>
      <c r="R234" s="83" t="s">
        <v>103</v>
      </c>
      <c r="S234" s="17" t="s">
        <v>104</v>
      </c>
      <c r="T234" s="83" t="s">
        <v>111</v>
      </c>
      <c r="U234" s="17" t="s">
        <v>104</v>
      </c>
      <c r="V234" s="8"/>
      <c r="W234" s="92"/>
      <c r="X234" s="5"/>
    </row>
    <row r="235" spans="1:25" ht="15.6" x14ac:dyDescent="0.3">
      <c r="A235" s="24"/>
      <c r="B235" s="54" t="s">
        <v>89</v>
      </c>
      <c r="C235" s="93"/>
      <c r="D235" s="93"/>
      <c r="E235" s="93"/>
      <c r="F235" s="25"/>
      <c r="G235" s="93"/>
      <c r="H235" s="93"/>
      <c r="I235" s="93"/>
      <c r="J235" s="93"/>
      <c r="K235" s="93"/>
      <c r="L235" s="93"/>
      <c r="M235" s="93"/>
      <c r="N235" s="93"/>
      <c r="O235" s="93"/>
      <c r="P235" s="93"/>
      <c r="Q235" s="93"/>
      <c r="R235" s="54">
        <v>10941</v>
      </c>
      <c r="S235" s="94">
        <f t="shared" ref="S235:S242" si="1">R235/$R$244</f>
        <v>0.99617590822179736</v>
      </c>
      <c r="T235" s="53">
        <v>1375671</v>
      </c>
      <c r="U235" s="132">
        <f t="shared" ref="U235:U242" si="2">T235/$T$244</f>
        <v>0.99525404943167961</v>
      </c>
      <c r="V235" s="79"/>
      <c r="W235" s="88"/>
      <c r="X235" s="5"/>
    </row>
    <row r="236" spans="1:25" ht="15.6" x14ac:dyDescent="0.3">
      <c r="A236" s="24"/>
      <c r="B236" s="54" t="s">
        <v>90</v>
      </c>
      <c r="C236" s="93"/>
      <c r="D236" s="93"/>
      <c r="E236" s="93"/>
      <c r="F236" s="25"/>
      <c r="G236" s="94"/>
      <c r="H236" s="93"/>
      <c r="I236" s="93"/>
      <c r="J236" s="93"/>
      <c r="K236" s="93"/>
      <c r="L236" s="93"/>
      <c r="M236" s="93"/>
      <c r="N236" s="93"/>
      <c r="O236" s="93"/>
      <c r="P236" s="93"/>
      <c r="Q236" s="93"/>
      <c r="R236" s="54">
        <v>40</v>
      </c>
      <c r="S236" s="94">
        <f t="shared" si="1"/>
        <v>3.6419921697168349E-3</v>
      </c>
      <c r="T236" s="53">
        <v>6392</v>
      </c>
      <c r="U236" s="132">
        <f t="shared" si="2"/>
        <v>4.6244079318145809E-3</v>
      </c>
      <c r="V236" s="79"/>
      <c r="W236" s="88"/>
      <c r="X236" s="5"/>
      <c r="Y236" s="109"/>
    </row>
    <row r="237" spans="1:25" ht="15.6" x14ac:dyDescent="0.3">
      <c r="A237" s="24"/>
      <c r="B237" s="54" t="s">
        <v>91</v>
      </c>
      <c r="C237" s="93"/>
      <c r="D237" s="93"/>
      <c r="E237" s="93"/>
      <c r="F237" s="25"/>
      <c r="G237" s="94"/>
      <c r="H237" s="93"/>
      <c r="I237" s="93"/>
      <c r="J237" s="93"/>
      <c r="K237" s="93"/>
      <c r="L237" s="93"/>
      <c r="M237" s="93"/>
      <c r="N237" s="93"/>
      <c r="O237" s="93"/>
      <c r="P237" s="93"/>
      <c r="Q237" s="93"/>
      <c r="R237" s="54">
        <v>2</v>
      </c>
      <c r="S237" s="94">
        <f t="shared" si="1"/>
        <v>1.8209960848584176E-4</v>
      </c>
      <c r="T237" s="53">
        <v>168</v>
      </c>
      <c r="U237" s="132">
        <f t="shared" si="2"/>
        <v>1.2154263650576496E-4</v>
      </c>
      <c r="V237" s="79"/>
      <c r="W237" s="88"/>
      <c r="X237" s="5"/>
    </row>
    <row r="238" spans="1:25" ht="15.6" x14ac:dyDescent="0.3">
      <c r="A238" s="24"/>
      <c r="B238" s="54" t="s">
        <v>159</v>
      </c>
      <c r="C238" s="93"/>
      <c r="D238" s="93"/>
      <c r="E238" s="93"/>
      <c r="F238" s="25"/>
      <c r="G238" s="94"/>
      <c r="H238" s="93"/>
      <c r="I238" s="93"/>
      <c r="J238" s="93"/>
      <c r="K238" s="93"/>
      <c r="L238" s="93"/>
      <c r="M238" s="93"/>
      <c r="N238" s="93"/>
      <c r="O238" s="93"/>
      <c r="P238" s="93"/>
      <c r="Q238" s="93"/>
      <c r="R238" s="54">
        <v>0</v>
      </c>
      <c r="S238" s="94">
        <f t="shared" si="1"/>
        <v>0</v>
      </c>
      <c r="T238" s="53">
        <v>0</v>
      </c>
      <c r="U238" s="132">
        <f t="shared" si="2"/>
        <v>0</v>
      </c>
      <c r="V238" s="79"/>
      <c r="W238" s="88"/>
      <c r="X238" s="5"/>
      <c r="Y238" s="109"/>
    </row>
    <row r="239" spans="1:25" ht="15.6" x14ac:dyDescent="0.3">
      <c r="A239" s="24"/>
      <c r="B239" s="54" t="s">
        <v>160</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row>
    <row r="240" spans="1:25" ht="15.6" x14ac:dyDescent="0.3">
      <c r="A240" s="24"/>
      <c r="B240" s="54" t="s">
        <v>161</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c r="Y240" s="109"/>
    </row>
    <row r="241" spans="1:25" ht="15.6" x14ac:dyDescent="0.3">
      <c r="A241" s="24"/>
      <c r="B241" s="54" t="s">
        <v>162</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row>
    <row r="242" spans="1:25" ht="15.6" x14ac:dyDescent="0.3">
      <c r="A242" s="24"/>
      <c r="B242" s="54" t="s">
        <v>163</v>
      </c>
      <c r="C242" s="93"/>
      <c r="D242" s="93"/>
      <c r="E242" s="93"/>
      <c r="F242" s="25"/>
      <c r="G242" s="94"/>
      <c r="H242" s="93"/>
      <c r="I242" s="93"/>
      <c r="J242" s="93"/>
      <c r="K242" s="93"/>
      <c r="L242" s="93"/>
      <c r="M242" s="93"/>
      <c r="N242" s="93"/>
      <c r="O242" s="93"/>
      <c r="P242" s="93"/>
      <c r="Q242" s="93"/>
      <c r="R242" s="54">
        <v>0</v>
      </c>
      <c r="S242" s="94">
        <f t="shared" si="1"/>
        <v>0</v>
      </c>
      <c r="T242" s="53">
        <v>0</v>
      </c>
      <c r="U242" s="132">
        <f t="shared" si="2"/>
        <v>0</v>
      </c>
      <c r="V242" s="79"/>
      <c r="W242" s="88"/>
      <c r="X242" s="5"/>
      <c r="Y242" s="109"/>
    </row>
    <row r="243" spans="1:25" ht="15.6" x14ac:dyDescent="0.3">
      <c r="A243" s="24"/>
      <c r="B243" s="54"/>
      <c r="C243" s="93"/>
      <c r="D243" s="93"/>
      <c r="E243" s="93"/>
      <c r="F243" s="25"/>
      <c r="G243" s="94"/>
      <c r="H243" s="93"/>
      <c r="I243" s="93"/>
      <c r="J243" s="93"/>
      <c r="K243" s="93"/>
      <c r="L243" s="93"/>
      <c r="M243" s="93"/>
      <c r="N243" s="93"/>
      <c r="O243" s="93"/>
      <c r="P243" s="93"/>
      <c r="Q243" s="93"/>
      <c r="R243" s="54"/>
      <c r="S243" s="94"/>
      <c r="T243" s="53"/>
      <c r="U243" s="132"/>
      <c r="V243" s="79"/>
      <c r="W243" s="88"/>
      <c r="X243" s="5"/>
    </row>
    <row r="244" spans="1:25" ht="15.6" x14ac:dyDescent="0.3">
      <c r="A244" s="24"/>
      <c r="B244" s="25" t="s">
        <v>117</v>
      </c>
      <c r="C244" s="25"/>
      <c r="D244" s="25"/>
      <c r="E244" s="25"/>
      <c r="F244" s="25"/>
      <c r="G244" s="25"/>
      <c r="H244" s="95"/>
      <c r="I244" s="95"/>
      <c r="J244" s="95"/>
      <c r="K244" s="95"/>
      <c r="L244" s="95"/>
      <c r="M244" s="95"/>
      <c r="N244" s="95"/>
      <c r="O244" s="95"/>
      <c r="P244" s="95"/>
      <c r="Q244" s="95"/>
      <c r="R244" s="34">
        <f>SUM(R235:R243)</f>
        <v>10983</v>
      </c>
      <c r="S244" s="132">
        <f>SUM(S235:S243)</f>
        <v>1</v>
      </c>
      <c r="T244" s="53">
        <f>SUM(T235:T243)</f>
        <v>1382231</v>
      </c>
      <c r="U244" s="132">
        <f>SUM(U235:U243)</f>
        <v>1</v>
      </c>
      <c r="V244" s="25"/>
      <c r="W244" s="25"/>
      <c r="X244" s="5"/>
    </row>
    <row r="245" spans="1:25" ht="15.6" x14ac:dyDescent="0.3">
      <c r="A245" s="24"/>
      <c r="B245" s="25"/>
      <c r="C245" s="25"/>
      <c r="D245" s="25"/>
      <c r="E245" s="25"/>
      <c r="F245" s="25"/>
      <c r="G245" s="25"/>
      <c r="H245" s="95"/>
      <c r="I245" s="95"/>
      <c r="J245" s="95"/>
      <c r="K245" s="95"/>
      <c r="L245" s="95"/>
      <c r="M245" s="95"/>
      <c r="N245" s="95"/>
      <c r="O245" s="95"/>
      <c r="P245" s="95"/>
      <c r="Q245" s="95"/>
      <c r="R245" s="34"/>
      <c r="S245" s="132"/>
      <c r="T245" s="53"/>
      <c r="U245" s="132"/>
      <c r="V245" s="25"/>
      <c r="W245" s="25"/>
      <c r="X245" s="5"/>
    </row>
    <row r="246" spans="1:25" ht="15.6" x14ac:dyDescent="0.3">
      <c r="A246" s="141"/>
      <c r="B246" s="14" t="s">
        <v>279</v>
      </c>
      <c r="C246" s="81"/>
      <c r="D246" s="81"/>
      <c r="E246" s="81"/>
      <c r="F246" s="82"/>
      <c r="G246" s="81"/>
      <c r="H246" s="17"/>
      <c r="I246" s="17"/>
      <c r="J246" s="17"/>
      <c r="K246" s="17"/>
      <c r="L246" s="17"/>
      <c r="M246" s="17"/>
      <c r="N246" s="17"/>
      <c r="O246" s="17"/>
      <c r="P246" s="17"/>
      <c r="Q246" s="17"/>
      <c r="R246" s="83" t="s">
        <v>103</v>
      </c>
      <c r="S246" s="17" t="s">
        <v>104</v>
      </c>
      <c r="T246" s="83" t="s">
        <v>111</v>
      </c>
      <c r="U246" s="17" t="s">
        <v>104</v>
      </c>
      <c r="V246" s="139"/>
      <c r="W246" s="140"/>
      <c r="X246" s="5"/>
    </row>
    <row r="247" spans="1:25" ht="15.6" x14ac:dyDescent="0.3">
      <c r="A247" s="24"/>
      <c r="B247" s="54" t="s">
        <v>89</v>
      </c>
      <c r="C247" s="93"/>
      <c r="D247" s="93"/>
      <c r="E247" s="93"/>
      <c r="F247" s="25"/>
      <c r="G247" s="93"/>
      <c r="H247" s="93"/>
      <c r="I247" s="93"/>
      <c r="J247" s="93"/>
      <c r="K247" s="93"/>
      <c r="L247" s="93"/>
      <c r="M247" s="93"/>
      <c r="N247" s="93"/>
      <c r="O247" s="93"/>
      <c r="P247" s="93"/>
      <c r="Q247" s="93"/>
      <c r="R247" s="54">
        <v>15</v>
      </c>
      <c r="S247" s="94">
        <f t="shared" ref="S247:S254" si="3">R247/$R$256</f>
        <v>0.75</v>
      </c>
      <c r="T247" s="53">
        <v>1884</v>
      </c>
      <c r="U247" s="132">
        <f t="shared" ref="U247:U254" si="4">T247/$T$256</f>
        <v>0.68014440433212997</v>
      </c>
      <c r="V247" s="25"/>
      <c r="W247" s="25"/>
      <c r="X247" s="5"/>
    </row>
    <row r="248" spans="1:25" ht="15.6" x14ac:dyDescent="0.3">
      <c r="A248" s="24"/>
      <c r="B248" s="54" t="s">
        <v>90</v>
      </c>
      <c r="C248" s="93"/>
      <c r="D248" s="93"/>
      <c r="E248" s="93"/>
      <c r="F248" s="25"/>
      <c r="G248" s="94"/>
      <c r="H248" s="93"/>
      <c r="I248" s="93"/>
      <c r="J248" s="93"/>
      <c r="K248" s="93"/>
      <c r="L248" s="93"/>
      <c r="M248" s="93"/>
      <c r="N248" s="93"/>
      <c r="O248" s="93"/>
      <c r="P248" s="93"/>
      <c r="Q248" s="93"/>
      <c r="R248" s="54">
        <v>0</v>
      </c>
      <c r="S248" s="94">
        <f t="shared" si="3"/>
        <v>0</v>
      </c>
      <c r="T248" s="53">
        <v>0</v>
      </c>
      <c r="U248" s="132">
        <f t="shared" si="4"/>
        <v>0</v>
      </c>
      <c r="V248" s="25"/>
      <c r="W248" s="25"/>
      <c r="X248" s="5"/>
    </row>
    <row r="249" spans="1:25" ht="15.6" x14ac:dyDescent="0.3">
      <c r="A249" s="24"/>
      <c r="B249" s="54" t="s">
        <v>91</v>
      </c>
      <c r="C249" s="93"/>
      <c r="D249" s="93"/>
      <c r="E249" s="93"/>
      <c r="F249" s="25"/>
      <c r="G249" s="94"/>
      <c r="H249" s="93"/>
      <c r="I249" s="93"/>
      <c r="J249" s="93"/>
      <c r="K249" s="93"/>
      <c r="L249" s="93"/>
      <c r="M249" s="93"/>
      <c r="N249" s="93"/>
      <c r="O249" s="93"/>
      <c r="P249" s="93"/>
      <c r="Q249" s="93"/>
      <c r="R249" s="54">
        <v>2</v>
      </c>
      <c r="S249" s="94">
        <f t="shared" si="3"/>
        <v>0.1</v>
      </c>
      <c r="T249" s="53">
        <v>263</v>
      </c>
      <c r="U249" s="132">
        <f t="shared" si="4"/>
        <v>9.4945848375451267E-2</v>
      </c>
      <c r="V249" s="25"/>
      <c r="W249" s="25"/>
      <c r="X249" s="5"/>
    </row>
    <row r="250" spans="1:25" ht="15.6" x14ac:dyDescent="0.3">
      <c r="A250" s="24"/>
      <c r="B250" s="54" t="s">
        <v>159</v>
      </c>
      <c r="C250" s="93"/>
      <c r="D250" s="93"/>
      <c r="E250" s="93"/>
      <c r="F250" s="25"/>
      <c r="G250" s="94"/>
      <c r="H250" s="93"/>
      <c r="I250" s="93"/>
      <c r="J250" s="93"/>
      <c r="K250" s="93"/>
      <c r="L250" s="93"/>
      <c r="M250" s="93"/>
      <c r="N250" s="93"/>
      <c r="O250" s="93"/>
      <c r="P250" s="93"/>
      <c r="Q250" s="93"/>
      <c r="R250" s="54">
        <v>1</v>
      </c>
      <c r="S250" s="94">
        <f t="shared" si="3"/>
        <v>0.05</v>
      </c>
      <c r="T250" s="53">
        <v>260</v>
      </c>
      <c r="U250" s="132">
        <f t="shared" si="4"/>
        <v>9.3862815884476536E-2</v>
      </c>
      <c r="V250" s="25"/>
      <c r="W250" s="25"/>
      <c r="X250" s="5"/>
    </row>
    <row r="251" spans="1:25" ht="15.6" x14ac:dyDescent="0.3">
      <c r="A251" s="24"/>
      <c r="B251" s="54" t="s">
        <v>160</v>
      </c>
      <c r="C251" s="93"/>
      <c r="D251" s="93"/>
      <c r="E251" s="93"/>
      <c r="F251" s="25"/>
      <c r="G251" s="94"/>
      <c r="H251" s="93"/>
      <c r="I251" s="93"/>
      <c r="J251" s="93"/>
      <c r="K251" s="93"/>
      <c r="L251" s="93"/>
      <c r="M251" s="93"/>
      <c r="N251" s="93"/>
      <c r="O251" s="93"/>
      <c r="P251" s="93"/>
      <c r="Q251" s="93"/>
      <c r="R251" s="54">
        <v>1</v>
      </c>
      <c r="S251" s="94">
        <f t="shared" si="3"/>
        <v>0.05</v>
      </c>
      <c r="T251" s="53">
        <v>240</v>
      </c>
      <c r="U251" s="132">
        <f t="shared" si="4"/>
        <v>8.6642599277978335E-2</v>
      </c>
      <c r="V251" s="25"/>
      <c r="W251" s="25"/>
      <c r="X251" s="5"/>
    </row>
    <row r="252" spans="1:25" ht="15.6" x14ac:dyDescent="0.3">
      <c r="A252" s="24"/>
      <c r="B252" s="54" t="s">
        <v>161</v>
      </c>
      <c r="C252" s="93"/>
      <c r="D252" s="93"/>
      <c r="E252" s="93"/>
      <c r="F252" s="25"/>
      <c r="G252" s="94"/>
      <c r="H252" s="93"/>
      <c r="I252" s="93"/>
      <c r="J252" s="93"/>
      <c r="K252" s="93"/>
      <c r="L252" s="93"/>
      <c r="M252" s="93"/>
      <c r="N252" s="93"/>
      <c r="O252" s="93"/>
      <c r="P252" s="93"/>
      <c r="Q252" s="93"/>
      <c r="R252" s="54">
        <v>0</v>
      </c>
      <c r="S252" s="94">
        <f t="shared" si="3"/>
        <v>0</v>
      </c>
      <c r="T252" s="53">
        <v>0</v>
      </c>
      <c r="U252" s="132">
        <f t="shared" si="4"/>
        <v>0</v>
      </c>
      <c r="V252" s="25"/>
      <c r="W252" s="25"/>
      <c r="X252" s="5"/>
    </row>
    <row r="253" spans="1:25" ht="15.6" x14ac:dyDescent="0.3">
      <c r="A253" s="24"/>
      <c r="B253" s="54" t="s">
        <v>162</v>
      </c>
      <c r="C253" s="93"/>
      <c r="D253" s="93"/>
      <c r="E253" s="93"/>
      <c r="F253" s="25"/>
      <c r="G253" s="94"/>
      <c r="H253" s="93"/>
      <c r="I253" s="93"/>
      <c r="J253" s="93"/>
      <c r="K253" s="93"/>
      <c r="L253" s="93"/>
      <c r="M253" s="93"/>
      <c r="N253" s="93"/>
      <c r="O253" s="93"/>
      <c r="P253" s="93"/>
      <c r="Q253" s="93"/>
      <c r="R253" s="54">
        <v>1</v>
      </c>
      <c r="S253" s="94">
        <f t="shared" si="3"/>
        <v>0.05</v>
      </c>
      <c r="T253" s="53">
        <v>123</v>
      </c>
      <c r="U253" s="132">
        <f t="shared" si="4"/>
        <v>4.4404332129963899E-2</v>
      </c>
      <c r="V253" s="25"/>
      <c r="W253" s="25"/>
      <c r="X253" s="5"/>
    </row>
    <row r="254" spans="1:25" ht="15.6" x14ac:dyDescent="0.3">
      <c r="A254" s="24"/>
      <c r="B254" s="54" t="s">
        <v>163</v>
      </c>
      <c r="C254" s="93"/>
      <c r="D254" s="93"/>
      <c r="E254" s="93"/>
      <c r="F254" s="25"/>
      <c r="G254" s="94"/>
      <c r="H254" s="93"/>
      <c r="I254" s="93"/>
      <c r="J254" s="93"/>
      <c r="K254" s="93"/>
      <c r="L254" s="93"/>
      <c r="M254" s="93"/>
      <c r="N254" s="93"/>
      <c r="O254" s="93"/>
      <c r="P254" s="93"/>
      <c r="Q254" s="93"/>
      <c r="R254" s="54">
        <v>0</v>
      </c>
      <c r="S254" s="94">
        <f t="shared" si="3"/>
        <v>0</v>
      </c>
      <c r="T254" s="53">
        <v>0</v>
      </c>
      <c r="U254" s="132">
        <f t="shared" si="4"/>
        <v>0</v>
      </c>
      <c r="V254" s="25"/>
      <c r="W254" s="25"/>
      <c r="X254" s="5"/>
    </row>
    <row r="255" spans="1:25" ht="15.6" x14ac:dyDescent="0.3">
      <c r="A255" s="24"/>
      <c r="B255" s="54"/>
      <c r="C255" s="93"/>
      <c r="D255" s="93"/>
      <c r="E255" s="93"/>
      <c r="F255" s="25"/>
      <c r="G255" s="94"/>
      <c r="H255" s="93"/>
      <c r="I255" s="93"/>
      <c r="J255" s="93"/>
      <c r="K255" s="93"/>
      <c r="L255" s="93"/>
      <c r="M255" s="93"/>
      <c r="N255" s="93"/>
      <c r="O255" s="93"/>
      <c r="P255" s="93"/>
      <c r="Q255" s="93"/>
      <c r="R255" s="54"/>
      <c r="S255" s="94"/>
      <c r="T255" s="53"/>
      <c r="U255" s="132"/>
      <c r="V255" s="25"/>
      <c r="W255" s="25"/>
      <c r="X255" s="5"/>
    </row>
    <row r="256" spans="1:25" ht="15.6" x14ac:dyDescent="0.3">
      <c r="A256" s="24"/>
      <c r="B256" s="25" t="s">
        <v>117</v>
      </c>
      <c r="C256" s="25"/>
      <c r="D256" s="25"/>
      <c r="E256" s="25"/>
      <c r="F256" s="25"/>
      <c r="G256" s="25"/>
      <c r="H256" s="95"/>
      <c r="I256" s="95"/>
      <c r="J256" s="95"/>
      <c r="K256" s="95"/>
      <c r="L256" s="95"/>
      <c r="M256" s="95"/>
      <c r="N256" s="95"/>
      <c r="O256" s="95"/>
      <c r="P256" s="95"/>
      <c r="Q256" s="95"/>
      <c r="R256" s="34">
        <f>SUM(R247:R255)</f>
        <v>20</v>
      </c>
      <c r="S256" s="132">
        <f>SUM(S247:S255)</f>
        <v>1</v>
      </c>
      <c r="T256" s="53">
        <f>SUM(T247:T255)</f>
        <v>2770</v>
      </c>
      <c r="U256" s="132">
        <f>SUM(U247:U255)</f>
        <v>1</v>
      </c>
      <c r="V256" s="25"/>
      <c r="W256" s="25"/>
      <c r="X256" s="5"/>
    </row>
    <row r="257" spans="1:24" ht="15.6" x14ac:dyDescent="0.3">
      <c r="A257" s="24"/>
      <c r="B257" s="25"/>
      <c r="C257" s="25"/>
      <c r="D257" s="25"/>
      <c r="E257" s="25"/>
      <c r="F257" s="25"/>
      <c r="G257" s="25"/>
      <c r="H257" s="95"/>
      <c r="I257" s="95"/>
      <c r="J257" s="95"/>
      <c r="K257" s="95"/>
      <c r="L257" s="95"/>
      <c r="M257" s="95"/>
      <c r="N257" s="95"/>
      <c r="O257" s="95"/>
      <c r="P257" s="95"/>
      <c r="Q257" s="95"/>
      <c r="R257" s="34"/>
      <c r="S257" s="132"/>
      <c r="T257" s="53"/>
      <c r="U257" s="132"/>
      <c r="V257" s="25"/>
      <c r="W257" s="25"/>
      <c r="X257" s="5"/>
    </row>
    <row r="258" spans="1:24" ht="15.6" x14ac:dyDescent="0.3">
      <c r="A258" s="141"/>
      <c r="B258" s="14" t="s">
        <v>166</v>
      </c>
      <c r="C258" s="139"/>
      <c r="D258" s="139"/>
      <c r="E258" s="139"/>
      <c r="F258" s="139"/>
      <c r="G258" s="139"/>
      <c r="H258" s="145"/>
      <c r="I258" s="145"/>
      <c r="J258" s="145"/>
      <c r="K258" s="145"/>
      <c r="L258" s="145"/>
      <c r="M258" s="145"/>
      <c r="N258" s="145"/>
      <c r="O258" s="145"/>
      <c r="P258" s="145"/>
      <c r="Q258" s="145"/>
      <c r="R258" s="83" t="s">
        <v>103</v>
      </c>
      <c r="S258" s="17" t="s">
        <v>104</v>
      </c>
      <c r="T258" s="83" t="s">
        <v>111</v>
      </c>
      <c r="U258" s="17" t="s">
        <v>104</v>
      </c>
      <c r="V258" s="139"/>
      <c r="W258" s="140"/>
      <c r="X258" s="5"/>
    </row>
    <row r="259" spans="1:24" ht="15.6" x14ac:dyDescent="0.3">
      <c r="A259" s="24"/>
      <c r="B259" s="54" t="s">
        <v>89</v>
      </c>
      <c r="C259" s="25"/>
      <c r="D259" s="25"/>
      <c r="E259" s="25"/>
      <c r="F259" s="25"/>
      <c r="G259" s="25"/>
      <c r="H259" s="95"/>
      <c r="I259" s="95"/>
      <c r="J259" s="95"/>
      <c r="K259" s="95"/>
      <c r="L259" s="95"/>
      <c r="M259" s="95"/>
      <c r="N259" s="95"/>
      <c r="O259" s="95"/>
      <c r="P259" s="95"/>
      <c r="Q259" s="95"/>
      <c r="R259" s="54">
        <v>0</v>
      </c>
      <c r="S259" s="94">
        <v>0</v>
      </c>
      <c r="T259" s="53">
        <v>0</v>
      </c>
      <c r="U259" s="132">
        <v>0</v>
      </c>
      <c r="V259" s="25"/>
      <c r="W259" s="25"/>
      <c r="X259" s="5"/>
    </row>
    <row r="260" spans="1:24" ht="15.6" x14ac:dyDescent="0.3">
      <c r="A260" s="24"/>
      <c r="B260" s="54" t="s">
        <v>90</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91</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159</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160</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161</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t="s">
        <v>162</v>
      </c>
      <c r="C265" s="25"/>
      <c r="D265" s="25"/>
      <c r="E265" s="25"/>
      <c r="F265" s="25"/>
      <c r="G265" s="25"/>
      <c r="H265" s="95"/>
      <c r="I265" s="95"/>
      <c r="J265" s="95"/>
      <c r="K265" s="95"/>
      <c r="L265" s="95"/>
      <c r="M265" s="95"/>
      <c r="N265" s="95"/>
      <c r="O265" s="95"/>
      <c r="P265" s="95"/>
      <c r="Q265" s="95"/>
      <c r="R265" s="54">
        <v>0</v>
      </c>
      <c r="S265" s="94">
        <v>0</v>
      </c>
      <c r="T265" s="53">
        <v>0</v>
      </c>
      <c r="U265" s="132">
        <v>0</v>
      </c>
      <c r="V265" s="25"/>
      <c r="W265" s="25"/>
      <c r="X265" s="5"/>
    </row>
    <row r="266" spans="1:24" ht="15.6" x14ac:dyDescent="0.3">
      <c r="A266" s="24"/>
      <c r="B266" s="54" t="s">
        <v>163</v>
      </c>
      <c r="C266" s="25"/>
      <c r="D266" s="25"/>
      <c r="E266" s="25"/>
      <c r="F266" s="25"/>
      <c r="G266" s="25"/>
      <c r="H266" s="95"/>
      <c r="I266" s="95"/>
      <c r="J266" s="95"/>
      <c r="K266" s="95"/>
      <c r="L266" s="95"/>
      <c r="M266" s="95"/>
      <c r="N266" s="95"/>
      <c r="O266" s="95"/>
      <c r="P266" s="95"/>
      <c r="Q266" s="95"/>
      <c r="R266" s="54">
        <v>0</v>
      </c>
      <c r="S266" s="94">
        <v>0</v>
      </c>
      <c r="T266" s="53">
        <v>0</v>
      </c>
      <c r="U266" s="132">
        <v>0</v>
      </c>
      <c r="V266" s="25"/>
      <c r="W266" s="25"/>
      <c r="X266" s="5"/>
    </row>
    <row r="267" spans="1:24" ht="15.6" x14ac:dyDescent="0.3">
      <c r="A267" s="24"/>
      <c r="B267" s="54"/>
      <c r="C267" s="25"/>
      <c r="D267" s="25"/>
      <c r="E267" s="25"/>
      <c r="F267" s="25"/>
      <c r="G267" s="25"/>
      <c r="H267" s="95"/>
      <c r="I267" s="95"/>
      <c r="J267" s="95"/>
      <c r="K267" s="95"/>
      <c r="L267" s="95"/>
      <c r="M267" s="95"/>
      <c r="N267" s="95"/>
      <c r="O267" s="95"/>
      <c r="P267" s="95"/>
      <c r="Q267" s="95"/>
      <c r="R267" s="54"/>
      <c r="S267" s="94"/>
      <c r="T267" s="53"/>
      <c r="U267" s="132"/>
      <c r="V267" s="25"/>
      <c r="W267" s="25"/>
      <c r="X267" s="5"/>
    </row>
    <row r="268" spans="1:24" ht="15.6" x14ac:dyDescent="0.3">
      <c r="A268" s="24"/>
      <c r="B268" s="25" t="s">
        <v>117</v>
      </c>
      <c r="C268" s="25"/>
      <c r="D268" s="25"/>
      <c r="E268" s="25"/>
      <c r="F268" s="25"/>
      <c r="G268" s="25"/>
      <c r="H268" s="95"/>
      <c r="I268" s="95"/>
      <c r="J268" s="95"/>
      <c r="K268" s="95"/>
      <c r="L268" s="95"/>
      <c r="M268" s="95"/>
      <c r="N268" s="95"/>
      <c r="O268" s="95"/>
      <c r="P268" s="95"/>
      <c r="Q268" s="95"/>
      <c r="R268" s="34">
        <f>SUM(R259:R266)</f>
        <v>0</v>
      </c>
      <c r="S268" s="94">
        <f>SUM(S259:S266)</f>
        <v>0</v>
      </c>
      <c r="T268" s="53">
        <f>SUM(T259:T266)</f>
        <v>0</v>
      </c>
      <c r="U268" s="132">
        <f>SUM(U259:U266)</f>
        <v>0</v>
      </c>
      <c r="V268" s="25"/>
      <c r="W268" s="25"/>
      <c r="X268" s="5"/>
    </row>
    <row r="269" spans="1:24" ht="15.6" x14ac:dyDescent="0.3">
      <c r="A269" s="24"/>
      <c r="B269" s="25"/>
      <c r="C269" s="25"/>
      <c r="D269" s="25"/>
      <c r="E269" s="25"/>
      <c r="F269" s="25"/>
      <c r="G269" s="25"/>
      <c r="H269" s="95"/>
      <c r="I269" s="95"/>
      <c r="J269" s="95"/>
      <c r="K269" s="95"/>
      <c r="L269" s="95"/>
      <c r="M269" s="95"/>
      <c r="N269" s="95"/>
      <c r="O269" s="95"/>
      <c r="P269" s="95"/>
      <c r="Q269" s="95"/>
      <c r="R269" s="34"/>
      <c r="S269" s="132"/>
      <c r="T269" s="53"/>
      <c r="U269" s="132"/>
      <c r="V269" s="25"/>
      <c r="W269" s="25"/>
      <c r="X269" s="5"/>
    </row>
    <row r="270" spans="1:24" ht="15.6" x14ac:dyDescent="0.3">
      <c r="A270" s="24"/>
      <c r="B270" s="142" t="s">
        <v>167</v>
      </c>
      <c r="C270" s="25"/>
      <c r="D270" s="25"/>
      <c r="E270" s="25"/>
      <c r="F270" s="25"/>
      <c r="G270" s="25"/>
      <c r="H270" s="95"/>
      <c r="I270" s="95"/>
      <c r="J270" s="95"/>
      <c r="K270" s="95"/>
      <c r="L270" s="95"/>
      <c r="M270" s="95"/>
      <c r="N270" s="95"/>
      <c r="O270" s="95"/>
      <c r="P270" s="95"/>
      <c r="Q270" s="95"/>
      <c r="R270" s="161">
        <f>R268+R256+R244</f>
        <v>11003</v>
      </c>
      <c r="S270" s="143"/>
      <c r="T270" s="144">
        <f>+T268+T256+T244</f>
        <v>1385001</v>
      </c>
      <c r="U270" s="143"/>
      <c r="V270" s="25"/>
      <c r="W270" s="25"/>
      <c r="X270" s="5"/>
    </row>
    <row r="271" spans="1:24" ht="15.6" x14ac:dyDescent="0.3">
      <c r="A271" s="24"/>
      <c r="B271" s="25"/>
      <c r="C271" s="25"/>
      <c r="D271" s="25"/>
      <c r="E271" s="25"/>
      <c r="F271" s="25"/>
      <c r="G271" s="25"/>
      <c r="H271" s="95"/>
      <c r="I271" s="95"/>
      <c r="J271" s="95"/>
      <c r="K271" s="95"/>
      <c r="L271" s="95"/>
      <c r="M271" s="95"/>
      <c r="N271" s="95"/>
      <c r="O271" s="95"/>
      <c r="P271" s="95"/>
      <c r="Q271" s="95"/>
      <c r="R271" s="95"/>
      <c r="S271" s="95"/>
      <c r="T271" s="53"/>
      <c r="U271" s="95"/>
      <c r="V271" s="25"/>
      <c r="W271" s="25"/>
      <c r="X271" s="5"/>
    </row>
    <row r="272" spans="1:24" ht="15.6" x14ac:dyDescent="0.3">
      <c r="A272" s="6"/>
      <c r="B272" s="8"/>
      <c r="C272" s="8"/>
      <c r="D272" s="8"/>
      <c r="E272" s="8"/>
      <c r="F272" s="8"/>
      <c r="G272" s="8"/>
      <c r="H272" s="96"/>
      <c r="I272" s="96"/>
      <c r="J272" s="96"/>
      <c r="K272" s="96"/>
      <c r="L272" s="96"/>
      <c r="M272" s="96"/>
      <c r="N272" s="96"/>
      <c r="O272" s="96"/>
      <c r="P272" s="96"/>
      <c r="Q272" s="96"/>
      <c r="R272" s="96"/>
      <c r="S272" s="96"/>
      <c r="T272" s="97"/>
      <c r="U272" s="96"/>
      <c r="V272" s="8"/>
      <c r="W272" s="8"/>
      <c r="X272" s="5"/>
    </row>
    <row r="273" spans="1:24" ht="15.6" x14ac:dyDescent="0.3">
      <c r="A273" s="167"/>
      <c r="B273" s="14" t="s">
        <v>92</v>
      </c>
      <c r="C273" s="15"/>
      <c r="D273" s="15"/>
      <c r="E273" s="15"/>
      <c r="F273" s="17" t="s">
        <v>98</v>
      </c>
      <c r="G273" s="15"/>
      <c r="H273" s="14" t="s">
        <v>100</v>
      </c>
      <c r="I273" s="14"/>
      <c r="J273" s="14"/>
      <c r="K273" s="162"/>
      <c r="L273" s="162"/>
      <c r="M273" s="162"/>
      <c r="N273" s="162"/>
      <c r="O273" s="162"/>
      <c r="P273" s="162"/>
      <c r="Q273" s="162"/>
      <c r="R273" s="162"/>
      <c r="S273" s="162"/>
      <c r="T273" s="162"/>
      <c r="U273" s="162"/>
      <c r="V273" s="162"/>
      <c r="W273" s="162"/>
      <c r="X273" s="5"/>
    </row>
    <row r="274" spans="1:24" ht="15.6" x14ac:dyDescent="0.3">
      <c r="A274" s="167"/>
      <c r="B274" s="13" t="s">
        <v>93</v>
      </c>
      <c r="C274" s="8"/>
      <c r="D274" s="8"/>
      <c r="E274" s="8"/>
      <c r="F274" s="130" t="s">
        <v>151</v>
      </c>
      <c r="G274" s="8"/>
      <c r="H274" s="13" t="s">
        <v>155</v>
      </c>
      <c r="I274" s="13"/>
      <c r="J274" s="13"/>
      <c r="K274" s="162"/>
      <c r="L274" s="162"/>
      <c r="M274" s="162"/>
      <c r="N274" s="162"/>
      <c r="O274" s="162"/>
      <c r="P274" s="162"/>
      <c r="Q274" s="162"/>
      <c r="R274" s="162"/>
      <c r="S274" s="162"/>
      <c r="T274" s="162"/>
      <c r="U274" s="162"/>
      <c r="V274" s="162"/>
      <c r="W274" s="162"/>
      <c r="X274" s="5"/>
    </row>
    <row r="275" spans="1:24" ht="15.6" x14ac:dyDescent="0.3">
      <c r="A275" s="167"/>
      <c r="B275" s="13" t="s">
        <v>281</v>
      </c>
      <c r="C275" s="13"/>
      <c r="D275" s="13"/>
      <c r="E275" s="13"/>
      <c r="F275" s="130" t="s">
        <v>282</v>
      </c>
      <c r="G275" s="13"/>
      <c r="H275" s="13" t="s">
        <v>283</v>
      </c>
      <c r="I275" s="162"/>
      <c r="J275" s="13"/>
      <c r="K275" s="162"/>
      <c r="L275" s="162"/>
      <c r="M275" s="162"/>
      <c r="N275" s="162"/>
      <c r="O275" s="162"/>
      <c r="P275" s="162"/>
      <c r="Q275" s="162"/>
      <c r="R275" s="162"/>
      <c r="S275" s="162"/>
      <c r="T275" s="162"/>
      <c r="U275" s="162"/>
      <c r="V275" s="162"/>
      <c r="W275" s="162"/>
      <c r="X275" s="5"/>
    </row>
    <row r="276" spans="1:24" ht="15.6" x14ac:dyDescent="0.3">
      <c r="A276" s="167"/>
      <c r="B276" s="13" t="s">
        <v>94</v>
      </c>
      <c r="C276" s="13"/>
      <c r="D276" s="13"/>
      <c r="E276" s="13"/>
      <c r="F276" s="130" t="s">
        <v>150</v>
      </c>
      <c r="G276" s="13"/>
      <c r="H276" s="13" t="s">
        <v>156</v>
      </c>
      <c r="I276" s="13"/>
      <c r="J276" s="13"/>
      <c r="K276" s="162"/>
      <c r="L276" s="162"/>
      <c r="M276" s="162"/>
      <c r="N276" s="162"/>
      <c r="O276" s="162"/>
      <c r="P276" s="162"/>
      <c r="Q276" s="162"/>
      <c r="R276" s="162"/>
      <c r="S276" s="162"/>
      <c r="T276" s="162"/>
      <c r="U276" s="162"/>
      <c r="V276" s="162"/>
      <c r="W276" s="162"/>
      <c r="X276" s="5"/>
    </row>
    <row r="277" spans="1:24" ht="15.6" x14ac:dyDescent="0.3">
      <c r="A277" s="167"/>
      <c r="B277" s="13"/>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ht="15.6" x14ac:dyDescent="0.3">
      <c r="A278" s="167"/>
      <c r="B278" s="13"/>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ht="18" thickBot="1" x14ac:dyDescent="0.35">
      <c r="A279" s="167"/>
      <c r="B279" s="49" t="str">
        <f>B196</f>
        <v>PM13 INVESTOR REPORT QUARTER ENDING SEPTEMBER 2007</v>
      </c>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x14ac:dyDescent="0.25">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row>
  </sheetData>
  <phoneticPr fontId="0" type="noConversion"/>
  <hyperlinks>
    <hyperlink ref="P232" r:id="rId1" xr:uid="{00000000-0004-0000-0300-000000000000}"/>
    <hyperlink ref="I9" r:id="rId2" xr:uid="{00000000-0004-0000-03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7" max="14" man="1"/>
    <brk id="196" max="14" man="1"/>
  </rowBreaks>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2D2926"/>
  </sheetPr>
  <dimension ref="A1:Z29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0.66159999999999997</v>
      </c>
      <c r="T16" s="224" t="s">
        <v>143</v>
      </c>
      <c r="U16" s="223">
        <v>0.33839999999999998</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42663</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395"/>
      <c r="B22" s="396"/>
      <c r="C22" s="397"/>
      <c r="D22" s="397" t="s">
        <v>180</v>
      </c>
      <c r="E22" s="397"/>
      <c r="F22" s="397" t="s">
        <v>181</v>
      </c>
      <c r="G22" s="397"/>
      <c r="H22" s="397" t="s">
        <v>182</v>
      </c>
      <c r="I22" s="397"/>
      <c r="J22" s="397" t="s">
        <v>223</v>
      </c>
      <c r="K22" s="397"/>
      <c r="L22" s="397" t="s">
        <v>183</v>
      </c>
      <c r="M22" s="397"/>
      <c r="N22" s="397" t="s">
        <v>184</v>
      </c>
      <c r="O22" s="397"/>
      <c r="P22" s="397" t="s">
        <v>224</v>
      </c>
      <c r="Q22" s="397"/>
      <c r="R22" s="397" t="s">
        <v>185</v>
      </c>
      <c r="S22" s="398"/>
      <c r="T22" s="398"/>
      <c r="U22" s="399"/>
      <c r="V22" s="399"/>
      <c r="W22" s="396"/>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144</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168</v>
      </c>
      <c r="E27" s="389"/>
      <c r="F27" s="389" t="s">
        <v>168</v>
      </c>
      <c r="G27" s="389"/>
      <c r="H27" s="389" t="s">
        <v>168</v>
      </c>
      <c r="I27" s="389"/>
      <c r="J27" s="389" t="s">
        <v>168</v>
      </c>
      <c r="K27" s="389"/>
      <c r="L27" s="389" t="s">
        <v>324</v>
      </c>
      <c r="M27" s="389"/>
      <c r="N27" s="389" t="s">
        <v>324</v>
      </c>
      <c r="O27" s="389"/>
      <c r="P27" s="389" t="s">
        <v>349</v>
      </c>
      <c r="Q27" s="389"/>
      <c r="R27" s="389" t="s">
        <v>349</v>
      </c>
      <c r="S27" s="273"/>
      <c r="T27" s="280"/>
      <c r="U27" s="274"/>
      <c r="V27" s="274"/>
      <c r="W27" s="275"/>
      <c r="X27" s="5"/>
    </row>
    <row r="28" spans="1:24" ht="15.6" x14ac:dyDescent="0.3">
      <c r="A28" s="271"/>
      <c r="B28" s="279" t="s">
        <v>195</v>
      </c>
      <c r="C28" s="273"/>
      <c r="D28" s="389" t="s">
        <v>146</v>
      </c>
      <c r="E28" s="389"/>
      <c r="F28" s="389" t="s">
        <v>146</v>
      </c>
      <c r="G28" s="389"/>
      <c r="H28" s="389" t="s">
        <v>146</v>
      </c>
      <c r="I28" s="389"/>
      <c r="J28" s="389" t="s">
        <v>146</v>
      </c>
      <c r="K28" s="389"/>
      <c r="L28" s="389" t="s">
        <v>315</v>
      </c>
      <c r="M28" s="389"/>
      <c r="N28" s="389" t="s">
        <v>315</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394">
        <f>D34*D38</f>
        <v>408294.87898560002</v>
      </c>
      <c r="E32" s="282"/>
      <c r="F32" s="283">
        <f>F31*F38</f>
        <v>63966.474999999991</v>
      </c>
      <c r="G32" s="283"/>
      <c r="H32" s="288">
        <f>H31*H38</f>
        <v>161195.51699999999</v>
      </c>
      <c r="I32" s="288"/>
      <c r="J32" s="287">
        <f>J31*J38</f>
        <v>179105.39499999999</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393">
        <f>D34*D37</f>
        <v>398827.01068479999</v>
      </c>
      <c r="E33" s="286"/>
      <c r="F33" s="289">
        <f>F37*F31</f>
        <v>62483.175000000003</v>
      </c>
      <c r="G33" s="289"/>
      <c r="H33" s="292">
        <f>H31*H37</f>
        <v>157457.601</v>
      </c>
      <c r="I33" s="292"/>
      <c r="J33" s="291">
        <f>J37*J31</f>
        <v>174952.12</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408294.87898560002</v>
      </c>
      <c r="E35" s="282"/>
      <c r="F35" s="283">
        <f>F34*F38</f>
        <v>63966.474999999991</v>
      </c>
      <c r="G35" s="283"/>
      <c r="H35" s="283">
        <f>H34*H38</f>
        <v>108184.70810619999</v>
      </c>
      <c r="I35" s="283"/>
      <c r="J35" s="283">
        <f>J34*J38</f>
        <v>95268.718248999998</v>
      </c>
      <c r="K35" s="283"/>
      <c r="L35" s="283">
        <f>L34*L38</f>
        <v>56000</v>
      </c>
      <c r="M35" s="283"/>
      <c r="N35" s="283">
        <f>N34*N38</f>
        <v>56376</v>
      </c>
      <c r="O35" s="283"/>
      <c r="P35" s="283">
        <f>P34*P38</f>
        <v>13000</v>
      </c>
      <c r="Q35" s="283"/>
      <c r="R35" s="283">
        <f>R34*R38</f>
        <v>54363</v>
      </c>
      <c r="S35" s="283"/>
      <c r="T35" s="283"/>
      <c r="U35" s="284"/>
      <c r="V35" s="283">
        <f>SUM(C35:R35)</f>
        <v>855453.78034080006</v>
      </c>
      <c r="W35" s="285"/>
      <c r="X35" s="5"/>
    </row>
    <row r="36" spans="1:24" ht="15.6" x14ac:dyDescent="0.3">
      <c r="A36" s="276"/>
      <c r="B36" s="279" t="s">
        <v>304</v>
      </c>
      <c r="C36" s="286"/>
      <c r="D36" s="289">
        <f>D34*D37</f>
        <v>398827.01068479999</v>
      </c>
      <c r="E36" s="286"/>
      <c r="F36" s="289">
        <f>F34*F37</f>
        <v>62483.175000000003</v>
      </c>
      <c r="G36" s="289"/>
      <c r="H36" s="289">
        <f>H34*H37</f>
        <v>105676.0443486</v>
      </c>
      <c r="I36" s="289"/>
      <c r="J36" s="289">
        <f>J34*J37</f>
        <v>93059.531944000002</v>
      </c>
      <c r="K36" s="289"/>
      <c r="L36" s="289">
        <v>56000</v>
      </c>
      <c r="M36" s="289"/>
      <c r="N36" s="289">
        <v>56376</v>
      </c>
      <c r="O36" s="289"/>
      <c r="P36" s="289">
        <v>13000</v>
      </c>
      <c r="Q36" s="289"/>
      <c r="R36" s="289">
        <v>54363</v>
      </c>
      <c r="S36" s="314"/>
      <c r="T36" s="314"/>
      <c r="U36" s="284"/>
      <c r="V36" s="289">
        <f>SUM(C36:R36)</f>
        <v>839784.76197740005</v>
      </c>
      <c r="W36" s="285"/>
      <c r="X36" s="5"/>
    </row>
    <row r="37" spans="1:24" ht="15.6" x14ac:dyDescent="0.3">
      <c r="A37" s="271"/>
      <c r="B37" s="297" t="s">
        <v>133</v>
      </c>
      <c r="C37" s="298"/>
      <c r="D37" s="299">
        <v>0.49986340000000001</v>
      </c>
      <c r="E37" s="300"/>
      <c r="F37" s="299">
        <v>0.49986540000000002</v>
      </c>
      <c r="G37" s="301"/>
      <c r="H37" s="299">
        <v>0.49986540000000002</v>
      </c>
      <c r="I37" s="301"/>
      <c r="J37" s="299">
        <v>0.49986320000000001</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0.51172980000000001</v>
      </c>
      <c r="E38" s="300"/>
      <c r="F38" s="299">
        <v>0.51173179999999996</v>
      </c>
      <c r="G38" s="301"/>
      <c r="H38" s="299">
        <v>0.51173179999999996</v>
      </c>
      <c r="I38" s="301"/>
      <c r="J38" s="299">
        <v>0.51172969999999995</v>
      </c>
      <c r="K38" s="301"/>
      <c r="L38" s="299">
        <v>1</v>
      </c>
      <c r="M38" s="301"/>
      <c r="N38" s="299">
        <v>1</v>
      </c>
      <c r="O38" s="301"/>
      <c r="P38" s="299">
        <v>1</v>
      </c>
      <c r="Q38" s="301"/>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7.6750000000000004E-3</v>
      </c>
      <c r="E40" s="272"/>
      <c r="F40" s="308">
        <v>7.6750000000000004E-3</v>
      </c>
      <c r="G40" s="307"/>
      <c r="H40" s="308">
        <v>0</v>
      </c>
      <c r="I40" s="308"/>
      <c r="J40" s="308">
        <v>8.6009999999999993E-3</v>
      </c>
      <c r="K40" s="307"/>
      <c r="L40" s="308">
        <v>9.2750000000000003E-3</v>
      </c>
      <c r="M40" s="307"/>
      <c r="N40" s="308">
        <v>8.4999999999999995E-4</v>
      </c>
      <c r="O40" s="307"/>
      <c r="P40" s="308">
        <v>1.3275E-2</v>
      </c>
      <c r="Q40" s="307"/>
      <c r="R40" s="308">
        <v>4.8500000000000001E-3</v>
      </c>
      <c r="S40" s="307"/>
      <c r="T40" s="308"/>
      <c r="U40" s="274"/>
      <c r="V40" s="280"/>
      <c r="W40" s="275"/>
      <c r="X40" s="5"/>
    </row>
    <row r="41" spans="1:24" ht="15.6" x14ac:dyDescent="0.3">
      <c r="A41" s="271"/>
      <c r="B41" s="272" t="s">
        <v>13</v>
      </c>
      <c r="C41" s="272"/>
      <c r="D41" s="308">
        <v>8.2781E-3</v>
      </c>
      <c r="E41" s="272"/>
      <c r="F41" s="308">
        <v>8.2781E-3</v>
      </c>
      <c r="G41" s="307"/>
      <c r="H41" s="308">
        <v>0</v>
      </c>
      <c r="I41" s="308"/>
      <c r="J41" s="308">
        <v>8.0835000000000004E-3</v>
      </c>
      <c r="K41" s="307"/>
      <c r="L41" s="308">
        <v>9.8781000000000008E-3</v>
      </c>
      <c r="M41" s="307"/>
      <c r="N41" s="308">
        <v>1.31E-3</v>
      </c>
      <c r="O41" s="307"/>
      <c r="P41" s="308">
        <v>1.3878100000000001E-2</v>
      </c>
      <c r="Q41" s="307"/>
      <c r="R41" s="308">
        <v>5.3099999999999996E-3</v>
      </c>
      <c r="S41" s="307"/>
      <c r="T41" s="308"/>
      <c r="U41" s="274"/>
      <c r="V41" s="307" t="s">
        <v>196</v>
      </c>
      <c r="W41" s="275"/>
      <c r="X41" s="5"/>
    </row>
    <row r="42" spans="1:24" ht="15.6" x14ac:dyDescent="0.3">
      <c r="A42" s="271"/>
      <c r="B42" s="272" t="s">
        <v>300</v>
      </c>
      <c r="C42" s="272"/>
      <c r="D42" s="280" t="s">
        <v>226</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f>+D40</f>
        <v>7.6750000000000004E-3</v>
      </c>
      <c r="E43" s="308"/>
      <c r="F43" s="308">
        <f>+F40</f>
        <v>7.6750000000000004E-3</v>
      </c>
      <c r="G43" s="308"/>
      <c r="H43" s="308">
        <v>7.9190000000000007E-3</v>
      </c>
      <c r="I43" s="308"/>
      <c r="J43" s="308">
        <v>7.7549999999999997E-3</v>
      </c>
      <c r="K43" s="308"/>
      <c r="L43" s="308">
        <f>+L40</f>
        <v>9.2750000000000003E-3</v>
      </c>
      <c r="M43" s="308"/>
      <c r="N43" s="308">
        <v>9.4549999999999999E-3</v>
      </c>
      <c r="O43" s="308"/>
      <c r="P43" s="308">
        <f>+P40</f>
        <v>1.3275E-2</v>
      </c>
      <c r="Q43" s="307"/>
      <c r="R43" s="308">
        <v>1.3675E-2</v>
      </c>
      <c r="S43" s="280"/>
      <c r="T43" s="280"/>
      <c r="U43" s="274"/>
      <c r="V43" s="307">
        <f>SUMPRODUCT(D43:R43,D35:R35)/V35</f>
        <v>8.403205147436088E-3</v>
      </c>
      <c r="W43" s="275"/>
      <c r="X43" s="5"/>
    </row>
    <row r="44" spans="1:24" ht="15.6" x14ac:dyDescent="0.3">
      <c r="A44" s="271"/>
      <c r="B44" s="272" t="s">
        <v>302</v>
      </c>
      <c r="C44" s="309"/>
      <c r="D44" s="308">
        <f>+D41</f>
        <v>8.2781E-3</v>
      </c>
      <c r="E44" s="308"/>
      <c r="F44" s="308">
        <f>+F41</f>
        <v>8.2781E-3</v>
      </c>
      <c r="G44" s="308"/>
      <c r="H44" s="308">
        <v>8.5220999999999995E-3</v>
      </c>
      <c r="I44" s="308"/>
      <c r="J44" s="308">
        <v>8.3581000000000003E-3</v>
      </c>
      <c r="K44" s="308"/>
      <c r="L44" s="308">
        <f>+L41</f>
        <v>9.8781000000000008E-3</v>
      </c>
      <c r="M44" s="308"/>
      <c r="N44" s="308">
        <v>1.00581E-2</v>
      </c>
      <c r="O44" s="308"/>
      <c r="P44" s="308">
        <f>+P41</f>
        <v>1.3878100000000001E-2</v>
      </c>
      <c r="Q44" s="307"/>
      <c r="R44" s="308">
        <v>1.42781E-2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226</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0.27231293700231995</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358</v>
      </c>
      <c r="C54" s="272"/>
      <c r="D54" s="272"/>
      <c r="E54" s="272"/>
      <c r="F54" s="272"/>
      <c r="G54" s="272"/>
      <c r="H54" s="272"/>
      <c r="I54" s="272"/>
      <c r="J54" s="272"/>
      <c r="K54" s="272"/>
      <c r="L54" s="272"/>
      <c r="M54" s="272"/>
      <c r="N54" s="272"/>
      <c r="O54" s="272"/>
      <c r="P54" s="272"/>
      <c r="Q54" s="272"/>
      <c r="R54" s="272"/>
      <c r="S54" s="272"/>
      <c r="T54" s="280"/>
      <c r="U54" s="280"/>
      <c r="V54" s="315" t="s">
        <v>114</v>
      </c>
      <c r="W54" s="275"/>
      <c r="X54" s="5"/>
    </row>
    <row r="55" spans="1:25" ht="15.6" x14ac:dyDescent="0.3">
      <c r="A55" s="271"/>
      <c r="B55" s="279" t="s">
        <v>204</v>
      </c>
      <c r="C55" s="279"/>
      <c r="D55" s="279"/>
      <c r="E55" s="279"/>
      <c r="F55" s="279"/>
      <c r="G55" s="279"/>
      <c r="H55" s="279"/>
      <c r="I55" s="279"/>
      <c r="J55" s="279"/>
      <c r="K55" s="279"/>
      <c r="L55" s="279"/>
      <c r="M55" s="279"/>
      <c r="N55" s="279"/>
      <c r="O55" s="279"/>
      <c r="P55" s="279"/>
      <c r="Q55" s="279"/>
      <c r="R55" s="279"/>
      <c r="S55" s="279"/>
      <c r="T55" s="316"/>
      <c r="U55" s="316"/>
      <c r="V55" s="317">
        <v>42660</v>
      </c>
      <c r="W55" s="275"/>
      <c r="X55" s="5"/>
    </row>
    <row r="56" spans="1:25" ht="15.6" x14ac:dyDescent="0.3">
      <c r="A56" s="271"/>
      <c r="B56" s="272" t="s">
        <v>124</v>
      </c>
      <c r="C56" s="272"/>
      <c r="D56" s="272"/>
      <c r="E56" s="272"/>
      <c r="F56" s="272"/>
      <c r="G56" s="272"/>
      <c r="H56" s="318"/>
      <c r="I56" s="318"/>
      <c r="J56" s="318"/>
      <c r="K56" s="318"/>
      <c r="L56" s="318"/>
      <c r="M56" s="318"/>
      <c r="N56" s="318"/>
      <c r="O56" s="318"/>
      <c r="P56" s="318"/>
      <c r="Q56" s="318"/>
      <c r="R56" s="272">
        <f>+V56-T56+1</f>
        <v>91</v>
      </c>
      <c r="S56" s="318"/>
      <c r="T56" s="319">
        <v>42475</v>
      </c>
      <c r="U56" s="320"/>
      <c r="V56" s="319">
        <v>42565</v>
      </c>
      <c r="W56" s="275"/>
      <c r="X56" s="5"/>
    </row>
    <row r="57" spans="1:25" ht="15.6" x14ac:dyDescent="0.3">
      <c r="A57" s="271"/>
      <c r="B57" s="272" t="s">
        <v>125</v>
      </c>
      <c r="C57" s="272"/>
      <c r="D57" s="272"/>
      <c r="E57" s="272"/>
      <c r="F57" s="272"/>
      <c r="G57" s="272"/>
      <c r="H57" s="272"/>
      <c r="I57" s="272"/>
      <c r="J57" s="272"/>
      <c r="K57" s="272"/>
      <c r="L57" s="272"/>
      <c r="M57" s="272"/>
      <c r="N57" s="272"/>
      <c r="O57" s="272"/>
      <c r="P57" s="272"/>
      <c r="Q57" s="272"/>
      <c r="R57" s="272">
        <f>+V57-T57+1</f>
        <v>94</v>
      </c>
      <c r="S57" s="272"/>
      <c r="T57" s="319">
        <v>42566</v>
      </c>
      <c r="U57" s="320"/>
      <c r="V57" s="319">
        <v>42659</v>
      </c>
      <c r="W57" s="275"/>
      <c r="X57" s="5"/>
    </row>
    <row r="58" spans="1:25" ht="15.6" x14ac:dyDescent="0.3">
      <c r="A58" s="271"/>
      <c r="B58" s="272" t="s">
        <v>357</v>
      </c>
      <c r="C58" s="272"/>
      <c r="D58" s="272"/>
      <c r="E58" s="272"/>
      <c r="F58" s="272"/>
      <c r="G58" s="272"/>
      <c r="H58" s="272"/>
      <c r="I58" s="272"/>
      <c r="J58" s="272"/>
      <c r="K58" s="272"/>
      <c r="L58" s="272"/>
      <c r="M58" s="272"/>
      <c r="N58" s="272"/>
      <c r="O58" s="272"/>
      <c r="P58" s="272"/>
      <c r="Q58" s="272"/>
      <c r="R58" s="272"/>
      <c r="S58" s="272"/>
      <c r="T58" s="319"/>
      <c r="U58" s="320"/>
      <c r="V58" s="319" t="s">
        <v>123</v>
      </c>
      <c r="W58" s="275"/>
      <c r="X58" s="5"/>
    </row>
    <row r="59" spans="1:25" ht="15.6" x14ac:dyDescent="0.3">
      <c r="A59" s="271"/>
      <c r="B59" s="272" t="s">
        <v>356</v>
      </c>
      <c r="C59" s="272"/>
      <c r="D59" s="272"/>
      <c r="E59" s="272"/>
      <c r="F59" s="272"/>
      <c r="G59" s="272"/>
      <c r="H59" s="272"/>
      <c r="I59" s="272"/>
      <c r="J59" s="272"/>
      <c r="K59" s="272"/>
      <c r="L59" s="272"/>
      <c r="M59" s="272"/>
      <c r="N59" s="272"/>
      <c r="O59" s="272"/>
      <c r="P59" s="272"/>
      <c r="Q59" s="272"/>
      <c r="R59" s="272"/>
      <c r="S59" s="272"/>
      <c r="T59" s="319"/>
      <c r="U59" s="320"/>
      <c r="V59" s="319" t="s">
        <v>157</v>
      </c>
      <c r="W59" s="275"/>
      <c r="X59" s="5"/>
      <c r="Y59" s="134"/>
    </row>
    <row r="60" spans="1:25" ht="15.6" x14ac:dyDescent="0.3">
      <c r="A60" s="271"/>
      <c r="B60" s="272" t="s">
        <v>16</v>
      </c>
      <c r="C60" s="272"/>
      <c r="D60" s="272"/>
      <c r="E60" s="272"/>
      <c r="F60" s="272"/>
      <c r="G60" s="272"/>
      <c r="H60" s="272"/>
      <c r="I60" s="272"/>
      <c r="J60" s="272"/>
      <c r="K60" s="272"/>
      <c r="L60" s="272"/>
      <c r="M60" s="272"/>
      <c r="N60" s="272"/>
      <c r="O60" s="272"/>
      <c r="P60" s="272"/>
      <c r="Q60" s="272"/>
      <c r="R60" s="272"/>
      <c r="S60" s="272"/>
      <c r="T60" s="319"/>
      <c r="U60" s="320"/>
      <c r="V60" s="319">
        <v>42646</v>
      </c>
      <c r="W60" s="275"/>
      <c r="X60" s="5"/>
    </row>
    <row r="61" spans="1:25" ht="15.6" x14ac:dyDescent="0.3">
      <c r="A61" s="175"/>
      <c r="B61" s="268"/>
      <c r="C61" s="268"/>
      <c r="D61" s="268"/>
      <c r="E61" s="268"/>
      <c r="F61" s="268"/>
      <c r="G61" s="268"/>
      <c r="H61" s="268"/>
      <c r="I61" s="268"/>
      <c r="J61" s="268"/>
      <c r="K61" s="268"/>
      <c r="L61" s="268"/>
      <c r="M61" s="268"/>
      <c r="N61" s="268"/>
      <c r="O61" s="268"/>
      <c r="P61" s="268"/>
      <c r="Q61" s="268"/>
      <c r="R61" s="268"/>
      <c r="S61" s="268"/>
      <c r="T61" s="269"/>
      <c r="U61" s="270"/>
      <c r="V61" s="269"/>
      <c r="W61" s="268"/>
      <c r="X61" s="5"/>
    </row>
    <row r="62" spans="1:25" ht="15.6" x14ac:dyDescent="0.3">
      <c r="A62" s="175"/>
      <c r="B62" s="220"/>
      <c r="C62" s="220"/>
      <c r="D62" s="220"/>
      <c r="E62" s="220"/>
      <c r="F62" s="220"/>
      <c r="G62" s="220"/>
      <c r="H62" s="220"/>
      <c r="I62" s="220"/>
      <c r="J62" s="220"/>
      <c r="K62" s="220"/>
      <c r="L62" s="220"/>
      <c r="M62" s="220"/>
      <c r="N62" s="220"/>
      <c r="O62" s="220"/>
      <c r="P62" s="220"/>
      <c r="Q62" s="220"/>
      <c r="R62" s="220"/>
      <c r="S62" s="220"/>
      <c r="T62" s="232"/>
      <c r="U62" s="233"/>
      <c r="V62" s="232"/>
      <c r="W62" s="220"/>
      <c r="X62" s="5"/>
    </row>
    <row r="63" spans="1:25" ht="18" thickBot="1" x14ac:dyDescent="0.35">
      <c r="A63" s="194"/>
      <c r="B63" s="234" t="s">
        <v>354</v>
      </c>
      <c r="C63" s="235"/>
      <c r="D63" s="235"/>
      <c r="E63" s="235"/>
      <c r="F63" s="235"/>
      <c r="G63" s="235"/>
      <c r="H63" s="235"/>
      <c r="I63" s="235"/>
      <c r="J63" s="235"/>
      <c r="K63" s="235"/>
      <c r="L63" s="235"/>
      <c r="M63" s="235"/>
      <c r="N63" s="235"/>
      <c r="O63" s="235"/>
      <c r="P63" s="235"/>
      <c r="Q63" s="235"/>
      <c r="R63" s="235"/>
      <c r="S63" s="235"/>
      <c r="T63" s="235"/>
      <c r="U63" s="235"/>
      <c r="V63" s="236"/>
      <c r="W63" s="237"/>
      <c r="X63" s="5"/>
    </row>
    <row r="64" spans="1:25" ht="15.6" x14ac:dyDescent="0.3">
      <c r="A64" s="239"/>
      <c r="B64" s="253" t="s">
        <v>17</v>
      </c>
      <c r="C64" s="240"/>
      <c r="D64" s="240"/>
      <c r="E64" s="240"/>
      <c r="F64" s="240"/>
      <c r="G64" s="240"/>
      <c r="H64" s="240"/>
      <c r="I64" s="240"/>
      <c r="J64" s="240"/>
      <c r="K64" s="240"/>
      <c r="L64" s="240"/>
      <c r="M64" s="240"/>
      <c r="N64" s="240"/>
      <c r="O64" s="240"/>
      <c r="P64" s="240"/>
      <c r="Q64" s="240"/>
      <c r="R64" s="240"/>
      <c r="S64" s="240"/>
      <c r="T64" s="240"/>
      <c r="U64" s="240"/>
      <c r="V64" s="241"/>
      <c r="W64" s="240"/>
      <c r="X64" s="5"/>
    </row>
    <row r="65" spans="1:24" ht="15.6" x14ac:dyDescent="0.3">
      <c r="A65" s="175"/>
      <c r="B65" s="183"/>
      <c r="C65" s="177"/>
      <c r="D65" s="177"/>
      <c r="E65" s="177"/>
      <c r="F65" s="177"/>
      <c r="G65" s="177"/>
      <c r="H65" s="177"/>
      <c r="I65" s="177"/>
      <c r="J65" s="177"/>
      <c r="K65" s="177"/>
      <c r="L65" s="177"/>
      <c r="M65" s="177"/>
      <c r="N65" s="177"/>
      <c r="O65" s="177"/>
      <c r="P65" s="177"/>
      <c r="Q65" s="177"/>
      <c r="R65" s="177"/>
      <c r="S65" s="177"/>
      <c r="T65" s="177"/>
      <c r="U65" s="177"/>
      <c r="V65" s="196"/>
      <c r="W65" s="177"/>
      <c r="X65" s="5"/>
    </row>
    <row r="66" spans="1:24" ht="46.8" x14ac:dyDescent="0.3">
      <c r="A66" s="175"/>
      <c r="B66" s="197" t="s">
        <v>18</v>
      </c>
      <c r="C66" s="198"/>
      <c r="D66" s="198"/>
      <c r="E66" s="198"/>
      <c r="F66" s="198"/>
      <c r="G66" s="198"/>
      <c r="H66" s="198"/>
      <c r="I66" s="198"/>
      <c r="J66" s="198"/>
      <c r="K66" s="198"/>
      <c r="L66" s="198" t="s">
        <v>95</v>
      </c>
      <c r="M66" s="198"/>
      <c r="N66" s="198" t="s">
        <v>97</v>
      </c>
      <c r="O66" s="198"/>
      <c r="P66" s="198" t="s">
        <v>99</v>
      </c>
      <c r="Q66" s="198"/>
      <c r="R66" s="198" t="s">
        <v>101</v>
      </c>
      <c r="S66" s="198"/>
      <c r="T66" s="198" t="s">
        <v>108</v>
      </c>
      <c r="U66" s="198"/>
      <c r="V66" s="199" t="s">
        <v>115</v>
      </c>
      <c r="W66" s="200"/>
      <c r="X66" s="5"/>
    </row>
    <row r="67" spans="1:24" ht="15.6" x14ac:dyDescent="0.3">
      <c r="A67" s="271"/>
      <c r="B67" s="272" t="s">
        <v>19</v>
      </c>
      <c r="C67" s="324"/>
      <c r="D67" s="324"/>
      <c r="E67" s="324"/>
      <c r="F67" s="324"/>
      <c r="G67" s="324"/>
      <c r="H67" s="324"/>
      <c r="I67" s="324"/>
      <c r="J67" s="324"/>
      <c r="K67" s="324"/>
      <c r="L67" s="324">
        <f>1085286</f>
        <v>1085286</v>
      </c>
      <c r="M67" s="324"/>
      <c r="N67" s="325">
        <v>855454</v>
      </c>
      <c r="O67" s="324"/>
      <c r="P67" s="324">
        <f>15669+175+97</f>
        <v>15941</v>
      </c>
      <c r="Q67" s="324"/>
      <c r="R67" s="324">
        <f>175+97</f>
        <v>272</v>
      </c>
      <c r="S67" s="324"/>
      <c r="T67" s="324">
        <v>0</v>
      </c>
      <c r="U67" s="324"/>
      <c r="V67" s="325">
        <f>+N67-P67+R67-T67</f>
        <v>839785</v>
      </c>
      <c r="W67" s="275"/>
      <c r="X67" s="5"/>
    </row>
    <row r="68" spans="1:24" ht="15.6" x14ac:dyDescent="0.3">
      <c r="A68" s="271"/>
      <c r="B68" s="272" t="s">
        <v>20</v>
      </c>
      <c r="C68" s="324"/>
      <c r="D68" s="324"/>
      <c r="E68" s="324"/>
      <c r="F68" s="324"/>
      <c r="G68" s="324"/>
      <c r="H68" s="324"/>
      <c r="I68" s="324"/>
      <c r="J68" s="324"/>
      <c r="K68" s="324"/>
      <c r="L68" s="324">
        <v>35</v>
      </c>
      <c r="M68" s="324"/>
      <c r="N68" s="325">
        <v>0</v>
      </c>
      <c r="O68" s="324"/>
      <c r="P68" s="324">
        <v>0</v>
      </c>
      <c r="Q68" s="324"/>
      <c r="R68" s="324">
        <v>0</v>
      </c>
      <c r="S68" s="324"/>
      <c r="T68" s="324">
        <v>0</v>
      </c>
      <c r="U68" s="324"/>
      <c r="V68" s="325">
        <f>+N68-P68</f>
        <v>0</v>
      </c>
      <c r="W68" s="275"/>
      <c r="X68" s="5"/>
    </row>
    <row r="69" spans="1:24" ht="15.6" x14ac:dyDescent="0.3">
      <c r="A69" s="271"/>
      <c r="B69" s="272"/>
      <c r="C69" s="324"/>
      <c r="D69" s="324"/>
      <c r="E69" s="324"/>
      <c r="F69" s="324"/>
      <c r="G69" s="324"/>
      <c r="H69" s="324"/>
      <c r="I69" s="324"/>
      <c r="J69" s="324"/>
      <c r="K69" s="324"/>
      <c r="L69" s="324"/>
      <c r="M69" s="324"/>
      <c r="N69" s="325"/>
      <c r="O69" s="324"/>
      <c r="P69" s="324"/>
      <c r="Q69" s="324"/>
      <c r="R69" s="324"/>
      <c r="S69" s="324"/>
      <c r="T69" s="324"/>
      <c r="U69" s="324"/>
      <c r="V69" s="325"/>
      <c r="W69" s="275"/>
      <c r="X69" s="5"/>
    </row>
    <row r="70" spans="1:24" ht="15.6" x14ac:dyDescent="0.3">
      <c r="A70" s="271"/>
      <c r="B70" s="272" t="s">
        <v>21</v>
      </c>
      <c r="C70" s="324"/>
      <c r="D70" s="324"/>
      <c r="E70" s="324"/>
      <c r="F70" s="324"/>
      <c r="G70" s="324"/>
      <c r="H70" s="324"/>
      <c r="I70" s="324"/>
      <c r="J70" s="324"/>
      <c r="K70" s="324"/>
      <c r="L70" s="324">
        <f>SUM(L67:L69)</f>
        <v>1085321</v>
      </c>
      <c r="M70" s="324"/>
      <c r="N70" s="324">
        <f>N67+N68</f>
        <v>855454</v>
      </c>
      <c r="O70" s="324"/>
      <c r="P70" s="324">
        <f>SUM(P67:P69)</f>
        <v>15941</v>
      </c>
      <c r="Q70" s="324"/>
      <c r="R70" s="324">
        <f>SUM(R67:R69)</f>
        <v>272</v>
      </c>
      <c r="S70" s="324"/>
      <c r="T70" s="324">
        <f>SUM(T67:T69)</f>
        <v>0</v>
      </c>
      <c r="U70" s="324"/>
      <c r="V70" s="324">
        <f>SUM(V67:V69)</f>
        <v>839785</v>
      </c>
      <c r="W70" s="275"/>
      <c r="X70" s="5"/>
    </row>
    <row r="71" spans="1:24" ht="15.6" x14ac:dyDescent="0.3">
      <c r="A71" s="175"/>
      <c r="B71" s="321"/>
      <c r="C71" s="322"/>
      <c r="D71" s="322"/>
      <c r="E71" s="322"/>
      <c r="F71" s="322"/>
      <c r="G71" s="322"/>
      <c r="H71" s="322"/>
      <c r="I71" s="322"/>
      <c r="J71" s="322"/>
      <c r="K71" s="322"/>
      <c r="L71" s="322"/>
      <c r="M71" s="322"/>
      <c r="N71" s="322"/>
      <c r="O71" s="322"/>
      <c r="P71" s="322"/>
      <c r="Q71" s="322"/>
      <c r="R71" s="322"/>
      <c r="S71" s="322"/>
      <c r="T71" s="322"/>
      <c r="U71" s="322"/>
      <c r="V71" s="323"/>
      <c r="W71" s="321"/>
      <c r="X71" s="5"/>
    </row>
    <row r="72" spans="1:24" ht="15.6" x14ac:dyDescent="0.3">
      <c r="A72" s="175"/>
      <c r="B72" s="179" t="s">
        <v>22</v>
      </c>
      <c r="C72" s="201"/>
      <c r="D72" s="201"/>
      <c r="E72" s="201"/>
      <c r="F72" s="201"/>
      <c r="G72" s="201"/>
      <c r="H72" s="201"/>
      <c r="I72" s="201"/>
      <c r="J72" s="201"/>
      <c r="K72" s="201"/>
      <c r="L72" s="201"/>
      <c r="M72" s="201"/>
      <c r="N72" s="201"/>
      <c r="O72" s="201"/>
      <c r="P72" s="201"/>
      <c r="Q72" s="201"/>
      <c r="R72" s="201"/>
      <c r="S72" s="201"/>
      <c r="T72" s="201"/>
      <c r="U72" s="201"/>
      <c r="V72" s="202"/>
      <c r="W72" s="177"/>
      <c r="X72" s="5"/>
    </row>
    <row r="73" spans="1:24" ht="15.6" x14ac:dyDescent="0.3">
      <c r="A73" s="175"/>
      <c r="B73" s="177"/>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271"/>
      <c r="B74" s="272" t="s">
        <v>19</v>
      </c>
      <c r="C74" s="324"/>
      <c r="D74" s="324"/>
      <c r="E74" s="324"/>
      <c r="F74" s="324"/>
      <c r="G74" s="324"/>
      <c r="H74" s="324"/>
      <c r="I74" s="324"/>
      <c r="J74" s="324"/>
      <c r="K74" s="324"/>
      <c r="L74" s="324"/>
      <c r="M74" s="324"/>
      <c r="N74" s="324"/>
      <c r="O74" s="324"/>
      <c r="P74" s="324"/>
      <c r="Q74" s="324"/>
      <c r="R74" s="324"/>
      <c r="S74" s="324"/>
      <c r="T74" s="324"/>
      <c r="U74" s="324"/>
      <c r="V74" s="324"/>
      <c r="W74" s="275"/>
      <c r="X74" s="5"/>
    </row>
    <row r="75" spans="1:24" ht="15.6" x14ac:dyDescent="0.3">
      <c r="A75" s="271"/>
      <c r="B75" s="272" t="s">
        <v>20</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t="s">
        <v>21</v>
      </c>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t="s">
        <v>23</v>
      </c>
      <c r="C79" s="324"/>
      <c r="D79" s="324"/>
      <c r="E79" s="324"/>
      <c r="F79" s="324"/>
      <c r="G79" s="324"/>
      <c r="H79" s="324"/>
      <c r="I79" s="324"/>
      <c r="J79" s="324"/>
      <c r="K79" s="324"/>
      <c r="L79" s="324">
        <v>0</v>
      </c>
      <c r="M79" s="324"/>
      <c r="N79" s="324">
        <v>0</v>
      </c>
      <c r="O79" s="324"/>
      <c r="P79" s="324"/>
      <c r="Q79" s="324"/>
      <c r="R79" s="324"/>
      <c r="S79" s="324"/>
      <c r="T79" s="324"/>
      <c r="U79" s="324"/>
      <c r="V79" s="325">
        <v>0</v>
      </c>
      <c r="W79" s="275"/>
      <c r="X79" s="5"/>
    </row>
    <row r="80" spans="1:24" ht="15.6" x14ac:dyDescent="0.3">
      <c r="A80" s="271"/>
      <c r="B80" s="272" t="s">
        <v>120</v>
      </c>
      <c r="C80" s="324"/>
      <c r="D80" s="324"/>
      <c r="E80" s="324"/>
      <c r="F80" s="324"/>
      <c r="G80" s="324"/>
      <c r="H80" s="324"/>
      <c r="I80" s="324"/>
      <c r="J80" s="324"/>
      <c r="K80" s="324"/>
      <c r="L80" s="324">
        <f>414862+7</f>
        <v>414869</v>
      </c>
      <c r="M80" s="324"/>
      <c r="N80" s="324">
        <v>0</v>
      </c>
      <c r="O80" s="324"/>
      <c r="P80" s="324">
        <v>0</v>
      </c>
      <c r="Q80" s="324"/>
      <c r="R80" s="324"/>
      <c r="S80" s="324"/>
      <c r="T80" s="324"/>
      <c r="U80" s="324"/>
      <c r="V80" s="324">
        <f>SUM(N80:R80)</f>
        <v>0</v>
      </c>
      <c r="W80" s="275"/>
      <c r="X80" s="5"/>
    </row>
    <row r="81" spans="1:24" ht="15.6" x14ac:dyDescent="0.3">
      <c r="A81" s="271"/>
      <c r="B81" s="272" t="s">
        <v>149</v>
      </c>
      <c r="C81" s="324"/>
      <c r="D81" s="324"/>
      <c r="E81" s="324"/>
      <c r="F81" s="324"/>
      <c r="G81" s="324"/>
      <c r="H81" s="324"/>
      <c r="I81" s="324"/>
      <c r="J81" s="324"/>
      <c r="K81" s="324"/>
      <c r="L81" s="324">
        <v>0</v>
      </c>
      <c r="M81" s="324"/>
      <c r="N81" s="324">
        <v>0</v>
      </c>
      <c r="O81" s="324"/>
      <c r="P81" s="324">
        <v>0</v>
      </c>
      <c r="Q81" s="324"/>
      <c r="R81" s="324"/>
      <c r="S81" s="324"/>
      <c r="T81" s="324"/>
      <c r="U81" s="324"/>
      <c r="V81" s="324">
        <f>+N81+P81</f>
        <v>0</v>
      </c>
      <c r="W81" s="275"/>
      <c r="X81" s="5"/>
    </row>
    <row r="82" spans="1:24" ht="15.6" x14ac:dyDescent="0.3">
      <c r="A82" s="271"/>
      <c r="B82" s="272" t="s">
        <v>25</v>
      </c>
      <c r="C82" s="324"/>
      <c r="D82" s="324"/>
      <c r="E82" s="324"/>
      <c r="F82" s="324"/>
      <c r="G82" s="324"/>
      <c r="H82" s="324"/>
      <c r="I82" s="324"/>
      <c r="J82" s="324"/>
      <c r="K82" s="324"/>
      <c r="L82" s="324">
        <v>0</v>
      </c>
      <c r="M82" s="324"/>
      <c r="N82" s="324">
        <v>0</v>
      </c>
      <c r="O82" s="324"/>
      <c r="P82" s="324"/>
      <c r="Q82" s="324"/>
      <c r="R82" s="324"/>
      <c r="S82" s="324"/>
      <c r="T82" s="324"/>
      <c r="U82" s="324"/>
      <c r="V82" s="324">
        <v>0</v>
      </c>
      <c r="W82" s="275"/>
      <c r="X82" s="5"/>
    </row>
    <row r="83" spans="1:24" ht="15.6" x14ac:dyDescent="0.3">
      <c r="A83" s="326"/>
      <c r="B83" s="327" t="s">
        <v>26</v>
      </c>
      <c r="C83" s="328"/>
      <c r="D83" s="328"/>
      <c r="E83" s="328"/>
      <c r="F83" s="328"/>
      <c r="G83" s="328"/>
      <c r="H83" s="328"/>
      <c r="I83" s="328"/>
      <c r="J83" s="328"/>
      <c r="K83" s="328"/>
      <c r="L83" s="328">
        <f>SUM(L70:L82)</f>
        <v>1500190</v>
      </c>
      <c r="M83" s="328"/>
      <c r="N83" s="328">
        <f>SUM(N70:N82)</f>
        <v>855454</v>
      </c>
      <c r="O83" s="328"/>
      <c r="P83" s="328"/>
      <c r="Q83" s="328"/>
      <c r="R83" s="328"/>
      <c r="S83" s="328"/>
      <c r="T83" s="328"/>
      <c r="U83" s="328"/>
      <c r="V83" s="328">
        <f>SUM(V70:V82)</f>
        <v>839785</v>
      </c>
      <c r="W83" s="329"/>
      <c r="X83" s="5"/>
    </row>
    <row r="84" spans="1:24" ht="15.6" x14ac:dyDescent="0.3">
      <c r="A84" s="192"/>
      <c r="B84" s="229"/>
      <c r="C84" s="231"/>
      <c r="D84" s="231"/>
      <c r="E84" s="231"/>
      <c r="F84" s="231"/>
      <c r="G84" s="231"/>
      <c r="H84" s="231"/>
      <c r="I84" s="231"/>
      <c r="J84" s="231"/>
      <c r="K84" s="231"/>
      <c r="L84" s="231"/>
      <c r="M84" s="231"/>
      <c r="N84" s="231"/>
      <c r="O84" s="231"/>
      <c r="P84" s="231"/>
      <c r="Q84" s="231"/>
      <c r="R84" s="231"/>
      <c r="S84" s="231"/>
      <c r="T84" s="231"/>
      <c r="U84" s="231"/>
      <c r="V84" s="231"/>
      <c r="W84" s="229"/>
      <c r="X84" s="5"/>
    </row>
    <row r="85" spans="1:24" ht="15.6" x14ac:dyDescent="0.3">
      <c r="A85" s="175"/>
      <c r="B85" s="220"/>
      <c r="C85" s="220"/>
      <c r="D85" s="220"/>
      <c r="E85" s="220"/>
      <c r="F85" s="220"/>
      <c r="G85" s="220"/>
      <c r="H85" s="220"/>
      <c r="I85" s="220"/>
      <c r="J85" s="220"/>
      <c r="K85" s="220"/>
      <c r="L85" s="220"/>
      <c r="M85" s="220"/>
      <c r="N85" s="220"/>
      <c r="O85" s="220"/>
      <c r="P85" s="220"/>
      <c r="Q85" s="220"/>
      <c r="R85" s="220"/>
      <c r="S85" s="220"/>
      <c r="T85" s="220"/>
      <c r="U85" s="220"/>
      <c r="V85" s="220"/>
      <c r="W85" s="220"/>
      <c r="X85" s="5"/>
    </row>
    <row r="86" spans="1:24" ht="15.6" x14ac:dyDescent="0.3">
      <c r="A86" s="239"/>
      <c r="B86" s="253" t="s">
        <v>27</v>
      </c>
      <c r="C86" s="253"/>
      <c r="D86" s="253"/>
      <c r="E86" s="253"/>
      <c r="F86" s="253"/>
      <c r="G86" s="253"/>
      <c r="H86" s="254"/>
      <c r="I86" s="254"/>
      <c r="J86" s="254"/>
      <c r="K86" s="254"/>
      <c r="L86" s="330" t="s">
        <v>96</v>
      </c>
      <c r="M86" s="254"/>
      <c r="N86" s="331">
        <f>+T198</f>
        <v>42643</v>
      </c>
      <c r="O86" s="254"/>
      <c r="P86" s="254"/>
      <c r="Q86" s="254"/>
      <c r="R86" s="254"/>
      <c r="S86" s="254"/>
      <c r="T86" s="254" t="s">
        <v>109</v>
      </c>
      <c r="U86" s="254"/>
      <c r="V86" s="254" t="s">
        <v>116</v>
      </c>
      <c r="W86" s="240"/>
      <c r="X86" s="5"/>
    </row>
    <row r="87" spans="1:24" ht="15.6" x14ac:dyDescent="0.3">
      <c r="A87" s="271"/>
      <c r="B87" s="272" t="s">
        <v>28</v>
      </c>
      <c r="C87" s="272"/>
      <c r="D87" s="272"/>
      <c r="E87" s="272"/>
      <c r="F87" s="272"/>
      <c r="G87" s="272"/>
      <c r="H87" s="272"/>
      <c r="I87" s="272"/>
      <c r="J87" s="272"/>
      <c r="K87" s="272"/>
      <c r="L87" s="272"/>
      <c r="M87" s="272"/>
      <c r="N87" s="272"/>
      <c r="O87" s="272"/>
      <c r="P87" s="272"/>
      <c r="Q87" s="272"/>
      <c r="R87" s="272"/>
      <c r="S87" s="272"/>
      <c r="T87" s="324">
        <v>0</v>
      </c>
      <c r="U87" s="272"/>
      <c r="V87" s="325">
        <v>0</v>
      </c>
      <c r="W87" s="275"/>
      <c r="X87" s="5"/>
    </row>
    <row r="88" spans="1:24" ht="15.6" x14ac:dyDescent="0.3">
      <c r="A88" s="271"/>
      <c r="B88" s="272" t="s">
        <v>29</v>
      </c>
      <c r="C88" s="272"/>
      <c r="D88" s="272"/>
      <c r="E88" s="272"/>
      <c r="F88" s="272"/>
      <c r="G88" s="272"/>
      <c r="H88" s="311"/>
      <c r="I88" s="311"/>
      <c r="J88" s="311"/>
      <c r="K88" s="333"/>
      <c r="L88" s="311"/>
      <c r="M88" s="272"/>
      <c r="N88" s="334"/>
      <c r="O88" s="272"/>
      <c r="P88" s="272"/>
      <c r="Q88" s="272"/>
      <c r="R88" s="272"/>
      <c r="S88" s="272"/>
      <c r="T88" s="324">
        <f>15941-152</f>
        <v>15789</v>
      </c>
      <c r="U88" s="272"/>
      <c r="V88" s="325"/>
      <c r="W88" s="275"/>
      <c r="X88" s="5"/>
    </row>
    <row r="89" spans="1:24" ht="15.6" x14ac:dyDescent="0.3">
      <c r="A89" s="271"/>
      <c r="B89" s="272" t="s">
        <v>219</v>
      </c>
      <c r="C89" s="272"/>
      <c r="D89" s="272"/>
      <c r="E89" s="272"/>
      <c r="F89" s="272"/>
      <c r="G89" s="272"/>
      <c r="H89" s="311"/>
      <c r="I89" s="311"/>
      <c r="J89" s="311"/>
      <c r="K89" s="333"/>
      <c r="L89" s="311"/>
      <c r="M89" s="272"/>
      <c r="N89" s="334"/>
      <c r="O89" s="272"/>
      <c r="P89" s="272"/>
      <c r="Q89" s="272"/>
      <c r="R89" s="272"/>
      <c r="S89" s="272"/>
      <c r="T89" s="324"/>
      <c r="U89" s="272"/>
      <c r="V89" s="325">
        <f>4080+3104-706-1391</f>
        <v>5087</v>
      </c>
      <c r="W89" s="275"/>
      <c r="X89" s="5"/>
    </row>
    <row r="90" spans="1:24" ht="15.6" x14ac:dyDescent="0.3">
      <c r="A90" s="271"/>
      <c r="B90" s="272" t="s">
        <v>214</v>
      </c>
      <c r="C90" s="272"/>
      <c r="D90" s="272"/>
      <c r="E90" s="272"/>
      <c r="F90" s="272"/>
      <c r="G90" s="272"/>
      <c r="H90" s="311"/>
      <c r="I90" s="311"/>
      <c r="J90" s="311"/>
      <c r="K90" s="333"/>
      <c r="L90" s="311"/>
      <c r="M90" s="272"/>
      <c r="N90" s="334"/>
      <c r="O90" s="272"/>
      <c r="P90" s="272"/>
      <c r="Q90" s="272"/>
      <c r="R90" s="272"/>
      <c r="S90" s="272"/>
      <c r="T90" s="324"/>
      <c r="U90" s="272"/>
      <c r="V90" s="325">
        <f>83+26</f>
        <v>109</v>
      </c>
      <c r="W90" s="275"/>
      <c r="X90" s="5"/>
    </row>
    <row r="91" spans="1:24" ht="15.6" x14ac:dyDescent="0.3">
      <c r="A91" s="271"/>
      <c r="B91" s="272" t="s">
        <v>215</v>
      </c>
      <c r="C91" s="272"/>
      <c r="D91" s="272"/>
      <c r="E91" s="272"/>
      <c r="F91" s="272"/>
      <c r="G91" s="272"/>
      <c r="H91" s="311"/>
      <c r="I91" s="311"/>
      <c r="J91" s="311"/>
      <c r="K91" s="333"/>
      <c r="L91" s="311"/>
      <c r="M91" s="272"/>
      <c r="N91" s="334"/>
      <c r="O91" s="272"/>
      <c r="P91" s="272"/>
      <c r="Q91" s="272"/>
      <c r="R91" s="272"/>
      <c r="S91" s="272"/>
      <c r="T91" s="324"/>
      <c r="U91" s="272"/>
      <c r="V91" s="325">
        <v>50</v>
      </c>
      <c r="W91" s="275"/>
      <c r="X91" s="5"/>
    </row>
    <row r="92" spans="1:24" ht="15.6" x14ac:dyDescent="0.3">
      <c r="A92" s="271"/>
      <c r="B92" s="272" t="s">
        <v>277</v>
      </c>
      <c r="C92" s="272"/>
      <c r="D92" s="272"/>
      <c r="E92" s="272"/>
      <c r="F92" s="272"/>
      <c r="G92" s="272"/>
      <c r="H92" s="311"/>
      <c r="I92" s="311"/>
      <c r="J92" s="311"/>
      <c r="K92" s="333"/>
      <c r="L92" s="311"/>
      <c r="M92" s="272"/>
      <c r="N92" s="334"/>
      <c r="O92" s="272"/>
      <c r="P92" s="272"/>
      <c r="Q92" s="272"/>
      <c r="R92" s="272"/>
      <c r="S92" s="272"/>
      <c r="T92" s="324"/>
      <c r="U92" s="272"/>
      <c r="V92" s="325">
        <v>0</v>
      </c>
      <c r="W92" s="275"/>
      <c r="X92" s="5"/>
    </row>
    <row r="93" spans="1:24" ht="15.6" x14ac:dyDescent="0.3">
      <c r="A93" s="271"/>
      <c r="B93" s="272" t="s">
        <v>138</v>
      </c>
      <c r="C93" s="272"/>
      <c r="D93" s="272"/>
      <c r="E93" s="272"/>
      <c r="F93" s="272"/>
      <c r="G93" s="272"/>
      <c r="H93" s="272"/>
      <c r="I93" s="272"/>
      <c r="J93" s="272"/>
      <c r="K93" s="272"/>
      <c r="L93" s="272"/>
      <c r="M93" s="272"/>
      <c r="N93" s="272"/>
      <c r="O93" s="272"/>
      <c r="P93" s="272"/>
      <c r="Q93" s="272"/>
      <c r="R93" s="272"/>
      <c r="S93" s="272"/>
      <c r="T93" s="324"/>
      <c r="U93" s="272"/>
      <c r="V93" s="325">
        <v>0</v>
      </c>
      <c r="W93" s="275"/>
      <c r="X93" s="5"/>
    </row>
    <row r="94" spans="1:24" ht="15.6" x14ac:dyDescent="0.3">
      <c r="A94" s="271"/>
      <c r="B94" s="272" t="s">
        <v>265</v>
      </c>
      <c r="C94" s="272"/>
      <c r="D94" s="272"/>
      <c r="E94" s="272"/>
      <c r="F94" s="272"/>
      <c r="G94" s="272"/>
      <c r="H94" s="272"/>
      <c r="I94" s="272"/>
      <c r="J94" s="272"/>
      <c r="K94" s="272"/>
      <c r="L94" s="272"/>
      <c r="M94" s="272"/>
      <c r="N94" s="272"/>
      <c r="O94" s="272"/>
      <c r="P94" s="272"/>
      <c r="Q94" s="272"/>
      <c r="R94" s="272"/>
      <c r="S94" s="272"/>
      <c r="T94" s="324"/>
      <c r="U94" s="272"/>
      <c r="V94" s="325">
        <v>414</v>
      </c>
      <c r="W94" s="275"/>
      <c r="X94" s="5"/>
    </row>
    <row r="95" spans="1:24" ht="15.6" x14ac:dyDescent="0.3">
      <c r="A95" s="271"/>
      <c r="B95" s="272" t="s">
        <v>30</v>
      </c>
      <c r="C95" s="272"/>
      <c r="D95" s="272"/>
      <c r="E95" s="272"/>
      <c r="F95" s="272"/>
      <c r="G95" s="272"/>
      <c r="H95" s="272"/>
      <c r="I95" s="272"/>
      <c r="J95" s="272"/>
      <c r="K95" s="272"/>
      <c r="L95" s="272"/>
      <c r="M95" s="272"/>
      <c r="N95" s="272"/>
      <c r="O95" s="272"/>
      <c r="P95" s="272"/>
      <c r="Q95" s="272"/>
      <c r="R95" s="272"/>
      <c r="S95" s="272"/>
      <c r="T95" s="324">
        <f>SUM(T87:T94)</f>
        <v>15789</v>
      </c>
      <c r="U95" s="272"/>
      <c r="V95" s="324">
        <f>SUM(V87:V94)</f>
        <v>5660</v>
      </c>
      <c r="W95" s="275"/>
      <c r="X95" s="5"/>
    </row>
    <row r="96" spans="1:24" ht="15.6" x14ac:dyDescent="0.3">
      <c r="A96" s="271"/>
      <c r="B96" s="272" t="s">
        <v>164</v>
      </c>
      <c r="C96" s="272"/>
      <c r="D96" s="272"/>
      <c r="E96" s="272"/>
      <c r="F96" s="272"/>
      <c r="G96" s="272"/>
      <c r="H96" s="272"/>
      <c r="I96" s="272"/>
      <c r="J96" s="272"/>
      <c r="K96" s="272"/>
      <c r="L96" s="272"/>
      <c r="M96" s="272"/>
      <c r="N96" s="272"/>
      <c r="O96" s="272"/>
      <c r="P96" s="272"/>
      <c r="Q96" s="272"/>
      <c r="R96" s="272"/>
      <c r="S96" s="272"/>
      <c r="T96" s="324">
        <f>-V96</f>
        <v>0</v>
      </c>
      <c r="U96" s="272"/>
      <c r="V96" s="324">
        <v>0</v>
      </c>
      <c r="W96" s="275"/>
      <c r="X96" s="5"/>
    </row>
    <row r="97" spans="1:26" ht="15.6" x14ac:dyDescent="0.3">
      <c r="A97" s="271"/>
      <c r="B97" s="272" t="s">
        <v>31</v>
      </c>
      <c r="C97" s="272"/>
      <c r="D97" s="272"/>
      <c r="E97" s="272"/>
      <c r="F97" s="272"/>
      <c r="G97" s="272"/>
      <c r="H97" s="272"/>
      <c r="I97" s="272"/>
      <c r="J97" s="272"/>
      <c r="K97" s="272"/>
      <c r="L97" s="272"/>
      <c r="M97" s="272"/>
      <c r="N97" s="272"/>
      <c r="O97" s="272"/>
      <c r="P97" s="272"/>
      <c r="Q97" s="272"/>
      <c r="R97" s="272"/>
      <c r="S97" s="272"/>
      <c r="T97" s="324">
        <f>-V97</f>
        <v>0</v>
      </c>
      <c r="U97" s="272"/>
      <c r="V97" s="325">
        <v>0</v>
      </c>
      <c r="W97" s="275"/>
      <c r="X97" s="5"/>
    </row>
    <row r="98" spans="1:26" ht="15.6" x14ac:dyDescent="0.3">
      <c r="A98" s="271"/>
      <c r="B98" s="272" t="s">
        <v>288</v>
      </c>
      <c r="C98" s="272"/>
      <c r="D98" s="272"/>
      <c r="E98" s="272"/>
      <c r="F98" s="272"/>
      <c r="G98" s="272"/>
      <c r="H98" s="272"/>
      <c r="I98" s="272"/>
      <c r="J98" s="272"/>
      <c r="K98" s="272"/>
      <c r="L98" s="272"/>
      <c r="M98" s="272"/>
      <c r="N98" s="272"/>
      <c r="O98" s="272"/>
      <c r="P98" s="272"/>
      <c r="Q98" s="272"/>
      <c r="R98" s="272"/>
      <c r="S98" s="272"/>
      <c r="T98" s="324"/>
      <c r="U98" s="272"/>
      <c r="V98" s="325">
        <v>77</v>
      </c>
      <c r="W98" s="275"/>
      <c r="X98" s="5"/>
    </row>
    <row r="99" spans="1:26" ht="15.6" x14ac:dyDescent="0.3">
      <c r="A99" s="271"/>
      <c r="B99" s="272" t="s">
        <v>32</v>
      </c>
      <c r="C99" s="272"/>
      <c r="D99" s="272"/>
      <c r="E99" s="272"/>
      <c r="F99" s="272"/>
      <c r="G99" s="272"/>
      <c r="H99" s="272"/>
      <c r="I99" s="272"/>
      <c r="J99" s="272"/>
      <c r="K99" s="272"/>
      <c r="L99" s="272"/>
      <c r="M99" s="272"/>
      <c r="N99" s="272"/>
      <c r="O99" s="272"/>
      <c r="P99" s="272"/>
      <c r="Q99" s="272"/>
      <c r="R99" s="272"/>
      <c r="S99" s="272"/>
      <c r="T99" s="324">
        <f>T95+T97+T96</f>
        <v>15789</v>
      </c>
      <c r="U99" s="272"/>
      <c r="V99" s="324">
        <f>V95+V97+V96+V98</f>
        <v>5737</v>
      </c>
      <c r="W99" s="275"/>
      <c r="X99" s="5"/>
    </row>
    <row r="100" spans="1:26" ht="15.6" x14ac:dyDescent="0.3">
      <c r="A100" s="271"/>
      <c r="B100" s="335" t="s">
        <v>33</v>
      </c>
      <c r="C100" s="298"/>
      <c r="D100" s="298"/>
      <c r="E100" s="298"/>
      <c r="F100" s="298"/>
      <c r="G100" s="298"/>
      <c r="H100" s="298"/>
      <c r="I100" s="298"/>
      <c r="J100" s="298"/>
      <c r="K100" s="298"/>
      <c r="L100" s="298"/>
      <c r="M100" s="298"/>
      <c r="N100" s="298"/>
      <c r="O100" s="298"/>
      <c r="P100" s="298"/>
      <c r="Q100" s="298"/>
      <c r="R100" s="298"/>
      <c r="S100" s="298"/>
      <c r="T100" s="336"/>
      <c r="U100" s="298"/>
      <c r="V100" s="337"/>
      <c r="W100" s="304"/>
      <c r="X100" s="5"/>
    </row>
    <row r="101" spans="1:26" ht="15.6" x14ac:dyDescent="0.3">
      <c r="A101" s="338">
        <v>1</v>
      </c>
      <c r="B101" s="272" t="s">
        <v>34</v>
      </c>
      <c r="C101" s="272"/>
      <c r="D101" s="272"/>
      <c r="E101" s="272"/>
      <c r="F101" s="272"/>
      <c r="G101" s="272"/>
      <c r="H101" s="272"/>
      <c r="I101" s="272"/>
      <c r="J101" s="272"/>
      <c r="K101" s="272"/>
      <c r="L101" s="272"/>
      <c r="M101" s="272"/>
      <c r="N101" s="272"/>
      <c r="O101" s="272"/>
      <c r="P101" s="272"/>
      <c r="Q101" s="272"/>
      <c r="R101" s="272"/>
      <c r="S101" s="272"/>
      <c r="T101" s="272"/>
      <c r="U101" s="272"/>
      <c r="V101" s="325">
        <v>0</v>
      </c>
      <c r="W101" s="275"/>
      <c r="X101" s="5"/>
    </row>
    <row r="102" spans="1:26" ht="15.6" x14ac:dyDescent="0.3">
      <c r="A102" s="338">
        <f>+A101+1</f>
        <v>2</v>
      </c>
      <c r="B102" s="272" t="s">
        <v>331</v>
      </c>
      <c r="C102" s="272"/>
      <c r="D102" s="272"/>
      <c r="E102" s="272"/>
      <c r="F102" s="272"/>
      <c r="G102" s="272"/>
      <c r="H102" s="272"/>
      <c r="I102" s="272"/>
      <c r="J102" s="272"/>
      <c r="K102" s="272"/>
      <c r="L102" s="272"/>
      <c r="M102" s="272"/>
      <c r="N102" s="272"/>
      <c r="O102" s="272"/>
      <c r="P102" s="272"/>
      <c r="Q102" s="272"/>
      <c r="R102" s="272"/>
      <c r="S102" s="272"/>
      <c r="T102" s="272"/>
      <c r="U102" s="272"/>
      <c r="V102" s="325">
        <f>-2</f>
        <v>-2</v>
      </c>
      <c r="W102" s="275"/>
      <c r="X102" s="5"/>
    </row>
    <row r="103" spans="1:26" ht="15.6" x14ac:dyDescent="0.3">
      <c r="A103" s="338">
        <f>+A102+1</f>
        <v>3</v>
      </c>
      <c r="B103" s="343" t="s">
        <v>332</v>
      </c>
      <c r="C103" s="272"/>
      <c r="D103" s="272"/>
      <c r="E103" s="272"/>
      <c r="F103" s="272"/>
      <c r="G103" s="272"/>
      <c r="H103" s="272"/>
      <c r="I103" s="272"/>
      <c r="J103" s="272"/>
      <c r="K103" s="272"/>
      <c r="L103" s="272"/>
      <c r="M103" s="272"/>
      <c r="N103" s="272"/>
      <c r="O103" s="272"/>
      <c r="P103" s="272"/>
      <c r="Q103" s="272"/>
      <c r="R103" s="272"/>
      <c r="S103" s="272"/>
      <c r="T103" s="272"/>
      <c r="U103" s="272"/>
      <c r="V103" s="325">
        <f>-329-166-11</f>
        <v>-506</v>
      </c>
      <c r="W103" s="275"/>
      <c r="X103" s="5"/>
    </row>
    <row r="104" spans="1:26" ht="15.6" x14ac:dyDescent="0.3">
      <c r="A104" s="338" t="s">
        <v>130</v>
      </c>
      <c r="B104" s="272" t="s">
        <v>119</v>
      </c>
      <c r="C104" s="272"/>
      <c r="D104" s="272"/>
      <c r="E104" s="272"/>
      <c r="F104" s="272"/>
      <c r="G104" s="272"/>
      <c r="H104" s="272"/>
      <c r="I104" s="272"/>
      <c r="J104" s="272"/>
      <c r="K104" s="272"/>
      <c r="L104" s="272"/>
      <c r="M104" s="272"/>
      <c r="N104" s="272"/>
      <c r="O104" s="272"/>
      <c r="P104" s="272"/>
      <c r="Q104" s="272"/>
      <c r="R104" s="272"/>
      <c r="S104" s="272"/>
      <c r="T104" s="272"/>
      <c r="U104" s="272"/>
      <c r="V104" s="325">
        <v>0</v>
      </c>
      <c r="W104" s="275"/>
      <c r="X104" s="5"/>
    </row>
    <row r="105" spans="1:26" ht="15.6" x14ac:dyDescent="0.3">
      <c r="A105" s="338" t="s">
        <v>131</v>
      </c>
      <c r="B105" s="272" t="s">
        <v>362</v>
      </c>
      <c r="C105" s="272"/>
      <c r="D105" s="272"/>
      <c r="E105" s="272"/>
      <c r="F105" s="272"/>
      <c r="G105" s="272"/>
      <c r="H105" s="272"/>
      <c r="I105" s="272"/>
      <c r="J105" s="272"/>
      <c r="K105" s="272"/>
      <c r="L105" s="272"/>
      <c r="M105" s="272"/>
      <c r="N105" s="272"/>
      <c r="O105" s="272"/>
      <c r="P105" s="272"/>
      <c r="Q105" s="272"/>
      <c r="R105" s="272"/>
      <c r="S105" s="272"/>
      <c r="T105" s="272"/>
      <c r="U105" s="272"/>
      <c r="V105" s="325">
        <f>-807-126</f>
        <v>-933</v>
      </c>
      <c r="W105" s="275"/>
      <c r="X105" s="5"/>
      <c r="Y105" s="109"/>
      <c r="Z105" s="109"/>
    </row>
    <row r="106" spans="1:26" ht="15.6" x14ac:dyDescent="0.3">
      <c r="A106" s="338" t="s">
        <v>153</v>
      </c>
      <c r="B106" s="272" t="s">
        <v>363</v>
      </c>
      <c r="C106" s="272"/>
      <c r="D106" s="272"/>
      <c r="E106" s="272"/>
      <c r="F106" s="272"/>
      <c r="G106" s="272"/>
      <c r="H106" s="272"/>
      <c r="I106" s="272"/>
      <c r="J106" s="272"/>
      <c r="K106" s="272"/>
      <c r="L106" s="272"/>
      <c r="M106" s="272"/>
      <c r="N106" s="272"/>
      <c r="O106" s="272"/>
      <c r="P106" s="272"/>
      <c r="Q106" s="272"/>
      <c r="R106" s="272"/>
      <c r="S106" s="272"/>
      <c r="T106" s="272"/>
      <c r="U106" s="272"/>
      <c r="V106" s="325">
        <f>-221-190</f>
        <v>-411</v>
      </c>
      <c r="W106" s="275"/>
      <c r="X106" s="5"/>
      <c r="Y106" s="109"/>
    </row>
    <row r="107" spans="1:26" ht="15.6" x14ac:dyDescent="0.3">
      <c r="A107" s="338" t="s">
        <v>266</v>
      </c>
      <c r="B107" s="272" t="s">
        <v>269</v>
      </c>
      <c r="C107" s="272"/>
      <c r="D107" s="272"/>
      <c r="E107" s="272"/>
      <c r="F107" s="272"/>
      <c r="G107" s="272"/>
      <c r="H107" s="272"/>
      <c r="I107" s="272"/>
      <c r="J107" s="272"/>
      <c r="K107" s="272"/>
      <c r="L107" s="272"/>
      <c r="M107" s="272"/>
      <c r="N107" s="272"/>
      <c r="O107" s="272"/>
      <c r="P107" s="272"/>
      <c r="Q107" s="272"/>
      <c r="R107" s="272"/>
      <c r="S107" s="272"/>
      <c r="T107" s="272"/>
      <c r="U107" s="272"/>
      <c r="V107" s="325">
        <v>0</v>
      </c>
      <c r="W107" s="275"/>
      <c r="X107" s="5"/>
    </row>
    <row r="108" spans="1:26" ht="15.6" x14ac:dyDescent="0.3">
      <c r="A108" s="338" t="s">
        <v>208</v>
      </c>
      <c r="B108" s="272" t="s">
        <v>188</v>
      </c>
      <c r="C108" s="272"/>
      <c r="D108" s="272"/>
      <c r="E108" s="272"/>
      <c r="F108" s="272"/>
      <c r="G108" s="272"/>
      <c r="H108" s="272"/>
      <c r="I108" s="272"/>
      <c r="J108" s="272"/>
      <c r="K108" s="272"/>
      <c r="L108" s="272"/>
      <c r="M108" s="272"/>
      <c r="N108" s="272"/>
      <c r="O108" s="272"/>
      <c r="P108" s="272"/>
      <c r="Q108" s="272"/>
      <c r="R108" s="272"/>
      <c r="S108" s="272"/>
      <c r="T108" s="272"/>
      <c r="U108" s="272"/>
      <c r="V108" s="325">
        <v>-137</v>
      </c>
      <c r="W108" s="275"/>
      <c r="X108" s="5"/>
      <c r="Y108" s="109"/>
    </row>
    <row r="109" spans="1:26" ht="15.6" x14ac:dyDescent="0.3">
      <c r="A109" s="338" t="s">
        <v>209</v>
      </c>
      <c r="B109" s="272" t="s">
        <v>189</v>
      </c>
      <c r="C109" s="272"/>
      <c r="D109" s="272"/>
      <c r="E109" s="272"/>
      <c r="F109" s="272"/>
      <c r="G109" s="272"/>
      <c r="H109" s="272"/>
      <c r="I109" s="272"/>
      <c r="J109" s="272"/>
      <c r="K109" s="272"/>
      <c r="L109" s="272"/>
      <c r="M109" s="272"/>
      <c r="N109" s="272"/>
      <c r="O109" s="272"/>
      <c r="P109" s="272"/>
      <c r="Q109" s="272"/>
      <c r="R109" s="272"/>
      <c r="S109" s="272"/>
      <c r="T109" s="272"/>
      <c r="U109" s="272"/>
      <c r="V109" s="325">
        <v>-134</v>
      </c>
      <c r="W109" s="275"/>
      <c r="X109" s="5"/>
      <c r="Y109" s="109"/>
    </row>
    <row r="110" spans="1:26" ht="15.6" x14ac:dyDescent="0.3">
      <c r="A110" s="338" t="s">
        <v>210</v>
      </c>
      <c r="B110" s="272" t="s">
        <v>199</v>
      </c>
      <c r="C110" s="272"/>
      <c r="D110" s="272"/>
      <c r="E110" s="272"/>
      <c r="F110" s="272"/>
      <c r="G110" s="272"/>
      <c r="H110" s="272"/>
      <c r="I110" s="272"/>
      <c r="J110" s="272"/>
      <c r="K110" s="272"/>
      <c r="L110" s="272"/>
      <c r="M110" s="272"/>
      <c r="N110" s="272"/>
      <c r="O110" s="272"/>
      <c r="P110" s="272"/>
      <c r="Q110" s="272"/>
      <c r="R110" s="272"/>
      <c r="S110" s="272"/>
      <c r="T110" s="272"/>
      <c r="U110" s="272"/>
      <c r="V110" s="325">
        <v>-191</v>
      </c>
      <c r="W110" s="275"/>
      <c r="X110" s="5"/>
      <c r="Y110" s="109"/>
    </row>
    <row r="111" spans="1:26" ht="15.6" x14ac:dyDescent="0.3">
      <c r="A111" s="338" t="s">
        <v>230</v>
      </c>
      <c r="B111" s="272" t="s">
        <v>229</v>
      </c>
      <c r="C111" s="272"/>
      <c r="D111" s="272"/>
      <c r="E111" s="272"/>
      <c r="F111" s="272"/>
      <c r="G111" s="272"/>
      <c r="H111" s="272"/>
      <c r="I111" s="272"/>
      <c r="J111" s="272"/>
      <c r="K111" s="272"/>
      <c r="L111" s="272"/>
      <c r="M111" s="272"/>
      <c r="N111" s="272"/>
      <c r="O111" s="272"/>
      <c r="P111" s="272"/>
      <c r="Q111" s="272"/>
      <c r="R111" s="272"/>
      <c r="S111" s="272"/>
      <c r="T111" s="272"/>
      <c r="U111" s="272"/>
      <c r="V111" s="325">
        <v>-45</v>
      </c>
      <c r="W111" s="275"/>
      <c r="X111" s="5"/>
      <c r="Y111" s="109"/>
    </row>
    <row r="112" spans="1:26" ht="15.6" x14ac:dyDescent="0.3">
      <c r="A112" s="392">
        <v>7</v>
      </c>
      <c r="B112" s="343" t="s">
        <v>333</v>
      </c>
      <c r="C112" s="343"/>
      <c r="D112" s="343"/>
      <c r="E112" s="343"/>
      <c r="F112" s="343"/>
      <c r="G112" s="272"/>
      <c r="H112" s="272"/>
      <c r="I112" s="272"/>
      <c r="J112" s="272"/>
      <c r="K112" s="272"/>
      <c r="L112" s="272"/>
      <c r="M112" s="272"/>
      <c r="N112" s="272"/>
      <c r="O112" s="272"/>
      <c r="P112" s="272"/>
      <c r="Q112" s="272"/>
      <c r="R112" s="272"/>
      <c r="S112" s="272"/>
      <c r="T112" s="272"/>
      <c r="U112" s="272"/>
      <c r="V112" s="325">
        <v>0</v>
      </c>
      <c r="W112" s="275"/>
      <c r="X112" s="5"/>
      <c r="Y112" s="109"/>
    </row>
    <row r="113" spans="1:24" ht="15.6" x14ac:dyDescent="0.3">
      <c r="A113" s="338">
        <f t="shared" ref="A113:A120" si="0">+A112+1</f>
        <v>8</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-30</v>
      </c>
      <c r="W113" s="275"/>
      <c r="X113" s="5"/>
    </row>
    <row r="114" spans="1:24" ht="15.6" x14ac:dyDescent="0.3">
      <c r="A114" s="338">
        <f t="shared" si="0"/>
        <v>9</v>
      </c>
      <c r="B114" s="272" t="s">
        <v>45</v>
      </c>
      <c r="C114" s="272"/>
      <c r="D114" s="272"/>
      <c r="E114" s="272"/>
      <c r="F114" s="272"/>
      <c r="G114" s="272"/>
      <c r="H114" s="272"/>
      <c r="I114" s="272"/>
      <c r="J114" s="272"/>
      <c r="K114" s="272"/>
      <c r="L114" s="272"/>
      <c r="M114" s="272"/>
      <c r="N114" s="272"/>
      <c r="O114" s="272"/>
      <c r="P114" s="272"/>
      <c r="Q114" s="272"/>
      <c r="R114" s="272"/>
      <c r="S114" s="272"/>
      <c r="T114" s="324">
        <f>-V114</f>
        <v>152</v>
      </c>
      <c r="U114" s="272"/>
      <c r="V114" s="325">
        <v>-152</v>
      </c>
      <c r="W114" s="275"/>
      <c r="X114" s="5"/>
    </row>
    <row r="115" spans="1:24" ht="15.6" x14ac:dyDescent="0.3">
      <c r="A115" s="338">
        <f t="shared" si="0"/>
        <v>10</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11</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12</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13</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14</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-328</v>
      </c>
      <c r="W119" s="275"/>
      <c r="X119" s="5"/>
    </row>
    <row r="120" spans="1:24" ht="15.6" x14ac:dyDescent="0.3">
      <c r="A120" s="338">
        <f t="shared" si="0"/>
        <v>15</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-V99-SUM(V101:V119)</f>
        <v>-2868</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0</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0</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-272</v>
      </c>
      <c r="U124" s="324"/>
      <c r="V124" s="325"/>
      <c r="W124" s="275"/>
      <c r="X124" s="5"/>
    </row>
    <row r="125" spans="1:24" ht="15.6" x14ac:dyDescent="0.3">
      <c r="A125" s="338"/>
      <c r="B125" s="272" t="s">
        <v>386</v>
      </c>
      <c r="C125" s="272"/>
      <c r="D125" s="272"/>
      <c r="E125" s="272"/>
      <c r="F125" s="272"/>
      <c r="G125" s="272"/>
      <c r="H125" s="272"/>
      <c r="I125" s="272"/>
      <c r="J125" s="272"/>
      <c r="K125" s="272"/>
      <c r="L125" s="272"/>
      <c r="M125" s="272"/>
      <c r="N125" s="272"/>
      <c r="O125" s="272"/>
      <c r="P125" s="272"/>
      <c r="Q125" s="272"/>
      <c r="R125" s="272"/>
      <c r="S125" s="272"/>
      <c r="T125" s="324">
        <v>-9468</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-1483</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-2509</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-2209</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-15941</v>
      </c>
      <c r="U133" s="324"/>
      <c r="V133" s="324">
        <f>SUM(V100:V130)</f>
        <v>-5737</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T99+T133+T114</f>
        <v>0</v>
      </c>
      <c r="U134" s="324"/>
      <c r="V134" s="324">
        <f>V99+V133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B63</f>
        <v>PM13 INVESTOR REPORT QUARTER ENDING SEPTEMBER 2016</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341</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152</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152</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-152</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v>0</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V70</f>
        <v>839785</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V83</f>
        <v>839785</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+'June 16'!S183</f>
        <v>52251</v>
      </c>
      <c r="T181" s="325">
        <f>+'June 16'!T183</f>
        <v>9749</v>
      </c>
      <c r="U181" s="272"/>
      <c r="V181" s="325">
        <f>S181+T181</f>
        <v>62000</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f>175+97</f>
        <v>272</v>
      </c>
      <c r="T182" s="324">
        <v>0</v>
      </c>
      <c r="U182" s="272"/>
      <c r="V182" s="325">
        <f>S182+T182</f>
        <v>272</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52523</v>
      </c>
      <c r="T183" s="325">
        <f>T182+T181</f>
        <v>9749</v>
      </c>
      <c r="U183" s="272"/>
      <c r="V183" s="325">
        <f>S183+T183</f>
        <v>62272</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177758.4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(V99+V101+V102+V103+V104)/-(V105+V106)</f>
        <v>3.890625</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1.85</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(V99+V101+V102+V103+V104+V105+V106)/-(V108+V109)</f>
        <v>14.335793357933579</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7.48</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(V99+V101+V102+V103+V104+V105+V106+V108+V109)/-(V110+V111)</f>
        <v>15.313559322033898</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9.43</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SEPTEMBER 2016</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42643</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2.1906709269733579E-2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8.403205147436088E-3</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1.3503504122297491E-2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+V99/N70</f>
        <v>6.7063804716559865E-3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11.55</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P67/N67</f>
        <v>1.8634549607576795E-2</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6.3899999999999998E-2</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2</v>
      </c>
      <c r="T216" s="357">
        <v>425</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135</v>
      </c>
      <c r="T217" s="357">
        <f>+T269</f>
        <v>21087</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f>+R281</f>
        <v>0</v>
      </c>
      <c r="T218" s="357">
        <f>+T281</f>
        <v>0</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+N80</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2" t="s">
        <v>84</v>
      </c>
      <c r="C222" s="272"/>
      <c r="D222" s="272"/>
      <c r="E222" s="272"/>
      <c r="F222" s="272"/>
      <c r="G222" s="272"/>
      <c r="H222" s="272"/>
      <c r="I222" s="272"/>
      <c r="J222" s="272"/>
      <c r="K222" s="272"/>
      <c r="L222" s="272"/>
      <c r="M222" s="272"/>
      <c r="N222" s="272"/>
      <c r="O222" s="272"/>
      <c r="P222" s="272"/>
      <c r="Q222" s="272"/>
      <c r="R222" s="272"/>
      <c r="S222" s="280"/>
      <c r="T222" s="357">
        <f>V166</f>
        <v>152</v>
      </c>
      <c r="U222" s="272"/>
      <c r="V222" s="362"/>
      <c r="W222" s="367"/>
      <c r="X222" s="5"/>
    </row>
    <row r="223" spans="1:24" ht="15.6" x14ac:dyDescent="0.3">
      <c r="A223" s="356"/>
      <c r="B223" s="272" t="s">
        <v>85</v>
      </c>
      <c r="C223" s="324"/>
      <c r="D223" s="324"/>
      <c r="E223" s="324"/>
      <c r="F223" s="324"/>
      <c r="G223" s="272"/>
      <c r="H223" s="272"/>
      <c r="I223" s="272"/>
      <c r="J223" s="272"/>
      <c r="K223" s="272"/>
      <c r="L223" s="272"/>
      <c r="M223" s="272"/>
      <c r="N223" s="272"/>
      <c r="O223" s="272"/>
      <c r="P223" s="272"/>
      <c r="Q223" s="272"/>
      <c r="R223" s="272"/>
      <c r="S223" s="280"/>
      <c r="T223" s="357">
        <f>'June 16'!T223+T222</f>
        <v>8340</v>
      </c>
      <c r="U223" s="272"/>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4</v>
      </c>
      <c r="T229" s="357">
        <v>439</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5.86</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 t="shared" ref="R236:R243" si="1">+R248+R260+R272</f>
        <v>6514</v>
      </c>
      <c r="S236" s="381">
        <f t="shared" ref="S236:S243" si="2">R236/$R$245</f>
        <v>0.99268515696434012</v>
      </c>
      <c r="T236" s="325">
        <f t="shared" ref="T236:T243" si="3">+T248+T260+T272</f>
        <v>833886</v>
      </c>
      <c r="U236" s="381">
        <f t="shared" ref="U236:U243" si="4">T236/$T$245</f>
        <v>0.9929755830361342</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si="1"/>
        <v>12</v>
      </c>
      <c r="S237" s="381">
        <f t="shared" si="2"/>
        <v>1.828710758914965E-3</v>
      </c>
      <c r="T237" s="325">
        <f t="shared" si="3"/>
        <v>1270</v>
      </c>
      <c r="U237" s="381">
        <f t="shared" si="4"/>
        <v>1.5122918366010348E-3</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8</v>
      </c>
      <c r="S238" s="381">
        <f t="shared" si="2"/>
        <v>1.2191405059433099E-3</v>
      </c>
      <c r="T238" s="325">
        <f t="shared" si="3"/>
        <v>753</v>
      </c>
      <c r="U238" s="381">
        <f t="shared" si="4"/>
        <v>8.9665807319730644E-4</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0</v>
      </c>
      <c r="S239" s="381">
        <f t="shared" si="2"/>
        <v>0</v>
      </c>
      <c r="T239" s="325">
        <f t="shared" si="3"/>
        <v>0</v>
      </c>
      <c r="U239" s="381">
        <f t="shared" si="4"/>
        <v>0</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2</v>
      </c>
      <c r="S240" s="381">
        <f t="shared" si="2"/>
        <v>3.0478512648582747E-4</v>
      </c>
      <c r="T240" s="325">
        <f t="shared" si="3"/>
        <v>183</v>
      </c>
      <c r="U240" s="381">
        <f t="shared" si="4"/>
        <v>2.1791291818739321E-4</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2</v>
      </c>
      <c r="S241" s="381">
        <f t="shared" si="2"/>
        <v>3.0478512648582747E-4</v>
      </c>
      <c r="T241" s="325">
        <f t="shared" si="3"/>
        <v>112</v>
      </c>
      <c r="U241" s="381">
        <f t="shared" si="4"/>
        <v>1.3336746905457945E-4</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6</v>
      </c>
      <c r="S242" s="381">
        <f t="shared" si="2"/>
        <v>9.1435537945748252E-4</v>
      </c>
      <c r="T242" s="325">
        <f t="shared" si="3"/>
        <v>1129</v>
      </c>
      <c r="U242" s="381">
        <f t="shared" si="4"/>
        <v>1.3443917193091089E-3</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18</v>
      </c>
      <c r="S243" s="381">
        <f t="shared" si="2"/>
        <v>2.7430661383724473E-3</v>
      </c>
      <c r="T243" s="325">
        <f t="shared" si="3"/>
        <v>2452</v>
      </c>
      <c r="U243" s="381">
        <f t="shared" si="4"/>
        <v>2.9197949475163287E-3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6562</v>
      </c>
      <c r="S245" s="381">
        <f>SUM(S236:S244)</f>
        <v>1</v>
      </c>
      <c r="T245" s="325">
        <f>SUM(T236:T244)</f>
        <v>839785</v>
      </c>
      <c r="U245" s="381">
        <f>SUM(U236:U244)</f>
        <v>1</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6417</v>
      </c>
      <c r="S248" s="261">
        <f t="shared" ref="S248:S255" si="5">R248/$R$257</f>
        <v>0.99844406410455888</v>
      </c>
      <c r="T248" s="238">
        <v>817657</v>
      </c>
      <c r="U248" s="261">
        <f t="shared" ref="U248:U255" si="6">T248/$T$257</f>
        <v>0.99872846886153377</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9</v>
      </c>
      <c r="S249" s="381">
        <f t="shared" si="5"/>
        <v>1.4003423058969971E-3</v>
      </c>
      <c r="T249" s="325">
        <v>938</v>
      </c>
      <c r="U249" s="381">
        <f t="shared" si="6"/>
        <v>1.1457216214037411E-3</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1</v>
      </c>
      <c r="S250" s="381">
        <f t="shared" si="5"/>
        <v>1.5559358954411078E-4</v>
      </c>
      <c r="T250" s="325">
        <v>103</v>
      </c>
      <c r="U250" s="381">
        <f t="shared" si="6"/>
        <v>1.2580951706245771E-4</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0</v>
      </c>
      <c r="S251" s="381">
        <f t="shared" si="5"/>
        <v>0</v>
      </c>
      <c r="T251" s="325">
        <v>0</v>
      </c>
      <c r="U251" s="381">
        <f t="shared" si="6"/>
        <v>0</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0</v>
      </c>
      <c r="S255" s="381">
        <f t="shared" si="5"/>
        <v>0</v>
      </c>
      <c r="T255" s="325">
        <v>0</v>
      </c>
      <c r="U255" s="381">
        <f t="shared" si="6"/>
        <v>0</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6427</v>
      </c>
      <c r="S257" s="381">
        <f>SUM(S248:S256)</f>
        <v>1</v>
      </c>
      <c r="T257" s="325">
        <f>SUM(T248:T256)</f>
        <v>818698</v>
      </c>
      <c r="U257" s="381">
        <f>SUM(U248:U256)</f>
        <v>0.99999999999999989</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97</v>
      </c>
      <c r="S260" s="261">
        <f>R260/$R$269</f>
        <v>0.71851851851851856</v>
      </c>
      <c r="T260" s="238">
        <v>16229</v>
      </c>
      <c r="U260" s="261">
        <f t="shared" ref="U260:U267" si="7">T260/$T$269</f>
        <v>0.7696210935647555</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3</v>
      </c>
      <c r="S261" s="381">
        <f t="shared" ref="S261:S265" si="8">R261/$R$269</f>
        <v>2.2222222222222223E-2</v>
      </c>
      <c r="T261" s="325">
        <v>332</v>
      </c>
      <c r="U261" s="381">
        <f t="shared" si="7"/>
        <v>1.5744297434438278E-2</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7</v>
      </c>
      <c r="S262" s="381">
        <f t="shared" si="8"/>
        <v>5.185185185185185E-2</v>
      </c>
      <c r="T262" s="325">
        <v>650</v>
      </c>
      <c r="U262" s="381">
        <f t="shared" si="7"/>
        <v>3.0824678712002656E-2</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0</v>
      </c>
      <c r="S263" s="381">
        <f t="shared" si="8"/>
        <v>0</v>
      </c>
      <c r="T263" s="325">
        <v>0</v>
      </c>
      <c r="U263" s="381">
        <f t="shared" si="7"/>
        <v>0</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2</v>
      </c>
      <c r="S264" s="381">
        <f t="shared" si="8"/>
        <v>1.4814814814814815E-2</v>
      </c>
      <c r="T264" s="325">
        <v>183</v>
      </c>
      <c r="U264" s="381">
        <f t="shared" si="7"/>
        <v>8.6783326219945934E-3</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2</v>
      </c>
      <c r="S265" s="381">
        <f t="shared" si="8"/>
        <v>1.4814814814814815E-2</v>
      </c>
      <c r="T265" s="325">
        <v>112</v>
      </c>
      <c r="U265" s="381">
        <f t="shared" si="7"/>
        <v>5.311329254991227E-3</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6</v>
      </c>
      <c r="S266" s="381">
        <f>R266/$R$269</f>
        <v>4.4444444444444446E-2</v>
      </c>
      <c r="T266" s="325">
        <v>1129</v>
      </c>
      <c r="U266" s="381">
        <f t="shared" si="7"/>
        <v>5.3540095793616918E-2</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18</v>
      </c>
      <c r="S267" s="381">
        <f>R267/$R$269</f>
        <v>0.13333333333333333</v>
      </c>
      <c r="T267" s="325">
        <v>2452</v>
      </c>
      <c r="U267" s="381">
        <f t="shared" si="7"/>
        <v>0.11628017261820078</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135</v>
      </c>
      <c r="S269" s="381">
        <f>SUM(S260:S268)</f>
        <v>1</v>
      </c>
      <c r="T269" s="325">
        <f>SUM(T260:T268)</f>
        <v>21087</v>
      </c>
      <c r="U269" s="381">
        <f>SUM(U260:U268)</f>
        <v>1</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v>0</v>
      </c>
      <c r="T272" s="238">
        <v>0</v>
      </c>
      <c r="U272" s="261">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v>0</v>
      </c>
      <c r="T273" s="325">
        <v>0</v>
      </c>
      <c r="U273" s="381">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0</v>
      </c>
      <c r="S281" s="381">
        <f>SUM(S272:S279)</f>
        <v>0</v>
      </c>
      <c r="T281" s="325">
        <f>SUM(T272:T279)</f>
        <v>0</v>
      </c>
      <c r="U281" s="381">
        <f>SUM(U272:U279)</f>
        <v>0</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79" t="s">
        <v>167</v>
      </c>
      <c r="C283" s="272"/>
      <c r="D283" s="272"/>
      <c r="E283" s="272"/>
      <c r="F283" s="272"/>
      <c r="G283" s="272"/>
      <c r="H283" s="383"/>
      <c r="I283" s="383"/>
      <c r="J283" s="383"/>
      <c r="K283" s="383"/>
      <c r="L283" s="383"/>
      <c r="M283" s="383"/>
      <c r="N283" s="383"/>
      <c r="O283" s="383"/>
      <c r="P283" s="383"/>
      <c r="Q283" s="383"/>
      <c r="R283" s="390">
        <f>R281+R269+R257</f>
        <v>6562</v>
      </c>
      <c r="S283" s="381"/>
      <c r="T283" s="387">
        <f>+T281+T269+T257</f>
        <v>839785</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335</v>
      </c>
      <c r="C287" s="220"/>
      <c r="D287" s="220"/>
      <c r="E287" s="220"/>
      <c r="F287" s="265" t="s">
        <v>151</v>
      </c>
      <c r="G287" s="220"/>
      <c r="H287" s="219" t="s">
        <v>155</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336</v>
      </c>
      <c r="C288" s="219"/>
      <c r="D288" s="219"/>
      <c r="E288" s="219"/>
      <c r="F288" s="265" t="s">
        <v>282</v>
      </c>
      <c r="G288" s="219"/>
      <c r="H288" s="219" t="s">
        <v>283</v>
      </c>
      <c r="I288" s="227"/>
      <c r="J288" s="219"/>
      <c r="K288" s="227"/>
      <c r="L288" s="227"/>
      <c r="M288" s="227"/>
      <c r="N288" s="227"/>
      <c r="O288" s="227"/>
      <c r="P288" s="227"/>
      <c r="Q288" s="227"/>
      <c r="R288" s="227"/>
      <c r="S288" s="227"/>
      <c r="T288" s="227"/>
      <c r="U288" s="227"/>
      <c r="V288" s="227"/>
      <c r="W288" s="227"/>
      <c r="X288" s="5"/>
    </row>
    <row r="289" spans="1:24" ht="15.6" x14ac:dyDescent="0.3">
      <c r="A289" s="216"/>
      <c r="B289" s="219" t="s">
        <v>337</v>
      </c>
      <c r="C289" s="219"/>
      <c r="D289" s="219"/>
      <c r="E289" s="219"/>
      <c r="F289" s="265" t="s">
        <v>150</v>
      </c>
      <c r="G289" s="219"/>
      <c r="H289" s="219" t="s">
        <v>156</v>
      </c>
      <c r="I289" s="219"/>
      <c r="J289" s="219"/>
      <c r="K289" s="227"/>
      <c r="L289" s="227"/>
      <c r="M289" s="227"/>
      <c r="N289" s="227"/>
      <c r="O289" s="227"/>
      <c r="P289" s="227"/>
      <c r="Q289" s="227"/>
      <c r="R289" s="227"/>
      <c r="S289" s="227"/>
      <c r="T289" s="227"/>
      <c r="U289" s="227"/>
      <c r="V289" s="227"/>
      <c r="W289" s="227"/>
      <c r="X289" s="5"/>
    </row>
    <row r="290" spans="1:24" ht="15.6" x14ac:dyDescent="0.3">
      <c r="A290" s="216"/>
      <c r="B290" s="219"/>
      <c r="C290" s="219"/>
      <c r="D290" s="219"/>
      <c r="E290" s="219"/>
      <c r="F290" s="265"/>
      <c r="G290" s="219"/>
      <c r="H290" s="219"/>
      <c r="I290" s="219"/>
      <c r="J290" s="219"/>
      <c r="K290" s="227"/>
      <c r="L290" s="227"/>
      <c r="M290" s="227"/>
      <c r="N290" s="227"/>
      <c r="O290" s="227"/>
      <c r="P290" s="227"/>
      <c r="Q290" s="227"/>
      <c r="R290" s="227"/>
      <c r="S290" s="227"/>
      <c r="T290" s="227"/>
      <c r="U290" s="227"/>
      <c r="V290" s="227"/>
      <c r="W290" s="227"/>
      <c r="X290" s="5"/>
    </row>
    <row r="291" spans="1:24" ht="15.6" x14ac:dyDescent="0.3">
      <c r="A291" s="216"/>
      <c r="B291" s="268" t="s">
        <v>367</v>
      </c>
      <c r="C291" s="219"/>
      <c r="D291" s="219"/>
      <c r="E291" s="219"/>
      <c r="F291" s="265"/>
      <c r="G291" s="219"/>
      <c r="H291" s="219"/>
      <c r="I291" s="219"/>
      <c r="J291" s="219"/>
      <c r="K291" s="227"/>
      <c r="L291" s="227"/>
      <c r="M291" s="227"/>
      <c r="N291" s="227"/>
      <c r="O291" s="227"/>
      <c r="P291" s="227"/>
      <c r="Q291" s="227"/>
      <c r="R291" s="227"/>
      <c r="S291" s="227"/>
      <c r="T291" s="227"/>
      <c r="U291" s="227"/>
      <c r="V291" s="227"/>
      <c r="W291" s="227"/>
      <c r="X291" s="5"/>
    </row>
    <row r="292" spans="1:24" ht="15.6" x14ac:dyDescent="0.3">
      <c r="A292" s="216"/>
      <c r="B292" s="268" t="s">
        <v>364</v>
      </c>
      <c r="C292" s="219"/>
      <c r="D292" s="219"/>
      <c r="E292" s="219"/>
      <c r="F292" s="265"/>
      <c r="G292" s="219"/>
      <c r="H292" s="219"/>
      <c r="I292" s="219"/>
      <c r="J292" s="219"/>
      <c r="K292" s="227"/>
      <c r="L292" s="227"/>
      <c r="M292" s="227"/>
      <c r="N292" s="227"/>
      <c r="O292" s="227"/>
      <c r="P292" s="227"/>
      <c r="Q292" s="227"/>
      <c r="R292" s="227"/>
      <c r="S292" s="227"/>
      <c r="T292" s="227"/>
      <c r="U292" s="227"/>
      <c r="V292" s="227"/>
      <c r="W292" s="227"/>
      <c r="X292" s="5"/>
    </row>
    <row r="293" spans="1:24" ht="15.6" x14ac:dyDescent="0.3">
      <c r="A293" s="216"/>
      <c r="B293" s="268" t="s">
        <v>365</v>
      </c>
      <c r="C293" s="219"/>
      <c r="D293" s="219"/>
      <c r="E293" s="219"/>
      <c r="F293" s="265"/>
      <c r="G293" s="219"/>
      <c r="H293" s="219"/>
      <c r="I293" s="219"/>
      <c r="J293" s="219"/>
      <c r="K293" s="227"/>
      <c r="L293" s="227"/>
      <c r="M293" s="227"/>
      <c r="N293" s="227"/>
      <c r="O293" s="227"/>
      <c r="P293" s="227"/>
      <c r="Q293" s="227"/>
      <c r="R293" s="227"/>
      <c r="S293" s="227"/>
      <c r="T293" s="227"/>
      <c r="U293" s="227"/>
      <c r="V293" s="227"/>
      <c r="W293" s="227"/>
      <c r="X293" s="5"/>
    </row>
    <row r="294" spans="1:24" ht="15.6" x14ac:dyDescent="0.3">
      <c r="A294" s="216"/>
      <c r="B294" s="268" t="s">
        <v>366</v>
      </c>
      <c r="C294" s="219"/>
      <c r="D294" s="219"/>
      <c r="E294" s="219"/>
      <c r="F294" s="265"/>
      <c r="G294" s="219"/>
      <c r="H294" s="219"/>
      <c r="I294" s="219"/>
      <c r="J294" s="219"/>
      <c r="K294" s="227"/>
      <c r="L294" s="227"/>
      <c r="M294" s="227"/>
      <c r="N294" s="227"/>
      <c r="O294" s="227"/>
      <c r="P294" s="227"/>
      <c r="Q294" s="227"/>
      <c r="R294" s="227"/>
      <c r="S294" s="227"/>
      <c r="T294" s="227"/>
      <c r="U294" s="227"/>
      <c r="V294" s="227"/>
      <c r="W294" s="227"/>
      <c r="X294" s="5"/>
    </row>
    <row r="295" spans="1:24" ht="15.6" x14ac:dyDescent="0.3">
      <c r="A295" s="216"/>
      <c r="B295" s="219"/>
      <c r="C295" s="219"/>
      <c r="D295" s="219"/>
      <c r="E295" s="219"/>
      <c r="F295" s="265"/>
      <c r="G295" s="219"/>
      <c r="H295" s="219"/>
      <c r="I295" s="219"/>
      <c r="J295" s="219"/>
      <c r="K295" s="227"/>
      <c r="L295" s="227"/>
      <c r="M295" s="227"/>
      <c r="N295" s="227"/>
      <c r="O295" s="227"/>
      <c r="P295" s="227"/>
      <c r="Q295" s="227"/>
      <c r="R295" s="227"/>
      <c r="S295" s="227"/>
      <c r="T295" s="227"/>
      <c r="U295" s="227"/>
      <c r="V295" s="227"/>
      <c r="W295" s="227"/>
      <c r="X295" s="5"/>
    </row>
    <row r="296" spans="1:24" ht="17.399999999999999" x14ac:dyDescent="0.3">
      <c r="A296" s="216"/>
      <c r="B296" s="400" t="s">
        <v>368</v>
      </c>
      <c r="C296" s="219"/>
      <c r="D296" s="219"/>
      <c r="E296" s="219"/>
      <c r="F296" s="219"/>
      <c r="G296" s="266"/>
      <c r="H296" s="227"/>
      <c r="I296" s="227"/>
      <c r="J296" s="227"/>
      <c r="K296" s="227"/>
      <c r="L296" s="187"/>
      <c r="M296" s="187"/>
      <c r="N296" s="401"/>
      <c r="O296" s="187"/>
      <c r="P296" s="401" t="s">
        <v>170</v>
      </c>
      <c r="Q296" s="227"/>
      <c r="R296" s="227"/>
      <c r="S296" s="227"/>
      <c r="T296" s="227"/>
      <c r="U296" s="227"/>
      <c r="V296" s="227"/>
      <c r="W296" s="227"/>
      <c r="X296" s="5"/>
    </row>
    <row r="297" spans="1:24" ht="15.6" x14ac:dyDescent="0.3">
      <c r="A297" s="216"/>
      <c r="B297" s="219"/>
      <c r="C297" s="219"/>
      <c r="D297" s="219"/>
      <c r="E297" s="219"/>
      <c r="F297" s="219"/>
      <c r="G297" s="266"/>
      <c r="H297" s="227"/>
      <c r="I297" s="227"/>
      <c r="J297" s="227"/>
      <c r="K297" s="227"/>
      <c r="L297" s="227"/>
      <c r="M297" s="227"/>
      <c r="N297" s="227"/>
      <c r="O297" s="227"/>
      <c r="P297" s="227"/>
      <c r="Q297" s="227"/>
      <c r="R297" s="227"/>
      <c r="S297" s="227"/>
      <c r="T297" s="227"/>
      <c r="U297" s="227"/>
      <c r="V297" s="227"/>
      <c r="W297" s="227"/>
      <c r="X297" s="5"/>
    </row>
    <row r="298" spans="1:24" ht="18" thickBot="1" x14ac:dyDescent="0.35">
      <c r="A298" s="216"/>
      <c r="B298" s="267" t="str">
        <f>B197</f>
        <v>PM13 INVESTOR REPORT QUARTER ENDING SEPTEMBER 2016</v>
      </c>
      <c r="C298" s="219"/>
      <c r="D298" s="219"/>
      <c r="E298" s="219"/>
      <c r="F298" s="219"/>
      <c r="G298" s="266"/>
      <c r="H298" s="227"/>
      <c r="I298" s="227"/>
      <c r="J298" s="227"/>
      <c r="K298" s="227"/>
      <c r="L298" s="227"/>
      <c r="M298" s="227"/>
      <c r="N298" s="227"/>
      <c r="O298" s="227"/>
      <c r="P298" s="227"/>
      <c r="Q298" s="227"/>
      <c r="R298" s="227"/>
      <c r="S298" s="227"/>
      <c r="T298" s="227"/>
      <c r="U298" s="227"/>
      <c r="V298" s="227"/>
      <c r="W298" s="227"/>
      <c r="X298" s="5"/>
    </row>
    <row r="299" spans="1:24" x14ac:dyDescent="0.25">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row>
  </sheetData>
  <hyperlinks>
    <hyperlink ref="P233" r:id="rId1" xr:uid="{00000000-0004-0000-2700-000000000000}"/>
    <hyperlink ref="I9" r:id="rId2" xr:uid="{00000000-0004-0000-2700-000001000000}"/>
    <hyperlink ref="P296" r:id="rId3" xr:uid="{00000000-0004-0000-2700-000002000000}"/>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37" max="22" man="1"/>
    <brk id="197" max="22" man="1"/>
  </rowBreaks>
  <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89CB31"/>
  </sheetPr>
  <dimension ref="A1:Z29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0.66290000000000004</v>
      </c>
      <c r="T16" s="224" t="s">
        <v>143</v>
      </c>
      <c r="U16" s="223">
        <v>0.33710000000000001</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42758</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395"/>
      <c r="B22" s="396"/>
      <c r="C22" s="397"/>
      <c r="D22" s="397" t="s">
        <v>180</v>
      </c>
      <c r="E22" s="397"/>
      <c r="F22" s="397" t="s">
        <v>181</v>
      </c>
      <c r="G22" s="397"/>
      <c r="H22" s="397" t="s">
        <v>182</v>
      </c>
      <c r="I22" s="397"/>
      <c r="J22" s="397" t="s">
        <v>223</v>
      </c>
      <c r="K22" s="397"/>
      <c r="L22" s="397" t="s">
        <v>183</v>
      </c>
      <c r="M22" s="397"/>
      <c r="N22" s="397" t="s">
        <v>184</v>
      </c>
      <c r="O22" s="397"/>
      <c r="P22" s="397" t="s">
        <v>224</v>
      </c>
      <c r="Q22" s="397"/>
      <c r="R22" s="397" t="s">
        <v>185</v>
      </c>
      <c r="S22" s="398"/>
      <c r="T22" s="398"/>
      <c r="U22" s="399"/>
      <c r="V22" s="399"/>
      <c r="W22" s="396"/>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144</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168</v>
      </c>
      <c r="E27" s="389"/>
      <c r="F27" s="389" t="s">
        <v>168</v>
      </c>
      <c r="G27" s="389"/>
      <c r="H27" s="389" t="s">
        <v>168</v>
      </c>
      <c r="I27" s="389"/>
      <c r="J27" s="389" t="s">
        <v>168</v>
      </c>
      <c r="K27" s="389"/>
      <c r="L27" s="389" t="s">
        <v>324</v>
      </c>
      <c r="M27" s="389"/>
      <c r="N27" s="389" t="s">
        <v>324</v>
      </c>
      <c r="O27" s="389"/>
      <c r="P27" s="389" t="s">
        <v>349</v>
      </c>
      <c r="Q27" s="389"/>
      <c r="R27" s="389" t="s">
        <v>349</v>
      </c>
      <c r="S27" s="273"/>
      <c r="T27" s="280"/>
      <c r="U27" s="274"/>
      <c r="V27" s="274"/>
      <c r="W27" s="275"/>
      <c r="X27" s="5"/>
    </row>
    <row r="28" spans="1:24" ht="15.6" x14ac:dyDescent="0.3">
      <c r="A28" s="271"/>
      <c r="B28" s="279" t="s">
        <v>195</v>
      </c>
      <c r="C28" s="273"/>
      <c r="D28" s="389" t="s">
        <v>146</v>
      </c>
      <c r="E28" s="389"/>
      <c r="F28" s="389" t="s">
        <v>146</v>
      </c>
      <c r="G28" s="389"/>
      <c r="H28" s="389" t="s">
        <v>146</v>
      </c>
      <c r="I28" s="389"/>
      <c r="J28" s="389" t="s">
        <v>146</v>
      </c>
      <c r="K28" s="389"/>
      <c r="L28" s="389" t="s">
        <v>315</v>
      </c>
      <c r="M28" s="389"/>
      <c r="N28" s="389" t="s">
        <v>315</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394">
        <f>D34*D38</f>
        <v>398827.01068479999</v>
      </c>
      <c r="E32" s="282"/>
      <c r="F32" s="283">
        <f>F31*F38</f>
        <v>62483.175000000003</v>
      </c>
      <c r="G32" s="283"/>
      <c r="H32" s="288">
        <f>H31*H38</f>
        <v>157457.601</v>
      </c>
      <c r="I32" s="288"/>
      <c r="J32" s="287">
        <f>J31*J38</f>
        <v>174952.12</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393">
        <f>D34*D37</f>
        <v>391062.43952960003</v>
      </c>
      <c r="E33" s="286"/>
      <c r="F33" s="289">
        <f>F37*F31</f>
        <v>61266.724999999999</v>
      </c>
      <c r="G33" s="289"/>
      <c r="H33" s="292">
        <f>H31*H37</f>
        <v>154392.147</v>
      </c>
      <c r="I33" s="292"/>
      <c r="J33" s="291">
        <f>J37*J31</f>
        <v>171546.02499999999</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398827.01068479999</v>
      </c>
      <c r="E35" s="282"/>
      <c r="F35" s="283">
        <f>F34*F38</f>
        <v>62483.175000000003</v>
      </c>
      <c r="G35" s="283"/>
      <c r="H35" s="283">
        <f>H34*H38</f>
        <v>105676.0443486</v>
      </c>
      <c r="I35" s="283"/>
      <c r="J35" s="283">
        <f>J34*J38</f>
        <v>93059.531944000002</v>
      </c>
      <c r="K35" s="283"/>
      <c r="L35" s="283">
        <f>L34*L38</f>
        <v>56000</v>
      </c>
      <c r="M35" s="283"/>
      <c r="N35" s="283">
        <f>N34*N38</f>
        <v>56376</v>
      </c>
      <c r="O35" s="283"/>
      <c r="P35" s="283">
        <f>P34*P38</f>
        <v>13000</v>
      </c>
      <c r="Q35" s="283"/>
      <c r="R35" s="283">
        <f>R34*R38</f>
        <v>54363</v>
      </c>
      <c r="S35" s="283"/>
      <c r="T35" s="283"/>
      <c r="U35" s="284"/>
      <c r="V35" s="283">
        <f>SUM(C35:R35)</f>
        <v>839784.76197740005</v>
      </c>
      <c r="W35" s="285"/>
      <c r="X35" s="5"/>
    </row>
    <row r="36" spans="1:24" ht="15.6" x14ac:dyDescent="0.3">
      <c r="A36" s="276"/>
      <c r="B36" s="279" t="s">
        <v>304</v>
      </c>
      <c r="C36" s="286"/>
      <c r="D36" s="289">
        <f>D34*D37</f>
        <v>391062.43952960003</v>
      </c>
      <c r="E36" s="286"/>
      <c r="F36" s="289">
        <f>F34*F37</f>
        <v>61266.724999999999</v>
      </c>
      <c r="G36" s="289"/>
      <c r="H36" s="289">
        <f>H34*H37</f>
        <v>103618.6965242</v>
      </c>
      <c r="I36" s="289"/>
      <c r="J36" s="289">
        <f>J34*J37</f>
        <v>91247.781354999999</v>
      </c>
      <c r="K36" s="289"/>
      <c r="L36" s="289">
        <v>56000</v>
      </c>
      <c r="M36" s="289"/>
      <c r="N36" s="289">
        <v>56376</v>
      </c>
      <c r="O36" s="289"/>
      <c r="P36" s="289">
        <v>13000</v>
      </c>
      <c r="Q36" s="289"/>
      <c r="R36" s="289">
        <v>54363</v>
      </c>
      <c r="S36" s="314"/>
      <c r="T36" s="314"/>
      <c r="U36" s="284"/>
      <c r="V36" s="289">
        <f>SUM(C36:R36)</f>
        <v>826934.64240879996</v>
      </c>
      <c r="W36" s="285"/>
      <c r="X36" s="5"/>
    </row>
    <row r="37" spans="1:24" ht="15.6" x14ac:dyDescent="0.3">
      <c r="A37" s="271"/>
      <c r="B37" s="297" t="s">
        <v>133</v>
      </c>
      <c r="C37" s="298"/>
      <c r="D37" s="299">
        <v>0.49013180000000001</v>
      </c>
      <c r="E37" s="300"/>
      <c r="F37" s="299">
        <v>0.49013380000000001</v>
      </c>
      <c r="G37" s="301"/>
      <c r="H37" s="299">
        <v>0.49013380000000001</v>
      </c>
      <c r="I37" s="301"/>
      <c r="J37" s="299">
        <v>0.4901315</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0.49986340000000001</v>
      </c>
      <c r="E38" s="300"/>
      <c r="F38" s="299">
        <v>0.49986540000000002</v>
      </c>
      <c r="G38" s="301"/>
      <c r="H38" s="299">
        <v>0.49986540000000002</v>
      </c>
      <c r="I38" s="301"/>
      <c r="J38" s="299">
        <v>0.49986320000000001</v>
      </c>
      <c r="K38" s="301"/>
      <c r="L38" s="299">
        <v>1</v>
      </c>
      <c r="M38" s="301"/>
      <c r="N38" s="299">
        <v>1</v>
      </c>
      <c r="O38" s="301"/>
      <c r="P38" s="299">
        <v>1</v>
      </c>
      <c r="Q38" s="301"/>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6.4099999999999999E-3</v>
      </c>
      <c r="E40" s="272"/>
      <c r="F40" s="308">
        <v>6.4099999999999999E-3</v>
      </c>
      <c r="G40" s="307"/>
      <c r="H40" s="308">
        <v>0</v>
      </c>
      <c r="I40" s="308"/>
      <c r="J40" s="308">
        <v>1.06E-2</v>
      </c>
      <c r="K40" s="307"/>
      <c r="L40" s="308">
        <v>8.0099999999999998E-3</v>
      </c>
      <c r="M40" s="307"/>
      <c r="N40" s="308">
        <v>6.8999999999999997E-4</v>
      </c>
      <c r="O40" s="307"/>
      <c r="P40" s="308">
        <v>1.201E-2</v>
      </c>
      <c r="Q40" s="307"/>
      <c r="R40" s="308">
        <v>4.6899999999999997E-3</v>
      </c>
      <c r="S40" s="307"/>
      <c r="T40" s="308"/>
      <c r="U40" s="274"/>
      <c r="V40" s="280"/>
      <c r="W40" s="275"/>
      <c r="X40" s="5"/>
    </row>
    <row r="41" spans="1:24" ht="15.6" x14ac:dyDescent="0.3">
      <c r="A41" s="271"/>
      <c r="B41" s="272" t="s">
        <v>13</v>
      </c>
      <c r="C41" s="272"/>
      <c r="D41" s="308">
        <v>7.6750000000000004E-3</v>
      </c>
      <c r="E41" s="272"/>
      <c r="F41" s="308">
        <v>7.6750000000000004E-3</v>
      </c>
      <c r="G41" s="307"/>
      <c r="H41" s="308">
        <v>0</v>
      </c>
      <c r="I41" s="308"/>
      <c r="J41" s="308">
        <v>8.6009999999999993E-3</v>
      </c>
      <c r="K41" s="307"/>
      <c r="L41" s="308">
        <v>9.2750000000000003E-3</v>
      </c>
      <c r="M41" s="307"/>
      <c r="N41" s="308">
        <v>8.4999999999999995E-4</v>
      </c>
      <c r="O41" s="307"/>
      <c r="P41" s="308">
        <v>1.3275E-2</v>
      </c>
      <c r="Q41" s="307"/>
      <c r="R41" s="308">
        <v>4.8500000000000001E-3</v>
      </c>
      <c r="S41" s="307"/>
      <c r="T41" s="308"/>
      <c r="U41" s="274"/>
      <c r="V41" s="307" t="s">
        <v>196</v>
      </c>
      <c r="W41" s="275"/>
      <c r="X41" s="5"/>
    </row>
    <row r="42" spans="1:24" ht="15.6" x14ac:dyDescent="0.3">
      <c r="A42" s="271"/>
      <c r="B42" s="272" t="s">
        <v>300</v>
      </c>
      <c r="C42" s="272"/>
      <c r="D42" s="280" t="s">
        <v>226</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f>+D40</f>
        <v>6.4099999999999999E-3</v>
      </c>
      <c r="E43" s="308"/>
      <c r="F43" s="308">
        <f>+F40</f>
        <v>6.4099999999999999E-3</v>
      </c>
      <c r="G43" s="308"/>
      <c r="H43" s="308">
        <v>6.6540000000000002E-3</v>
      </c>
      <c r="I43" s="308"/>
      <c r="J43" s="308">
        <v>6.4900000000000001E-3</v>
      </c>
      <c r="K43" s="308"/>
      <c r="L43" s="308">
        <f>+L40</f>
        <v>8.0099999999999998E-3</v>
      </c>
      <c r="M43" s="308"/>
      <c r="N43" s="308">
        <v>8.1899999999999994E-3</v>
      </c>
      <c r="O43" s="308"/>
      <c r="P43" s="308">
        <f>+P40</f>
        <v>1.201E-2</v>
      </c>
      <c r="Q43" s="307"/>
      <c r="R43" s="308">
        <v>1.2409999999999999E-2</v>
      </c>
      <c r="S43" s="280"/>
      <c r="T43" s="280"/>
      <c r="U43" s="274"/>
      <c r="V43" s="307">
        <f>SUMPRODUCT(D43:R43,D35:R35)/V35</f>
        <v>7.1508529251133532E-3</v>
      </c>
      <c r="W43" s="275"/>
      <c r="X43" s="5"/>
    </row>
    <row r="44" spans="1:24" ht="15.6" x14ac:dyDescent="0.3">
      <c r="A44" s="271"/>
      <c r="B44" s="272" t="s">
        <v>302</v>
      </c>
      <c r="C44" s="309"/>
      <c r="D44" s="308">
        <f>+D41</f>
        <v>7.6750000000000004E-3</v>
      </c>
      <c r="E44" s="308"/>
      <c r="F44" s="308">
        <f>+F41</f>
        <v>7.6750000000000004E-3</v>
      </c>
      <c r="G44" s="308"/>
      <c r="H44" s="308">
        <v>7.9190000000000007E-3</v>
      </c>
      <c r="I44" s="308"/>
      <c r="J44" s="308">
        <v>7.7549999999999997E-3</v>
      </c>
      <c r="K44" s="308"/>
      <c r="L44" s="308">
        <f>+L41</f>
        <v>9.2750000000000003E-3</v>
      </c>
      <c r="M44" s="308"/>
      <c r="N44" s="308">
        <v>9.4549999999999999E-3</v>
      </c>
      <c r="O44" s="308"/>
      <c r="P44" s="308">
        <f>+P41</f>
        <v>1.3275E-2</v>
      </c>
      <c r="Q44" s="307"/>
      <c r="R44" s="308">
        <v>1.3675E-2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226</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0.27771973144168388</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358</v>
      </c>
      <c r="C54" s="272"/>
      <c r="D54" s="272"/>
      <c r="E54" s="272"/>
      <c r="F54" s="272"/>
      <c r="G54" s="272"/>
      <c r="H54" s="272"/>
      <c r="I54" s="272"/>
      <c r="J54" s="272"/>
      <c r="K54" s="272"/>
      <c r="L54" s="272"/>
      <c r="M54" s="272"/>
      <c r="N54" s="272"/>
      <c r="O54" s="272"/>
      <c r="P54" s="272"/>
      <c r="Q54" s="272"/>
      <c r="R54" s="272"/>
      <c r="S54" s="272"/>
      <c r="T54" s="280"/>
      <c r="U54" s="280"/>
      <c r="V54" s="315" t="s">
        <v>114</v>
      </c>
      <c r="W54" s="275"/>
      <c r="X54" s="5"/>
    </row>
    <row r="55" spans="1:25" ht="15.6" x14ac:dyDescent="0.3">
      <c r="A55" s="271"/>
      <c r="B55" s="279" t="s">
        <v>204</v>
      </c>
      <c r="C55" s="279"/>
      <c r="D55" s="279"/>
      <c r="E55" s="279"/>
      <c r="F55" s="279"/>
      <c r="G55" s="279"/>
      <c r="H55" s="279"/>
      <c r="I55" s="279"/>
      <c r="J55" s="279"/>
      <c r="K55" s="279"/>
      <c r="L55" s="279"/>
      <c r="M55" s="279"/>
      <c r="N55" s="279"/>
      <c r="O55" s="279"/>
      <c r="P55" s="279"/>
      <c r="Q55" s="279"/>
      <c r="R55" s="279"/>
      <c r="S55" s="279"/>
      <c r="T55" s="316"/>
      <c r="U55" s="316"/>
      <c r="V55" s="317">
        <v>42752</v>
      </c>
      <c r="W55" s="275"/>
      <c r="X55" s="5"/>
    </row>
    <row r="56" spans="1:25" ht="15.6" x14ac:dyDescent="0.3">
      <c r="A56" s="271"/>
      <c r="B56" s="272" t="s">
        <v>124</v>
      </c>
      <c r="C56" s="272"/>
      <c r="D56" s="272"/>
      <c r="E56" s="272"/>
      <c r="F56" s="272"/>
      <c r="G56" s="272"/>
      <c r="H56" s="318"/>
      <c r="I56" s="318"/>
      <c r="J56" s="318"/>
      <c r="K56" s="318"/>
      <c r="L56" s="318"/>
      <c r="M56" s="318"/>
      <c r="N56" s="318"/>
      <c r="O56" s="318"/>
      <c r="P56" s="318"/>
      <c r="Q56" s="318"/>
      <c r="R56" s="272">
        <f>+V56-T56+1</f>
        <v>94</v>
      </c>
      <c r="S56" s="318"/>
      <c r="T56" s="319">
        <v>42566</v>
      </c>
      <c r="U56" s="320"/>
      <c r="V56" s="319">
        <v>42659</v>
      </c>
      <c r="W56" s="275"/>
      <c r="X56" s="5"/>
    </row>
    <row r="57" spans="1:25" ht="15.6" x14ac:dyDescent="0.3">
      <c r="A57" s="271"/>
      <c r="B57" s="272" t="s">
        <v>125</v>
      </c>
      <c r="C57" s="272"/>
      <c r="D57" s="272"/>
      <c r="E57" s="272"/>
      <c r="F57" s="272"/>
      <c r="G57" s="272"/>
      <c r="H57" s="272"/>
      <c r="I57" s="272"/>
      <c r="J57" s="272"/>
      <c r="K57" s="272"/>
      <c r="L57" s="272"/>
      <c r="M57" s="272"/>
      <c r="N57" s="272"/>
      <c r="O57" s="272"/>
      <c r="P57" s="272"/>
      <c r="Q57" s="272"/>
      <c r="R57" s="272">
        <f>+V57-T57+1</f>
        <v>92</v>
      </c>
      <c r="S57" s="272"/>
      <c r="T57" s="319">
        <v>42660</v>
      </c>
      <c r="U57" s="320"/>
      <c r="V57" s="319">
        <v>42751</v>
      </c>
      <c r="W57" s="275"/>
      <c r="X57" s="5"/>
    </row>
    <row r="58" spans="1:25" ht="15.6" x14ac:dyDescent="0.3">
      <c r="A58" s="271"/>
      <c r="B58" s="272" t="s">
        <v>357</v>
      </c>
      <c r="C58" s="272"/>
      <c r="D58" s="272"/>
      <c r="E58" s="272"/>
      <c r="F58" s="272"/>
      <c r="G58" s="272"/>
      <c r="H58" s="272"/>
      <c r="I58" s="272"/>
      <c r="J58" s="272"/>
      <c r="K58" s="272"/>
      <c r="L58" s="272"/>
      <c r="M58" s="272"/>
      <c r="N58" s="272"/>
      <c r="O58" s="272"/>
      <c r="P58" s="272"/>
      <c r="Q58" s="272"/>
      <c r="R58" s="272"/>
      <c r="S58" s="272"/>
      <c r="T58" s="319"/>
      <c r="U58" s="320"/>
      <c r="V58" s="319" t="s">
        <v>123</v>
      </c>
      <c r="W58" s="275"/>
      <c r="X58" s="5"/>
    </row>
    <row r="59" spans="1:25" ht="15.6" x14ac:dyDescent="0.3">
      <c r="A59" s="271"/>
      <c r="B59" s="272" t="s">
        <v>356</v>
      </c>
      <c r="C59" s="272"/>
      <c r="D59" s="272"/>
      <c r="E59" s="272"/>
      <c r="F59" s="272"/>
      <c r="G59" s="272"/>
      <c r="H59" s="272"/>
      <c r="I59" s="272"/>
      <c r="J59" s="272"/>
      <c r="K59" s="272"/>
      <c r="L59" s="272"/>
      <c r="M59" s="272"/>
      <c r="N59" s="272"/>
      <c r="O59" s="272"/>
      <c r="P59" s="272"/>
      <c r="Q59" s="272"/>
      <c r="R59" s="272"/>
      <c r="S59" s="272"/>
      <c r="T59" s="319"/>
      <c r="U59" s="320"/>
      <c r="V59" s="319" t="s">
        <v>157</v>
      </c>
      <c r="W59" s="275"/>
      <c r="X59" s="5"/>
      <c r="Y59" s="134"/>
    </row>
    <row r="60" spans="1:25" ht="15.6" x14ac:dyDescent="0.3">
      <c r="A60" s="271"/>
      <c r="B60" s="272" t="s">
        <v>16</v>
      </c>
      <c r="C60" s="272"/>
      <c r="D60" s="272"/>
      <c r="E60" s="272"/>
      <c r="F60" s="272"/>
      <c r="G60" s="272"/>
      <c r="H60" s="272"/>
      <c r="I60" s="272"/>
      <c r="J60" s="272"/>
      <c r="K60" s="272"/>
      <c r="L60" s="272"/>
      <c r="M60" s="272"/>
      <c r="N60" s="272"/>
      <c r="O60" s="272"/>
      <c r="P60" s="272"/>
      <c r="Q60" s="272"/>
      <c r="R60" s="272"/>
      <c r="S60" s="272"/>
      <c r="T60" s="319"/>
      <c r="U60" s="320"/>
      <c r="V60" s="319">
        <v>42738</v>
      </c>
      <c r="W60" s="275"/>
      <c r="X60" s="5"/>
    </row>
    <row r="61" spans="1:25" ht="15.6" x14ac:dyDescent="0.3">
      <c r="A61" s="175"/>
      <c r="B61" s="268"/>
      <c r="C61" s="268"/>
      <c r="D61" s="268"/>
      <c r="E61" s="268"/>
      <c r="F61" s="268"/>
      <c r="G61" s="268"/>
      <c r="H61" s="268"/>
      <c r="I61" s="268"/>
      <c r="J61" s="268"/>
      <c r="K61" s="268"/>
      <c r="L61" s="268"/>
      <c r="M61" s="268"/>
      <c r="N61" s="268"/>
      <c r="O61" s="268"/>
      <c r="P61" s="268"/>
      <c r="Q61" s="268"/>
      <c r="R61" s="268"/>
      <c r="S61" s="268"/>
      <c r="T61" s="269"/>
      <c r="U61" s="270"/>
      <c r="V61" s="269"/>
      <c r="W61" s="268"/>
      <c r="X61" s="5"/>
    </row>
    <row r="62" spans="1:25" ht="15.6" x14ac:dyDescent="0.3">
      <c r="A62" s="175"/>
      <c r="B62" s="220"/>
      <c r="C62" s="220"/>
      <c r="D62" s="220"/>
      <c r="E62" s="220"/>
      <c r="F62" s="220"/>
      <c r="G62" s="220"/>
      <c r="H62" s="220"/>
      <c r="I62" s="220"/>
      <c r="J62" s="220"/>
      <c r="K62" s="220"/>
      <c r="L62" s="220"/>
      <c r="M62" s="220"/>
      <c r="N62" s="220"/>
      <c r="O62" s="220"/>
      <c r="P62" s="220"/>
      <c r="Q62" s="220"/>
      <c r="R62" s="220"/>
      <c r="S62" s="220"/>
      <c r="T62" s="232"/>
      <c r="U62" s="233"/>
      <c r="V62" s="232"/>
      <c r="W62" s="220"/>
      <c r="X62" s="5"/>
    </row>
    <row r="63" spans="1:25" ht="18" thickBot="1" x14ac:dyDescent="0.35">
      <c r="A63" s="194"/>
      <c r="B63" s="234" t="s">
        <v>355</v>
      </c>
      <c r="C63" s="235"/>
      <c r="D63" s="235"/>
      <c r="E63" s="235"/>
      <c r="F63" s="235"/>
      <c r="G63" s="235"/>
      <c r="H63" s="235"/>
      <c r="I63" s="235"/>
      <c r="J63" s="235"/>
      <c r="K63" s="235"/>
      <c r="L63" s="235"/>
      <c r="M63" s="235"/>
      <c r="N63" s="235"/>
      <c r="O63" s="235"/>
      <c r="P63" s="235"/>
      <c r="Q63" s="235"/>
      <c r="R63" s="235"/>
      <c r="S63" s="235"/>
      <c r="T63" s="235"/>
      <c r="U63" s="235"/>
      <c r="V63" s="236"/>
      <c r="W63" s="237"/>
      <c r="X63" s="5"/>
    </row>
    <row r="64" spans="1:25" ht="15.6" x14ac:dyDescent="0.3">
      <c r="A64" s="239"/>
      <c r="B64" s="253" t="s">
        <v>17</v>
      </c>
      <c r="C64" s="240"/>
      <c r="D64" s="240"/>
      <c r="E64" s="240"/>
      <c r="F64" s="240"/>
      <c r="G64" s="240"/>
      <c r="H64" s="240"/>
      <c r="I64" s="240"/>
      <c r="J64" s="240"/>
      <c r="K64" s="240"/>
      <c r="L64" s="240"/>
      <c r="M64" s="240"/>
      <c r="N64" s="240"/>
      <c r="O64" s="240"/>
      <c r="P64" s="240"/>
      <c r="Q64" s="240"/>
      <c r="R64" s="240"/>
      <c r="S64" s="240"/>
      <c r="T64" s="240"/>
      <c r="U64" s="240"/>
      <c r="V64" s="241"/>
      <c r="W64" s="240"/>
      <c r="X64" s="5"/>
    </row>
    <row r="65" spans="1:24" ht="15.6" x14ac:dyDescent="0.3">
      <c r="A65" s="175"/>
      <c r="B65" s="183"/>
      <c r="C65" s="177"/>
      <c r="D65" s="177"/>
      <c r="E65" s="177"/>
      <c r="F65" s="177"/>
      <c r="G65" s="177"/>
      <c r="H65" s="177"/>
      <c r="I65" s="177"/>
      <c r="J65" s="177"/>
      <c r="K65" s="177"/>
      <c r="L65" s="177"/>
      <c r="M65" s="177"/>
      <c r="N65" s="177"/>
      <c r="O65" s="177"/>
      <c r="P65" s="177"/>
      <c r="Q65" s="177"/>
      <c r="R65" s="177"/>
      <c r="S65" s="177"/>
      <c r="T65" s="177"/>
      <c r="U65" s="177"/>
      <c r="V65" s="196"/>
      <c r="W65" s="177"/>
      <c r="X65" s="5"/>
    </row>
    <row r="66" spans="1:24" ht="46.8" x14ac:dyDescent="0.3">
      <c r="A66" s="175"/>
      <c r="B66" s="197" t="s">
        <v>18</v>
      </c>
      <c r="C66" s="198"/>
      <c r="D66" s="198"/>
      <c r="E66" s="198"/>
      <c r="F66" s="198"/>
      <c r="G66" s="198"/>
      <c r="H66" s="198"/>
      <c r="I66" s="198"/>
      <c r="J66" s="198"/>
      <c r="K66" s="198"/>
      <c r="L66" s="198" t="s">
        <v>95</v>
      </c>
      <c r="M66" s="198"/>
      <c r="N66" s="198" t="s">
        <v>97</v>
      </c>
      <c r="O66" s="198"/>
      <c r="P66" s="198" t="s">
        <v>99</v>
      </c>
      <c r="Q66" s="198"/>
      <c r="R66" s="198" t="s">
        <v>101</v>
      </c>
      <c r="S66" s="198"/>
      <c r="T66" s="198" t="s">
        <v>108</v>
      </c>
      <c r="U66" s="198"/>
      <c r="V66" s="199" t="s">
        <v>115</v>
      </c>
      <c r="W66" s="200"/>
      <c r="X66" s="5"/>
    </row>
    <row r="67" spans="1:24" ht="15.6" x14ac:dyDescent="0.3">
      <c r="A67" s="271"/>
      <c r="B67" s="272" t="s">
        <v>19</v>
      </c>
      <c r="C67" s="324"/>
      <c r="D67" s="324"/>
      <c r="E67" s="324"/>
      <c r="F67" s="324"/>
      <c r="G67" s="324"/>
      <c r="H67" s="324"/>
      <c r="I67" s="324"/>
      <c r="J67" s="324"/>
      <c r="K67" s="324"/>
      <c r="L67" s="324">
        <f>1085286</f>
        <v>1085286</v>
      </c>
      <c r="M67" s="324"/>
      <c r="N67" s="325">
        <v>839785</v>
      </c>
      <c r="O67" s="324"/>
      <c r="P67" s="324">
        <f>12850+223</f>
        <v>13073</v>
      </c>
      <c r="Q67" s="324"/>
      <c r="R67" s="324">
        <v>223</v>
      </c>
      <c r="S67" s="324"/>
      <c r="T67" s="324">
        <v>0</v>
      </c>
      <c r="U67" s="324"/>
      <c r="V67" s="325">
        <f>+N67-P67+R67-T67</f>
        <v>826935</v>
      </c>
      <c r="W67" s="275"/>
      <c r="X67" s="5"/>
    </row>
    <row r="68" spans="1:24" ht="15.6" x14ac:dyDescent="0.3">
      <c r="A68" s="271"/>
      <c r="B68" s="272" t="s">
        <v>20</v>
      </c>
      <c r="C68" s="324"/>
      <c r="D68" s="324"/>
      <c r="E68" s="324"/>
      <c r="F68" s="324"/>
      <c r="G68" s="324"/>
      <c r="H68" s="324"/>
      <c r="I68" s="324"/>
      <c r="J68" s="324"/>
      <c r="K68" s="324"/>
      <c r="L68" s="324">
        <v>35</v>
      </c>
      <c r="M68" s="324"/>
      <c r="N68" s="325">
        <v>0</v>
      </c>
      <c r="O68" s="324"/>
      <c r="P68" s="324">
        <v>0</v>
      </c>
      <c r="Q68" s="324"/>
      <c r="R68" s="324">
        <v>0</v>
      </c>
      <c r="S68" s="324"/>
      <c r="T68" s="324">
        <v>0</v>
      </c>
      <c r="U68" s="324"/>
      <c r="V68" s="325">
        <f>+N68-P68</f>
        <v>0</v>
      </c>
      <c r="W68" s="275"/>
      <c r="X68" s="5"/>
    </row>
    <row r="69" spans="1:24" ht="15.6" x14ac:dyDescent="0.3">
      <c r="A69" s="271"/>
      <c r="B69" s="272"/>
      <c r="C69" s="324"/>
      <c r="D69" s="324"/>
      <c r="E69" s="324"/>
      <c r="F69" s="324"/>
      <c r="G69" s="324"/>
      <c r="H69" s="324"/>
      <c r="I69" s="324"/>
      <c r="J69" s="324"/>
      <c r="K69" s="324"/>
      <c r="L69" s="324"/>
      <c r="M69" s="324"/>
      <c r="N69" s="325"/>
      <c r="O69" s="324"/>
      <c r="P69" s="324"/>
      <c r="Q69" s="324"/>
      <c r="R69" s="324"/>
      <c r="S69" s="324"/>
      <c r="T69" s="324"/>
      <c r="U69" s="324"/>
      <c r="V69" s="325"/>
      <c r="W69" s="275"/>
      <c r="X69" s="5"/>
    </row>
    <row r="70" spans="1:24" ht="15.6" x14ac:dyDescent="0.3">
      <c r="A70" s="271"/>
      <c r="B70" s="272" t="s">
        <v>21</v>
      </c>
      <c r="C70" s="324"/>
      <c r="D70" s="324"/>
      <c r="E70" s="324"/>
      <c r="F70" s="324"/>
      <c r="G70" s="324"/>
      <c r="H70" s="324"/>
      <c r="I70" s="324"/>
      <c r="J70" s="324"/>
      <c r="K70" s="324"/>
      <c r="L70" s="324">
        <f>SUM(L67:L69)</f>
        <v>1085321</v>
      </c>
      <c r="M70" s="324"/>
      <c r="N70" s="324">
        <f>N67+N68</f>
        <v>839785</v>
      </c>
      <c r="O70" s="324"/>
      <c r="P70" s="324">
        <f>SUM(P67:P69)</f>
        <v>13073</v>
      </c>
      <c r="Q70" s="324"/>
      <c r="R70" s="324">
        <f>SUM(R67:R69)</f>
        <v>223</v>
      </c>
      <c r="S70" s="324"/>
      <c r="T70" s="324">
        <f>SUM(T67:T69)</f>
        <v>0</v>
      </c>
      <c r="U70" s="324"/>
      <c r="V70" s="324">
        <f>SUM(V67:V69)</f>
        <v>826935</v>
      </c>
      <c r="W70" s="275"/>
      <c r="X70" s="5"/>
    </row>
    <row r="71" spans="1:24" ht="15.6" x14ac:dyDescent="0.3">
      <c r="A71" s="175"/>
      <c r="B71" s="321"/>
      <c r="C71" s="322"/>
      <c r="D71" s="322"/>
      <c r="E71" s="322"/>
      <c r="F71" s="322"/>
      <c r="G71" s="322"/>
      <c r="H71" s="322"/>
      <c r="I71" s="322"/>
      <c r="J71" s="322"/>
      <c r="K71" s="322"/>
      <c r="L71" s="322"/>
      <c r="M71" s="322"/>
      <c r="N71" s="322"/>
      <c r="O71" s="322"/>
      <c r="P71" s="322"/>
      <c r="Q71" s="322"/>
      <c r="R71" s="322"/>
      <c r="S71" s="322"/>
      <c r="T71" s="322"/>
      <c r="U71" s="322"/>
      <c r="V71" s="323"/>
      <c r="W71" s="321"/>
      <c r="X71" s="5"/>
    </row>
    <row r="72" spans="1:24" ht="15.6" x14ac:dyDescent="0.3">
      <c r="A72" s="175"/>
      <c r="B72" s="179" t="s">
        <v>22</v>
      </c>
      <c r="C72" s="201"/>
      <c r="D72" s="201"/>
      <c r="E72" s="201"/>
      <c r="F72" s="201"/>
      <c r="G72" s="201"/>
      <c r="H72" s="201"/>
      <c r="I72" s="201"/>
      <c r="J72" s="201"/>
      <c r="K72" s="201"/>
      <c r="L72" s="201"/>
      <c r="M72" s="201"/>
      <c r="N72" s="201"/>
      <c r="O72" s="201"/>
      <c r="P72" s="201"/>
      <c r="Q72" s="201"/>
      <c r="R72" s="201"/>
      <c r="S72" s="201"/>
      <c r="T72" s="201"/>
      <c r="U72" s="201"/>
      <c r="V72" s="202"/>
      <c r="W72" s="177"/>
      <c r="X72" s="5"/>
    </row>
    <row r="73" spans="1:24" ht="15.6" x14ac:dyDescent="0.3">
      <c r="A73" s="175"/>
      <c r="B73" s="177"/>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271"/>
      <c r="B74" s="272" t="s">
        <v>19</v>
      </c>
      <c r="C74" s="324"/>
      <c r="D74" s="324"/>
      <c r="E74" s="324"/>
      <c r="F74" s="324"/>
      <c r="G74" s="324"/>
      <c r="H74" s="324"/>
      <c r="I74" s="324"/>
      <c r="J74" s="324"/>
      <c r="K74" s="324"/>
      <c r="L74" s="324"/>
      <c r="M74" s="324"/>
      <c r="N74" s="324"/>
      <c r="O74" s="324"/>
      <c r="P74" s="324"/>
      <c r="Q74" s="324"/>
      <c r="R74" s="324"/>
      <c r="S74" s="324"/>
      <c r="T74" s="324"/>
      <c r="U74" s="324"/>
      <c r="V74" s="324"/>
      <c r="W74" s="275"/>
      <c r="X74" s="5"/>
    </row>
    <row r="75" spans="1:24" ht="15.6" x14ac:dyDescent="0.3">
      <c r="A75" s="271"/>
      <c r="B75" s="272" t="s">
        <v>20</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t="s">
        <v>21</v>
      </c>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t="s">
        <v>23</v>
      </c>
      <c r="C79" s="324"/>
      <c r="D79" s="324"/>
      <c r="E79" s="324"/>
      <c r="F79" s="324"/>
      <c r="G79" s="324"/>
      <c r="H79" s="324"/>
      <c r="I79" s="324"/>
      <c r="J79" s="324"/>
      <c r="K79" s="324"/>
      <c r="L79" s="324">
        <v>0</v>
      </c>
      <c r="M79" s="324"/>
      <c r="N79" s="324">
        <v>0</v>
      </c>
      <c r="O79" s="324"/>
      <c r="P79" s="324"/>
      <c r="Q79" s="324"/>
      <c r="R79" s="324"/>
      <c r="S79" s="324"/>
      <c r="T79" s="324"/>
      <c r="U79" s="324"/>
      <c r="V79" s="325">
        <v>0</v>
      </c>
      <c r="W79" s="275"/>
      <c r="X79" s="5"/>
    </row>
    <row r="80" spans="1:24" ht="15.6" x14ac:dyDescent="0.3">
      <c r="A80" s="271"/>
      <c r="B80" s="272" t="s">
        <v>120</v>
      </c>
      <c r="C80" s="324"/>
      <c r="D80" s="324"/>
      <c r="E80" s="324"/>
      <c r="F80" s="324"/>
      <c r="G80" s="324"/>
      <c r="H80" s="324"/>
      <c r="I80" s="324"/>
      <c r="J80" s="324"/>
      <c r="K80" s="324"/>
      <c r="L80" s="324">
        <f>414862+7</f>
        <v>414869</v>
      </c>
      <c r="M80" s="324"/>
      <c r="N80" s="324">
        <v>0</v>
      </c>
      <c r="O80" s="324"/>
      <c r="P80" s="324">
        <v>0</v>
      </c>
      <c r="Q80" s="324"/>
      <c r="R80" s="324"/>
      <c r="S80" s="324"/>
      <c r="T80" s="324"/>
      <c r="U80" s="324"/>
      <c r="V80" s="324">
        <f>SUM(N80:R80)</f>
        <v>0</v>
      </c>
      <c r="W80" s="275"/>
      <c r="X80" s="5"/>
    </row>
    <row r="81" spans="1:24" ht="15.6" x14ac:dyDescent="0.3">
      <c r="A81" s="271"/>
      <c r="B81" s="272" t="s">
        <v>149</v>
      </c>
      <c r="C81" s="324"/>
      <c r="D81" s="324"/>
      <c r="E81" s="324"/>
      <c r="F81" s="324"/>
      <c r="G81" s="324"/>
      <c r="H81" s="324"/>
      <c r="I81" s="324"/>
      <c r="J81" s="324"/>
      <c r="K81" s="324"/>
      <c r="L81" s="324">
        <v>0</v>
      </c>
      <c r="M81" s="324"/>
      <c r="N81" s="324">
        <v>0</v>
      </c>
      <c r="O81" s="324"/>
      <c r="P81" s="324">
        <v>0</v>
      </c>
      <c r="Q81" s="324"/>
      <c r="R81" s="324"/>
      <c r="S81" s="324"/>
      <c r="T81" s="324"/>
      <c r="U81" s="324"/>
      <c r="V81" s="324">
        <f>+N81+P81</f>
        <v>0</v>
      </c>
      <c r="W81" s="275"/>
      <c r="X81" s="5"/>
    </row>
    <row r="82" spans="1:24" ht="15.6" x14ac:dyDescent="0.3">
      <c r="A82" s="271"/>
      <c r="B82" s="272" t="s">
        <v>25</v>
      </c>
      <c r="C82" s="324"/>
      <c r="D82" s="324"/>
      <c r="E82" s="324"/>
      <c r="F82" s="324"/>
      <c r="G82" s="324"/>
      <c r="H82" s="324"/>
      <c r="I82" s="324"/>
      <c r="J82" s="324"/>
      <c r="K82" s="324"/>
      <c r="L82" s="324">
        <v>0</v>
      </c>
      <c r="M82" s="324"/>
      <c r="N82" s="324">
        <v>0</v>
      </c>
      <c r="O82" s="324"/>
      <c r="P82" s="324"/>
      <c r="Q82" s="324"/>
      <c r="R82" s="324"/>
      <c r="S82" s="324"/>
      <c r="T82" s="324"/>
      <c r="U82" s="324"/>
      <c r="V82" s="324">
        <v>0</v>
      </c>
      <c r="W82" s="275"/>
      <c r="X82" s="5"/>
    </row>
    <row r="83" spans="1:24" ht="15.6" x14ac:dyDescent="0.3">
      <c r="A83" s="326"/>
      <c r="B83" s="327" t="s">
        <v>26</v>
      </c>
      <c r="C83" s="328"/>
      <c r="D83" s="328"/>
      <c r="E83" s="328"/>
      <c r="F83" s="328"/>
      <c r="G83" s="328"/>
      <c r="H83" s="328"/>
      <c r="I83" s="328"/>
      <c r="J83" s="328"/>
      <c r="K83" s="328"/>
      <c r="L83" s="328">
        <f>SUM(L70:L82)</f>
        <v>1500190</v>
      </c>
      <c r="M83" s="328"/>
      <c r="N83" s="328">
        <f>SUM(N70:N82)</f>
        <v>839785</v>
      </c>
      <c r="O83" s="328"/>
      <c r="P83" s="328"/>
      <c r="Q83" s="328"/>
      <c r="R83" s="328"/>
      <c r="S83" s="328"/>
      <c r="T83" s="328"/>
      <c r="U83" s="328"/>
      <c r="V83" s="328">
        <f>SUM(V70:V82)</f>
        <v>826935</v>
      </c>
      <c r="W83" s="329"/>
      <c r="X83" s="5"/>
    </row>
    <row r="84" spans="1:24" ht="15.6" x14ac:dyDescent="0.3">
      <c r="A84" s="192"/>
      <c r="B84" s="229"/>
      <c r="C84" s="231"/>
      <c r="D84" s="231"/>
      <c r="E84" s="231"/>
      <c r="F84" s="231"/>
      <c r="G84" s="231"/>
      <c r="H84" s="231"/>
      <c r="I84" s="231"/>
      <c r="J84" s="231"/>
      <c r="K84" s="231"/>
      <c r="L84" s="231"/>
      <c r="M84" s="231"/>
      <c r="N84" s="231"/>
      <c r="O84" s="231"/>
      <c r="P84" s="231"/>
      <c r="Q84" s="231"/>
      <c r="R84" s="231"/>
      <c r="S84" s="231"/>
      <c r="T84" s="231"/>
      <c r="U84" s="231"/>
      <c r="V84" s="231"/>
      <c r="W84" s="229"/>
      <c r="X84" s="5"/>
    </row>
    <row r="85" spans="1:24" ht="15.6" x14ac:dyDescent="0.3">
      <c r="A85" s="175"/>
      <c r="B85" s="220"/>
      <c r="C85" s="220"/>
      <c r="D85" s="220"/>
      <c r="E85" s="220"/>
      <c r="F85" s="220"/>
      <c r="G85" s="220"/>
      <c r="H85" s="220"/>
      <c r="I85" s="220"/>
      <c r="J85" s="220"/>
      <c r="K85" s="220"/>
      <c r="L85" s="220"/>
      <c r="M85" s="220"/>
      <c r="N85" s="220"/>
      <c r="O85" s="220"/>
      <c r="P85" s="220"/>
      <c r="Q85" s="220"/>
      <c r="R85" s="220"/>
      <c r="S85" s="220"/>
      <c r="T85" s="220"/>
      <c r="U85" s="220"/>
      <c r="V85" s="220"/>
      <c r="W85" s="220"/>
      <c r="X85" s="5"/>
    </row>
    <row r="86" spans="1:24" ht="15.6" x14ac:dyDescent="0.3">
      <c r="A86" s="239"/>
      <c r="B86" s="253" t="s">
        <v>27</v>
      </c>
      <c r="C86" s="253"/>
      <c r="D86" s="253"/>
      <c r="E86" s="253"/>
      <c r="F86" s="253"/>
      <c r="G86" s="253"/>
      <c r="H86" s="254"/>
      <c r="I86" s="254"/>
      <c r="J86" s="254"/>
      <c r="K86" s="254"/>
      <c r="L86" s="330" t="s">
        <v>96</v>
      </c>
      <c r="M86" s="254"/>
      <c r="N86" s="331">
        <f>+T198</f>
        <v>42734</v>
      </c>
      <c r="O86" s="254"/>
      <c r="P86" s="254"/>
      <c r="Q86" s="254"/>
      <c r="R86" s="254"/>
      <c r="S86" s="254"/>
      <c r="T86" s="254" t="s">
        <v>109</v>
      </c>
      <c r="U86" s="254"/>
      <c r="V86" s="254" t="s">
        <v>116</v>
      </c>
      <c r="W86" s="240"/>
      <c r="X86" s="5"/>
    </row>
    <row r="87" spans="1:24" ht="15.6" x14ac:dyDescent="0.3">
      <c r="A87" s="271"/>
      <c r="B87" s="272" t="s">
        <v>28</v>
      </c>
      <c r="C87" s="272"/>
      <c r="D87" s="272"/>
      <c r="E87" s="272"/>
      <c r="F87" s="272"/>
      <c r="G87" s="272"/>
      <c r="H87" s="272"/>
      <c r="I87" s="272"/>
      <c r="J87" s="272"/>
      <c r="K87" s="272"/>
      <c r="L87" s="272"/>
      <c r="M87" s="272"/>
      <c r="N87" s="272"/>
      <c r="O87" s="272"/>
      <c r="P87" s="272"/>
      <c r="Q87" s="272"/>
      <c r="R87" s="272"/>
      <c r="S87" s="272"/>
      <c r="T87" s="324">
        <v>0</v>
      </c>
      <c r="U87" s="272"/>
      <c r="V87" s="325">
        <v>0</v>
      </c>
      <c r="W87" s="275"/>
      <c r="X87" s="5"/>
    </row>
    <row r="88" spans="1:24" ht="15.6" x14ac:dyDescent="0.3">
      <c r="A88" s="271"/>
      <c r="B88" s="272" t="s">
        <v>29</v>
      </c>
      <c r="C88" s="272"/>
      <c r="D88" s="272"/>
      <c r="E88" s="272"/>
      <c r="F88" s="272"/>
      <c r="G88" s="272"/>
      <c r="H88" s="311"/>
      <c r="I88" s="311"/>
      <c r="J88" s="311"/>
      <c r="K88" s="333"/>
      <c r="L88" s="311"/>
      <c r="M88" s="272"/>
      <c r="N88" s="334"/>
      <c r="O88" s="272"/>
      <c r="P88" s="272"/>
      <c r="Q88" s="272"/>
      <c r="R88" s="272"/>
      <c r="S88" s="272"/>
      <c r="T88" s="324">
        <f>13073-312</f>
        <v>12761</v>
      </c>
      <c r="U88" s="272"/>
      <c r="V88" s="325"/>
      <c r="W88" s="275"/>
      <c r="X88" s="5"/>
    </row>
    <row r="89" spans="1:24" ht="15.6" x14ac:dyDescent="0.3">
      <c r="A89" s="271"/>
      <c r="B89" s="272" t="s">
        <v>219</v>
      </c>
      <c r="C89" s="272"/>
      <c r="D89" s="272"/>
      <c r="E89" s="272"/>
      <c r="F89" s="272"/>
      <c r="G89" s="272"/>
      <c r="H89" s="311"/>
      <c r="I89" s="311"/>
      <c r="J89" s="311"/>
      <c r="K89" s="333"/>
      <c r="L89" s="311"/>
      <c r="M89" s="272"/>
      <c r="N89" s="334"/>
      <c r="O89" s="272"/>
      <c r="P89" s="272"/>
      <c r="Q89" s="272"/>
      <c r="R89" s="272"/>
      <c r="S89" s="272"/>
      <c r="T89" s="324"/>
      <c r="U89" s="272"/>
      <c r="V89" s="325">
        <f>3365+2448-751-820</f>
        <v>4242</v>
      </c>
      <c r="W89" s="275"/>
      <c r="X89" s="5"/>
    </row>
    <row r="90" spans="1:24" ht="15.6" x14ac:dyDescent="0.3">
      <c r="A90" s="271"/>
      <c r="B90" s="272" t="s">
        <v>214</v>
      </c>
      <c r="C90" s="272"/>
      <c r="D90" s="272"/>
      <c r="E90" s="272"/>
      <c r="F90" s="272"/>
      <c r="G90" s="272"/>
      <c r="H90" s="311"/>
      <c r="I90" s="311"/>
      <c r="J90" s="311"/>
      <c r="K90" s="333"/>
      <c r="L90" s="311"/>
      <c r="M90" s="272"/>
      <c r="N90" s="334"/>
      <c r="O90" s="272"/>
      <c r="P90" s="272"/>
      <c r="Q90" s="272"/>
      <c r="R90" s="272"/>
      <c r="S90" s="272"/>
      <c r="T90" s="324"/>
      <c r="U90" s="272"/>
      <c r="V90" s="325">
        <f>113+74</f>
        <v>187</v>
      </c>
      <c r="W90" s="275"/>
      <c r="X90" s="5"/>
    </row>
    <row r="91" spans="1:24" ht="15.6" x14ac:dyDescent="0.3">
      <c r="A91" s="271"/>
      <c r="B91" s="272" t="s">
        <v>215</v>
      </c>
      <c r="C91" s="272"/>
      <c r="D91" s="272"/>
      <c r="E91" s="272"/>
      <c r="F91" s="272"/>
      <c r="G91" s="272"/>
      <c r="H91" s="311"/>
      <c r="I91" s="311"/>
      <c r="J91" s="311"/>
      <c r="K91" s="333"/>
      <c r="L91" s="311"/>
      <c r="M91" s="272"/>
      <c r="N91" s="334"/>
      <c r="O91" s="272"/>
      <c r="P91" s="272"/>
      <c r="Q91" s="272"/>
      <c r="R91" s="272"/>
      <c r="S91" s="272"/>
      <c r="T91" s="324"/>
      <c r="U91" s="272"/>
      <c r="V91" s="325">
        <v>41</v>
      </c>
      <c r="W91" s="275"/>
      <c r="X91" s="5"/>
    </row>
    <row r="92" spans="1:24" ht="15.6" x14ac:dyDescent="0.3">
      <c r="A92" s="271"/>
      <c r="B92" s="272" t="s">
        <v>277</v>
      </c>
      <c r="C92" s="272"/>
      <c r="D92" s="272"/>
      <c r="E92" s="272"/>
      <c r="F92" s="272"/>
      <c r="G92" s="272"/>
      <c r="H92" s="311"/>
      <c r="I92" s="311"/>
      <c r="J92" s="311"/>
      <c r="K92" s="333"/>
      <c r="L92" s="311"/>
      <c r="M92" s="272"/>
      <c r="N92" s="334"/>
      <c r="O92" s="272"/>
      <c r="P92" s="272"/>
      <c r="Q92" s="272"/>
      <c r="R92" s="272"/>
      <c r="S92" s="272"/>
      <c r="T92" s="324"/>
      <c r="U92" s="272"/>
      <c r="V92" s="325">
        <v>0</v>
      </c>
      <c r="W92" s="275"/>
      <c r="X92" s="5"/>
    </row>
    <row r="93" spans="1:24" ht="15.6" x14ac:dyDescent="0.3">
      <c r="A93" s="271"/>
      <c r="B93" s="272" t="s">
        <v>138</v>
      </c>
      <c r="C93" s="272"/>
      <c r="D93" s="272"/>
      <c r="E93" s="272"/>
      <c r="F93" s="272"/>
      <c r="G93" s="272"/>
      <c r="H93" s="272"/>
      <c r="I93" s="272"/>
      <c r="J93" s="272"/>
      <c r="K93" s="272"/>
      <c r="L93" s="272"/>
      <c r="M93" s="272"/>
      <c r="N93" s="272"/>
      <c r="O93" s="272"/>
      <c r="P93" s="272"/>
      <c r="Q93" s="272"/>
      <c r="R93" s="272"/>
      <c r="S93" s="272"/>
      <c r="T93" s="324"/>
      <c r="U93" s="272"/>
      <c r="V93" s="325">
        <v>0</v>
      </c>
      <c r="W93" s="275"/>
      <c r="X93" s="5"/>
    </row>
    <row r="94" spans="1:24" ht="15.6" x14ac:dyDescent="0.3">
      <c r="A94" s="271"/>
      <c r="B94" s="272" t="s">
        <v>265</v>
      </c>
      <c r="C94" s="272"/>
      <c r="D94" s="272"/>
      <c r="E94" s="272"/>
      <c r="F94" s="272"/>
      <c r="G94" s="272"/>
      <c r="H94" s="272"/>
      <c r="I94" s="272"/>
      <c r="J94" s="272"/>
      <c r="K94" s="272"/>
      <c r="L94" s="272"/>
      <c r="M94" s="272"/>
      <c r="N94" s="272"/>
      <c r="O94" s="272"/>
      <c r="P94" s="272"/>
      <c r="Q94" s="272"/>
      <c r="R94" s="272"/>
      <c r="S94" s="272"/>
      <c r="T94" s="324"/>
      <c r="U94" s="272"/>
      <c r="V94" s="325">
        <v>392</v>
      </c>
      <c r="W94" s="275"/>
      <c r="X94" s="5"/>
    </row>
    <row r="95" spans="1:24" ht="15.6" x14ac:dyDescent="0.3">
      <c r="A95" s="271"/>
      <c r="B95" s="272" t="s">
        <v>30</v>
      </c>
      <c r="C95" s="272"/>
      <c r="D95" s="272"/>
      <c r="E95" s="272"/>
      <c r="F95" s="272"/>
      <c r="G95" s="272"/>
      <c r="H95" s="272"/>
      <c r="I95" s="272"/>
      <c r="J95" s="272"/>
      <c r="K95" s="272"/>
      <c r="L95" s="272"/>
      <c r="M95" s="272"/>
      <c r="N95" s="272"/>
      <c r="O95" s="272"/>
      <c r="P95" s="272"/>
      <c r="Q95" s="272"/>
      <c r="R95" s="272"/>
      <c r="S95" s="272"/>
      <c r="T95" s="324">
        <f>SUM(T87:T94)</f>
        <v>12761</v>
      </c>
      <c r="U95" s="272"/>
      <c r="V95" s="324">
        <f>SUM(V87:V94)</f>
        <v>4862</v>
      </c>
      <c r="W95" s="275"/>
      <c r="X95" s="5"/>
    </row>
    <row r="96" spans="1:24" ht="15.6" x14ac:dyDescent="0.3">
      <c r="A96" s="271"/>
      <c r="B96" s="272" t="s">
        <v>164</v>
      </c>
      <c r="C96" s="272"/>
      <c r="D96" s="272"/>
      <c r="E96" s="272"/>
      <c r="F96" s="272"/>
      <c r="G96" s="272"/>
      <c r="H96" s="272"/>
      <c r="I96" s="272"/>
      <c r="J96" s="272"/>
      <c r="K96" s="272"/>
      <c r="L96" s="272"/>
      <c r="M96" s="272"/>
      <c r="N96" s="272"/>
      <c r="O96" s="272"/>
      <c r="P96" s="272"/>
      <c r="Q96" s="272"/>
      <c r="R96" s="272"/>
      <c r="S96" s="272"/>
      <c r="T96" s="324">
        <f>-V96</f>
        <v>0</v>
      </c>
      <c r="U96" s="272"/>
      <c r="V96" s="324">
        <v>0</v>
      </c>
      <c r="W96" s="275"/>
      <c r="X96" s="5"/>
    </row>
    <row r="97" spans="1:26" ht="15.6" x14ac:dyDescent="0.3">
      <c r="A97" s="271"/>
      <c r="B97" s="272" t="s">
        <v>31</v>
      </c>
      <c r="C97" s="272"/>
      <c r="D97" s="272"/>
      <c r="E97" s="272"/>
      <c r="F97" s="272"/>
      <c r="G97" s="272"/>
      <c r="H97" s="272"/>
      <c r="I97" s="272"/>
      <c r="J97" s="272"/>
      <c r="K97" s="272"/>
      <c r="L97" s="272"/>
      <c r="M97" s="272"/>
      <c r="N97" s="272"/>
      <c r="O97" s="272"/>
      <c r="P97" s="272"/>
      <c r="Q97" s="272"/>
      <c r="R97" s="272"/>
      <c r="S97" s="272"/>
      <c r="T97" s="324">
        <f>-V97</f>
        <v>0</v>
      </c>
      <c r="U97" s="272"/>
      <c r="V97" s="325">
        <v>0</v>
      </c>
      <c r="W97" s="275"/>
      <c r="X97" s="5"/>
    </row>
    <row r="98" spans="1:26" ht="15.6" x14ac:dyDescent="0.3">
      <c r="A98" s="271"/>
      <c r="B98" s="272" t="s">
        <v>288</v>
      </c>
      <c r="C98" s="272"/>
      <c r="D98" s="272"/>
      <c r="E98" s="272"/>
      <c r="F98" s="272"/>
      <c r="G98" s="272"/>
      <c r="H98" s="272"/>
      <c r="I98" s="272"/>
      <c r="J98" s="272"/>
      <c r="K98" s="272"/>
      <c r="L98" s="272"/>
      <c r="M98" s="272"/>
      <c r="N98" s="272"/>
      <c r="O98" s="272"/>
      <c r="P98" s="272"/>
      <c r="Q98" s="272"/>
      <c r="R98" s="272"/>
      <c r="S98" s="272"/>
      <c r="T98" s="324"/>
      <c r="U98" s="272"/>
      <c r="V98" s="325">
        <v>-51</v>
      </c>
      <c r="W98" s="275"/>
      <c r="X98" s="5"/>
    </row>
    <row r="99" spans="1:26" ht="15.6" x14ac:dyDescent="0.3">
      <c r="A99" s="271"/>
      <c r="B99" s="272" t="s">
        <v>32</v>
      </c>
      <c r="C99" s="272"/>
      <c r="D99" s="272"/>
      <c r="E99" s="272"/>
      <c r="F99" s="272"/>
      <c r="G99" s="272"/>
      <c r="H99" s="272"/>
      <c r="I99" s="272"/>
      <c r="J99" s="272"/>
      <c r="K99" s="272"/>
      <c r="L99" s="272"/>
      <c r="M99" s="272"/>
      <c r="N99" s="272"/>
      <c r="O99" s="272"/>
      <c r="P99" s="272"/>
      <c r="Q99" s="272"/>
      <c r="R99" s="272"/>
      <c r="S99" s="272"/>
      <c r="T99" s="324">
        <f>T95+T97+T96</f>
        <v>12761</v>
      </c>
      <c r="U99" s="272"/>
      <c r="V99" s="324">
        <f>V95+V97+V96+V98</f>
        <v>4811</v>
      </c>
      <c r="W99" s="275"/>
      <c r="X99" s="5"/>
    </row>
    <row r="100" spans="1:26" ht="15.6" x14ac:dyDescent="0.3">
      <c r="A100" s="271"/>
      <c r="B100" s="335" t="s">
        <v>33</v>
      </c>
      <c r="C100" s="298"/>
      <c r="D100" s="298"/>
      <c r="E100" s="298"/>
      <c r="F100" s="298"/>
      <c r="G100" s="298"/>
      <c r="H100" s="298"/>
      <c r="I100" s="298"/>
      <c r="J100" s="298"/>
      <c r="K100" s="298"/>
      <c r="L100" s="298"/>
      <c r="M100" s="298"/>
      <c r="N100" s="298"/>
      <c r="O100" s="298"/>
      <c r="P100" s="298"/>
      <c r="Q100" s="298"/>
      <c r="R100" s="298"/>
      <c r="S100" s="298"/>
      <c r="T100" s="336"/>
      <c r="U100" s="298"/>
      <c r="V100" s="337"/>
      <c r="W100" s="304"/>
      <c r="X100" s="5"/>
    </row>
    <row r="101" spans="1:26" ht="15.6" x14ac:dyDescent="0.3">
      <c r="A101" s="338">
        <v>1</v>
      </c>
      <c r="B101" s="272" t="s">
        <v>34</v>
      </c>
      <c r="C101" s="272"/>
      <c r="D101" s="272"/>
      <c r="E101" s="272"/>
      <c r="F101" s="272"/>
      <c r="G101" s="272"/>
      <c r="H101" s="272"/>
      <c r="I101" s="272"/>
      <c r="J101" s="272"/>
      <c r="K101" s="272"/>
      <c r="L101" s="272"/>
      <c r="M101" s="272"/>
      <c r="N101" s="272"/>
      <c r="O101" s="272"/>
      <c r="P101" s="272"/>
      <c r="Q101" s="272"/>
      <c r="R101" s="272"/>
      <c r="S101" s="272"/>
      <c r="T101" s="272"/>
      <c r="U101" s="272"/>
      <c r="V101" s="325">
        <v>0</v>
      </c>
      <c r="W101" s="275"/>
      <c r="X101" s="5"/>
    </row>
    <row r="102" spans="1:26" ht="15.6" x14ac:dyDescent="0.3">
      <c r="A102" s="338">
        <f>+A101+1</f>
        <v>2</v>
      </c>
      <c r="B102" s="272" t="s">
        <v>331</v>
      </c>
      <c r="C102" s="272"/>
      <c r="D102" s="272"/>
      <c r="E102" s="272"/>
      <c r="F102" s="272"/>
      <c r="G102" s="272"/>
      <c r="H102" s="272"/>
      <c r="I102" s="272"/>
      <c r="J102" s="272"/>
      <c r="K102" s="272"/>
      <c r="L102" s="272"/>
      <c r="M102" s="272"/>
      <c r="N102" s="272"/>
      <c r="O102" s="272"/>
      <c r="P102" s="272"/>
      <c r="Q102" s="272"/>
      <c r="R102" s="272"/>
      <c r="S102" s="272"/>
      <c r="T102" s="272"/>
      <c r="U102" s="272"/>
      <c r="V102" s="325">
        <f>-2</f>
        <v>-2</v>
      </c>
      <c r="W102" s="275"/>
      <c r="X102" s="5"/>
    </row>
    <row r="103" spans="1:26" ht="15.6" x14ac:dyDescent="0.3">
      <c r="A103" s="338">
        <f>+A102+1</f>
        <v>3</v>
      </c>
      <c r="B103" s="343" t="s">
        <v>332</v>
      </c>
      <c r="C103" s="272"/>
      <c r="D103" s="272"/>
      <c r="E103" s="272"/>
      <c r="F103" s="272"/>
      <c r="G103" s="272"/>
      <c r="H103" s="272"/>
      <c r="I103" s="272"/>
      <c r="J103" s="272"/>
      <c r="K103" s="272"/>
      <c r="L103" s="272"/>
      <c r="M103" s="272"/>
      <c r="N103" s="272"/>
      <c r="O103" s="272"/>
      <c r="P103" s="272"/>
      <c r="Q103" s="272"/>
      <c r="R103" s="272"/>
      <c r="S103" s="272"/>
      <c r="T103" s="272"/>
      <c r="U103" s="272"/>
      <c r="V103" s="325">
        <f>-323-130-11</f>
        <v>-464</v>
      </c>
      <c r="W103" s="275"/>
      <c r="X103" s="5"/>
    </row>
    <row r="104" spans="1:26" ht="15.6" x14ac:dyDescent="0.3">
      <c r="A104" s="338" t="s">
        <v>130</v>
      </c>
      <c r="B104" s="272" t="s">
        <v>119</v>
      </c>
      <c r="C104" s="272"/>
      <c r="D104" s="272"/>
      <c r="E104" s="272"/>
      <c r="F104" s="272"/>
      <c r="G104" s="272"/>
      <c r="H104" s="272"/>
      <c r="I104" s="272"/>
      <c r="J104" s="272"/>
      <c r="K104" s="272"/>
      <c r="L104" s="272"/>
      <c r="M104" s="272"/>
      <c r="N104" s="272"/>
      <c r="O104" s="272"/>
      <c r="P104" s="272"/>
      <c r="Q104" s="272"/>
      <c r="R104" s="272"/>
      <c r="S104" s="272"/>
      <c r="T104" s="272"/>
      <c r="U104" s="272"/>
      <c r="V104" s="325">
        <v>0</v>
      </c>
      <c r="W104" s="275"/>
      <c r="X104" s="5"/>
    </row>
    <row r="105" spans="1:26" ht="15.6" x14ac:dyDescent="0.3">
      <c r="A105" s="338" t="s">
        <v>131</v>
      </c>
      <c r="B105" s="272" t="s">
        <v>362</v>
      </c>
      <c r="C105" s="272"/>
      <c r="D105" s="272"/>
      <c r="E105" s="272"/>
      <c r="F105" s="272"/>
      <c r="G105" s="272"/>
      <c r="H105" s="272"/>
      <c r="I105" s="272"/>
      <c r="J105" s="272"/>
      <c r="K105" s="272"/>
      <c r="L105" s="272"/>
      <c r="M105" s="272"/>
      <c r="N105" s="272"/>
      <c r="O105" s="272"/>
      <c r="P105" s="272"/>
      <c r="Q105" s="272"/>
      <c r="R105" s="272"/>
      <c r="S105" s="272"/>
      <c r="T105" s="272"/>
      <c r="U105" s="272"/>
      <c r="V105" s="325">
        <f>-644-101</f>
        <v>-745</v>
      </c>
      <c r="W105" s="275"/>
      <c r="X105" s="5"/>
      <c r="Y105" s="109"/>
      <c r="Z105" s="109"/>
    </row>
    <row r="106" spans="1:26" ht="15.6" x14ac:dyDescent="0.3">
      <c r="A106" s="338" t="s">
        <v>153</v>
      </c>
      <c r="B106" s="272" t="s">
        <v>363</v>
      </c>
      <c r="C106" s="272"/>
      <c r="D106" s="272"/>
      <c r="E106" s="272"/>
      <c r="F106" s="272"/>
      <c r="G106" s="272"/>
      <c r="H106" s="272"/>
      <c r="I106" s="272"/>
      <c r="J106" s="272"/>
      <c r="K106" s="272"/>
      <c r="L106" s="272"/>
      <c r="M106" s="272"/>
      <c r="N106" s="272"/>
      <c r="O106" s="272"/>
      <c r="P106" s="272"/>
      <c r="Q106" s="272"/>
      <c r="R106" s="272"/>
      <c r="S106" s="272"/>
      <c r="T106" s="272"/>
      <c r="U106" s="272"/>
      <c r="V106" s="325">
        <f>-177-152</f>
        <v>-329</v>
      </c>
      <c r="W106" s="275"/>
      <c r="X106" s="5"/>
      <c r="Y106" s="109"/>
    </row>
    <row r="107" spans="1:26" ht="15.6" x14ac:dyDescent="0.3">
      <c r="A107" s="338" t="s">
        <v>266</v>
      </c>
      <c r="B107" s="272" t="s">
        <v>269</v>
      </c>
      <c r="C107" s="272"/>
      <c r="D107" s="272"/>
      <c r="E107" s="272"/>
      <c r="F107" s="272"/>
      <c r="G107" s="272"/>
      <c r="H107" s="272"/>
      <c r="I107" s="272"/>
      <c r="J107" s="272"/>
      <c r="K107" s="272"/>
      <c r="L107" s="272"/>
      <c r="M107" s="272"/>
      <c r="N107" s="272"/>
      <c r="O107" s="272"/>
      <c r="P107" s="272"/>
      <c r="Q107" s="272"/>
      <c r="R107" s="272"/>
      <c r="S107" s="272"/>
      <c r="T107" s="272"/>
      <c r="U107" s="272"/>
      <c r="V107" s="325">
        <v>0</v>
      </c>
      <c r="W107" s="275"/>
      <c r="X107" s="5"/>
    </row>
    <row r="108" spans="1:26" ht="15.6" x14ac:dyDescent="0.3">
      <c r="A108" s="338" t="s">
        <v>208</v>
      </c>
      <c r="B108" s="272" t="s">
        <v>188</v>
      </c>
      <c r="C108" s="272"/>
      <c r="D108" s="272"/>
      <c r="E108" s="272"/>
      <c r="F108" s="272"/>
      <c r="G108" s="272"/>
      <c r="H108" s="272"/>
      <c r="I108" s="272"/>
      <c r="J108" s="272"/>
      <c r="K108" s="272"/>
      <c r="L108" s="272"/>
      <c r="M108" s="272"/>
      <c r="N108" s="272"/>
      <c r="O108" s="272"/>
      <c r="P108" s="272"/>
      <c r="Q108" s="272"/>
      <c r="R108" s="272"/>
      <c r="S108" s="272"/>
      <c r="T108" s="272"/>
      <c r="U108" s="272"/>
      <c r="V108" s="325">
        <v>-116</v>
      </c>
      <c r="W108" s="275"/>
      <c r="X108" s="5"/>
      <c r="Y108" s="109"/>
    </row>
    <row r="109" spans="1:26" ht="15.6" x14ac:dyDescent="0.3">
      <c r="A109" s="338" t="s">
        <v>209</v>
      </c>
      <c r="B109" s="272" t="s">
        <v>189</v>
      </c>
      <c r="C109" s="272"/>
      <c r="D109" s="272"/>
      <c r="E109" s="272"/>
      <c r="F109" s="272"/>
      <c r="G109" s="272"/>
      <c r="H109" s="272"/>
      <c r="I109" s="272"/>
      <c r="J109" s="272"/>
      <c r="K109" s="272"/>
      <c r="L109" s="272"/>
      <c r="M109" s="272"/>
      <c r="N109" s="272"/>
      <c r="O109" s="272"/>
      <c r="P109" s="272"/>
      <c r="Q109" s="272"/>
      <c r="R109" s="272"/>
      <c r="S109" s="272"/>
      <c r="T109" s="272"/>
      <c r="U109" s="272"/>
      <c r="V109" s="325">
        <v>-113</v>
      </c>
      <c r="W109" s="275"/>
      <c r="X109" s="5"/>
      <c r="Y109" s="109"/>
    </row>
    <row r="110" spans="1:26" ht="15.6" x14ac:dyDescent="0.3">
      <c r="A110" s="338" t="s">
        <v>210</v>
      </c>
      <c r="B110" s="272" t="s">
        <v>199</v>
      </c>
      <c r="C110" s="272"/>
      <c r="D110" s="272"/>
      <c r="E110" s="272"/>
      <c r="F110" s="272"/>
      <c r="G110" s="272"/>
      <c r="H110" s="272"/>
      <c r="I110" s="272"/>
      <c r="J110" s="272"/>
      <c r="K110" s="272"/>
      <c r="L110" s="272"/>
      <c r="M110" s="272"/>
      <c r="N110" s="272"/>
      <c r="O110" s="272"/>
      <c r="P110" s="272"/>
      <c r="Q110" s="272"/>
      <c r="R110" s="272"/>
      <c r="S110" s="272"/>
      <c r="T110" s="272"/>
      <c r="U110" s="272"/>
      <c r="V110" s="325">
        <v>-170</v>
      </c>
      <c r="W110" s="275"/>
      <c r="X110" s="5"/>
      <c r="Y110" s="109"/>
    </row>
    <row r="111" spans="1:26" ht="15.6" x14ac:dyDescent="0.3">
      <c r="A111" s="338" t="s">
        <v>230</v>
      </c>
      <c r="B111" s="272" t="s">
        <v>229</v>
      </c>
      <c r="C111" s="272"/>
      <c r="D111" s="272"/>
      <c r="E111" s="272"/>
      <c r="F111" s="272"/>
      <c r="G111" s="272"/>
      <c r="H111" s="272"/>
      <c r="I111" s="272"/>
      <c r="J111" s="272"/>
      <c r="K111" s="272"/>
      <c r="L111" s="272"/>
      <c r="M111" s="272"/>
      <c r="N111" s="272"/>
      <c r="O111" s="272"/>
      <c r="P111" s="272"/>
      <c r="Q111" s="272"/>
      <c r="R111" s="272"/>
      <c r="S111" s="272"/>
      <c r="T111" s="272"/>
      <c r="U111" s="272"/>
      <c r="V111" s="325">
        <v>-39</v>
      </c>
      <c r="W111" s="275"/>
      <c r="X111" s="5"/>
      <c r="Y111" s="109"/>
    </row>
    <row r="112" spans="1:26" ht="15.6" x14ac:dyDescent="0.3">
      <c r="A112" s="392">
        <v>7</v>
      </c>
      <c r="B112" s="343" t="s">
        <v>333</v>
      </c>
      <c r="C112" s="343"/>
      <c r="D112" s="343"/>
      <c r="E112" s="343"/>
      <c r="F112" s="343"/>
      <c r="G112" s="272"/>
      <c r="H112" s="272"/>
      <c r="I112" s="272"/>
      <c r="J112" s="272"/>
      <c r="K112" s="272"/>
      <c r="L112" s="272"/>
      <c r="M112" s="272"/>
      <c r="N112" s="272"/>
      <c r="O112" s="272"/>
      <c r="P112" s="272"/>
      <c r="Q112" s="272"/>
      <c r="R112" s="272"/>
      <c r="S112" s="272"/>
      <c r="T112" s="272"/>
      <c r="U112" s="272"/>
      <c r="V112" s="325">
        <v>0</v>
      </c>
      <c r="W112" s="275"/>
      <c r="X112" s="5"/>
      <c r="Y112" s="109"/>
    </row>
    <row r="113" spans="1:24" ht="15.6" x14ac:dyDescent="0.3">
      <c r="A113" s="338">
        <f t="shared" ref="A113:A120" si="0">+A112+1</f>
        <v>8</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-33</v>
      </c>
      <c r="W113" s="275"/>
      <c r="X113" s="5"/>
    </row>
    <row r="114" spans="1:24" ht="15.6" x14ac:dyDescent="0.3">
      <c r="A114" s="338">
        <f t="shared" si="0"/>
        <v>9</v>
      </c>
      <c r="B114" s="272" t="s">
        <v>45</v>
      </c>
      <c r="C114" s="272"/>
      <c r="D114" s="272"/>
      <c r="E114" s="272"/>
      <c r="F114" s="272"/>
      <c r="G114" s="272"/>
      <c r="H114" s="272"/>
      <c r="I114" s="272"/>
      <c r="J114" s="272"/>
      <c r="K114" s="272"/>
      <c r="L114" s="272"/>
      <c r="M114" s="272"/>
      <c r="N114" s="272"/>
      <c r="O114" s="272"/>
      <c r="P114" s="272"/>
      <c r="Q114" s="272"/>
      <c r="R114" s="272"/>
      <c r="S114" s="272"/>
      <c r="T114" s="324">
        <f>-V114</f>
        <v>312</v>
      </c>
      <c r="U114" s="272"/>
      <c r="V114" s="325">
        <v>-312</v>
      </c>
      <c r="W114" s="275"/>
      <c r="X114" s="5"/>
    </row>
    <row r="115" spans="1:24" ht="15.6" x14ac:dyDescent="0.3">
      <c r="A115" s="338">
        <f t="shared" si="0"/>
        <v>10</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11</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12</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13</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14</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-322</v>
      </c>
      <c r="W119" s="275"/>
      <c r="X119" s="5"/>
    </row>
    <row r="120" spans="1:24" ht="15.6" x14ac:dyDescent="0.3">
      <c r="A120" s="338">
        <f t="shared" si="0"/>
        <v>15</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-V99-SUM(V101:V119)</f>
        <v>-2166</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0</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0</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-223</v>
      </c>
      <c r="U124" s="324"/>
      <c r="V124" s="325"/>
      <c r="W124" s="275"/>
      <c r="X124" s="5"/>
    </row>
    <row r="125" spans="1:24" ht="15.6" x14ac:dyDescent="0.3">
      <c r="A125" s="338"/>
      <c r="B125" s="272" t="s">
        <v>386</v>
      </c>
      <c r="C125" s="272"/>
      <c r="D125" s="272"/>
      <c r="E125" s="272"/>
      <c r="F125" s="272"/>
      <c r="G125" s="272"/>
      <c r="H125" s="272"/>
      <c r="I125" s="272"/>
      <c r="J125" s="272"/>
      <c r="K125" s="272"/>
      <c r="L125" s="272"/>
      <c r="M125" s="272"/>
      <c r="N125" s="272"/>
      <c r="O125" s="272"/>
      <c r="P125" s="272"/>
      <c r="Q125" s="272"/>
      <c r="R125" s="272"/>
      <c r="S125" s="272"/>
      <c r="T125" s="324">
        <v>-7765</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-1216</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-2057</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-1812</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-13073</v>
      </c>
      <c r="U133" s="324"/>
      <c r="V133" s="324">
        <f>SUM(V100:V130)</f>
        <v>-4811</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T99+T133+T114</f>
        <v>0</v>
      </c>
      <c r="U134" s="324"/>
      <c r="V134" s="324">
        <f>V99+V133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B63</f>
        <v>PM13 INVESTOR REPORT QUARTER ENDING DECEMBER 2016</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341</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312</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312</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-312</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f>-V98</f>
        <v>51</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V70</f>
        <v>826935</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V83</f>
        <v>826935</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+'Sept 2016'!S183</f>
        <v>52523</v>
      </c>
      <c r="T181" s="325">
        <f>+'Sept 2016'!T183</f>
        <v>9749</v>
      </c>
      <c r="U181" s="272"/>
      <c r="V181" s="325">
        <f>S181+T181</f>
        <v>62272</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v>223</v>
      </c>
      <c r="T182" s="324">
        <v>0</v>
      </c>
      <c r="U182" s="272"/>
      <c r="V182" s="325">
        <f>S182+T182</f>
        <v>223</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52746</v>
      </c>
      <c r="T183" s="325">
        <f>T182+T181</f>
        <v>9749</v>
      </c>
      <c r="U183" s="272"/>
      <c r="V183" s="325">
        <f>S183+T183</f>
        <v>62495</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177535.4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(V99+V101+V102+V103+V104)/-(V105+V106)</f>
        <v>4.0456238361266292</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1.86</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(V99+V101+V102+V103+V104+V105+V106)/-(V108+V109)</f>
        <v>14.283842794759826</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7.54</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(V99+V101+V102+V103+V104+V105+V106+V108+V109)/-(V110+V111)</f>
        <v>14.555023923444976</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9.5</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DECEMBER 2016</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42734</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2.111E-2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7.1508529251133532E-3</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1.3959147074886647E-2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+V99/N70</f>
        <v>5.7288472644784084E-3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11.37</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P67/N67</f>
        <v>1.5567079669201046E-2</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6.3799999999999996E-2</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2</v>
      </c>
      <c r="T216" s="357">
        <v>425</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129</v>
      </c>
      <c r="T217" s="357">
        <f>+T269</f>
        <v>20361</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f>+R281</f>
        <v>0</v>
      </c>
      <c r="T218" s="357">
        <f>+T281</f>
        <v>0</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+N80</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2" t="s">
        <v>84</v>
      </c>
      <c r="C222" s="272"/>
      <c r="D222" s="272"/>
      <c r="E222" s="272"/>
      <c r="F222" s="272"/>
      <c r="G222" s="272"/>
      <c r="H222" s="272"/>
      <c r="I222" s="272"/>
      <c r="J222" s="272"/>
      <c r="K222" s="272"/>
      <c r="L222" s="272"/>
      <c r="M222" s="272"/>
      <c r="N222" s="272"/>
      <c r="O222" s="272"/>
      <c r="P222" s="272"/>
      <c r="Q222" s="272"/>
      <c r="R222" s="272"/>
      <c r="S222" s="280"/>
      <c r="T222" s="357">
        <f>V166</f>
        <v>312</v>
      </c>
      <c r="U222" s="272"/>
      <c r="V222" s="362"/>
      <c r="W222" s="367"/>
      <c r="X222" s="5"/>
    </row>
    <row r="223" spans="1:24" ht="15.6" x14ac:dyDescent="0.3">
      <c r="A223" s="356"/>
      <c r="B223" s="272" t="s">
        <v>85</v>
      </c>
      <c r="C223" s="324"/>
      <c r="D223" s="324"/>
      <c r="E223" s="324"/>
      <c r="F223" s="324"/>
      <c r="G223" s="272"/>
      <c r="H223" s="272"/>
      <c r="I223" s="272"/>
      <c r="J223" s="272"/>
      <c r="K223" s="272"/>
      <c r="L223" s="272"/>
      <c r="M223" s="272"/>
      <c r="N223" s="272"/>
      <c r="O223" s="272"/>
      <c r="P223" s="272"/>
      <c r="Q223" s="272"/>
      <c r="R223" s="272"/>
      <c r="S223" s="280"/>
      <c r="T223" s="357">
        <f>'Sept 2016'!T223+T222</f>
        <v>8652</v>
      </c>
      <c r="U223" s="272"/>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6</v>
      </c>
      <c r="T229" s="357">
        <v>535</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10.24</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 t="shared" ref="R236:R243" si="1">+R248+R260+R272</f>
        <v>6421</v>
      </c>
      <c r="S236" s="381">
        <f t="shared" ref="S236:S243" si="2">R236/$R$245</f>
        <v>0.99365521510368304</v>
      </c>
      <c r="T236" s="325">
        <f t="shared" ref="T236:T243" si="3">+T248+T260+T272</f>
        <v>821746</v>
      </c>
      <c r="U236" s="381">
        <f t="shared" ref="U236:U243" si="4">T236/$T$245</f>
        <v>0.9937250207090037</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si="1"/>
        <v>10</v>
      </c>
      <c r="S237" s="381">
        <f t="shared" si="2"/>
        <v>1.5475085112968121E-3</v>
      </c>
      <c r="T237" s="325">
        <f t="shared" si="3"/>
        <v>1170</v>
      </c>
      <c r="U237" s="381">
        <f t="shared" si="4"/>
        <v>1.4148633205753778E-3</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5</v>
      </c>
      <c r="S238" s="381">
        <f t="shared" si="2"/>
        <v>7.7375425564840607E-4</v>
      </c>
      <c r="T238" s="325">
        <f t="shared" si="3"/>
        <v>470</v>
      </c>
      <c r="U238" s="381">
        <f t="shared" si="4"/>
        <v>5.6836389800891246E-4</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0</v>
      </c>
      <c r="S239" s="381">
        <f t="shared" si="2"/>
        <v>0</v>
      </c>
      <c r="T239" s="325">
        <f t="shared" si="3"/>
        <v>0</v>
      </c>
      <c r="U239" s="381">
        <f t="shared" si="4"/>
        <v>0</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0</v>
      </c>
      <c r="S240" s="381">
        <f t="shared" si="2"/>
        <v>0</v>
      </c>
      <c r="T240" s="325">
        <f t="shared" si="3"/>
        <v>0</v>
      </c>
      <c r="U240" s="381">
        <f t="shared" si="4"/>
        <v>0</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1</v>
      </c>
      <c r="S241" s="381">
        <f t="shared" si="2"/>
        <v>1.5475085112968121E-4</v>
      </c>
      <c r="T241" s="325">
        <f t="shared" si="3"/>
        <v>131</v>
      </c>
      <c r="U241" s="381">
        <f t="shared" si="4"/>
        <v>1.5841632050886707E-4</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7</v>
      </c>
      <c r="S242" s="381">
        <f t="shared" si="2"/>
        <v>1.0832559579077685E-3</v>
      </c>
      <c r="T242" s="325">
        <f t="shared" si="3"/>
        <v>969</v>
      </c>
      <c r="U242" s="381">
        <f t="shared" si="4"/>
        <v>1.1717970578098641E-3</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18</v>
      </c>
      <c r="S243" s="381">
        <f t="shared" si="2"/>
        <v>2.7855153203342618E-3</v>
      </c>
      <c r="T243" s="325">
        <f t="shared" si="3"/>
        <v>2449</v>
      </c>
      <c r="U243" s="381">
        <f t="shared" si="4"/>
        <v>2.9615386940932478E-3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6462</v>
      </c>
      <c r="S245" s="381">
        <f>SUM(S236:S244)</f>
        <v>1</v>
      </c>
      <c r="T245" s="325">
        <f>SUM(T236:T244)</f>
        <v>826935</v>
      </c>
      <c r="U245" s="381">
        <f>SUM(U236:U244)</f>
        <v>1</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6323</v>
      </c>
      <c r="S248" s="261">
        <f t="shared" ref="S248:S255" si="5">R248/$R$257</f>
        <v>0.99842096952471182</v>
      </c>
      <c r="T248" s="238">
        <v>805445</v>
      </c>
      <c r="U248" s="261">
        <f t="shared" ref="U248:U255" si="6">T248/$T$257</f>
        <v>0.99860025242569184</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7</v>
      </c>
      <c r="S249" s="381">
        <f t="shared" si="5"/>
        <v>1.1053213327017212E-3</v>
      </c>
      <c r="T249" s="325">
        <v>832</v>
      </c>
      <c r="U249" s="381">
        <f t="shared" si="6"/>
        <v>1.0315234560003175E-3</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1</v>
      </c>
      <c r="S250" s="381">
        <f t="shared" si="5"/>
        <v>1.5790304752881732E-4</v>
      </c>
      <c r="T250" s="325">
        <v>111</v>
      </c>
      <c r="U250" s="381">
        <f t="shared" si="6"/>
        <v>1.3761911492311926E-4</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0</v>
      </c>
      <c r="S251" s="381">
        <f t="shared" si="5"/>
        <v>0</v>
      </c>
      <c r="T251" s="325">
        <v>0</v>
      </c>
      <c r="U251" s="381">
        <f t="shared" si="6"/>
        <v>0</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2</v>
      </c>
      <c r="S255" s="381">
        <f t="shared" si="5"/>
        <v>3.1580609505763463E-4</v>
      </c>
      <c r="T255" s="325">
        <v>186</v>
      </c>
      <c r="U255" s="381">
        <f t="shared" si="6"/>
        <v>2.3060500338468635E-4</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6333</v>
      </c>
      <c r="S257" s="381">
        <f>SUM(S248:S256)</f>
        <v>1</v>
      </c>
      <c r="T257" s="325">
        <f>SUM(T248:T256)</f>
        <v>806574</v>
      </c>
      <c r="U257" s="381">
        <f>SUM(U248:U256)</f>
        <v>1</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98</v>
      </c>
      <c r="S260" s="261">
        <f>R260/$R$269</f>
        <v>0.75968992248062017</v>
      </c>
      <c r="T260" s="238">
        <v>16301</v>
      </c>
      <c r="U260" s="261">
        <f t="shared" ref="U260:U267" si="7">T260/$T$269</f>
        <v>0.80059918471587843</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3</v>
      </c>
      <c r="S261" s="381">
        <f t="shared" ref="S261:S265" si="8">R261/$R$269</f>
        <v>2.3255813953488372E-2</v>
      </c>
      <c r="T261" s="325">
        <v>338</v>
      </c>
      <c r="U261" s="381">
        <f t="shared" si="7"/>
        <v>1.6600363439909629E-2</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4</v>
      </c>
      <c r="S262" s="381">
        <f t="shared" si="8"/>
        <v>3.1007751937984496E-2</v>
      </c>
      <c r="T262" s="325">
        <v>359</v>
      </c>
      <c r="U262" s="381">
        <f t="shared" si="7"/>
        <v>1.7631746967241294E-2</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0</v>
      </c>
      <c r="S263" s="381">
        <f t="shared" si="8"/>
        <v>0</v>
      </c>
      <c r="T263" s="325">
        <v>0</v>
      </c>
      <c r="U263" s="381">
        <f t="shared" si="7"/>
        <v>0</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0</v>
      </c>
      <c r="S264" s="381">
        <f t="shared" si="8"/>
        <v>0</v>
      </c>
      <c r="T264" s="325">
        <v>0</v>
      </c>
      <c r="U264" s="381">
        <f t="shared" si="7"/>
        <v>0</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1</v>
      </c>
      <c r="S265" s="381">
        <f t="shared" si="8"/>
        <v>7.7519379844961239E-3</v>
      </c>
      <c r="T265" s="325">
        <v>131</v>
      </c>
      <c r="U265" s="381">
        <f t="shared" si="7"/>
        <v>6.4338686704975201E-3</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7</v>
      </c>
      <c r="S266" s="381">
        <f>R266/$R$269</f>
        <v>5.4263565891472867E-2</v>
      </c>
      <c r="T266" s="325">
        <v>969</v>
      </c>
      <c r="U266" s="381">
        <f t="shared" si="7"/>
        <v>4.7590982761161041E-2</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16</v>
      </c>
      <c r="S267" s="381">
        <f>R267/$R$269</f>
        <v>0.12403100775193798</v>
      </c>
      <c r="T267" s="325">
        <v>2263</v>
      </c>
      <c r="U267" s="381">
        <f t="shared" si="7"/>
        <v>0.11114385344531212</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129</v>
      </c>
      <c r="S269" s="381">
        <f>SUM(S260:S268)</f>
        <v>1</v>
      </c>
      <c r="T269" s="325">
        <f>SUM(T260:T268)</f>
        <v>20361</v>
      </c>
      <c r="U269" s="381">
        <f>SUM(U260:U268)</f>
        <v>1.0000000000000002</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v>0</v>
      </c>
      <c r="T272" s="238">
        <v>0</v>
      </c>
      <c r="U272" s="261">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v>0</v>
      </c>
      <c r="T273" s="325">
        <v>0</v>
      </c>
      <c r="U273" s="381">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0</v>
      </c>
      <c r="S281" s="381">
        <f>SUM(S272:S279)</f>
        <v>0</v>
      </c>
      <c r="T281" s="325">
        <f>SUM(T272:T279)</f>
        <v>0</v>
      </c>
      <c r="U281" s="381">
        <f>SUM(U272:U279)</f>
        <v>0</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79" t="s">
        <v>167</v>
      </c>
      <c r="C283" s="272"/>
      <c r="D283" s="272"/>
      <c r="E283" s="272"/>
      <c r="F283" s="272"/>
      <c r="G283" s="272"/>
      <c r="H283" s="383"/>
      <c r="I283" s="383"/>
      <c r="J283" s="383"/>
      <c r="K283" s="383"/>
      <c r="L283" s="383"/>
      <c r="M283" s="383"/>
      <c r="N283" s="383"/>
      <c r="O283" s="383"/>
      <c r="P283" s="383"/>
      <c r="Q283" s="383"/>
      <c r="R283" s="390">
        <f>R281+R269+R257</f>
        <v>6462</v>
      </c>
      <c r="S283" s="381"/>
      <c r="T283" s="387">
        <f>+T281+T269+T257</f>
        <v>826935</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335</v>
      </c>
      <c r="C287" s="220"/>
      <c r="D287" s="220"/>
      <c r="E287" s="220"/>
      <c r="F287" s="265" t="s">
        <v>151</v>
      </c>
      <c r="G287" s="220"/>
      <c r="H287" s="219" t="s">
        <v>155</v>
      </c>
      <c r="I287" s="219"/>
      <c r="J287" s="219"/>
      <c r="K287" s="227"/>
      <c r="L287" s="227"/>
      <c r="M287" s="227"/>
      <c r="N287" s="227"/>
      <c r="O287" s="227"/>
      <c r="P287" s="227"/>
      <c r="Q287" s="227"/>
      <c r="R287" s="227"/>
      <c r="S287" s="227"/>
      <c r="T287" s="227"/>
      <c r="U287" s="227"/>
      <c r="V287" s="227"/>
      <c r="W287" s="227"/>
      <c r="X287" s="5"/>
    </row>
    <row r="288" spans="1:24" ht="15.6" x14ac:dyDescent="0.3">
      <c r="A288" s="216"/>
      <c r="B288" s="219" t="s">
        <v>336</v>
      </c>
      <c r="C288" s="219"/>
      <c r="D288" s="219"/>
      <c r="E288" s="219"/>
      <c r="F288" s="265" t="s">
        <v>282</v>
      </c>
      <c r="G288" s="219"/>
      <c r="H288" s="219" t="s">
        <v>283</v>
      </c>
      <c r="I288" s="227"/>
      <c r="J288" s="219"/>
      <c r="K288" s="227"/>
      <c r="L288" s="227"/>
      <c r="M288" s="227"/>
      <c r="N288" s="227"/>
      <c r="O288" s="227"/>
      <c r="P288" s="227"/>
      <c r="Q288" s="227"/>
      <c r="R288" s="227"/>
      <c r="S288" s="227"/>
      <c r="T288" s="227"/>
      <c r="U288" s="227"/>
      <c r="V288" s="227"/>
      <c r="W288" s="227"/>
      <c r="X288" s="5"/>
    </row>
    <row r="289" spans="1:24" ht="15.6" x14ac:dyDescent="0.3">
      <c r="A289" s="216"/>
      <c r="B289" s="219" t="s">
        <v>337</v>
      </c>
      <c r="C289" s="219"/>
      <c r="D289" s="219"/>
      <c r="E289" s="219"/>
      <c r="F289" s="265" t="s">
        <v>150</v>
      </c>
      <c r="G289" s="219"/>
      <c r="H289" s="219" t="s">
        <v>156</v>
      </c>
      <c r="I289" s="219"/>
      <c r="J289" s="219"/>
      <c r="K289" s="227"/>
      <c r="L289" s="227"/>
      <c r="M289" s="227"/>
      <c r="N289" s="227"/>
      <c r="O289" s="227"/>
      <c r="P289" s="227"/>
      <c r="Q289" s="227"/>
      <c r="R289" s="227"/>
      <c r="S289" s="227"/>
      <c r="T289" s="227"/>
      <c r="U289" s="227"/>
      <c r="V289" s="227"/>
      <c r="W289" s="227"/>
      <c r="X289" s="5"/>
    </row>
    <row r="290" spans="1:24" ht="15.6" x14ac:dyDescent="0.3">
      <c r="A290" s="216"/>
      <c r="B290" s="219"/>
      <c r="C290" s="219"/>
      <c r="D290" s="219"/>
      <c r="E290" s="219"/>
      <c r="F290" s="265"/>
      <c r="G290" s="219"/>
      <c r="H290" s="219"/>
      <c r="I290" s="219"/>
      <c r="J290" s="219"/>
      <c r="K290" s="227"/>
      <c r="L290" s="227"/>
      <c r="M290" s="227"/>
      <c r="N290" s="227"/>
      <c r="O290" s="227"/>
      <c r="P290" s="227"/>
      <c r="Q290" s="227"/>
      <c r="R290" s="227"/>
      <c r="S290" s="227"/>
      <c r="T290" s="227"/>
      <c r="U290" s="227"/>
      <c r="V290" s="227"/>
      <c r="W290" s="227"/>
      <c r="X290" s="5"/>
    </row>
    <row r="291" spans="1:24" ht="15.6" x14ac:dyDescent="0.3">
      <c r="A291" s="216"/>
      <c r="B291" s="268" t="s">
        <v>367</v>
      </c>
      <c r="C291" s="219"/>
      <c r="D291" s="219"/>
      <c r="E291" s="219"/>
      <c r="F291" s="265"/>
      <c r="G291" s="219"/>
      <c r="H291" s="219"/>
      <c r="I291" s="219"/>
      <c r="J291" s="219"/>
      <c r="K291" s="227"/>
      <c r="L291" s="227"/>
      <c r="M291" s="227"/>
      <c r="N291" s="227"/>
      <c r="O291" s="227"/>
      <c r="P291" s="227"/>
      <c r="Q291" s="227"/>
      <c r="R291" s="227"/>
      <c r="S291" s="227"/>
      <c r="T291" s="227"/>
      <c r="U291" s="227"/>
      <c r="V291" s="227"/>
      <c r="W291" s="227"/>
      <c r="X291" s="5"/>
    </row>
    <row r="292" spans="1:24" ht="15.6" x14ac:dyDescent="0.3">
      <c r="A292" s="216"/>
      <c r="B292" s="268" t="s">
        <v>364</v>
      </c>
      <c r="C292" s="219"/>
      <c r="D292" s="219"/>
      <c r="E292" s="219"/>
      <c r="F292" s="265"/>
      <c r="G292" s="219"/>
      <c r="H292" s="219"/>
      <c r="I292" s="219"/>
      <c r="J292" s="219"/>
      <c r="K292" s="227"/>
      <c r="L292" s="227"/>
      <c r="M292" s="227"/>
      <c r="N292" s="227"/>
      <c r="O292" s="227"/>
      <c r="P292" s="227"/>
      <c r="Q292" s="227"/>
      <c r="R292" s="227"/>
      <c r="S292" s="227"/>
      <c r="T292" s="227"/>
      <c r="U292" s="227"/>
      <c r="V292" s="227"/>
      <c r="W292" s="227"/>
      <c r="X292" s="5"/>
    </row>
    <row r="293" spans="1:24" ht="15.6" x14ac:dyDescent="0.3">
      <c r="A293" s="216"/>
      <c r="B293" s="268" t="s">
        <v>365</v>
      </c>
      <c r="C293" s="219"/>
      <c r="D293" s="219"/>
      <c r="E293" s="219"/>
      <c r="F293" s="265"/>
      <c r="G293" s="219"/>
      <c r="H293" s="219"/>
      <c r="I293" s="219"/>
      <c r="J293" s="219"/>
      <c r="K293" s="227"/>
      <c r="L293" s="227"/>
      <c r="M293" s="227"/>
      <c r="N293" s="227"/>
      <c r="O293" s="227"/>
      <c r="P293" s="227"/>
      <c r="Q293" s="227"/>
      <c r="R293" s="227"/>
      <c r="S293" s="227"/>
      <c r="T293" s="227"/>
      <c r="U293" s="227"/>
      <c r="V293" s="227"/>
      <c r="W293" s="227"/>
      <c r="X293" s="5"/>
    </row>
    <row r="294" spans="1:24" ht="15.6" x14ac:dyDescent="0.3">
      <c r="A294" s="216"/>
      <c r="B294" s="268" t="s">
        <v>366</v>
      </c>
      <c r="C294" s="219"/>
      <c r="D294" s="219"/>
      <c r="E294" s="219"/>
      <c r="F294" s="265"/>
      <c r="G294" s="219"/>
      <c r="H294" s="219"/>
      <c r="I294" s="219"/>
      <c r="J294" s="219"/>
      <c r="K294" s="227"/>
      <c r="L294" s="227"/>
      <c r="M294" s="227"/>
      <c r="N294" s="227"/>
      <c r="O294" s="227"/>
      <c r="P294" s="227"/>
      <c r="Q294" s="227"/>
      <c r="R294" s="227"/>
      <c r="S294" s="227"/>
      <c r="T294" s="227"/>
      <c r="U294" s="227"/>
      <c r="V294" s="227"/>
      <c r="W294" s="227"/>
      <c r="X294" s="5"/>
    </row>
    <row r="295" spans="1:24" ht="15.6" x14ac:dyDescent="0.3">
      <c r="A295" s="216"/>
      <c r="B295" s="219"/>
      <c r="C295" s="219"/>
      <c r="D295" s="219"/>
      <c r="E295" s="219"/>
      <c r="F295" s="265"/>
      <c r="G295" s="219"/>
      <c r="H295" s="219"/>
      <c r="I295" s="219"/>
      <c r="J295" s="219"/>
      <c r="K295" s="227"/>
      <c r="L295" s="227"/>
      <c r="M295" s="227"/>
      <c r="N295" s="227"/>
      <c r="O295" s="227"/>
      <c r="P295" s="227"/>
      <c r="Q295" s="227"/>
      <c r="R295" s="227"/>
      <c r="S295" s="227"/>
      <c r="T295" s="227"/>
      <c r="U295" s="227"/>
      <c r="V295" s="227"/>
      <c r="W295" s="227"/>
      <c r="X295" s="5"/>
    </row>
    <row r="296" spans="1:24" ht="17.399999999999999" x14ac:dyDescent="0.3">
      <c r="A296" s="216"/>
      <c r="B296" s="400" t="s">
        <v>368</v>
      </c>
      <c r="C296" s="219"/>
      <c r="D296" s="219"/>
      <c r="E296" s="219"/>
      <c r="F296" s="219"/>
      <c r="G296" s="266"/>
      <c r="H296" s="227"/>
      <c r="I296" s="227"/>
      <c r="J296" s="227"/>
      <c r="K296" s="227"/>
      <c r="L296" s="187"/>
      <c r="M296" s="187"/>
      <c r="N296" s="401"/>
      <c r="O296" s="187"/>
      <c r="P296" s="401" t="s">
        <v>170</v>
      </c>
      <c r="Q296" s="227"/>
      <c r="R296" s="227"/>
      <c r="S296" s="227"/>
      <c r="T296" s="227"/>
      <c r="U296" s="227"/>
      <c r="V296" s="227"/>
      <c r="W296" s="227"/>
      <c r="X296" s="5"/>
    </row>
    <row r="297" spans="1:24" ht="15.6" x14ac:dyDescent="0.3">
      <c r="A297" s="216"/>
      <c r="B297" s="219"/>
      <c r="C297" s="219"/>
      <c r="D297" s="219"/>
      <c r="E297" s="219"/>
      <c r="F297" s="219"/>
      <c r="G297" s="266"/>
      <c r="H297" s="227"/>
      <c r="I297" s="227"/>
      <c r="J297" s="227"/>
      <c r="K297" s="227"/>
      <c r="L297" s="227"/>
      <c r="M297" s="227"/>
      <c r="N297" s="227"/>
      <c r="O297" s="227"/>
      <c r="P297" s="227"/>
      <c r="Q297" s="227"/>
      <c r="R297" s="227"/>
      <c r="S297" s="227"/>
      <c r="T297" s="227"/>
      <c r="U297" s="227"/>
      <c r="V297" s="227"/>
      <c r="W297" s="227"/>
      <c r="X297" s="5"/>
    </row>
    <row r="298" spans="1:24" ht="18" thickBot="1" x14ac:dyDescent="0.35">
      <c r="A298" s="216"/>
      <c r="B298" s="267" t="str">
        <f>B197</f>
        <v>PM13 INVESTOR REPORT QUARTER ENDING DECEMBER 2016</v>
      </c>
      <c r="C298" s="219"/>
      <c r="D298" s="219"/>
      <c r="E298" s="219"/>
      <c r="F298" s="219"/>
      <c r="G298" s="266"/>
      <c r="H298" s="227"/>
      <c r="I298" s="227"/>
      <c r="J298" s="227"/>
      <c r="K298" s="227"/>
      <c r="L298" s="227"/>
      <c r="M298" s="227"/>
      <c r="N298" s="227"/>
      <c r="O298" s="227"/>
      <c r="P298" s="227"/>
      <c r="Q298" s="227"/>
      <c r="R298" s="227"/>
      <c r="S298" s="227"/>
      <c r="T298" s="227"/>
      <c r="U298" s="227"/>
      <c r="V298" s="227"/>
      <c r="W298" s="227"/>
      <c r="X298" s="5"/>
    </row>
    <row r="299" spans="1:24" x14ac:dyDescent="0.25">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row>
  </sheetData>
  <hyperlinks>
    <hyperlink ref="P233" r:id="rId1" xr:uid="{00000000-0004-0000-2800-000000000000}"/>
    <hyperlink ref="I9" r:id="rId2" xr:uid="{00000000-0004-0000-2800-000001000000}"/>
    <hyperlink ref="P296" r:id="rId3" xr:uid="{00000000-0004-0000-2800-000002000000}"/>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37" max="22" man="1"/>
    <brk id="197" max="22" man="1"/>
  </rowBreaks>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2D2926"/>
  </sheetPr>
  <dimension ref="A1:Z298"/>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0.66320000000000001</v>
      </c>
      <c r="T16" s="224" t="s">
        <v>143</v>
      </c>
      <c r="U16" s="223">
        <v>0.33679999999999999</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42845</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395"/>
      <c r="B22" s="396"/>
      <c r="C22" s="397"/>
      <c r="D22" s="397" t="s">
        <v>180</v>
      </c>
      <c r="E22" s="397"/>
      <c r="F22" s="397" t="s">
        <v>181</v>
      </c>
      <c r="G22" s="397"/>
      <c r="H22" s="397" t="s">
        <v>182</v>
      </c>
      <c r="I22" s="397"/>
      <c r="J22" s="397" t="s">
        <v>223</v>
      </c>
      <c r="K22" s="397"/>
      <c r="L22" s="397" t="s">
        <v>183</v>
      </c>
      <c r="M22" s="397"/>
      <c r="N22" s="397" t="s">
        <v>184</v>
      </c>
      <c r="O22" s="397"/>
      <c r="P22" s="397" t="s">
        <v>224</v>
      </c>
      <c r="Q22" s="397"/>
      <c r="R22" s="397" t="s">
        <v>185</v>
      </c>
      <c r="S22" s="398"/>
      <c r="T22" s="398"/>
      <c r="U22" s="399"/>
      <c r="V22" s="399"/>
      <c r="W22" s="396"/>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144</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168</v>
      </c>
      <c r="E27" s="389"/>
      <c r="F27" s="389" t="s">
        <v>168</v>
      </c>
      <c r="G27" s="389"/>
      <c r="H27" s="389" t="s">
        <v>168</v>
      </c>
      <c r="I27" s="389"/>
      <c r="J27" s="389" t="s">
        <v>168</v>
      </c>
      <c r="K27" s="389"/>
      <c r="L27" s="389" t="s">
        <v>360</v>
      </c>
      <c r="M27" s="389"/>
      <c r="N27" s="389" t="s">
        <v>360</v>
      </c>
      <c r="O27" s="389"/>
      <c r="P27" s="389" t="s">
        <v>147</v>
      </c>
      <c r="Q27" s="389"/>
      <c r="R27" s="389" t="s">
        <v>147</v>
      </c>
      <c r="S27" s="273"/>
      <c r="T27" s="280"/>
      <c r="U27" s="274"/>
      <c r="V27" s="274"/>
      <c r="W27" s="275"/>
      <c r="X27" s="5"/>
    </row>
    <row r="28" spans="1:24" ht="15.6" x14ac:dyDescent="0.3">
      <c r="A28" s="271"/>
      <c r="B28" s="279" t="s">
        <v>195</v>
      </c>
      <c r="C28" s="273"/>
      <c r="D28" s="389" t="s">
        <v>146</v>
      </c>
      <c r="E28" s="389"/>
      <c r="F28" s="389" t="s">
        <v>146</v>
      </c>
      <c r="G28" s="389"/>
      <c r="H28" s="389" t="s">
        <v>146</v>
      </c>
      <c r="I28" s="389"/>
      <c r="J28" s="389" t="s">
        <v>146</v>
      </c>
      <c r="K28" s="389"/>
      <c r="L28" s="389" t="s">
        <v>146</v>
      </c>
      <c r="M28" s="389"/>
      <c r="N28" s="389" t="s">
        <v>146</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394">
        <f>D34*D38</f>
        <v>391062.43952960003</v>
      </c>
      <c r="E32" s="282"/>
      <c r="F32" s="283">
        <f>F31*F38</f>
        <v>61266.724999999999</v>
      </c>
      <c r="G32" s="283"/>
      <c r="H32" s="288">
        <f>H31*H38</f>
        <v>154392.147</v>
      </c>
      <c r="I32" s="288"/>
      <c r="J32" s="287">
        <f>J31*J38</f>
        <v>171546.02499999999</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393">
        <f>D34*D37</f>
        <v>382702.49628800002</v>
      </c>
      <c r="E33" s="286"/>
      <c r="F33" s="289">
        <f>F37*F31</f>
        <v>59957</v>
      </c>
      <c r="G33" s="289"/>
      <c r="H33" s="292">
        <f>H31*H37</f>
        <v>151091.64000000001</v>
      </c>
      <c r="I33" s="292"/>
      <c r="J33" s="291">
        <f>J37*J31</f>
        <v>167878.76</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391062.43952960003</v>
      </c>
      <c r="E35" s="282"/>
      <c r="F35" s="283">
        <f>F34*F38</f>
        <v>61266.724999999999</v>
      </c>
      <c r="G35" s="283"/>
      <c r="H35" s="283">
        <f>H34*H38</f>
        <v>103618.6965242</v>
      </c>
      <c r="I35" s="283"/>
      <c r="J35" s="283">
        <f>J34*J38</f>
        <v>91247.781354999999</v>
      </c>
      <c r="K35" s="283"/>
      <c r="L35" s="283">
        <f>L34*L38</f>
        <v>56000</v>
      </c>
      <c r="M35" s="283"/>
      <c r="N35" s="283">
        <f>N34*N38</f>
        <v>56376</v>
      </c>
      <c r="O35" s="283"/>
      <c r="P35" s="283">
        <f>P34*P38</f>
        <v>13000</v>
      </c>
      <c r="Q35" s="283"/>
      <c r="R35" s="283">
        <f>R34*R38</f>
        <v>54363</v>
      </c>
      <c r="S35" s="283"/>
      <c r="T35" s="283"/>
      <c r="U35" s="284"/>
      <c r="V35" s="283">
        <f>SUM(C35:R35)</f>
        <v>826934.64240879996</v>
      </c>
      <c r="W35" s="285"/>
      <c r="X35" s="5"/>
    </row>
    <row r="36" spans="1:24" ht="15.6" x14ac:dyDescent="0.3">
      <c r="A36" s="276"/>
      <c r="B36" s="279" t="s">
        <v>304</v>
      </c>
      <c r="C36" s="286"/>
      <c r="D36" s="289">
        <f>D34*D37</f>
        <v>382702.49628800002</v>
      </c>
      <c r="E36" s="286"/>
      <c r="F36" s="289">
        <f>F34*F37</f>
        <v>59957</v>
      </c>
      <c r="G36" s="289"/>
      <c r="H36" s="289">
        <f>H34*H37</f>
        <v>101403.595304</v>
      </c>
      <c r="I36" s="289"/>
      <c r="J36" s="289">
        <f>J34*J37</f>
        <v>89297.110712000009</v>
      </c>
      <c r="K36" s="289"/>
      <c r="L36" s="289">
        <v>56000</v>
      </c>
      <c r="M36" s="289"/>
      <c r="N36" s="289">
        <v>56376</v>
      </c>
      <c r="O36" s="289"/>
      <c r="P36" s="289">
        <v>13000</v>
      </c>
      <c r="Q36" s="289"/>
      <c r="R36" s="289">
        <v>54363</v>
      </c>
      <c r="S36" s="314"/>
      <c r="T36" s="314"/>
      <c r="U36" s="284"/>
      <c r="V36" s="289">
        <f>SUM(C36:R36)+1</f>
        <v>813100.20230400003</v>
      </c>
      <c r="W36" s="285"/>
      <c r="X36" s="5"/>
    </row>
    <row r="37" spans="1:24" ht="15.6" x14ac:dyDescent="0.3">
      <c r="A37" s="271"/>
      <c r="B37" s="297" t="s">
        <v>133</v>
      </c>
      <c r="C37" s="298"/>
      <c r="D37" s="299">
        <v>0.47965400000000002</v>
      </c>
      <c r="E37" s="300"/>
      <c r="F37" s="299">
        <v>0.47965600000000003</v>
      </c>
      <c r="G37" s="301"/>
      <c r="H37" s="299">
        <v>0.47965600000000003</v>
      </c>
      <c r="I37" s="301"/>
      <c r="J37" s="299">
        <v>0.47965360000000001</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0.49013180000000001</v>
      </c>
      <c r="E38" s="300"/>
      <c r="F38" s="299">
        <v>0.49013380000000001</v>
      </c>
      <c r="G38" s="301"/>
      <c r="H38" s="299">
        <v>0.49013380000000001</v>
      </c>
      <c r="I38" s="301"/>
      <c r="J38" s="299">
        <v>0.4901315</v>
      </c>
      <c r="K38" s="301"/>
      <c r="L38" s="299">
        <v>1</v>
      </c>
      <c r="M38" s="301"/>
      <c r="N38" s="299">
        <v>1</v>
      </c>
      <c r="O38" s="301"/>
      <c r="P38" s="299">
        <v>1</v>
      </c>
      <c r="Q38" s="301"/>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5.9662999999999999E-3</v>
      </c>
      <c r="E40" s="272"/>
      <c r="F40" s="308">
        <v>5.9662999999999999E-3</v>
      </c>
      <c r="G40" s="307"/>
      <c r="H40" s="308">
        <v>0</v>
      </c>
      <c r="I40" s="308"/>
      <c r="J40" s="308">
        <v>1.2031699999999999E-2</v>
      </c>
      <c r="K40" s="307"/>
      <c r="L40" s="308">
        <v>7.5662999999999998E-3</v>
      </c>
      <c r="M40" s="307"/>
      <c r="N40" s="308">
        <v>5.2999999999999998E-4</v>
      </c>
      <c r="O40" s="307"/>
      <c r="P40" s="308">
        <v>1.15663E-2</v>
      </c>
      <c r="Q40" s="307"/>
      <c r="R40" s="308">
        <v>4.5300000000000002E-3</v>
      </c>
      <c r="S40" s="307"/>
      <c r="T40" s="308"/>
      <c r="U40" s="274"/>
      <c r="V40" s="280"/>
      <c r="W40" s="275"/>
      <c r="X40" s="5"/>
    </row>
    <row r="41" spans="1:24" ht="15.6" x14ac:dyDescent="0.3">
      <c r="A41" s="271"/>
      <c r="B41" s="272" t="s">
        <v>13</v>
      </c>
      <c r="C41" s="272"/>
      <c r="D41" s="308">
        <v>6.4099999999999999E-3</v>
      </c>
      <c r="E41" s="272"/>
      <c r="F41" s="308">
        <v>6.4099999999999999E-3</v>
      </c>
      <c r="G41" s="307"/>
      <c r="H41" s="308">
        <v>0</v>
      </c>
      <c r="I41" s="308"/>
      <c r="J41" s="308">
        <v>1.06E-2</v>
      </c>
      <c r="K41" s="307"/>
      <c r="L41" s="308">
        <v>8.0099999999999998E-3</v>
      </c>
      <c r="M41" s="307"/>
      <c r="N41" s="308">
        <v>6.8999999999999997E-4</v>
      </c>
      <c r="O41" s="307"/>
      <c r="P41" s="308">
        <v>1.201E-2</v>
      </c>
      <c r="Q41" s="307"/>
      <c r="R41" s="308">
        <v>4.6899999999999997E-3</v>
      </c>
      <c r="S41" s="307"/>
      <c r="T41" s="308"/>
      <c r="U41" s="274"/>
      <c r="V41" s="307" t="s">
        <v>196</v>
      </c>
      <c r="W41" s="275"/>
      <c r="X41" s="5"/>
    </row>
    <row r="42" spans="1:24" ht="15.6" x14ac:dyDescent="0.3">
      <c r="A42" s="271"/>
      <c r="B42" s="272" t="s">
        <v>300</v>
      </c>
      <c r="C42" s="272"/>
      <c r="D42" s="280" t="s">
        <v>226</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f>+D40</f>
        <v>5.9662999999999999E-3</v>
      </c>
      <c r="E43" s="308"/>
      <c r="F43" s="308">
        <f>+F40</f>
        <v>5.9662999999999999E-3</v>
      </c>
      <c r="G43" s="308"/>
      <c r="H43" s="308">
        <v>6.2103000000000002E-3</v>
      </c>
      <c r="I43" s="308"/>
      <c r="J43" s="308">
        <v>6.0463000000000001E-3</v>
      </c>
      <c r="K43" s="308"/>
      <c r="L43" s="308">
        <f>+L40</f>
        <v>7.5662999999999998E-3</v>
      </c>
      <c r="M43" s="308"/>
      <c r="N43" s="308">
        <v>7.7463000000000002E-3</v>
      </c>
      <c r="O43" s="308"/>
      <c r="P43" s="308">
        <f>+P40</f>
        <v>1.15663E-2</v>
      </c>
      <c r="Q43" s="307"/>
      <c r="R43" s="308">
        <v>1.1966299999999999E-2</v>
      </c>
      <c r="S43" s="280"/>
      <c r="T43" s="280"/>
      <c r="U43" s="274"/>
      <c r="V43" s="307">
        <f>SUMPRODUCT(D43:R43,D35:R35)/V35</f>
        <v>6.7178830545566353E-3</v>
      </c>
      <c r="W43" s="275"/>
      <c r="X43" s="5"/>
    </row>
    <row r="44" spans="1:24" ht="15.6" x14ac:dyDescent="0.3">
      <c r="A44" s="271"/>
      <c r="B44" s="272" t="s">
        <v>302</v>
      </c>
      <c r="C44" s="309"/>
      <c r="D44" s="308">
        <f>+D41</f>
        <v>6.4099999999999999E-3</v>
      </c>
      <c r="E44" s="308"/>
      <c r="F44" s="308">
        <f>+F41</f>
        <v>6.4099999999999999E-3</v>
      </c>
      <c r="G44" s="308"/>
      <c r="H44" s="308">
        <v>6.6540000000000002E-3</v>
      </c>
      <c r="I44" s="308"/>
      <c r="J44" s="308">
        <v>6.4900000000000001E-3</v>
      </c>
      <c r="K44" s="308"/>
      <c r="L44" s="308">
        <f>+L41</f>
        <v>8.0099999999999998E-3</v>
      </c>
      <c r="M44" s="308"/>
      <c r="N44" s="308">
        <v>8.1899999999999994E-3</v>
      </c>
      <c r="O44" s="308"/>
      <c r="P44" s="308">
        <f>+P41</f>
        <v>1.201E-2</v>
      </c>
      <c r="Q44" s="307"/>
      <c r="R44" s="308">
        <v>1.2409999999999999E-2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226</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0.28378638150322072</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358</v>
      </c>
      <c r="C54" s="272"/>
      <c r="D54" s="272"/>
      <c r="E54" s="272"/>
      <c r="F54" s="272"/>
      <c r="G54" s="272"/>
      <c r="H54" s="272"/>
      <c r="I54" s="272"/>
      <c r="J54" s="272"/>
      <c r="K54" s="272"/>
      <c r="L54" s="272"/>
      <c r="M54" s="272"/>
      <c r="N54" s="272"/>
      <c r="O54" s="272"/>
      <c r="P54" s="272"/>
      <c r="Q54" s="272"/>
      <c r="R54" s="272"/>
      <c r="S54" s="272"/>
      <c r="T54" s="280"/>
      <c r="U54" s="280"/>
      <c r="V54" s="315" t="s">
        <v>114</v>
      </c>
      <c r="W54" s="275"/>
      <c r="X54" s="5"/>
    </row>
    <row r="55" spans="1:25" ht="15.6" x14ac:dyDescent="0.3">
      <c r="A55" s="271"/>
      <c r="B55" s="279" t="s">
        <v>204</v>
      </c>
      <c r="C55" s="279"/>
      <c r="D55" s="279"/>
      <c r="E55" s="279"/>
      <c r="F55" s="279"/>
      <c r="G55" s="279"/>
      <c r="H55" s="279"/>
      <c r="I55" s="279"/>
      <c r="J55" s="279"/>
      <c r="K55" s="279"/>
      <c r="L55" s="279"/>
      <c r="M55" s="279"/>
      <c r="N55" s="279"/>
      <c r="O55" s="279"/>
      <c r="P55" s="279"/>
      <c r="Q55" s="279"/>
      <c r="R55" s="279"/>
      <c r="S55" s="279"/>
      <c r="T55" s="316"/>
      <c r="U55" s="316"/>
      <c r="V55" s="317">
        <v>42843</v>
      </c>
      <c r="W55" s="275"/>
      <c r="X55" s="5"/>
    </row>
    <row r="56" spans="1:25" ht="15.6" x14ac:dyDescent="0.3">
      <c r="A56" s="271"/>
      <c r="B56" s="272" t="s">
        <v>124</v>
      </c>
      <c r="C56" s="272"/>
      <c r="D56" s="272"/>
      <c r="E56" s="272"/>
      <c r="F56" s="272"/>
      <c r="G56" s="272"/>
      <c r="H56" s="318"/>
      <c r="I56" s="318"/>
      <c r="J56" s="318"/>
      <c r="K56" s="318"/>
      <c r="L56" s="318"/>
      <c r="M56" s="318"/>
      <c r="N56" s="318"/>
      <c r="O56" s="318"/>
      <c r="P56" s="318"/>
      <c r="Q56" s="318"/>
      <c r="R56" s="272">
        <f>+V56-T56+1</f>
        <v>92</v>
      </c>
      <c r="S56" s="318"/>
      <c r="T56" s="319">
        <v>42660</v>
      </c>
      <c r="U56" s="320"/>
      <c r="V56" s="319">
        <v>42751</v>
      </c>
      <c r="W56" s="275"/>
      <c r="X56" s="5"/>
    </row>
    <row r="57" spans="1:25" ht="15.6" x14ac:dyDescent="0.3">
      <c r="A57" s="271"/>
      <c r="B57" s="272" t="s">
        <v>125</v>
      </c>
      <c r="C57" s="272"/>
      <c r="D57" s="272"/>
      <c r="E57" s="272"/>
      <c r="F57" s="272"/>
      <c r="G57" s="272"/>
      <c r="H57" s="272"/>
      <c r="I57" s="272"/>
      <c r="J57" s="272"/>
      <c r="K57" s="272"/>
      <c r="L57" s="272"/>
      <c r="M57" s="272"/>
      <c r="N57" s="272"/>
      <c r="O57" s="272"/>
      <c r="P57" s="272"/>
      <c r="Q57" s="272"/>
      <c r="R57" s="272">
        <f>+V57-T57+1</f>
        <v>91</v>
      </c>
      <c r="S57" s="272"/>
      <c r="T57" s="319">
        <v>42752</v>
      </c>
      <c r="U57" s="320"/>
      <c r="V57" s="319">
        <v>42842</v>
      </c>
      <c r="W57" s="275"/>
      <c r="X57" s="5"/>
    </row>
    <row r="58" spans="1:25" ht="15.6" x14ac:dyDescent="0.3">
      <c r="A58" s="271"/>
      <c r="B58" s="272" t="s">
        <v>357</v>
      </c>
      <c r="C58" s="272"/>
      <c r="D58" s="272"/>
      <c r="E58" s="272"/>
      <c r="F58" s="272"/>
      <c r="G58" s="272"/>
      <c r="H58" s="272"/>
      <c r="I58" s="272"/>
      <c r="J58" s="272"/>
      <c r="K58" s="272"/>
      <c r="L58" s="272"/>
      <c r="M58" s="272"/>
      <c r="N58" s="272"/>
      <c r="O58" s="272"/>
      <c r="P58" s="272"/>
      <c r="Q58" s="272"/>
      <c r="R58" s="272"/>
      <c r="S58" s="272"/>
      <c r="T58" s="319"/>
      <c r="U58" s="320"/>
      <c r="V58" s="319" t="s">
        <v>123</v>
      </c>
      <c r="W58" s="275"/>
      <c r="X58" s="5"/>
    </row>
    <row r="59" spans="1:25" ht="15.6" x14ac:dyDescent="0.3">
      <c r="A59" s="271"/>
      <c r="B59" s="272" t="s">
        <v>356</v>
      </c>
      <c r="C59" s="272"/>
      <c r="D59" s="272"/>
      <c r="E59" s="272"/>
      <c r="F59" s="272"/>
      <c r="G59" s="272"/>
      <c r="H59" s="272"/>
      <c r="I59" s="272"/>
      <c r="J59" s="272"/>
      <c r="K59" s="272"/>
      <c r="L59" s="272"/>
      <c r="M59" s="272"/>
      <c r="N59" s="272"/>
      <c r="O59" s="272"/>
      <c r="P59" s="272"/>
      <c r="Q59" s="272"/>
      <c r="R59" s="272"/>
      <c r="S59" s="272"/>
      <c r="T59" s="319"/>
      <c r="U59" s="320"/>
      <c r="V59" s="319" t="s">
        <v>157</v>
      </c>
      <c r="W59" s="275"/>
      <c r="X59" s="5"/>
      <c r="Y59" s="134"/>
    </row>
    <row r="60" spans="1:25" ht="15.6" x14ac:dyDescent="0.3">
      <c r="A60" s="271"/>
      <c r="B60" s="272" t="s">
        <v>16</v>
      </c>
      <c r="C60" s="272"/>
      <c r="D60" s="272"/>
      <c r="E60" s="272"/>
      <c r="F60" s="272"/>
      <c r="G60" s="272"/>
      <c r="H60" s="272"/>
      <c r="I60" s="272"/>
      <c r="J60" s="272"/>
      <c r="K60" s="272"/>
      <c r="L60" s="272"/>
      <c r="M60" s="272"/>
      <c r="N60" s="272"/>
      <c r="O60" s="272"/>
      <c r="P60" s="272"/>
      <c r="Q60" s="272"/>
      <c r="R60" s="272"/>
      <c r="S60" s="272"/>
      <c r="T60" s="319"/>
      <c r="U60" s="320"/>
      <c r="V60" s="319">
        <v>42828</v>
      </c>
      <c r="W60" s="275"/>
      <c r="X60" s="5"/>
    </row>
    <row r="61" spans="1:25" ht="15.6" x14ac:dyDescent="0.3">
      <c r="A61" s="175"/>
      <c r="B61" s="268"/>
      <c r="C61" s="268"/>
      <c r="D61" s="268"/>
      <c r="E61" s="268"/>
      <c r="F61" s="268"/>
      <c r="G61" s="268"/>
      <c r="H61" s="268"/>
      <c r="I61" s="268"/>
      <c r="J61" s="268"/>
      <c r="K61" s="268"/>
      <c r="L61" s="268"/>
      <c r="M61" s="268"/>
      <c r="N61" s="268"/>
      <c r="O61" s="268"/>
      <c r="P61" s="268"/>
      <c r="Q61" s="268"/>
      <c r="R61" s="268"/>
      <c r="S61" s="268"/>
      <c r="T61" s="269"/>
      <c r="U61" s="270"/>
      <c r="V61" s="269"/>
      <c r="W61" s="268"/>
      <c r="X61" s="5"/>
    </row>
    <row r="62" spans="1:25" ht="15.6" x14ac:dyDescent="0.3">
      <c r="A62" s="175"/>
      <c r="B62" s="220"/>
      <c r="C62" s="220"/>
      <c r="D62" s="220"/>
      <c r="E62" s="220"/>
      <c r="F62" s="220"/>
      <c r="G62" s="220"/>
      <c r="H62" s="220"/>
      <c r="I62" s="220"/>
      <c r="J62" s="220"/>
      <c r="K62" s="220"/>
      <c r="L62" s="220"/>
      <c r="M62" s="220"/>
      <c r="N62" s="220"/>
      <c r="O62" s="220"/>
      <c r="P62" s="220"/>
      <c r="Q62" s="220"/>
      <c r="R62" s="220"/>
      <c r="S62" s="220"/>
      <c r="T62" s="232"/>
      <c r="U62" s="233"/>
      <c r="V62" s="232"/>
      <c r="W62" s="220"/>
      <c r="X62" s="5"/>
    </row>
    <row r="63" spans="1:25" ht="18" thickBot="1" x14ac:dyDescent="0.35">
      <c r="A63" s="194"/>
      <c r="B63" s="234" t="s">
        <v>359</v>
      </c>
      <c r="C63" s="235"/>
      <c r="D63" s="235"/>
      <c r="E63" s="235"/>
      <c r="F63" s="235"/>
      <c r="G63" s="235"/>
      <c r="H63" s="235"/>
      <c r="I63" s="235"/>
      <c r="J63" s="235"/>
      <c r="K63" s="235"/>
      <c r="L63" s="235"/>
      <c r="M63" s="235"/>
      <c r="N63" s="235"/>
      <c r="O63" s="235"/>
      <c r="P63" s="235"/>
      <c r="Q63" s="235"/>
      <c r="R63" s="235"/>
      <c r="S63" s="235"/>
      <c r="T63" s="235"/>
      <c r="U63" s="235"/>
      <c r="V63" s="236"/>
      <c r="W63" s="237"/>
      <c r="X63" s="5"/>
    </row>
    <row r="64" spans="1:25" ht="15.6" x14ac:dyDescent="0.3">
      <c r="A64" s="239"/>
      <c r="B64" s="253" t="s">
        <v>17</v>
      </c>
      <c r="C64" s="240"/>
      <c r="D64" s="240"/>
      <c r="E64" s="240"/>
      <c r="F64" s="240"/>
      <c r="G64" s="240"/>
      <c r="H64" s="240"/>
      <c r="I64" s="240"/>
      <c r="J64" s="240"/>
      <c r="K64" s="240"/>
      <c r="L64" s="240"/>
      <c r="M64" s="240"/>
      <c r="N64" s="240"/>
      <c r="O64" s="240"/>
      <c r="P64" s="240"/>
      <c r="Q64" s="240"/>
      <c r="R64" s="240"/>
      <c r="S64" s="240"/>
      <c r="T64" s="240"/>
      <c r="U64" s="240"/>
      <c r="V64" s="241"/>
      <c r="W64" s="240"/>
      <c r="X64" s="5"/>
    </row>
    <row r="65" spans="1:24" ht="15.6" x14ac:dyDescent="0.3">
      <c r="A65" s="175"/>
      <c r="B65" s="183"/>
      <c r="C65" s="177"/>
      <c r="D65" s="177"/>
      <c r="E65" s="177"/>
      <c r="F65" s="177"/>
      <c r="G65" s="177"/>
      <c r="H65" s="177"/>
      <c r="I65" s="177"/>
      <c r="J65" s="177"/>
      <c r="K65" s="177"/>
      <c r="L65" s="177"/>
      <c r="M65" s="177"/>
      <c r="N65" s="177"/>
      <c r="O65" s="177"/>
      <c r="P65" s="177"/>
      <c r="Q65" s="177"/>
      <c r="R65" s="177"/>
      <c r="S65" s="177"/>
      <c r="T65" s="177"/>
      <c r="U65" s="177"/>
      <c r="V65" s="196"/>
      <c r="W65" s="177"/>
      <c r="X65" s="5"/>
    </row>
    <row r="66" spans="1:24" ht="46.8" x14ac:dyDescent="0.3">
      <c r="A66" s="175"/>
      <c r="B66" s="197" t="s">
        <v>18</v>
      </c>
      <c r="C66" s="198"/>
      <c r="D66" s="198"/>
      <c r="E66" s="198"/>
      <c r="F66" s="198"/>
      <c r="G66" s="198"/>
      <c r="H66" s="198"/>
      <c r="I66" s="198"/>
      <c r="J66" s="198"/>
      <c r="K66" s="198"/>
      <c r="L66" s="198" t="s">
        <v>95</v>
      </c>
      <c r="M66" s="198"/>
      <c r="N66" s="198" t="s">
        <v>97</v>
      </c>
      <c r="O66" s="198"/>
      <c r="P66" s="198" t="s">
        <v>99</v>
      </c>
      <c r="Q66" s="198"/>
      <c r="R66" s="198" t="s">
        <v>101</v>
      </c>
      <c r="S66" s="198"/>
      <c r="T66" s="198" t="s">
        <v>108</v>
      </c>
      <c r="U66" s="198"/>
      <c r="V66" s="199" t="s">
        <v>115</v>
      </c>
      <c r="W66" s="200"/>
      <c r="X66" s="5"/>
    </row>
    <row r="67" spans="1:24" ht="15.6" x14ac:dyDescent="0.3">
      <c r="A67" s="271"/>
      <c r="B67" s="272" t="s">
        <v>19</v>
      </c>
      <c r="C67" s="324"/>
      <c r="D67" s="324"/>
      <c r="E67" s="324"/>
      <c r="F67" s="324"/>
      <c r="G67" s="324"/>
      <c r="H67" s="324"/>
      <c r="I67" s="324"/>
      <c r="J67" s="324"/>
      <c r="K67" s="324"/>
      <c r="L67" s="324">
        <f>1085286</f>
        <v>1085286</v>
      </c>
      <c r="M67" s="324"/>
      <c r="N67" s="325">
        <v>826935</v>
      </c>
      <c r="O67" s="324"/>
      <c r="P67" s="324">
        <f>13835+8+253+104</f>
        <v>14200</v>
      </c>
      <c r="Q67" s="324"/>
      <c r="R67" s="324">
        <f>253+8+104</f>
        <v>365</v>
      </c>
      <c r="S67" s="324"/>
      <c r="T67" s="324">
        <v>0</v>
      </c>
      <c r="U67" s="324"/>
      <c r="V67" s="325">
        <f>+N67-P67+R67-T67</f>
        <v>813100</v>
      </c>
      <c r="W67" s="275"/>
      <c r="X67" s="5"/>
    </row>
    <row r="68" spans="1:24" ht="15.6" x14ac:dyDescent="0.3">
      <c r="A68" s="271"/>
      <c r="B68" s="272" t="s">
        <v>20</v>
      </c>
      <c r="C68" s="324"/>
      <c r="D68" s="324"/>
      <c r="E68" s="324"/>
      <c r="F68" s="324"/>
      <c r="G68" s="324"/>
      <c r="H68" s="324"/>
      <c r="I68" s="324"/>
      <c r="J68" s="324"/>
      <c r="K68" s="324"/>
      <c r="L68" s="324">
        <v>35</v>
      </c>
      <c r="M68" s="324"/>
      <c r="N68" s="325">
        <v>0</v>
      </c>
      <c r="O68" s="324"/>
      <c r="P68" s="324">
        <v>0</v>
      </c>
      <c r="Q68" s="324"/>
      <c r="R68" s="324">
        <v>0</v>
      </c>
      <c r="S68" s="324"/>
      <c r="T68" s="324">
        <v>0</v>
      </c>
      <c r="U68" s="324"/>
      <c r="V68" s="325">
        <f>+N68-P68</f>
        <v>0</v>
      </c>
      <c r="W68" s="275"/>
      <c r="X68" s="5"/>
    </row>
    <row r="69" spans="1:24" ht="15.6" x14ac:dyDescent="0.3">
      <c r="A69" s="271"/>
      <c r="B69" s="272"/>
      <c r="C69" s="324"/>
      <c r="D69" s="324"/>
      <c r="E69" s="324"/>
      <c r="F69" s="324"/>
      <c r="G69" s="324"/>
      <c r="H69" s="324"/>
      <c r="I69" s="324"/>
      <c r="J69" s="324"/>
      <c r="K69" s="324"/>
      <c r="L69" s="324"/>
      <c r="M69" s="324"/>
      <c r="N69" s="325"/>
      <c r="O69" s="324"/>
      <c r="P69" s="324"/>
      <c r="Q69" s="324"/>
      <c r="R69" s="324"/>
      <c r="S69" s="324"/>
      <c r="T69" s="324"/>
      <c r="U69" s="324"/>
      <c r="V69" s="325"/>
      <c r="W69" s="275"/>
      <c r="X69" s="5"/>
    </row>
    <row r="70" spans="1:24" ht="15.6" x14ac:dyDescent="0.3">
      <c r="A70" s="271"/>
      <c r="B70" s="272" t="s">
        <v>21</v>
      </c>
      <c r="C70" s="324"/>
      <c r="D70" s="324"/>
      <c r="E70" s="324"/>
      <c r="F70" s="324"/>
      <c r="G70" s="324"/>
      <c r="H70" s="324"/>
      <c r="I70" s="324"/>
      <c r="J70" s="324"/>
      <c r="K70" s="324"/>
      <c r="L70" s="324">
        <f>SUM(L67:L69)</f>
        <v>1085321</v>
      </c>
      <c r="M70" s="324"/>
      <c r="N70" s="324">
        <f>N67+N68</f>
        <v>826935</v>
      </c>
      <c r="O70" s="324"/>
      <c r="P70" s="324">
        <f>SUM(P67:P69)</f>
        <v>14200</v>
      </c>
      <c r="Q70" s="324"/>
      <c r="R70" s="324">
        <f>SUM(R67:R69)</f>
        <v>365</v>
      </c>
      <c r="S70" s="324"/>
      <c r="T70" s="324">
        <f>SUM(T67:T69)</f>
        <v>0</v>
      </c>
      <c r="U70" s="324"/>
      <c r="V70" s="324">
        <f>SUM(V67:V69)</f>
        <v>813100</v>
      </c>
      <c r="W70" s="275"/>
      <c r="X70" s="5"/>
    </row>
    <row r="71" spans="1:24" ht="15.6" x14ac:dyDescent="0.3">
      <c r="A71" s="175"/>
      <c r="B71" s="321"/>
      <c r="C71" s="322"/>
      <c r="D71" s="322"/>
      <c r="E71" s="322"/>
      <c r="F71" s="322"/>
      <c r="G71" s="322"/>
      <c r="H71" s="322"/>
      <c r="I71" s="322"/>
      <c r="J71" s="322"/>
      <c r="K71" s="322"/>
      <c r="L71" s="322"/>
      <c r="M71" s="322"/>
      <c r="N71" s="322"/>
      <c r="O71" s="322"/>
      <c r="P71" s="322"/>
      <c r="Q71" s="322"/>
      <c r="R71" s="322"/>
      <c r="S71" s="322"/>
      <c r="T71" s="322"/>
      <c r="U71" s="322"/>
      <c r="V71" s="323"/>
      <c r="W71" s="321"/>
      <c r="X71" s="5"/>
    </row>
    <row r="72" spans="1:24" ht="15.6" x14ac:dyDescent="0.3">
      <c r="A72" s="175"/>
      <c r="B72" s="179" t="s">
        <v>22</v>
      </c>
      <c r="C72" s="201"/>
      <c r="D72" s="201"/>
      <c r="E72" s="201"/>
      <c r="F72" s="201"/>
      <c r="G72" s="201"/>
      <c r="H72" s="201"/>
      <c r="I72" s="201"/>
      <c r="J72" s="201"/>
      <c r="K72" s="201"/>
      <c r="L72" s="201"/>
      <c r="M72" s="201"/>
      <c r="N72" s="201"/>
      <c r="O72" s="201"/>
      <c r="P72" s="201"/>
      <c r="Q72" s="201"/>
      <c r="R72" s="201"/>
      <c r="S72" s="201"/>
      <c r="T72" s="201"/>
      <c r="U72" s="201"/>
      <c r="V72" s="202"/>
      <c r="W72" s="177"/>
      <c r="X72" s="5"/>
    </row>
    <row r="73" spans="1:24" ht="15.6" x14ac:dyDescent="0.3">
      <c r="A73" s="175"/>
      <c r="B73" s="177"/>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271"/>
      <c r="B74" s="272" t="s">
        <v>19</v>
      </c>
      <c r="C74" s="324"/>
      <c r="D74" s="324"/>
      <c r="E74" s="324"/>
      <c r="F74" s="324"/>
      <c r="G74" s="324"/>
      <c r="H74" s="324"/>
      <c r="I74" s="324"/>
      <c r="J74" s="324"/>
      <c r="K74" s="324"/>
      <c r="L74" s="324"/>
      <c r="M74" s="324"/>
      <c r="N74" s="324"/>
      <c r="O74" s="324"/>
      <c r="P74" s="324"/>
      <c r="Q74" s="324"/>
      <c r="R74" s="324"/>
      <c r="S74" s="324"/>
      <c r="T74" s="324"/>
      <c r="U74" s="324"/>
      <c r="V74" s="324"/>
      <c r="W74" s="275"/>
      <c r="X74" s="5"/>
    </row>
    <row r="75" spans="1:24" ht="15.6" x14ac:dyDescent="0.3">
      <c r="A75" s="271"/>
      <c r="B75" s="272" t="s">
        <v>20</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t="s">
        <v>21</v>
      </c>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t="s">
        <v>23</v>
      </c>
      <c r="C79" s="324"/>
      <c r="D79" s="324"/>
      <c r="E79" s="324"/>
      <c r="F79" s="324"/>
      <c r="G79" s="324"/>
      <c r="H79" s="324"/>
      <c r="I79" s="324"/>
      <c r="J79" s="324"/>
      <c r="K79" s="324"/>
      <c r="L79" s="324">
        <v>0</v>
      </c>
      <c r="M79" s="324"/>
      <c r="N79" s="324">
        <v>0</v>
      </c>
      <c r="O79" s="324"/>
      <c r="P79" s="324"/>
      <c r="Q79" s="324"/>
      <c r="R79" s="324"/>
      <c r="S79" s="324"/>
      <c r="T79" s="324"/>
      <c r="U79" s="324"/>
      <c r="V79" s="325">
        <v>0</v>
      </c>
      <c r="W79" s="275"/>
      <c r="X79" s="5"/>
    </row>
    <row r="80" spans="1:24" ht="15.6" x14ac:dyDescent="0.3">
      <c r="A80" s="271"/>
      <c r="B80" s="272" t="s">
        <v>120</v>
      </c>
      <c r="C80" s="324"/>
      <c r="D80" s="324"/>
      <c r="E80" s="324"/>
      <c r="F80" s="324"/>
      <c r="G80" s="324"/>
      <c r="H80" s="324"/>
      <c r="I80" s="324"/>
      <c r="J80" s="324"/>
      <c r="K80" s="324"/>
      <c r="L80" s="324">
        <f>414862+7</f>
        <v>414869</v>
      </c>
      <c r="M80" s="324"/>
      <c r="N80" s="324">
        <v>0</v>
      </c>
      <c r="O80" s="324"/>
      <c r="P80" s="324">
        <v>0</v>
      </c>
      <c r="Q80" s="324"/>
      <c r="R80" s="324"/>
      <c r="S80" s="324"/>
      <c r="T80" s="324"/>
      <c r="U80" s="324"/>
      <c r="V80" s="324">
        <f>SUM(N80:R80)</f>
        <v>0</v>
      </c>
      <c r="W80" s="275"/>
      <c r="X80" s="5"/>
    </row>
    <row r="81" spans="1:24" ht="15.6" x14ac:dyDescent="0.3">
      <c r="A81" s="271"/>
      <c r="B81" s="272" t="s">
        <v>149</v>
      </c>
      <c r="C81" s="324"/>
      <c r="D81" s="324"/>
      <c r="E81" s="324"/>
      <c r="F81" s="324"/>
      <c r="G81" s="324"/>
      <c r="H81" s="324"/>
      <c r="I81" s="324"/>
      <c r="J81" s="324"/>
      <c r="K81" s="324"/>
      <c r="L81" s="324">
        <v>0</v>
      </c>
      <c r="M81" s="324"/>
      <c r="N81" s="324">
        <v>0</v>
      </c>
      <c r="O81" s="324"/>
      <c r="P81" s="324">
        <v>0</v>
      </c>
      <c r="Q81" s="324"/>
      <c r="R81" s="324"/>
      <c r="S81" s="324"/>
      <c r="T81" s="324"/>
      <c r="U81" s="324"/>
      <c r="V81" s="324">
        <f>+N81+P81</f>
        <v>0</v>
      </c>
      <c r="W81" s="275"/>
      <c r="X81" s="5"/>
    </row>
    <row r="82" spans="1:24" ht="15.6" x14ac:dyDescent="0.3">
      <c r="A82" s="271"/>
      <c r="B82" s="272" t="s">
        <v>25</v>
      </c>
      <c r="C82" s="324"/>
      <c r="D82" s="324"/>
      <c r="E82" s="324"/>
      <c r="F82" s="324"/>
      <c r="G82" s="324"/>
      <c r="H82" s="324"/>
      <c r="I82" s="324"/>
      <c r="J82" s="324"/>
      <c r="K82" s="324"/>
      <c r="L82" s="324">
        <v>0</v>
      </c>
      <c r="M82" s="324"/>
      <c r="N82" s="324">
        <v>0</v>
      </c>
      <c r="O82" s="324"/>
      <c r="P82" s="324"/>
      <c r="Q82" s="324"/>
      <c r="R82" s="324"/>
      <c r="S82" s="324"/>
      <c r="T82" s="324"/>
      <c r="U82" s="324"/>
      <c r="V82" s="324">
        <v>0</v>
      </c>
      <c r="W82" s="275"/>
      <c r="X82" s="5"/>
    </row>
    <row r="83" spans="1:24" ht="15.6" x14ac:dyDescent="0.3">
      <c r="A83" s="326"/>
      <c r="B83" s="327" t="s">
        <v>26</v>
      </c>
      <c r="C83" s="328"/>
      <c r="D83" s="328"/>
      <c r="E83" s="328"/>
      <c r="F83" s="328"/>
      <c r="G83" s="328"/>
      <c r="H83" s="328"/>
      <c r="I83" s="328"/>
      <c r="J83" s="328"/>
      <c r="K83" s="328"/>
      <c r="L83" s="328">
        <f>SUM(L70:L82)</f>
        <v>1500190</v>
      </c>
      <c r="M83" s="328"/>
      <c r="N83" s="328">
        <f>SUM(N70:N82)</f>
        <v>826935</v>
      </c>
      <c r="O83" s="328"/>
      <c r="P83" s="328"/>
      <c r="Q83" s="328"/>
      <c r="R83" s="328"/>
      <c r="S83" s="328"/>
      <c r="T83" s="328"/>
      <c r="U83" s="328"/>
      <c r="V83" s="328">
        <f>SUM(V70:V82)</f>
        <v>813100</v>
      </c>
      <c r="W83" s="329"/>
      <c r="X83" s="5"/>
    </row>
    <row r="84" spans="1:24" ht="15.6" x14ac:dyDescent="0.3">
      <c r="A84" s="192"/>
      <c r="B84" s="229"/>
      <c r="C84" s="231"/>
      <c r="D84" s="231"/>
      <c r="E84" s="231"/>
      <c r="F84" s="231"/>
      <c r="G84" s="231"/>
      <c r="H84" s="231"/>
      <c r="I84" s="231"/>
      <c r="J84" s="231"/>
      <c r="K84" s="231"/>
      <c r="L84" s="231"/>
      <c r="M84" s="231"/>
      <c r="N84" s="231"/>
      <c r="O84" s="231"/>
      <c r="P84" s="231"/>
      <c r="Q84" s="231"/>
      <c r="R84" s="231"/>
      <c r="S84" s="231"/>
      <c r="T84" s="231"/>
      <c r="U84" s="231"/>
      <c r="V84" s="231"/>
      <c r="W84" s="229"/>
      <c r="X84" s="5"/>
    </row>
    <row r="85" spans="1:24" ht="15.6" x14ac:dyDescent="0.3">
      <c r="A85" s="175"/>
      <c r="B85" s="220"/>
      <c r="C85" s="220"/>
      <c r="D85" s="220"/>
      <c r="E85" s="220"/>
      <c r="F85" s="220"/>
      <c r="G85" s="220"/>
      <c r="H85" s="220"/>
      <c r="I85" s="220"/>
      <c r="J85" s="220"/>
      <c r="K85" s="220"/>
      <c r="L85" s="220"/>
      <c r="M85" s="220"/>
      <c r="N85" s="220"/>
      <c r="O85" s="220"/>
      <c r="P85" s="220"/>
      <c r="Q85" s="220"/>
      <c r="R85" s="220"/>
      <c r="S85" s="220"/>
      <c r="T85" s="220"/>
      <c r="U85" s="220"/>
      <c r="V85" s="220"/>
      <c r="W85" s="220"/>
      <c r="X85" s="5"/>
    </row>
    <row r="86" spans="1:24" ht="15.6" x14ac:dyDescent="0.3">
      <c r="A86" s="239"/>
      <c r="B86" s="253" t="s">
        <v>27</v>
      </c>
      <c r="C86" s="253"/>
      <c r="D86" s="253"/>
      <c r="E86" s="253"/>
      <c r="F86" s="253"/>
      <c r="G86" s="253"/>
      <c r="H86" s="254"/>
      <c r="I86" s="254"/>
      <c r="J86" s="254"/>
      <c r="K86" s="254"/>
      <c r="L86" s="330" t="s">
        <v>96</v>
      </c>
      <c r="M86" s="254"/>
      <c r="N86" s="331">
        <f>+T198</f>
        <v>42825</v>
      </c>
      <c r="O86" s="254"/>
      <c r="P86" s="254"/>
      <c r="Q86" s="254"/>
      <c r="R86" s="254"/>
      <c r="S86" s="254"/>
      <c r="T86" s="254" t="s">
        <v>109</v>
      </c>
      <c r="U86" s="254"/>
      <c r="V86" s="254" t="s">
        <v>116</v>
      </c>
      <c r="W86" s="240"/>
      <c r="X86" s="5"/>
    </row>
    <row r="87" spans="1:24" ht="15.6" x14ac:dyDescent="0.3">
      <c r="A87" s="271"/>
      <c r="B87" s="272" t="s">
        <v>28</v>
      </c>
      <c r="C87" s="272"/>
      <c r="D87" s="272"/>
      <c r="E87" s="272"/>
      <c r="F87" s="272"/>
      <c r="G87" s="272"/>
      <c r="H87" s="272"/>
      <c r="I87" s="272"/>
      <c r="J87" s="272"/>
      <c r="K87" s="272"/>
      <c r="L87" s="272"/>
      <c r="M87" s="272"/>
      <c r="N87" s="272"/>
      <c r="O87" s="272"/>
      <c r="P87" s="272"/>
      <c r="Q87" s="272"/>
      <c r="R87" s="272"/>
      <c r="S87" s="272"/>
      <c r="T87" s="324">
        <v>0</v>
      </c>
      <c r="U87" s="272"/>
      <c r="V87" s="325">
        <v>0</v>
      </c>
      <c r="W87" s="275"/>
      <c r="X87" s="5"/>
    </row>
    <row r="88" spans="1:24" ht="15.6" x14ac:dyDescent="0.3">
      <c r="A88" s="271"/>
      <c r="B88" s="272" t="s">
        <v>29</v>
      </c>
      <c r="C88" s="272"/>
      <c r="D88" s="272"/>
      <c r="E88" s="272"/>
      <c r="F88" s="272"/>
      <c r="G88" s="272"/>
      <c r="H88" s="311"/>
      <c r="I88" s="311"/>
      <c r="J88" s="311"/>
      <c r="K88" s="333"/>
      <c r="L88" s="311"/>
      <c r="M88" s="272"/>
      <c r="N88" s="334"/>
      <c r="O88" s="272"/>
      <c r="P88" s="272"/>
      <c r="Q88" s="272"/>
      <c r="R88" s="272"/>
      <c r="S88" s="272"/>
      <c r="T88" s="324">
        <f>14200-547</f>
        <v>13653</v>
      </c>
      <c r="U88" s="272"/>
      <c r="V88" s="325"/>
      <c r="W88" s="275"/>
      <c r="X88" s="5"/>
    </row>
    <row r="89" spans="1:24" ht="15.6" x14ac:dyDescent="0.3">
      <c r="A89" s="271"/>
      <c r="B89" s="272" t="s">
        <v>219</v>
      </c>
      <c r="C89" s="272"/>
      <c r="D89" s="272"/>
      <c r="E89" s="272"/>
      <c r="F89" s="272"/>
      <c r="G89" s="272"/>
      <c r="H89" s="311"/>
      <c r="I89" s="311"/>
      <c r="J89" s="311"/>
      <c r="K89" s="333"/>
      <c r="L89" s="311"/>
      <c r="M89" s="272"/>
      <c r="N89" s="334"/>
      <c r="O89" s="272"/>
      <c r="P89" s="272"/>
      <c r="Q89" s="272"/>
      <c r="R89" s="272"/>
      <c r="S89" s="272"/>
      <c r="T89" s="324"/>
      <c r="U89" s="272"/>
      <c r="V89" s="325">
        <f>3898+2632-985-1072</f>
        <v>4473</v>
      </c>
      <c r="W89" s="275"/>
      <c r="X89" s="5"/>
    </row>
    <row r="90" spans="1:24" ht="15.6" x14ac:dyDescent="0.3">
      <c r="A90" s="271"/>
      <c r="B90" s="272" t="s">
        <v>214</v>
      </c>
      <c r="C90" s="272"/>
      <c r="D90" s="272"/>
      <c r="E90" s="272"/>
      <c r="F90" s="272"/>
      <c r="G90" s="272"/>
      <c r="H90" s="311"/>
      <c r="I90" s="311"/>
      <c r="J90" s="311"/>
      <c r="K90" s="333"/>
      <c r="L90" s="311"/>
      <c r="M90" s="272"/>
      <c r="N90" s="334"/>
      <c r="O90" s="272"/>
      <c r="P90" s="272"/>
      <c r="Q90" s="272"/>
      <c r="R90" s="272"/>
      <c r="S90" s="272"/>
      <c r="T90" s="324"/>
      <c r="U90" s="272"/>
      <c r="V90" s="325">
        <f>166+43</f>
        <v>209</v>
      </c>
      <c r="W90" s="275"/>
      <c r="X90" s="5"/>
    </row>
    <row r="91" spans="1:24" ht="15.6" x14ac:dyDescent="0.3">
      <c r="A91" s="271"/>
      <c r="B91" s="272" t="s">
        <v>215</v>
      </c>
      <c r="C91" s="272"/>
      <c r="D91" s="272"/>
      <c r="E91" s="272"/>
      <c r="F91" s="272"/>
      <c r="G91" s="272"/>
      <c r="H91" s="311"/>
      <c r="I91" s="311"/>
      <c r="J91" s="311"/>
      <c r="K91" s="333"/>
      <c r="L91" s="311"/>
      <c r="M91" s="272"/>
      <c r="N91" s="334"/>
      <c r="O91" s="272"/>
      <c r="P91" s="272"/>
      <c r="Q91" s="272"/>
      <c r="R91" s="272"/>
      <c r="S91" s="272"/>
      <c r="T91" s="324"/>
      <c r="U91" s="272"/>
      <c r="V91" s="325">
        <v>34</v>
      </c>
      <c r="W91" s="275"/>
      <c r="X91" s="5"/>
    </row>
    <row r="92" spans="1:24" ht="15.6" x14ac:dyDescent="0.3">
      <c r="A92" s="271"/>
      <c r="B92" s="272" t="s">
        <v>277</v>
      </c>
      <c r="C92" s="272"/>
      <c r="D92" s="272"/>
      <c r="E92" s="272"/>
      <c r="F92" s="272"/>
      <c r="G92" s="272"/>
      <c r="H92" s="311"/>
      <c r="I92" s="311"/>
      <c r="J92" s="311"/>
      <c r="K92" s="333"/>
      <c r="L92" s="311"/>
      <c r="M92" s="272"/>
      <c r="N92" s="334"/>
      <c r="O92" s="272"/>
      <c r="P92" s="272"/>
      <c r="Q92" s="272"/>
      <c r="R92" s="272"/>
      <c r="S92" s="272"/>
      <c r="T92" s="324"/>
      <c r="U92" s="272"/>
      <c r="V92" s="325">
        <v>0</v>
      </c>
      <c r="W92" s="275"/>
      <c r="X92" s="5"/>
    </row>
    <row r="93" spans="1:24" ht="15.6" x14ac:dyDescent="0.3">
      <c r="A93" s="271"/>
      <c r="B93" s="272" t="s">
        <v>138</v>
      </c>
      <c r="C93" s="272"/>
      <c r="D93" s="272"/>
      <c r="E93" s="272"/>
      <c r="F93" s="272"/>
      <c r="G93" s="272"/>
      <c r="H93" s="272"/>
      <c r="I93" s="272"/>
      <c r="J93" s="272"/>
      <c r="K93" s="272"/>
      <c r="L93" s="272"/>
      <c r="M93" s="272"/>
      <c r="N93" s="272"/>
      <c r="O93" s="272"/>
      <c r="P93" s="272"/>
      <c r="Q93" s="272"/>
      <c r="R93" s="272"/>
      <c r="S93" s="272"/>
      <c r="T93" s="324"/>
      <c r="U93" s="272"/>
      <c r="V93" s="325">
        <v>0</v>
      </c>
      <c r="W93" s="275"/>
      <c r="X93" s="5"/>
    </row>
    <row r="94" spans="1:24" ht="15.6" x14ac:dyDescent="0.3">
      <c r="A94" s="271"/>
      <c r="B94" s="272" t="s">
        <v>265</v>
      </c>
      <c r="C94" s="272"/>
      <c r="D94" s="272"/>
      <c r="E94" s="272"/>
      <c r="F94" s="272"/>
      <c r="G94" s="272"/>
      <c r="H94" s="272"/>
      <c r="I94" s="272"/>
      <c r="J94" s="272"/>
      <c r="K94" s="272"/>
      <c r="L94" s="272"/>
      <c r="M94" s="272"/>
      <c r="N94" s="272"/>
      <c r="O94" s="272"/>
      <c r="P94" s="272"/>
      <c r="Q94" s="272"/>
      <c r="R94" s="272"/>
      <c r="S94" s="272"/>
      <c r="T94" s="324"/>
      <c r="U94" s="272"/>
      <c r="V94" s="325">
        <v>271</v>
      </c>
      <c r="W94" s="275"/>
      <c r="X94" s="5"/>
    </row>
    <row r="95" spans="1:24" ht="15.6" x14ac:dyDescent="0.3">
      <c r="A95" s="271"/>
      <c r="B95" s="272" t="s">
        <v>30</v>
      </c>
      <c r="C95" s="272"/>
      <c r="D95" s="272"/>
      <c r="E95" s="272"/>
      <c r="F95" s="272"/>
      <c r="G95" s="272"/>
      <c r="H95" s="272"/>
      <c r="I95" s="272"/>
      <c r="J95" s="272"/>
      <c r="K95" s="272"/>
      <c r="L95" s="272"/>
      <c r="M95" s="272"/>
      <c r="N95" s="272"/>
      <c r="O95" s="272"/>
      <c r="P95" s="272"/>
      <c r="Q95" s="272"/>
      <c r="R95" s="272"/>
      <c r="S95" s="272"/>
      <c r="T95" s="324">
        <f>SUM(T87:T94)</f>
        <v>13653</v>
      </c>
      <c r="U95" s="272"/>
      <c r="V95" s="324">
        <f>SUM(V87:V94)</f>
        <v>4987</v>
      </c>
      <c r="W95" s="275"/>
      <c r="X95" s="5"/>
    </row>
    <row r="96" spans="1:24" ht="15.6" x14ac:dyDescent="0.3">
      <c r="A96" s="271"/>
      <c r="B96" s="272" t="s">
        <v>164</v>
      </c>
      <c r="C96" s="272"/>
      <c r="D96" s="272"/>
      <c r="E96" s="272"/>
      <c r="F96" s="272"/>
      <c r="G96" s="272"/>
      <c r="H96" s="272"/>
      <c r="I96" s="272"/>
      <c r="J96" s="272"/>
      <c r="K96" s="272"/>
      <c r="L96" s="272"/>
      <c r="M96" s="272"/>
      <c r="N96" s="272"/>
      <c r="O96" s="272"/>
      <c r="P96" s="272"/>
      <c r="Q96" s="272"/>
      <c r="R96" s="272"/>
      <c r="S96" s="272"/>
      <c r="T96" s="324">
        <f>-V96</f>
        <v>0</v>
      </c>
      <c r="U96" s="272"/>
      <c r="V96" s="324">
        <v>0</v>
      </c>
      <c r="W96" s="275"/>
      <c r="X96" s="5"/>
    </row>
    <row r="97" spans="1:26" ht="15.6" x14ac:dyDescent="0.3">
      <c r="A97" s="271"/>
      <c r="B97" s="272" t="s">
        <v>31</v>
      </c>
      <c r="C97" s="272"/>
      <c r="D97" s="272"/>
      <c r="E97" s="272"/>
      <c r="F97" s="272"/>
      <c r="G97" s="272"/>
      <c r="H97" s="272"/>
      <c r="I97" s="272"/>
      <c r="J97" s="272"/>
      <c r="K97" s="272"/>
      <c r="L97" s="272"/>
      <c r="M97" s="272"/>
      <c r="N97" s="272"/>
      <c r="O97" s="272"/>
      <c r="P97" s="272"/>
      <c r="Q97" s="272"/>
      <c r="R97" s="272"/>
      <c r="S97" s="272"/>
      <c r="T97" s="324">
        <f>-V97</f>
        <v>0</v>
      </c>
      <c r="U97" s="272"/>
      <c r="V97" s="325">
        <v>0</v>
      </c>
      <c r="W97" s="275"/>
      <c r="X97" s="5"/>
    </row>
    <row r="98" spans="1:26" ht="15.6" x14ac:dyDescent="0.3">
      <c r="A98" s="271"/>
      <c r="B98" s="272" t="s">
        <v>288</v>
      </c>
      <c r="C98" s="272"/>
      <c r="D98" s="272"/>
      <c r="E98" s="272"/>
      <c r="F98" s="272"/>
      <c r="G98" s="272"/>
      <c r="H98" s="272"/>
      <c r="I98" s="272"/>
      <c r="J98" s="272"/>
      <c r="K98" s="272"/>
      <c r="L98" s="272"/>
      <c r="M98" s="272"/>
      <c r="N98" s="272"/>
      <c r="O98" s="272"/>
      <c r="P98" s="272"/>
      <c r="Q98" s="272"/>
      <c r="R98" s="272"/>
      <c r="S98" s="272"/>
      <c r="T98" s="324"/>
      <c r="U98" s="272"/>
      <c r="V98" s="325">
        <v>29</v>
      </c>
      <c r="W98" s="275"/>
      <c r="X98" s="5"/>
    </row>
    <row r="99" spans="1:26" ht="15.6" x14ac:dyDescent="0.3">
      <c r="A99" s="271"/>
      <c r="B99" s="272" t="s">
        <v>32</v>
      </c>
      <c r="C99" s="272"/>
      <c r="D99" s="272"/>
      <c r="E99" s="272"/>
      <c r="F99" s="272"/>
      <c r="G99" s="272"/>
      <c r="H99" s="272"/>
      <c r="I99" s="272"/>
      <c r="J99" s="272"/>
      <c r="K99" s="272"/>
      <c r="L99" s="272"/>
      <c r="M99" s="272"/>
      <c r="N99" s="272"/>
      <c r="O99" s="272"/>
      <c r="P99" s="272"/>
      <c r="Q99" s="272"/>
      <c r="R99" s="272"/>
      <c r="S99" s="272"/>
      <c r="T99" s="324">
        <f>T95+T97+T96</f>
        <v>13653</v>
      </c>
      <c r="U99" s="272"/>
      <c r="V99" s="324">
        <f>V95+V97+V96+V98</f>
        <v>5016</v>
      </c>
      <c r="W99" s="275"/>
      <c r="X99" s="5"/>
    </row>
    <row r="100" spans="1:26" ht="15.6" x14ac:dyDescent="0.3">
      <c r="A100" s="271"/>
      <c r="B100" s="335" t="s">
        <v>33</v>
      </c>
      <c r="C100" s="298"/>
      <c r="D100" s="298"/>
      <c r="E100" s="298"/>
      <c r="F100" s="298"/>
      <c r="G100" s="298"/>
      <c r="H100" s="298"/>
      <c r="I100" s="298"/>
      <c r="J100" s="298"/>
      <c r="K100" s="298"/>
      <c r="L100" s="298"/>
      <c r="M100" s="298"/>
      <c r="N100" s="298"/>
      <c r="O100" s="298"/>
      <c r="P100" s="298"/>
      <c r="Q100" s="298"/>
      <c r="R100" s="298"/>
      <c r="S100" s="298"/>
      <c r="T100" s="336"/>
      <c r="U100" s="298"/>
      <c r="V100" s="337"/>
      <c r="W100" s="304"/>
      <c r="X100" s="5"/>
    </row>
    <row r="101" spans="1:26" ht="15.6" x14ac:dyDescent="0.3">
      <c r="A101" s="338">
        <v>1</v>
      </c>
      <c r="B101" s="272" t="s">
        <v>34</v>
      </c>
      <c r="C101" s="272"/>
      <c r="D101" s="272"/>
      <c r="E101" s="272"/>
      <c r="F101" s="272"/>
      <c r="G101" s="272"/>
      <c r="H101" s="272"/>
      <c r="I101" s="272"/>
      <c r="J101" s="272"/>
      <c r="K101" s="272"/>
      <c r="L101" s="272"/>
      <c r="M101" s="272"/>
      <c r="N101" s="272"/>
      <c r="O101" s="272"/>
      <c r="P101" s="272"/>
      <c r="Q101" s="272"/>
      <c r="R101" s="272"/>
      <c r="S101" s="272"/>
      <c r="T101" s="272"/>
      <c r="U101" s="272"/>
      <c r="V101" s="325">
        <v>0</v>
      </c>
      <c r="W101" s="275"/>
      <c r="X101" s="5"/>
    </row>
    <row r="102" spans="1:26" ht="15.6" x14ac:dyDescent="0.3">
      <c r="A102" s="338">
        <f>+A101+1</f>
        <v>2</v>
      </c>
      <c r="B102" s="272" t="s">
        <v>331</v>
      </c>
      <c r="C102" s="272"/>
      <c r="D102" s="272"/>
      <c r="E102" s="272"/>
      <c r="F102" s="272"/>
      <c r="G102" s="272"/>
      <c r="H102" s="272"/>
      <c r="I102" s="272"/>
      <c r="J102" s="272"/>
      <c r="K102" s="272"/>
      <c r="L102" s="272"/>
      <c r="M102" s="272"/>
      <c r="N102" s="272"/>
      <c r="O102" s="272"/>
      <c r="P102" s="272"/>
      <c r="Q102" s="272"/>
      <c r="R102" s="272"/>
      <c r="S102" s="272"/>
      <c r="T102" s="272"/>
      <c r="U102" s="272"/>
      <c r="V102" s="325">
        <f>-2</f>
        <v>-2</v>
      </c>
      <c r="W102" s="275"/>
      <c r="X102" s="5"/>
    </row>
    <row r="103" spans="1:26" ht="15.6" x14ac:dyDescent="0.3">
      <c r="A103" s="338">
        <f>+A102+1</f>
        <v>3</v>
      </c>
      <c r="B103" s="343" t="s">
        <v>332</v>
      </c>
      <c r="C103" s="272"/>
      <c r="D103" s="272"/>
      <c r="E103" s="272"/>
      <c r="F103" s="272"/>
      <c r="G103" s="272"/>
      <c r="H103" s="272"/>
      <c r="I103" s="272"/>
      <c r="J103" s="272"/>
      <c r="K103" s="272"/>
      <c r="L103" s="272"/>
      <c r="M103" s="272"/>
      <c r="N103" s="272"/>
      <c r="O103" s="272"/>
      <c r="P103" s="272"/>
      <c r="Q103" s="272"/>
      <c r="R103" s="272"/>
      <c r="S103" s="272"/>
      <c r="T103" s="272"/>
      <c r="U103" s="272"/>
      <c r="V103" s="325">
        <f>-311-176-11</f>
        <v>-498</v>
      </c>
      <c r="W103" s="275"/>
      <c r="X103" s="5"/>
    </row>
    <row r="104" spans="1:26" ht="15.6" x14ac:dyDescent="0.3">
      <c r="A104" s="338" t="s">
        <v>130</v>
      </c>
      <c r="B104" s="272" t="s">
        <v>119</v>
      </c>
      <c r="C104" s="272"/>
      <c r="D104" s="272"/>
      <c r="E104" s="272"/>
      <c r="F104" s="272"/>
      <c r="G104" s="272"/>
      <c r="H104" s="272"/>
      <c r="I104" s="272"/>
      <c r="J104" s="272"/>
      <c r="K104" s="272"/>
      <c r="L104" s="272"/>
      <c r="M104" s="272"/>
      <c r="N104" s="272"/>
      <c r="O104" s="272"/>
      <c r="P104" s="272"/>
      <c r="Q104" s="272"/>
      <c r="R104" s="272"/>
      <c r="S104" s="272"/>
      <c r="T104" s="272"/>
      <c r="U104" s="272"/>
      <c r="V104" s="325">
        <v>0</v>
      </c>
      <c r="W104" s="275"/>
      <c r="X104" s="5"/>
    </row>
    <row r="105" spans="1:26" ht="15.6" x14ac:dyDescent="0.3">
      <c r="A105" s="338" t="s">
        <v>131</v>
      </c>
      <c r="B105" s="272" t="s">
        <v>362</v>
      </c>
      <c r="C105" s="272"/>
      <c r="D105" s="272"/>
      <c r="E105" s="272"/>
      <c r="F105" s="272"/>
      <c r="G105" s="272"/>
      <c r="H105" s="272"/>
      <c r="I105" s="272"/>
      <c r="J105" s="272"/>
      <c r="K105" s="272"/>
      <c r="L105" s="272"/>
      <c r="M105" s="272"/>
      <c r="N105" s="272"/>
      <c r="O105" s="272"/>
      <c r="P105" s="272"/>
      <c r="Q105" s="272"/>
      <c r="R105" s="272"/>
      <c r="S105" s="272"/>
      <c r="T105" s="272"/>
      <c r="U105" s="272"/>
      <c r="V105" s="325">
        <f>-582-91</f>
        <v>-673</v>
      </c>
      <c r="W105" s="275"/>
      <c r="X105" s="5"/>
      <c r="Y105" s="109"/>
      <c r="Z105" s="109"/>
    </row>
    <row r="106" spans="1:26" ht="15.6" x14ac:dyDescent="0.3">
      <c r="A106" s="338" t="s">
        <v>153</v>
      </c>
      <c r="B106" s="272" t="s">
        <v>363</v>
      </c>
      <c r="C106" s="272"/>
      <c r="D106" s="272"/>
      <c r="E106" s="272"/>
      <c r="F106" s="272"/>
      <c r="G106" s="272"/>
      <c r="H106" s="272"/>
      <c r="I106" s="272"/>
      <c r="J106" s="272"/>
      <c r="K106" s="272"/>
      <c r="L106" s="272"/>
      <c r="M106" s="272"/>
      <c r="N106" s="272"/>
      <c r="O106" s="272"/>
      <c r="P106" s="272"/>
      <c r="Q106" s="272"/>
      <c r="R106" s="272"/>
      <c r="S106" s="272"/>
      <c r="T106" s="272"/>
      <c r="U106" s="272"/>
      <c r="V106" s="325">
        <f>-160-138</f>
        <v>-298</v>
      </c>
      <c r="W106" s="275"/>
      <c r="X106" s="5"/>
      <c r="Y106" s="109"/>
    </row>
    <row r="107" spans="1:26" ht="15.6" x14ac:dyDescent="0.3">
      <c r="A107" s="338" t="s">
        <v>266</v>
      </c>
      <c r="B107" s="272" t="s">
        <v>269</v>
      </c>
      <c r="C107" s="272"/>
      <c r="D107" s="272"/>
      <c r="E107" s="272"/>
      <c r="F107" s="272"/>
      <c r="G107" s="272"/>
      <c r="H107" s="272"/>
      <c r="I107" s="272"/>
      <c r="J107" s="272"/>
      <c r="K107" s="272"/>
      <c r="L107" s="272"/>
      <c r="M107" s="272"/>
      <c r="N107" s="272"/>
      <c r="O107" s="272"/>
      <c r="P107" s="272"/>
      <c r="Q107" s="272"/>
      <c r="R107" s="272"/>
      <c r="S107" s="272"/>
      <c r="T107" s="272"/>
      <c r="U107" s="272"/>
      <c r="V107" s="325">
        <v>0</v>
      </c>
      <c r="W107" s="275"/>
      <c r="X107" s="5"/>
    </row>
    <row r="108" spans="1:26" ht="15.6" x14ac:dyDescent="0.3">
      <c r="A108" s="338" t="s">
        <v>208</v>
      </c>
      <c r="B108" s="272" t="s">
        <v>188</v>
      </c>
      <c r="C108" s="272"/>
      <c r="D108" s="272"/>
      <c r="E108" s="272"/>
      <c r="F108" s="272"/>
      <c r="G108" s="272"/>
      <c r="H108" s="272"/>
      <c r="I108" s="272"/>
      <c r="J108" s="272"/>
      <c r="K108" s="272"/>
      <c r="L108" s="272"/>
      <c r="M108" s="272"/>
      <c r="N108" s="272"/>
      <c r="O108" s="272"/>
      <c r="P108" s="272"/>
      <c r="Q108" s="272"/>
      <c r="R108" s="272"/>
      <c r="S108" s="272"/>
      <c r="T108" s="272"/>
      <c r="U108" s="272"/>
      <c r="V108" s="325">
        <v>-109</v>
      </c>
      <c r="W108" s="275"/>
      <c r="X108" s="5"/>
      <c r="Y108" s="109"/>
    </row>
    <row r="109" spans="1:26" ht="15.6" x14ac:dyDescent="0.3">
      <c r="A109" s="338" t="s">
        <v>209</v>
      </c>
      <c r="B109" s="272" t="s">
        <v>189</v>
      </c>
      <c r="C109" s="272"/>
      <c r="D109" s="272"/>
      <c r="E109" s="272"/>
      <c r="F109" s="272"/>
      <c r="G109" s="272"/>
      <c r="H109" s="272"/>
      <c r="I109" s="272"/>
      <c r="J109" s="272"/>
      <c r="K109" s="272"/>
      <c r="L109" s="272"/>
      <c r="M109" s="272"/>
      <c r="N109" s="272"/>
      <c r="O109" s="272"/>
      <c r="P109" s="272"/>
      <c r="Q109" s="272"/>
      <c r="R109" s="272"/>
      <c r="S109" s="272"/>
      <c r="T109" s="272"/>
      <c r="U109" s="272"/>
      <c r="V109" s="325">
        <v>-105</v>
      </c>
      <c r="W109" s="275"/>
      <c r="X109" s="5"/>
      <c r="Y109" s="109"/>
    </row>
    <row r="110" spans="1:26" ht="15.6" x14ac:dyDescent="0.3">
      <c r="A110" s="338" t="s">
        <v>210</v>
      </c>
      <c r="B110" s="272" t="s">
        <v>199</v>
      </c>
      <c r="C110" s="272"/>
      <c r="D110" s="272"/>
      <c r="E110" s="272"/>
      <c r="F110" s="272"/>
      <c r="G110" s="272"/>
      <c r="H110" s="272"/>
      <c r="I110" s="272"/>
      <c r="J110" s="272"/>
      <c r="K110" s="272"/>
      <c r="L110" s="272"/>
      <c r="M110" s="272"/>
      <c r="N110" s="272"/>
      <c r="O110" s="272"/>
      <c r="P110" s="272"/>
      <c r="Q110" s="272"/>
      <c r="R110" s="272"/>
      <c r="S110" s="272"/>
      <c r="T110" s="272"/>
      <c r="U110" s="272"/>
      <c r="V110" s="325">
        <v>-162</v>
      </c>
      <c r="W110" s="275"/>
      <c r="X110" s="5"/>
      <c r="Y110" s="109"/>
    </row>
    <row r="111" spans="1:26" ht="15.6" x14ac:dyDescent="0.3">
      <c r="A111" s="338" t="s">
        <v>230</v>
      </c>
      <c r="B111" s="272" t="s">
        <v>229</v>
      </c>
      <c r="C111" s="272"/>
      <c r="D111" s="272"/>
      <c r="E111" s="272"/>
      <c r="F111" s="272"/>
      <c r="G111" s="272"/>
      <c r="H111" s="272"/>
      <c r="I111" s="272"/>
      <c r="J111" s="272"/>
      <c r="K111" s="272"/>
      <c r="L111" s="272"/>
      <c r="M111" s="272"/>
      <c r="N111" s="272"/>
      <c r="O111" s="272"/>
      <c r="P111" s="272"/>
      <c r="Q111" s="272"/>
      <c r="R111" s="272"/>
      <c r="S111" s="272"/>
      <c r="T111" s="272"/>
      <c r="U111" s="272"/>
      <c r="V111" s="325">
        <v>-38</v>
      </c>
      <c r="W111" s="275"/>
      <c r="X111" s="5"/>
      <c r="Y111" s="109"/>
    </row>
    <row r="112" spans="1:26" ht="15.6" x14ac:dyDescent="0.3">
      <c r="A112" s="392">
        <v>7</v>
      </c>
      <c r="B112" s="343" t="s">
        <v>333</v>
      </c>
      <c r="C112" s="343"/>
      <c r="D112" s="343"/>
      <c r="E112" s="343"/>
      <c r="F112" s="343"/>
      <c r="G112" s="272"/>
      <c r="H112" s="272"/>
      <c r="I112" s="272"/>
      <c r="J112" s="272"/>
      <c r="K112" s="272"/>
      <c r="L112" s="272"/>
      <c r="M112" s="272"/>
      <c r="N112" s="272"/>
      <c r="O112" s="272"/>
      <c r="P112" s="272"/>
      <c r="Q112" s="272"/>
      <c r="R112" s="272"/>
      <c r="S112" s="272"/>
      <c r="T112" s="272"/>
      <c r="U112" s="272"/>
      <c r="V112" s="325">
        <v>0</v>
      </c>
      <c r="W112" s="275"/>
      <c r="X112" s="5"/>
      <c r="Y112" s="109"/>
    </row>
    <row r="113" spans="1:24" ht="15.6" x14ac:dyDescent="0.3">
      <c r="A113" s="338">
        <f t="shared" ref="A113:A120" si="0">+A112+1</f>
        <v>8</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-40</v>
      </c>
      <c r="W113" s="275"/>
      <c r="X113" s="5"/>
    </row>
    <row r="114" spans="1:24" ht="15.6" x14ac:dyDescent="0.3">
      <c r="A114" s="338">
        <f t="shared" si="0"/>
        <v>9</v>
      </c>
      <c r="B114" s="272" t="s">
        <v>45</v>
      </c>
      <c r="C114" s="272"/>
      <c r="D114" s="272"/>
      <c r="E114" s="272"/>
      <c r="F114" s="272"/>
      <c r="G114" s="272"/>
      <c r="H114" s="272"/>
      <c r="I114" s="272"/>
      <c r="J114" s="272"/>
      <c r="K114" s="272"/>
      <c r="L114" s="272"/>
      <c r="M114" s="272"/>
      <c r="N114" s="272"/>
      <c r="O114" s="272"/>
      <c r="P114" s="272"/>
      <c r="Q114" s="272"/>
      <c r="R114" s="272"/>
      <c r="S114" s="272"/>
      <c r="T114" s="324">
        <f>-V114</f>
        <v>547</v>
      </c>
      <c r="U114" s="272"/>
      <c r="V114" s="325">
        <v>-547</v>
      </c>
      <c r="W114" s="275"/>
      <c r="X114" s="5"/>
    </row>
    <row r="115" spans="1:24" ht="15.6" x14ac:dyDescent="0.3">
      <c r="A115" s="338">
        <f t="shared" si="0"/>
        <v>10</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11</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12</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13</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14</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-311</v>
      </c>
      <c r="W119" s="275"/>
      <c r="X119" s="5"/>
    </row>
    <row r="120" spans="1:24" ht="15.6" x14ac:dyDescent="0.3">
      <c r="A120" s="338">
        <f t="shared" si="0"/>
        <v>15</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-V99-SUM(V101:V119)</f>
        <v>-2233</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-8</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0</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-357</v>
      </c>
      <c r="U124" s="324"/>
      <c r="V124" s="325"/>
      <c r="W124" s="275"/>
      <c r="X124" s="5"/>
    </row>
    <row r="125" spans="1:24" ht="15.6" x14ac:dyDescent="0.3">
      <c r="A125" s="338"/>
      <c r="B125" s="272" t="s">
        <v>386</v>
      </c>
      <c r="C125" s="272"/>
      <c r="D125" s="272"/>
      <c r="E125" s="272"/>
      <c r="F125" s="272"/>
      <c r="G125" s="272"/>
      <c r="H125" s="272"/>
      <c r="I125" s="272"/>
      <c r="J125" s="272"/>
      <c r="K125" s="272"/>
      <c r="L125" s="272"/>
      <c r="M125" s="272"/>
      <c r="N125" s="272"/>
      <c r="O125" s="272"/>
      <c r="P125" s="272"/>
      <c r="Q125" s="272"/>
      <c r="R125" s="272"/>
      <c r="S125" s="272"/>
      <c r="T125" s="324">
        <v>-8360</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-1310</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-2215</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-1950</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-14200</v>
      </c>
      <c r="U133" s="324"/>
      <c r="V133" s="324">
        <f>SUM(V100:V130)</f>
        <v>-5016</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T99+T133+T114</f>
        <v>0</v>
      </c>
      <c r="U134" s="324"/>
      <c r="V134" s="324">
        <f>V99+V133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B63</f>
        <v>PM13 INVESTOR REPORT QUARTER ENDING MARCH 2017</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341</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547</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547</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-547</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v>0</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V70</f>
        <v>813100</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V83</f>
        <v>813100</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+'Dec 16'!S183</f>
        <v>52746</v>
      </c>
      <c r="T181" s="325">
        <f>+'Dec 16'!T183</f>
        <v>9749</v>
      </c>
      <c r="U181" s="272"/>
      <c r="V181" s="325">
        <f>S181+T181</f>
        <v>62495</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f>253+104</f>
        <v>357</v>
      </c>
      <c r="T182" s="324">
        <v>8</v>
      </c>
      <c r="U182" s="272"/>
      <c r="V182" s="325">
        <f>S182+T182</f>
        <v>365</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53103</v>
      </c>
      <c r="T183" s="325">
        <f>T182+T181</f>
        <v>9757</v>
      </c>
      <c r="U183" s="272"/>
      <c r="V183" s="325">
        <f>S183+T183</f>
        <v>62860</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177170.4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(V99+V101+V102+V103+V104)/-(V105+V106)</f>
        <v>4.650875386199794</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1.87</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(V99+V101+V102+V103+V104+V105+V106)/-(V108+V109)</f>
        <v>16.565420560747665</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7.62</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(V99+V101+V102+V103+V104+V105+V106+V108+V109)/-(V110+V111)</f>
        <v>16.655000000000001</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9.58</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MARCH 2017</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42825</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2.0959999999999999E-2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6.7178830545566353E-3</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1.4242116945443365E-2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+V99/N70</f>
        <v>6.0657730051334145E-3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11.13</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P67/N67</f>
        <v>1.717184542920544E-2</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6.3899999999999998E-2</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1</v>
      </c>
      <c r="T216" s="357">
        <v>118</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118</v>
      </c>
      <c r="T217" s="357">
        <f>+T269</f>
        <v>18921</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f>+R281</f>
        <v>0</v>
      </c>
      <c r="T218" s="357">
        <f>+T281</f>
        <v>0</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+N80</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2" t="s">
        <v>84</v>
      </c>
      <c r="C222" s="272"/>
      <c r="D222" s="272"/>
      <c r="E222" s="272"/>
      <c r="F222" s="272"/>
      <c r="G222" s="272"/>
      <c r="H222" s="272"/>
      <c r="I222" s="272"/>
      <c r="J222" s="272"/>
      <c r="K222" s="272"/>
      <c r="L222" s="272"/>
      <c r="M222" s="272"/>
      <c r="N222" s="272"/>
      <c r="O222" s="272"/>
      <c r="P222" s="272"/>
      <c r="Q222" s="272"/>
      <c r="R222" s="272"/>
      <c r="S222" s="280"/>
      <c r="T222" s="357">
        <f>V166</f>
        <v>547</v>
      </c>
      <c r="U222" s="272"/>
      <c r="V222" s="362"/>
      <c r="W222" s="367"/>
      <c r="X222" s="5"/>
    </row>
    <row r="223" spans="1:24" ht="15.6" x14ac:dyDescent="0.3">
      <c r="A223" s="356"/>
      <c r="B223" s="272" t="s">
        <v>85</v>
      </c>
      <c r="C223" s="324"/>
      <c r="D223" s="324"/>
      <c r="E223" s="324"/>
      <c r="F223" s="324"/>
      <c r="G223" s="272"/>
      <c r="H223" s="272"/>
      <c r="I223" s="272"/>
      <c r="J223" s="272"/>
      <c r="K223" s="272"/>
      <c r="L223" s="272"/>
      <c r="M223" s="272"/>
      <c r="N223" s="272"/>
      <c r="O223" s="272"/>
      <c r="P223" s="272"/>
      <c r="Q223" s="272"/>
      <c r="R223" s="272"/>
      <c r="S223" s="280"/>
      <c r="T223" s="357">
        <f>'Dec 16'!T223+T222</f>
        <v>9199</v>
      </c>
      <c r="U223" s="272"/>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11</v>
      </c>
      <c r="T229" s="357">
        <v>1407</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2.61</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 t="shared" ref="R236:R243" si="1">+R248+R260+R272</f>
        <v>6332</v>
      </c>
      <c r="S236" s="381">
        <f t="shared" ref="S236:S243" si="2">R236/$R$245</f>
        <v>0.99591066373073289</v>
      </c>
      <c r="T236" s="325">
        <f t="shared" ref="T236:T243" si="3">+T248+T260+T272</f>
        <v>809805</v>
      </c>
      <c r="U236" s="381">
        <f t="shared" ref="U236:U243" si="4">T236/$T$245</f>
        <v>0.99594760792030501</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si="1"/>
        <v>3</v>
      </c>
      <c r="S237" s="381">
        <f t="shared" si="2"/>
        <v>4.7184649260773829E-4</v>
      </c>
      <c r="T237" s="325">
        <f t="shared" si="3"/>
        <v>368</v>
      </c>
      <c r="U237" s="381">
        <f t="shared" si="4"/>
        <v>4.5258885745910711E-4</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2</v>
      </c>
      <c r="S238" s="381">
        <f t="shared" si="2"/>
        <v>3.1456432840515884E-4</v>
      </c>
      <c r="T238" s="325">
        <f t="shared" si="3"/>
        <v>241</v>
      </c>
      <c r="U238" s="381">
        <f t="shared" si="4"/>
        <v>2.9639650719468701E-4</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0</v>
      </c>
      <c r="S239" s="381">
        <f t="shared" si="2"/>
        <v>0</v>
      </c>
      <c r="T239" s="325">
        <f t="shared" si="3"/>
        <v>0</v>
      </c>
      <c r="U239" s="381">
        <f t="shared" si="4"/>
        <v>0</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0</v>
      </c>
      <c r="S240" s="381">
        <f t="shared" si="2"/>
        <v>0</v>
      </c>
      <c r="T240" s="325">
        <f t="shared" si="3"/>
        <v>0</v>
      </c>
      <c r="U240" s="381">
        <f t="shared" si="4"/>
        <v>0</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0</v>
      </c>
      <c r="S241" s="381">
        <f t="shared" si="2"/>
        <v>0</v>
      </c>
      <c r="T241" s="325">
        <f t="shared" si="3"/>
        <v>0</v>
      </c>
      <c r="U241" s="381">
        <f t="shared" si="4"/>
        <v>0</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3</v>
      </c>
      <c r="S242" s="381">
        <f t="shared" si="2"/>
        <v>4.7184649260773829E-4</v>
      </c>
      <c r="T242" s="325">
        <f t="shared" si="3"/>
        <v>264</v>
      </c>
      <c r="U242" s="381">
        <f t="shared" si="4"/>
        <v>3.2468331078588117E-4</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18</v>
      </c>
      <c r="S243" s="381">
        <f t="shared" si="2"/>
        <v>2.8310789556464295E-3</v>
      </c>
      <c r="T243" s="325">
        <f t="shared" si="3"/>
        <v>2422</v>
      </c>
      <c r="U243" s="381">
        <f t="shared" si="4"/>
        <v>2.9787234042553193E-3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6358</v>
      </c>
      <c r="S245" s="381">
        <f>SUM(S236:S244)</f>
        <v>1</v>
      </c>
      <c r="T245" s="325">
        <f>SUM(T236:T244)</f>
        <v>813100</v>
      </c>
      <c r="U245" s="381">
        <f>SUM(U236:U244)</f>
        <v>1</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6238</v>
      </c>
      <c r="S248" s="261">
        <f t="shared" ref="S248:S255" si="5">R248/$R$257</f>
        <v>0.99967948717948718</v>
      </c>
      <c r="T248" s="238">
        <v>793933</v>
      </c>
      <c r="U248" s="261">
        <f t="shared" ref="U248:U255" si="6">T248/$T$257</f>
        <v>0.99969024615357494</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1</v>
      </c>
      <c r="S249" s="381">
        <f t="shared" si="5"/>
        <v>1.6025641025641026E-4</v>
      </c>
      <c r="T249" s="325">
        <v>110</v>
      </c>
      <c r="U249" s="381">
        <f t="shared" si="6"/>
        <v>1.3850781750713629E-4</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1</v>
      </c>
      <c r="S250" s="381">
        <f t="shared" si="5"/>
        <v>1.6025641025641026E-4</v>
      </c>
      <c r="T250" s="325">
        <v>136</v>
      </c>
      <c r="U250" s="381">
        <f t="shared" si="6"/>
        <v>1.7124602891791397E-4</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0</v>
      </c>
      <c r="S251" s="381">
        <f t="shared" si="5"/>
        <v>0</v>
      </c>
      <c r="T251" s="325">
        <v>0</v>
      </c>
      <c r="U251" s="381">
        <f t="shared" si="6"/>
        <v>0</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0</v>
      </c>
      <c r="S255" s="381">
        <f t="shared" si="5"/>
        <v>0</v>
      </c>
      <c r="T255" s="325">
        <v>0</v>
      </c>
      <c r="U255" s="381">
        <f t="shared" si="6"/>
        <v>0</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6240</v>
      </c>
      <c r="S257" s="381">
        <f>SUM(S248:S256)</f>
        <v>1</v>
      </c>
      <c r="T257" s="325">
        <f>SUM(T248:T256)</f>
        <v>794179</v>
      </c>
      <c r="U257" s="381">
        <f>SUM(U248:U256)</f>
        <v>1</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94</v>
      </c>
      <c r="S260" s="261">
        <f>R260/$R$269</f>
        <v>0.79661016949152541</v>
      </c>
      <c r="T260" s="238">
        <v>15872</v>
      </c>
      <c r="U260" s="261">
        <f t="shared" ref="U260:U267" si="7">T260/$T$269</f>
        <v>0.83885629723587551</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2</v>
      </c>
      <c r="S261" s="381">
        <f t="shared" ref="S261:S265" si="8">R261/$R$269</f>
        <v>1.6949152542372881E-2</v>
      </c>
      <c r="T261" s="325">
        <v>258</v>
      </c>
      <c r="U261" s="381">
        <f t="shared" si="7"/>
        <v>1.3635642936419851E-2</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1</v>
      </c>
      <c r="S262" s="381">
        <f t="shared" si="8"/>
        <v>8.4745762711864406E-3</v>
      </c>
      <c r="T262" s="325">
        <v>105</v>
      </c>
      <c r="U262" s="381">
        <f t="shared" si="7"/>
        <v>5.5493895671476137E-3</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0</v>
      </c>
      <c r="S263" s="381">
        <f t="shared" si="8"/>
        <v>0</v>
      </c>
      <c r="T263" s="325">
        <v>0</v>
      </c>
      <c r="U263" s="381">
        <f t="shared" si="7"/>
        <v>0</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0</v>
      </c>
      <c r="S264" s="381">
        <f t="shared" si="8"/>
        <v>0</v>
      </c>
      <c r="T264" s="325">
        <v>0</v>
      </c>
      <c r="U264" s="381">
        <f t="shared" si="7"/>
        <v>0</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0</v>
      </c>
      <c r="S265" s="381">
        <f t="shared" si="8"/>
        <v>0</v>
      </c>
      <c r="T265" s="325">
        <v>0</v>
      </c>
      <c r="U265" s="381">
        <f t="shared" si="7"/>
        <v>0</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3</v>
      </c>
      <c r="S266" s="381">
        <f>R266/$R$269</f>
        <v>2.5423728813559324E-2</v>
      </c>
      <c r="T266" s="325">
        <v>264</v>
      </c>
      <c r="U266" s="381">
        <f t="shared" si="7"/>
        <v>1.3952750911685428E-2</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18</v>
      </c>
      <c r="S267" s="381">
        <f>R267/$R$269</f>
        <v>0.15254237288135594</v>
      </c>
      <c r="T267" s="325">
        <v>2422</v>
      </c>
      <c r="U267" s="381">
        <f t="shared" si="7"/>
        <v>0.12800591934887162</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118</v>
      </c>
      <c r="S269" s="381">
        <f>SUM(S260:S268)</f>
        <v>1</v>
      </c>
      <c r="T269" s="325">
        <f>SUM(T260:T268)</f>
        <v>18921</v>
      </c>
      <c r="U269" s="381">
        <f>SUM(U260:U268)</f>
        <v>1</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0</v>
      </c>
      <c r="S272" s="261">
        <v>0</v>
      </c>
      <c r="T272" s="238">
        <v>0</v>
      </c>
      <c r="U272" s="261">
        <v>0</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v>0</v>
      </c>
      <c r="T273" s="325">
        <v>0</v>
      </c>
      <c r="U273" s="381">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0</v>
      </c>
      <c r="S281" s="381">
        <f>SUM(S272:S279)</f>
        <v>0</v>
      </c>
      <c r="T281" s="325">
        <f>SUM(T272:T279)</f>
        <v>0</v>
      </c>
      <c r="U281" s="381">
        <f>SUM(U272:U279)</f>
        <v>0</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79" t="s">
        <v>167</v>
      </c>
      <c r="C283" s="272"/>
      <c r="D283" s="272"/>
      <c r="E283" s="272"/>
      <c r="F283" s="272"/>
      <c r="G283" s="272"/>
      <c r="H283" s="383"/>
      <c r="I283" s="383"/>
      <c r="J283" s="383"/>
      <c r="K283" s="383"/>
      <c r="L283" s="383"/>
      <c r="M283" s="383"/>
      <c r="N283" s="383"/>
      <c r="O283" s="383"/>
      <c r="P283" s="383"/>
      <c r="Q283" s="383"/>
      <c r="R283" s="390">
        <f>R281+R269+R257</f>
        <v>6358</v>
      </c>
      <c r="S283" s="381"/>
      <c r="T283" s="387">
        <f>+T281+T269+T257</f>
        <v>813100</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68"/>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336</v>
      </c>
      <c r="C287" s="219"/>
      <c r="D287" s="219"/>
      <c r="E287" s="219"/>
      <c r="F287" s="265" t="s">
        <v>282</v>
      </c>
      <c r="G287" s="219"/>
      <c r="H287" s="219" t="s">
        <v>283</v>
      </c>
      <c r="I287" s="227"/>
      <c r="J287" s="219"/>
      <c r="K287" s="227"/>
      <c r="L287" s="227"/>
      <c r="M287" s="227"/>
      <c r="N287" s="227"/>
      <c r="O287" s="227"/>
      <c r="P287" s="227"/>
      <c r="Q287" s="227"/>
      <c r="R287" s="227"/>
      <c r="S287" s="227"/>
      <c r="T287" s="227"/>
      <c r="U287" s="227"/>
      <c r="V287" s="227"/>
      <c r="W287" s="227"/>
      <c r="X287" s="5"/>
    </row>
    <row r="288" spans="1:24" ht="15.6" x14ac:dyDescent="0.3">
      <c r="A288" s="216"/>
      <c r="B288" s="219" t="s">
        <v>337</v>
      </c>
      <c r="C288" s="219"/>
      <c r="D288" s="219"/>
      <c r="E288" s="219"/>
      <c r="F288" s="265" t="s">
        <v>150</v>
      </c>
      <c r="G288" s="219"/>
      <c r="H288" s="219" t="s">
        <v>156</v>
      </c>
      <c r="I288" s="219"/>
      <c r="J288" s="219"/>
      <c r="K288" s="227"/>
      <c r="L288" s="227"/>
      <c r="M288" s="227"/>
      <c r="N288" s="227"/>
      <c r="O288" s="227"/>
      <c r="P288" s="227"/>
      <c r="Q288" s="227"/>
      <c r="R288" s="227"/>
      <c r="S288" s="227"/>
      <c r="T288" s="227"/>
      <c r="U288" s="227"/>
      <c r="V288" s="227"/>
      <c r="W288" s="227"/>
      <c r="X288" s="5"/>
    </row>
    <row r="289" spans="1:24" ht="15.6" x14ac:dyDescent="0.3">
      <c r="A289" s="216"/>
      <c r="B289" s="219"/>
      <c r="C289" s="219"/>
      <c r="D289" s="219"/>
      <c r="E289" s="219"/>
      <c r="F289" s="265"/>
      <c r="G289" s="219"/>
      <c r="H289" s="219"/>
      <c r="I289" s="219"/>
      <c r="J289" s="219"/>
      <c r="K289" s="227"/>
      <c r="L289" s="227"/>
      <c r="M289" s="227"/>
      <c r="N289" s="227"/>
      <c r="O289" s="227"/>
      <c r="P289" s="227"/>
      <c r="Q289" s="227"/>
      <c r="R289" s="227"/>
      <c r="S289" s="227"/>
      <c r="T289" s="227"/>
      <c r="U289" s="227"/>
      <c r="V289" s="227"/>
      <c r="W289" s="227"/>
      <c r="X289" s="5"/>
    </row>
    <row r="290" spans="1:24" ht="15.6" x14ac:dyDescent="0.3">
      <c r="A290" s="216"/>
      <c r="B290" s="268" t="s">
        <v>367</v>
      </c>
      <c r="C290" s="219"/>
      <c r="D290" s="219"/>
      <c r="E290" s="219"/>
      <c r="F290" s="265"/>
      <c r="G290" s="219"/>
      <c r="H290" s="219"/>
      <c r="I290" s="219"/>
      <c r="J290" s="219"/>
      <c r="K290" s="227"/>
      <c r="L290" s="227"/>
      <c r="M290" s="227"/>
      <c r="N290" s="227"/>
      <c r="O290" s="227"/>
      <c r="P290" s="227"/>
      <c r="Q290" s="227"/>
      <c r="R290" s="227"/>
      <c r="S290" s="227"/>
      <c r="T290" s="227"/>
      <c r="U290" s="227"/>
      <c r="V290" s="227"/>
      <c r="W290" s="227"/>
      <c r="X290" s="5"/>
    </row>
    <row r="291" spans="1:24" ht="15.6" x14ac:dyDescent="0.3">
      <c r="A291" s="216"/>
      <c r="B291" s="268" t="s">
        <v>364</v>
      </c>
      <c r="C291" s="219"/>
      <c r="D291" s="219"/>
      <c r="E291" s="219"/>
      <c r="F291" s="265"/>
      <c r="G291" s="219"/>
      <c r="H291" s="219"/>
      <c r="I291" s="219"/>
      <c r="J291" s="219"/>
      <c r="K291" s="227"/>
      <c r="L291" s="227"/>
      <c r="M291" s="227"/>
      <c r="N291" s="227"/>
      <c r="O291" s="227"/>
      <c r="P291" s="227"/>
      <c r="Q291" s="227"/>
      <c r="R291" s="227"/>
      <c r="S291" s="227"/>
      <c r="T291" s="227"/>
      <c r="U291" s="227"/>
      <c r="V291" s="227"/>
      <c r="W291" s="227"/>
      <c r="X291" s="5"/>
    </row>
    <row r="292" spans="1:24" ht="15.6" x14ac:dyDescent="0.3">
      <c r="A292" s="216"/>
      <c r="B292" s="268" t="s">
        <v>365</v>
      </c>
      <c r="C292" s="219"/>
      <c r="D292" s="219"/>
      <c r="E292" s="219"/>
      <c r="F292" s="265"/>
      <c r="G292" s="219"/>
      <c r="H292" s="219"/>
      <c r="I292" s="219"/>
      <c r="J292" s="219"/>
      <c r="K292" s="227"/>
      <c r="L292" s="227"/>
      <c r="M292" s="227"/>
      <c r="N292" s="227"/>
      <c r="O292" s="227"/>
      <c r="P292" s="227"/>
      <c r="Q292" s="227"/>
      <c r="R292" s="227"/>
      <c r="S292" s="227"/>
      <c r="T292" s="227"/>
      <c r="U292" s="227"/>
      <c r="V292" s="227"/>
      <c r="W292" s="227"/>
      <c r="X292" s="5"/>
    </row>
    <row r="293" spans="1:24" ht="15.6" x14ac:dyDescent="0.3">
      <c r="A293" s="216"/>
      <c r="B293" s="268" t="s">
        <v>366</v>
      </c>
      <c r="C293" s="219"/>
      <c r="D293" s="219"/>
      <c r="E293" s="219"/>
      <c r="F293" s="265"/>
      <c r="G293" s="219"/>
      <c r="H293" s="219"/>
      <c r="I293" s="219"/>
      <c r="J293" s="219"/>
      <c r="K293" s="227"/>
      <c r="L293" s="227"/>
      <c r="M293" s="227"/>
      <c r="N293" s="227"/>
      <c r="O293" s="227"/>
      <c r="P293" s="227"/>
      <c r="Q293" s="227"/>
      <c r="R293" s="227"/>
      <c r="S293" s="227"/>
      <c r="T293" s="227"/>
      <c r="U293" s="227"/>
      <c r="V293" s="227"/>
      <c r="W293" s="227"/>
      <c r="X293" s="5"/>
    </row>
    <row r="294" spans="1:24" ht="15.6" x14ac:dyDescent="0.3">
      <c r="A294" s="216"/>
      <c r="B294" s="219"/>
      <c r="C294" s="219"/>
      <c r="D294" s="219"/>
      <c r="E294" s="219"/>
      <c r="F294" s="265"/>
      <c r="G294" s="219"/>
      <c r="H294" s="219"/>
      <c r="I294" s="219"/>
      <c r="J294" s="219"/>
      <c r="K294" s="227"/>
      <c r="L294" s="227"/>
      <c r="M294" s="227"/>
      <c r="N294" s="227"/>
      <c r="O294" s="227"/>
      <c r="P294" s="227"/>
      <c r="Q294" s="227"/>
      <c r="R294" s="227"/>
      <c r="S294" s="227"/>
      <c r="T294" s="227"/>
      <c r="U294" s="227"/>
      <c r="V294" s="227"/>
      <c r="W294" s="227"/>
      <c r="X294" s="5"/>
    </row>
    <row r="295" spans="1:24" ht="17.399999999999999" x14ac:dyDescent="0.3">
      <c r="A295" s="216"/>
      <c r="B295" s="400" t="s">
        <v>368</v>
      </c>
      <c r="C295" s="219"/>
      <c r="D295" s="219"/>
      <c r="E295" s="219"/>
      <c r="F295" s="219"/>
      <c r="G295" s="266"/>
      <c r="H295" s="227"/>
      <c r="I295" s="227"/>
      <c r="J295" s="227"/>
      <c r="K295" s="227"/>
      <c r="L295" s="187"/>
      <c r="M295" s="187"/>
      <c r="N295" s="401"/>
      <c r="O295" s="187"/>
      <c r="P295" s="401" t="s">
        <v>170</v>
      </c>
      <c r="Q295" s="227"/>
      <c r="R295" s="227"/>
      <c r="S295" s="227"/>
      <c r="T295" s="227"/>
      <c r="U295" s="227"/>
      <c r="V295" s="227"/>
      <c r="W295" s="227"/>
      <c r="X295" s="5"/>
    </row>
    <row r="296" spans="1:24" ht="15.6" x14ac:dyDescent="0.3">
      <c r="A296" s="216"/>
      <c r="B296" s="219"/>
      <c r="C296" s="219"/>
      <c r="D296" s="219"/>
      <c r="E296" s="219"/>
      <c r="F296" s="219"/>
      <c r="G296" s="266"/>
      <c r="H296" s="227"/>
      <c r="I296" s="227"/>
      <c r="J296" s="227"/>
      <c r="K296" s="227"/>
      <c r="L296" s="227"/>
      <c r="M296" s="227"/>
      <c r="N296" s="227"/>
      <c r="O296" s="227"/>
      <c r="P296" s="227"/>
      <c r="Q296" s="227"/>
      <c r="R296" s="227"/>
      <c r="S296" s="227"/>
      <c r="T296" s="227"/>
      <c r="U296" s="227"/>
      <c r="V296" s="227"/>
      <c r="W296" s="227"/>
      <c r="X296" s="5"/>
    </row>
    <row r="297" spans="1:24" ht="18" thickBot="1" x14ac:dyDescent="0.35">
      <c r="A297" s="216"/>
      <c r="B297" s="267" t="str">
        <f>B197</f>
        <v>PM13 INVESTOR REPORT QUARTER ENDING MARCH 2017</v>
      </c>
      <c r="C297" s="219"/>
      <c r="D297" s="219"/>
      <c r="E297" s="219"/>
      <c r="F297" s="219"/>
      <c r="G297" s="266"/>
      <c r="H297" s="227"/>
      <c r="I297" s="227"/>
      <c r="J297" s="227"/>
      <c r="K297" s="227"/>
      <c r="L297" s="227"/>
      <c r="M297" s="227"/>
      <c r="N297" s="227"/>
      <c r="O297" s="227"/>
      <c r="P297" s="227"/>
      <c r="Q297" s="227"/>
      <c r="R297" s="227"/>
      <c r="S297" s="227"/>
      <c r="T297" s="227"/>
      <c r="U297" s="227"/>
      <c r="V297" s="227"/>
      <c r="W297" s="227"/>
      <c r="X297" s="5"/>
    </row>
    <row r="298" spans="1:24" x14ac:dyDescent="0.25">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3" r:id="rId1" xr:uid="{00000000-0004-0000-2900-000000000000}"/>
    <hyperlink ref="I9" r:id="rId2" xr:uid="{00000000-0004-0000-2900-000001000000}"/>
    <hyperlink ref="P295" r:id="rId3" xr:uid="{00000000-0004-0000-2900-000002000000}"/>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37" max="22" man="1"/>
    <brk id="197" max="22" man="1"/>
  </rowBreaks>
  <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89CB31"/>
  </sheetPr>
  <dimension ref="A1:Z298"/>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73"/>
      <c r="B1" s="217" t="s">
        <v>238</v>
      </c>
      <c r="C1" s="174"/>
      <c r="D1" s="174"/>
      <c r="E1" s="174"/>
      <c r="F1" s="174"/>
      <c r="G1" s="174"/>
      <c r="H1" s="174"/>
      <c r="I1" s="174"/>
      <c r="J1" s="174"/>
      <c r="K1" s="174"/>
      <c r="L1" s="174"/>
      <c r="M1" s="174"/>
      <c r="N1" s="174"/>
      <c r="O1" s="174"/>
      <c r="P1" s="174"/>
      <c r="Q1" s="174"/>
      <c r="R1" s="174"/>
      <c r="S1" s="174"/>
      <c r="T1" s="174"/>
      <c r="U1" s="174"/>
      <c r="V1" s="174"/>
      <c r="W1" s="174"/>
      <c r="X1" s="5"/>
    </row>
    <row r="2" spans="1:24" ht="15.6" x14ac:dyDescent="0.3">
      <c r="A2" s="175"/>
      <c r="B2" s="176"/>
      <c r="C2" s="177"/>
      <c r="D2" s="177"/>
      <c r="E2" s="177"/>
      <c r="F2" s="177"/>
      <c r="G2" s="177"/>
      <c r="H2" s="177"/>
      <c r="I2" s="177"/>
      <c r="J2" s="177"/>
      <c r="K2" s="177"/>
      <c r="L2" s="177"/>
      <c r="M2" s="177"/>
      <c r="N2" s="177"/>
      <c r="O2" s="177"/>
      <c r="P2" s="177"/>
      <c r="Q2" s="177"/>
      <c r="R2" s="177"/>
      <c r="S2" s="177"/>
      <c r="T2" s="177"/>
      <c r="U2" s="177"/>
      <c r="V2" s="177"/>
      <c r="W2" s="177"/>
      <c r="X2" s="5"/>
    </row>
    <row r="3" spans="1:24" ht="15.6" x14ac:dyDescent="0.3">
      <c r="A3" s="178"/>
      <c r="B3" s="179" t="s">
        <v>239</v>
      </c>
      <c r="C3" s="177"/>
      <c r="D3" s="177"/>
      <c r="E3" s="177"/>
      <c r="F3" s="177"/>
      <c r="G3" s="177"/>
      <c r="H3" s="177"/>
      <c r="I3" s="177"/>
      <c r="J3" s="177"/>
      <c r="K3" s="177"/>
      <c r="L3" s="177"/>
      <c r="M3" s="177"/>
      <c r="N3" s="177"/>
      <c r="O3" s="177"/>
      <c r="P3" s="177"/>
      <c r="Q3" s="177"/>
      <c r="R3" s="177"/>
      <c r="S3" s="177"/>
      <c r="T3" s="177"/>
      <c r="U3" s="177"/>
      <c r="V3" s="177"/>
      <c r="W3" s="177"/>
      <c r="X3" s="5"/>
    </row>
    <row r="4" spans="1:24" ht="15.6" x14ac:dyDescent="0.3">
      <c r="A4" s="175"/>
      <c r="B4" s="176"/>
      <c r="C4" s="177"/>
      <c r="D4" s="177"/>
      <c r="E4" s="177"/>
      <c r="F4" s="177"/>
      <c r="G4" s="177"/>
      <c r="H4" s="177"/>
      <c r="I4" s="177"/>
      <c r="J4" s="177"/>
      <c r="K4" s="177"/>
      <c r="L4" s="177"/>
      <c r="M4" s="177"/>
      <c r="N4" s="177"/>
      <c r="O4" s="177"/>
      <c r="P4" s="177"/>
      <c r="Q4" s="177"/>
      <c r="R4" s="177"/>
      <c r="S4" s="177"/>
      <c r="T4" s="177"/>
      <c r="U4" s="177"/>
      <c r="V4" s="177"/>
      <c r="W4" s="177"/>
      <c r="X4" s="5"/>
    </row>
    <row r="5" spans="1:24" ht="15.6" x14ac:dyDescent="0.3">
      <c r="A5" s="175"/>
      <c r="B5" s="218" t="s">
        <v>140</v>
      </c>
      <c r="C5" s="177"/>
      <c r="D5" s="177"/>
      <c r="E5" s="177"/>
      <c r="F5" s="177"/>
      <c r="G5" s="177"/>
      <c r="H5" s="177"/>
      <c r="I5" s="177"/>
      <c r="J5" s="177"/>
      <c r="K5" s="177"/>
      <c r="L5" s="177"/>
      <c r="M5" s="177"/>
      <c r="N5" s="177"/>
      <c r="O5" s="177"/>
      <c r="P5" s="177"/>
      <c r="Q5" s="177"/>
      <c r="R5" s="177"/>
      <c r="S5" s="177"/>
      <c r="T5" s="177"/>
      <c r="U5" s="177"/>
      <c r="V5" s="177"/>
      <c r="W5" s="177"/>
      <c r="X5" s="5"/>
    </row>
    <row r="6" spans="1:24" ht="15.6" x14ac:dyDescent="0.3">
      <c r="A6" s="175"/>
      <c r="B6" s="218" t="s">
        <v>142</v>
      </c>
      <c r="C6" s="177"/>
      <c r="D6" s="177"/>
      <c r="E6" s="177"/>
      <c r="F6" s="177"/>
      <c r="G6" s="177"/>
      <c r="H6" s="177"/>
      <c r="I6" s="177"/>
      <c r="J6" s="177"/>
      <c r="K6" s="177"/>
      <c r="L6" s="177"/>
      <c r="M6" s="177"/>
      <c r="N6" s="177"/>
      <c r="O6" s="177"/>
      <c r="P6" s="177"/>
      <c r="Q6" s="177"/>
      <c r="R6" s="177"/>
      <c r="S6" s="177"/>
      <c r="T6" s="177"/>
      <c r="U6" s="177"/>
      <c r="V6" s="177"/>
      <c r="W6" s="177"/>
      <c r="X6" s="5"/>
    </row>
    <row r="7" spans="1:24" ht="15.6" x14ac:dyDescent="0.3">
      <c r="A7" s="175"/>
      <c r="B7" s="218" t="s">
        <v>141</v>
      </c>
      <c r="C7" s="177"/>
      <c r="D7" s="177"/>
      <c r="E7" s="177"/>
      <c r="F7" s="177"/>
      <c r="G7" s="177"/>
      <c r="H7" s="177"/>
      <c r="I7" s="177"/>
      <c r="J7" s="177"/>
      <c r="K7" s="177"/>
      <c r="L7" s="177"/>
      <c r="M7" s="177"/>
      <c r="N7" s="177"/>
      <c r="O7" s="177"/>
      <c r="P7" s="177"/>
      <c r="Q7" s="177"/>
      <c r="R7" s="177"/>
      <c r="S7" s="177"/>
      <c r="T7" s="177"/>
      <c r="U7" s="177"/>
      <c r="V7" s="177"/>
      <c r="W7" s="177"/>
      <c r="X7" s="5"/>
    </row>
    <row r="8" spans="1:24" ht="15.6" x14ac:dyDescent="0.3">
      <c r="A8" s="175"/>
      <c r="B8" s="180"/>
      <c r="C8" s="177"/>
      <c r="D8" s="177"/>
      <c r="E8" s="177"/>
      <c r="F8" s="177"/>
      <c r="G8" s="177"/>
      <c r="H8" s="177"/>
      <c r="I8" s="177"/>
      <c r="J8" s="177"/>
      <c r="K8" s="177"/>
      <c r="L8" s="177"/>
      <c r="M8" s="177"/>
      <c r="N8" s="177"/>
      <c r="O8" s="177"/>
      <c r="P8" s="177"/>
      <c r="Q8" s="177"/>
      <c r="R8" s="177"/>
      <c r="S8" s="177"/>
      <c r="T8" s="177"/>
      <c r="U8" s="177"/>
      <c r="V8" s="177"/>
      <c r="W8" s="177"/>
      <c r="X8" s="5"/>
    </row>
    <row r="9" spans="1:24" ht="17.399999999999999" x14ac:dyDescent="0.3">
      <c r="A9" s="175"/>
      <c r="B9" s="181" t="s">
        <v>169</v>
      </c>
      <c r="C9" s="177"/>
      <c r="D9" s="177"/>
      <c r="E9" s="177"/>
      <c r="F9" s="177"/>
      <c r="G9" s="177"/>
      <c r="H9" s="177"/>
      <c r="I9" s="182" t="s">
        <v>170</v>
      </c>
      <c r="J9" s="177"/>
      <c r="K9" s="177"/>
      <c r="L9" s="182"/>
      <c r="M9" s="177"/>
      <c r="N9" s="182"/>
      <c r="O9" s="177"/>
      <c r="P9" s="177"/>
      <c r="Q9" s="177"/>
      <c r="R9" s="177"/>
      <c r="S9" s="177"/>
      <c r="T9" s="177"/>
      <c r="U9" s="177"/>
      <c r="V9" s="177"/>
      <c r="W9" s="177"/>
      <c r="X9" s="5"/>
    </row>
    <row r="10" spans="1:24"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177"/>
      <c r="W10" s="177"/>
      <c r="X10" s="5"/>
    </row>
    <row r="11" spans="1:24" ht="15.6" x14ac:dyDescent="0.3">
      <c r="A11" s="175"/>
      <c r="B11" s="219" t="s">
        <v>0</v>
      </c>
      <c r="C11" s="177"/>
      <c r="D11" s="177"/>
      <c r="E11" s="177"/>
      <c r="F11" s="177"/>
      <c r="G11" s="177"/>
      <c r="H11" s="177"/>
      <c r="I11" s="177"/>
      <c r="J11" s="177"/>
      <c r="K11" s="177"/>
      <c r="L11" s="177"/>
      <c r="M11" s="177"/>
      <c r="N11" s="177"/>
      <c r="O11" s="177"/>
      <c r="P11" s="177"/>
      <c r="Q11" s="177"/>
      <c r="R11" s="177"/>
      <c r="S11" s="177"/>
      <c r="T11" s="177"/>
      <c r="U11" s="177"/>
      <c r="V11" s="177"/>
      <c r="W11" s="177"/>
      <c r="X11" s="5"/>
    </row>
    <row r="12" spans="1:24"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177"/>
      <c r="W12" s="177"/>
      <c r="X12" s="5"/>
    </row>
    <row r="13" spans="1:24"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5"/>
    </row>
    <row r="14" spans="1:24" ht="15.6" x14ac:dyDescent="0.3">
      <c r="A14" s="175"/>
      <c r="B14" s="219" t="s">
        <v>1</v>
      </c>
      <c r="C14" s="184"/>
      <c r="D14" s="184"/>
      <c r="E14" s="184"/>
      <c r="F14" s="184"/>
      <c r="G14" s="184"/>
      <c r="H14" s="184"/>
      <c r="I14" s="184"/>
      <c r="J14" s="184"/>
      <c r="K14" s="184"/>
      <c r="L14" s="184"/>
      <c r="M14" s="184"/>
      <c r="N14" s="184"/>
      <c r="O14" s="184"/>
      <c r="P14" s="184"/>
      <c r="Q14" s="184"/>
      <c r="R14" s="220"/>
      <c r="S14" s="220"/>
      <c r="T14" s="220"/>
      <c r="U14" s="220"/>
      <c r="V14" s="221" t="s">
        <v>240</v>
      </c>
      <c r="W14" s="184"/>
      <c r="X14" s="5"/>
    </row>
    <row r="15" spans="1:24" ht="15.6" x14ac:dyDescent="0.3">
      <c r="A15" s="175"/>
      <c r="B15" s="219" t="s">
        <v>2</v>
      </c>
      <c r="C15" s="184"/>
      <c r="D15" s="184"/>
      <c r="E15" s="184"/>
      <c r="F15" s="184"/>
      <c r="G15" s="184"/>
      <c r="H15" s="185"/>
      <c r="I15" s="185"/>
      <c r="J15" s="185"/>
      <c r="K15" s="185"/>
      <c r="L15" s="185"/>
      <c r="M15" s="185"/>
      <c r="N15" s="185"/>
      <c r="O15" s="185"/>
      <c r="P15" s="185"/>
      <c r="Q15" s="185"/>
      <c r="R15" s="222" t="s">
        <v>105</v>
      </c>
      <c r="S15" s="223">
        <v>0.57609999999999995</v>
      </c>
      <c r="T15" s="224" t="s">
        <v>143</v>
      </c>
      <c r="U15" s="223">
        <v>0.4239</v>
      </c>
      <c r="V15" s="221"/>
      <c r="W15" s="184"/>
      <c r="X15" s="5"/>
    </row>
    <row r="16" spans="1:24" ht="15.6" x14ac:dyDescent="0.3">
      <c r="A16" s="175"/>
      <c r="B16" s="219" t="s">
        <v>3</v>
      </c>
      <c r="C16" s="184"/>
      <c r="D16" s="184"/>
      <c r="E16" s="184"/>
      <c r="F16" s="184"/>
      <c r="G16" s="184"/>
      <c r="H16" s="185"/>
      <c r="I16" s="185"/>
      <c r="J16" s="185"/>
      <c r="K16" s="185"/>
      <c r="L16" s="185"/>
      <c r="M16" s="185"/>
      <c r="N16" s="185"/>
      <c r="O16" s="185"/>
      <c r="P16" s="185"/>
      <c r="Q16" s="185"/>
      <c r="R16" s="222" t="s">
        <v>105</v>
      </c>
      <c r="S16" s="223">
        <v>0.66549999999999998</v>
      </c>
      <c r="T16" s="224" t="s">
        <v>143</v>
      </c>
      <c r="U16" s="223">
        <v>0.33450000000000002</v>
      </c>
      <c r="V16" s="221"/>
      <c r="W16" s="184"/>
      <c r="X16" s="5"/>
    </row>
    <row r="17" spans="1:24" ht="15.6" x14ac:dyDescent="0.3">
      <c r="A17" s="175"/>
      <c r="B17" s="219" t="s">
        <v>4</v>
      </c>
      <c r="C17" s="184"/>
      <c r="D17" s="184"/>
      <c r="E17" s="184"/>
      <c r="F17" s="184"/>
      <c r="G17" s="184"/>
      <c r="H17" s="184"/>
      <c r="I17" s="184"/>
      <c r="J17" s="184"/>
      <c r="K17" s="184"/>
      <c r="L17" s="184"/>
      <c r="M17" s="184"/>
      <c r="N17" s="184"/>
      <c r="O17" s="184"/>
      <c r="P17" s="184"/>
      <c r="Q17" s="184"/>
      <c r="R17" s="220"/>
      <c r="S17" s="220"/>
      <c r="T17" s="220"/>
      <c r="U17" s="220"/>
      <c r="V17" s="225">
        <v>39016</v>
      </c>
      <c r="W17" s="184"/>
      <c r="X17" s="5"/>
    </row>
    <row r="18" spans="1:24" ht="15.6" x14ac:dyDescent="0.3">
      <c r="A18" s="175"/>
      <c r="B18" s="219" t="s">
        <v>5</v>
      </c>
      <c r="C18" s="184"/>
      <c r="D18" s="184"/>
      <c r="E18" s="184"/>
      <c r="F18" s="184"/>
      <c r="G18" s="184"/>
      <c r="H18" s="184"/>
      <c r="I18" s="184"/>
      <c r="J18" s="184"/>
      <c r="K18" s="184"/>
      <c r="L18" s="184"/>
      <c r="M18" s="184"/>
      <c r="N18" s="184"/>
      <c r="O18" s="184"/>
      <c r="P18" s="184"/>
      <c r="Q18" s="184"/>
      <c r="R18" s="220"/>
      <c r="S18" s="220"/>
      <c r="T18" s="220"/>
      <c r="U18" s="220"/>
      <c r="V18" s="225">
        <v>42934</v>
      </c>
      <c r="W18" s="184"/>
      <c r="X18" s="5"/>
    </row>
    <row r="19" spans="1:24" ht="15.6" x14ac:dyDescent="0.3">
      <c r="A19" s="175"/>
      <c r="B19" s="220"/>
      <c r="C19" s="177"/>
      <c r="D19" s="177"/>
      <c r="E19" s="177"/>
      <c r="F19" s="177"/>
      <c r="G19" s="177"/>
      <c r="H19" s="177"/>
      <c r="I19" s="177"/>
      <c r="J19" s="177"/>
      <c r="K19" s="177"/>
      <c r="L19" s="177"/>
      <c r="M19" s="177"/>
      <c r="N19" s="177"/>
      <c r="O19" s="177"/>
      <c r="P19" s="177"/>
      <c r="Q19" s="177"/>
      <c r="R19" s="220"/>
      <c r="S19" s="220"/>
      <c r="T19" s="220"/>
      <c r="U19" s="220"/>
      <c r="V19" s="226"/>
      <c r="W19" s="177"/>
      <c r="X19" s="5"/>
    </row>
    <row r="20" spans="1:24" ht="15.6" x14ac:dyDescent="0.3">
      <c r="A20" s="175"/>
      <c r="B20" s="228" t="s">
        <v>6</v>
      </c>
      <c r="C20" s="177"/>
      <c r="D20" s="177"/>
      <c r="E20" s="177"/>
      <c r="F20" s="177"/>
      <c r="G20" s="177"/>
      <c r="H20" s="177"/>
      <c r="I20" s="177"/>
      <c r="J20" s="177"/>
      <c r="K20" s="177"/>
      <c r="L20" s="177"/>
      <c r="M20" s="177"/>
      <c r="N20" s="177"/>
      <c r="O20" s="177"/>
      <c r="P20" s="177"/>
      <c r="Q20" s="177"/>
      <c r="R20" s="220"/>
      <c r="S20" s="220"/>
      <c r="T20" s="226" t="s">
        <v>106</v>
      </c>
      <c r="U20" s="220"/>
      <c r="V20" s="227"/>
      <c r="W20" s="177"/>
      <c r="X20" s="5"/>
    </row>
    <row r="21" spans="1:24" ht="15.6" x14ac:dyDescent="0.3">
      <c r="A21" s="175"/>
      <c r="B21" s="177"/>
      <c r="C21" s="177"/>
      <c r="D21" s="177"/>
      <c r="E21" s="177"/>
      <c r="F21" s="177"/>
      <c r="G21" s="177"/>
      <c r="H21" s="177"/>
      <c r="I21" s="177"/>
      <c r="J21" s="177"/>
      <c r="K21" s="177"/>
      <c r="L21" s="177"/>
      <c r="M21" s="177"/>
      <c r="N21" s="177"/>
      <c r="O21" s="177"/>
      <c r="P21" s="177"/>
      <c r="Q21" s="177"/>
      <c r="R21" s="177"/>
      <c r="S21" s="177"/>
      <c r="T21" s="177"/>
      <c r="U21" s="177"/>
      <c r="V21" s="188"/>
      <c r="W21" s="177"/>
      <c r="X21" s="5"/>
    </row>
    <row r="22" spans="1:24" ht="15.6" x14ac:dyDescent="0.3">
      <c r="A22" s="395"/>
      <c r="B22" s="396"/>
      <c r="C22" s="397"/>
      <c r="D22" s="397" t="s">
        <v>180</v>
      </c>
      <c r="E22" s="397"/>
      <c r="F22" s="397" t="s">
        <v>181</v>
      </c>
      <c r="G22" s="397"/>
      <c r="H22" s="397" t="s">
        <v>182</v>
      </c>
      <c r="I22" s="397"/>
      <c r="J22" s="397" t="s">
        <v>223</v>
      </c>
      <c r="K22" s="397"/>
      <c r="L22" s="397" t="s">
        <v>183</v>
      </c>
      <c r="M22" s="397"/>
      <c r="N22" s="397" t="s">
        <v>184</v>
      </c>
      <c r="O22" s="397"/>
      <c r="P22" s="397" t="s">
        <v>224</v>
      </c>
      <c r="Q22" s="397"/>
      <c r="R22" s="397" t="s">
        <v>185</v>
      </c>
      <c r="S22" s="398"/>
      <c r="T22" s="398"/>
      <c r="U22" s="399"/>
      <c r="V22" s="399"/>
      <c r="W22" s="396"/>
      <c r="X22" s="5"/>
    </row>
    <row r="23" spans="1:24" ht="15.6" x14ac:dyDescent="0.3">
      <c r="A23" s="271"/>
      <c r="B23" s="272" t="s">
        <v>7</v>
      </c>
      <c r="C23" s="273"/>
      <c r="D23" s="273" t="s">
        <v>216</v>
      </c>
      <c r="E23" s="273"/>
      <c r="F23" s="273" t="s">
        <v>144</v>
      </c>
      <c r="G23" s="273"/>
      <c r="H23" s="273" t="s">
        <v>144</v>
      </c>
      <c r="I23" s="273"/>
      <c r="J23" s="273" t="s">
        <v>144</v>
      </c>
      <c r="K23" s="273"/>
      <c r="L23" s="273" t="s">
        <v>186</v>
      </c>
      <c r="M23" s="273"/>
      <c r="N23" s="273" t="s">
        <v>186</v>
      </c>
      <c r="O23" s="273"/>
      <c r="P23" s="273" t="s">
        <v>145</v>
      </c>
      <c r="Q23" s="273"/>
      <c r="R23" s="273" t="s">
        <v>145</v>
      </c>
      <c r="S23" s="273"/>
      <c r="T23" s="273"/>
      <c r="U23" s="274"/>
      <c r="V23" s="274"/>
      <c r="W23" s="275"/>
      <c r="X23" s="5"/>
    </row>
    <row r="24" spans="1:24" ht="15.6" x14ac:dyDescent="0.3">
      <c r="A24" s="271"/>
      <c r="B24" s="272" t="s">
        <v>8</v>
      </c>
      <c r="C24" s="273"/>
      <c r="D24" s="273" t="s">
        <v>217</v>
      </c>
      <c r="E24" s="273"/>
      <c r="F24" s="273" t="s">
        <v>146</v>
      </c>
      <c r="G24" s="273"/>
      <c r="H24" s="273" t="s">
        <v>146</v>
      </c>
      <c r="I24" s="273"/>
      <c r="J24" s="273" t="s">
        <v>146</v>
      </c>
      <c r="K24" s="273"/>
      <c r="L24" s="273" t="s">
        <v>168</v>
      </c>
      <c r="M24" s="273"/>
      <c r="N24" s="273" t="s">
        <v>168</v>
      </c>
      <c r="O24" s="273"/>
      <c r="P24" s="273" t="s">
        <v>147</v>
      </c>
      <c r="Q24" s="273"/>
      <c r="R24" s="273" t="s">
        <v>147</v>
      </c>
      <c r="S24" s="273"/>
      <c r="T24" s="273"/>
      <c r="U24" s="274"/>
      <c r="V24" s="274"/>
      <c r="W24" s="275"/>
      <c r="X24" s="5"/>
    </row>
    <row r="25" spans="1:24" ht="15.6" x14ac:dyDescent="0.3">
      <c r="A25" s="276"/>
      <c r="B25" s="272" t="s">
        <v>193</v>
      </c>
      <c r="C25" s="389"/>
      <c r="D25" s="273" t="s">
        <v>218</v>
      </c>
      <c r="E25" s="273"/>
      <c r="F25" s="273" t="s">
        <v>146</v>
      </c>
      <c r="G25" s="273"/>
      <c r="H25" s="273" t="s">
        <v>146</v>
      </c>
      <c r="I25" s="273"/>
      <c r="J25" s="273" t="s">
        <v>146</v>
      </c>
      <c r="K25" s="273"/>
      <c r="L25" s="273" t="s">
        <v>168</v>
      </c>
      <c r="M25" s="273"/>
      <c r="N25" s="273" t="s">
        <v>168</v>
      </c>
      <c r="O25" s="273"/>
      <c r="P25" s="273" t="s">
        <v>147</v>
      </c>
      <c r="Q25" s="273"/>
      <c r="R25" s="273" t="s">
        <v>147</v>
      </c>
      <c r="S25" s="389"/>
      <c r="T25" s="273"/>
      <c r="U25" s="274"/>
      <c r="V25" s="274"/>
      <c r="W25" s="275"/>
      <c r="X25" s="5"/>
    </row>
    <row r="26" spans="1:24" ht="15.6" x14ac:dyDescent="0.3">
      <c r="A26" s="276"/>
      <c r="B26" s="279" t="s">
        <v>9</v>
      </c>
      <c r="C26" s="389"/>
      <c r="D26" s="389" t="s">
        <v>144</v>
      </c>
      <c r="E26" s="389"/>
      <c r="F26" s="389" t="s">
        <v>144</v>
      </c>
      <c r="G26" s="389"/>
      <c r="H26" s="389" t="s">
        <v>144</v>
      </c>
      <c r="I26" s="389"/>
      <c r="J26" s="389" t="s">
        <v>144</v>
      </c>
      <c r="K26" s="389"/>
      <c r="L26" s="389" t="s">
        <v>186</v>
      </c>
      <c r="M26" s="389"/>
      <c r="N26" s="389" t="s">
        <v>186</v>
      </c>
      <c r="O26" s="389"/>
      <c r="P26" s="389" t="s">
        <v>145</v>
      </c>
      <c r="Q26" s="389"/>
      <c r="R26" s="389" t="s">
        <v>145</v>
      </c>
      <c r="S26" s="389"/>
      <c r="T26" s="273"/>
      <c r="U26" s="274"/>
      <c r="V26" s="274"/>
      <c r="W26" s="275"/>
      <c r="X26" s="5"/>
    </row>
    <row r="27" spans="1:24" ht="15.6" x14ac:dyDescent="0.3">
      <c r="A27" s="271"/>
      <c r="B27" s="279" t="s">
        <v>194</v>
      </c>
      <c r="C27" s="273"/>
      <c r="D27" s="389" t="s">
        <v>168</v>
      </c>
      <c r="E27" s="389"/>
      <c r="F27" s="389" t="s">
        <v>168</v>
      </c>
      <c r="G27" s="389"/>
      <c r="H27" s="389" t="s">
        <v>168</v>
      </c>
      <c r="I27" s="389"/>
      <c r="J27" s="389" t="s">
        <v>168</v>
      </c>
      <c r="K27" s="389"/>
      <c r="L27" s="389" t="s">
        <v>360</v>
      </c>
      <c r="M27" s="389"/>
      <c r="N27" s="389" t="s">
        <v>360</v>
      </c>
      <c r="O27" s="389"/>
      <c r="P27" s="389" t="s">
        <v>147</v>
      </c>
      <c r="Q27" s="389"/>
      <c r="R27" s="389" t="s">
        <v>147</v>
      </c>
      <c r="S27" s="273"/>
      <c r="T27" s="280"/>
      <c r="U27" s="274"/>
      <c r="V27" s="274"/>
      <c r="W27" s="275"/>
      <c r="X27" s="5"/>
    </row>
    <row r="28" spans="1:24" ht="15.6" x14ac:dyDescent="0.3">
      <c r="A28" s="271"/>
      <c r="B28" s="279" t="s">
        <v>195</v>
      </c>
      <c r="C28" s="273"/>
      <c r="D28" s="389" t="s">
        <v>146</v>
      </c>
      <c r="E28" s="389"/>
      <c r="F28" s="389" t="s">
        <v>146</v>
      </c>
      <c r="G28" s="389"/>
      <c r="H28" s="389" t="s">
        <v>146</v>
      </c>
      <c r="I28" s="389"/>
      <c r="J28" s="389" t="s">
        <v>146</v>
      </c>
      <c r="K28" s="389"/>
      <c r="L28" s="389" t="s">
        <v>146</v>
      </c>
      <c r="M28" s="389"/>
      <c r="N28" s="389" t="s">
        <v>146</v>
      </c>
      <c r="O28" s="389"/>
      <c r="P28" s="389" t="s">
        <v>147</v>
      </c>
      <c r="Q28" s="389"/>
      <c r="R28" s="389" t="s">
        <v>147</v>
      </c>
      <c r="S28" s="273"/>
      <c r="T28" s="280"/>
      <c r="U28" s="274"/>
      <c r="V28" s="274"/>
      <c r="W28" s="275"/>
      <c r="X28" s="5"/>
    </row>
    <row r="29" spans="1:24" ht="15.6" x14ac:dyDescent="0.3">
      <c r="A29" s="271"/>
      <c r="B29" s="272" t="s">
        <v>10</v>
      </c>
      <c r="C29" s="282"/>
      <c r="D29" s="273" t="s">
        <v>348</v>
      </c>
      <c r="E29" s="273"/>
      <c r="F29" s="280" t="s">
        <v>242</v>
      </c>
      <c r="G29" s="273"/>
      <c r="H29" s="273" t="s">
        <v>243</v>
      </c>
      <c r="I29" s="273"/>
      <c r="J29" s="273" t="s">
        <v>245</v>
      </c>
      <c r="K29" s="273"/>
      <c r="L29" s="273" t="s">
        <v>246</v>
      </c>
      <c r="M29" s="273"/>
      <c r="N29" s="273" t="s">
        <v>247</v>
      </c>
      <c r="O29" s="273"/>
      <c r="P29" s="273" t="s">
        <v>248</v>
      </c>
      <c r="Q29" s="273"/>
      <c r="R29" s="273" t="s">
        <v>249</v>
      </c>
      <c r="S29" s="283"/>
      <c r="T29" s="283"/>
      <c r="U29" s="284"/>
      <c r="V29" s="283"/>
      <c r="W29" s="285"/>
      <c r="X29" s="5"/>
    </row>
    <row r="30" spans="1:24" ht="15.6" x14ac:dyDescent="0.3">
      <c r="A30" s="271"/>
      <c r="B30" s="272" t="s">
        <v>10</v>
      </c>
      <c r="C30" s="282"/>
      <c r="D30" s="273" t="s">
        <v>241</v>
      </c>
      <c r="E30" s="273"/>
      <c r="F30" s="280" t="s">
        <v>121</v>
      </c>
      <c r="G30" s="273"/>
      <c r="H30" s="273" t="s">
        <v>121</v>
      </c>
      <c r="I30" s="273"/>
      <c r="J30" s="273" t="s">
        <v>244</v>
      </c>
      <c r="K30" s="273"/>
      <c r="L30" s="273" t="s">
        <v>121</v>
      </c>
      <c r="M30" s="273"/>
      <c r="N30" s="273" t="s">
        <v>121</v>
      </c>
      <c r="O30" s="273"/>
      <c r="P30" s="273" t="s">
        <v>121</v>
      </c>
      <c r="Q30" s="273"/>
      <c r="R30" s="273" t="s">
        <v>121</v>
      </c>
      <c r="S30" s="283"/>
      <c r="T30" s="283"/>
      <c r="U30" s="284"/>
      <c r="V30" s="283"/>
      <c r="W30" s="285"/>
      <c r="X30" s="5"/>
    </row>
    <row r="31" spans="1:24" ht="15.6" x14ac:dyDescent="0.3">
      <c r="A31" s="276"/>
      <c r="B31" s="272" t="s">
        <v>136</v>
      </c>
      <c r="C31" s="286"/>
      <c r="D31" s="287">
        <v>1500000</v>
      </c>
      <c r="E31" s="282"/>
      <c r="F31" s="283">
        <v>125000</v>
      </c>
      <c r="G31" s="283"/>
      <c r="H31" s="288">
        <v>315000</v>
      </c>
      <c r="I31" s="288"/>
      <c r="J31" s="287">
        <v>350000</v>
      </c>
      <c r="K31" s="283"/>
      <c r="L31" s="283">
        <v>56000</v>
      </c>
      <c r="M31" s="283"/>
      <c r="N31" s="288">
        <v>84000</v>
      </c>
      <c r="O31" s="283"/>
      <c r="P31" s="283">
        <v>13000</v>
      </c>
      <c r="Q31" s="283"/>
      <c r="R31" s="288">
        <v>81000</v>
      </c>
      <c r="S31" s="289"/>
      <c r="T31" s="289"/>
      <c r="U31" s="290"/>
      <c r="V31" s="289"/>
      <c r="W31" s="285"/>
      <c r="X31" s="5"/>
    </row>
    <row r="32" spans="1:24" ht="15.6" x14ac:dyDescent="0.3">
      <c r="A32" s="271"/>
      <c r="B32" s="272" t="s">
        <v>135</v>
      </c>
      <c r="C32" s="282"/>
      <c r="D32" s="394">
        <f>D34*D38</f>
        <v>382702.49628800002</v>
      </c>
      <c r="E32" s="282"/>
      <c r="F32" s="283">
        <f>F31*F38</f>
        <v>59957</v>
      </c>
      <c r="G32" s="283"/>
      <c r="H32" s="288">
        <f>H31*H38</f>
        <v>151091.64000000001</v>
      </c>
      <c r="I32" s="288"/>
      <c r="J32" s="287">
        <f>J31*J38</f>
        <v>167878.76</v>
      </c>
      <c r="K32" s="283"/>
      <c r="L32" s="283">
        <f>L31*L38</f>
        <v>56000</v>
      </c>
      <c r="M32" s="283"/>
      <c r="N32" s="288">
        <f>N31*N38</f>
        <v>84000</v>
      </c>
      <c r="O32" s="283"/>
      <c r="P32" s="283">
        <f>P31*P38</f>
        <v>13000</v>
      </c>
      <c r="Q32" s="283"/>
      <c r="R32" s="288">
        <f>R31*R38</f>
        <v>81000</v>
      </c>
      <c r="S32" s="283"/>
      <c r="T32" s="283"/>
      <c r="U32" s="284"/>
      <c r="V32" s="283"/>
      <c r="W32" s="285"/>
      <c r="X32" s="5"/>
    </row>
    <row r="33" spans="1:24" ht="15.6" x14ac:dyDescent="0.3">
      <c r="A33" s="271"/>
      <c r="B33" s="279" t="s">
        <v>137</v>
      </c>
      <c r="C33" s="282"/>
      <c r="D33" s="393">
        <f>D34*D37</f>
        <v>374927.23364799999</v>
      </c>
      <c r="E33" s="286"/>
      <c r="F33" s="289">
        <f>F37*F31</f>
        <v>58738.875</v>
      </c>
      <c r="G33" s="289"/>
      <c r="H33" s="292">
        <f>H31*H37</f>
        <v>148021.965</v>
      </c>
      <c r="I33" s="292"/>
      <c r="J33" s="291">
        <f>J37*J31</f>
        <v>164468.01</v>
      </c>
      <c r="K33" s="289"/>
      <c r="L33" s="289">
        <f>L31*L37</f>
        <v>56000</v>
      </c>
      <c r="M33" s="289"/>
      <c r="N33" s="292">
        <f>N31*N37</f>
        <v>84000</v>
      </c>
      <c r="O33" s="289"/>
      <c r="P33" s="289">
        <f>P31*P37</f>
        <v>13000</v>
      </c>
      <c r="Q33" s="289"/>
      <c r="R33" s="292">
        <f>R31*R37</f>
        <v>81000</v>
      </c>
      <c r="S33" s="283"/>
      <c r="T33" s="283"/>
      <c r="U33" s="284"/>
      <c r="V33" s="283"/>
      <c r="W33" s="285"/>
      <c r="X33" s="5"/>
    </row>
    <row r="34" spans="1:24" ht="15.6" x14ac:dyDescent="0.3">
      <c r="A34" s="276"/>
      <c r="B34" s="272" t="s">
        <v>298</v>
      </c>
      <c r="C34" s="286"/>
      <c r="D34" s="283">
        <v>797872</v>
      </c>
      <c r="E34" s="282"/>
      <c r="F34" s="283">
        <v>125000</v>
      </c>
      <c r="G34" s="283"/>
      <c r="H34" s="283">
        <v>211409</v>
      </c>
      <c r="I34" s="283"/>
      <c r="J34" s="283">
        <v>186170</v>
      </c>
      <c r="K34" s="283"/>
      <c r="L34" s="283">
        <v>56000</v>
      </c>
      <c r="M34" s="283"/>
      <c r="N34" s="283">
        <v>56376</v>
      </c>
      <c r="O34" s="283"/>
      <c r="P34" s="283">
        <v>13000</v>
      </c>
      <c r="Q34" s="283"/>
      <c r="R34" s="283">
        <v>54363</v>
      </c>
      <c r="S34" s="289"/>
      <c r="T34" s="289"/>
      <c r="U34" s="290"/>
      <c r="V34" s="283">
        <f>SUM(C34:R34)</f>
        <v>1500190</v>
      </c>
      <c r="W34" s="285"/>
      <c r="X34" s="5"/>
    </row>
    <row r="35" spans="1:24" ht="15.6" x14ac:dyDescent="0.3">
      <c r="A35" s="276"/>
      <c r="B35" s="272" t="s">
        <v>299</v>
      </c>
      <c r="C35" s="286"/>
      <c r="D35" s="283">
        <f>D34*D38</f>
        <v>382702.49628800002</v>
      </c>
      <c r="E35" s="282"/>
      <c r="F35" s="283">
        <f>F34*F38</f>
        <v>59957</v>
      </c>
      <c r="G35" s="283"/>
      <c r="H35" s="283">
        <f>H34*H38</f>
        <v>101403.595304</v>
      </c>
      <c r="I35" s="283"/>
      <c r="J35" s="283">
        <f>J34*J38</f>
        <v>89297.110712000009</v>
      </c>
      <c r="K35" s="283"/>
      <c r="L35" s="283">
        <f>L34*L38</f>
        <v>56000</v>
      </c>
      <c r="M35" s="283"/>
      <c r="N35" s="283">
        <f>N34*N38</f>
        <v>56376</v>
      </c>
      <c r="O35" s="283"/>
      <c r="P35" s="283">
        <f>P34*P38</f>
        <v>13000</v>
      </c>
      <c r="Q35" s="283"/>
      <c r="R35" s="283">
        <f>R34*R38</f>
        <v>54363</v>
      </c>
      <c r="S35" s="283"/>
      <c r="T35" s="283"/>
      <c r="U35" s="284"/>
      <c r="V35" s="283">
        <f>SUM(C35:R35)+1</f>
        <v>813100.20230400003</v>
      </c>
      <c r="W35" s="285"/>
      <c r="X35" s="5"/>
    </row>
    <row r="36" spans="1:24" ht="15.6" x14ac:dyDescent="0.3">
      <c r="A36" s="276"/>
      <c r="B36" s="279" t="s">
        <v>304</v>
      </c>
      <c r="C36" s="286"/>
      <c r="D36" s="289">
        <f>D34*D37</f>
        <v>374927.23364799999</v>
      </c>
      <c r="E36" s="286"/>
      <c r="F36" s="289">
        <f>F34*F37</f>
        <v>58738.875</v>
      </c>
      <c r="G36" s="289"/>
      <c r="H36" s="289">
        <f>H34*H37</f>
        <v>99343.414599000011</v>
      </c>
      <c r="I36" s="289"/>
      <c r="J36" s="289">
        <f>J34*J37</f>
        <v>87482.884061999997</v>
      </c>
      <c r="K36" s="289"/>
      <c r="L36" s="289">
        <v>56000</v>
      </c>
      <c r="M36" s="289"/>
      <c r="N36" s="289">
        <v>56376</v>
      </c>
      <c r="O36" s="289"/>
      <c r="P36" s="289">
        <v>13000</v>
      </c>
      <c r="Q36" s="289"/>
      <c r="R36" s="289">
        <v>54363</v>
      </c>
      <c r="S36" s="314"/>
      <c r="T36" s="314"/>
      <c r="U36" s="284"/>
      <c r="V36" s="289">
        <f>SUM(C36:R36)+1</f>
        <v>800232.40730900003</v>
      </c>
      <c r="W36" s="285"/>
      <c r="X36" s="5"/>
    </row>
    <row r="37" spans="1:24" ht="15.6" x14ac:dyDescent="0.3">
      <c r="A37" s="271"/>
      <c r="B37" s="297" t="s">
        <v>133</v>
      </c>
      <c r="C37" s="298"/>
      <c r="D37" s="299">
        <v>0.46990900000000002</v>
      </c>
      <c r="E37" s="300"/>
      <c r="F37" s="299">
        <v>0.46991100000000002</v>
      </c>
      <c r="G37" s="301"/>
      <c r="H37" s="299">
        <v>0.46991100000000002</v>
      </c>
      <c r="I37" s="301"/>
      <c r="J37" s="299">
        <v>0.46990860000000001</v>
      </c>
      <c r="K37" s="301"/>
      <c r="L37" s="299">
        <v>1</v>
      </c>
      <c r="M37" s="301"/>
      <c r="N37" s="299">
        <v>1</v>
      </c>
      <c r="O37" s="301"/>
      <c r="P37" s="299">
        <v>1</v>
      </c>
      <c r="Q37" s="301"/>
      <c r="R37" s="299">
        <v>1</v>
      </c>
      <c r="S37" s="302"/>
      <c r="T37" s="302"/>
      <c r="U37" s="303"/>
      <c r="V37" s="303"/>
      <c r="W37" s="304"/>
      <c r="X37" s="5"/>
    </row>
    <row r="38" spans="1:24" ht="15.6" x14ac:dyDescent="0.3">
      <c r="A38" s="271"/>
      <c r="B38" s="297" t="s">
        <v>134</v>
      </c>
      <c r="C38" s="298"/>
      <c r="D38" s="299">
        <v>0.47965400000000002</v>
      </c>
      <c r="E38" s="300"/>
      <c r="F38" s="299">
        <v>0.47965600000000003</v>
      </c>
      <c r="G38" s="301"/>
      <c r="H38" s="299">
        <v>0.47965600000000003</v>
      </c>
      <c r="I38" s="301"/>
      <c r="J38" s="299">
        <v>0.47965360000000001</v>
      </c>
      <c r="K38" s="301"/>
      <c r="L38" s="299">
        <v>1</v>
      </c>
      <c r="M38" s="301"/>
      <c r="N38" s="299">
        <v>1</v>
      </c>
      <c r="O38" s="301"/>
      <c r="P38" s="299">
        <v>1</v>
      </c>
      <c r="Q38" s="301"/>
      <c r="R38" s="299">
        <v>1</v>
      </c>
      <c r="S38" s="305"/>
      <c r="T38" s="306"/>
      <c r="U38" s="303"/>
      <c r="V38" s="305"/>
      <c r="W38" s="304"/>
      <c r="X38" s="5"/>
    </row>
    <row r="39" spans="1:24" ht="15.6" x14ac:dyDescent="0.3">
      <c r="A39" s="271"/>
      <c r="B39" s="272" t="s">
        <v>11</v>
      </c>
      <c r="C39" s="272"/>
      <c r="D39" s="280" t="s">
        <v>226</v>
      </c>
      <c r="E39" s="272"/>
      <c r="F39" s="280" t="s">
        <v>226</v>
      </c>
      <c r="G39" s="280"/>
      <c r="H39" s="280" t="s">
        <v>226</v>
      </c>
      <c r="I39" s="280"/>
      <c r="J39" s="280" t="s">
        <v>256</v>
      </c>
      <c r="K39" s="280"/>
      <c r="L39" s="280" t="s">
        <v>254</v>
      </c>
      <c r="M39" s="280"/>
      <c r="N39" s="280" t="s">
        <v>257</v>
      </c>
      <c r="O39" s="280"/>
      <c r="P39" s="280" t="s">
        <v>258</v>
      </c>
      <c r="Q39" s="280"/>
      <c r="R39" s="280" t="s">
        <v>259</v>
      </c>
      <c r="S39" s="307"/>
      <c r="T39" s="308"/>
      <c r="U39" s="274"/>
      <c r="V39" s="274"/>
      <c r="W39" s="275"/>
      <c r="X39" s="5"/>
    </row>
    <row r="40" spans="1:24" ht="15.6" x14ac:dyDescent="0.3">
      <c r="A40" s="271"/>
      <c r="B40" s="272" t="s">
        <v>12</v>
      </c>
      <c r="C40" s="272"/>
      <c r="D40" s="308">
        <v>5.7555999999999996E-3</v>
      </c>
      <c r="E40" s="272"/>
      <c r="F40" s="308">
        <v>5.7555999999999996E-3</v>
      </c>
      <c r="G40" s="307"/>
      <c r="H40" s="308">
        <v>0</v>
      </c>
      <c r="I40" s="308"/>
      <c r="J40" s="308">
        <v>1.3384399999999999E-2</v>
      </c>
      <c r="K40" s="307"/>
      <c r="L40" s="308">
        <v>7.3556000000000003E-3</v>
      </c>
      <c r="M40" s="307"/>
      <c r="N40" s="308">
        <v>4.8000000000000001E-4</v>
      </c>
      <c r="O40" s="307"/>
      <c r="P40" s="308">
        <v>1.13556E-2</v>
      </c>
      <c r="Q40" s="307"/>
      <c r="R40" s="308">
        <v>4.4799999999999996E-3</v>
      </c>
      <c r="S40" s="307"/>
      <c r="T40" s="308"/>
      <c r="U40" s="274"/>
      <c r="V40" s="280"/>
      <c r="W40" s="275"/>
      <c r="X40" s="5"/>
    </row>
    <row r="41" spans="1:24" ht="15.6" x14ac:dyDescent="0.3">
      <c r="A41" s="271"/>
      <c r="B41" s="272" t="s">
        <v>13</v>
      </c>
      <c r="C41" s="272"/>
      <c r="D41" s="308">
        <v>5.9662999999999999E-3</v>
      </c>
      <c r="E41" s="272"/>
      <c r="F41" s="308">
        <v>5.9662999999999999E-3</v>
      </c>
      <c r="G41" s="307"/>
      <c r="H41" s="308">
        <v>0</v>
      </c>
      <c r="I41" s="308"/>
      <c r="J41" s="308">
        <v>1.2031699999999999E-2</v>
      </c>
      <c r="K41" s="307"/>
      <c r="L41" s="308">
        <v>7.5662999999999998E-3</v>
      </c>
      <c r="M41" s="307"/>
      <c r="N41" s="308">
        <v>5.2999999999999998E-4</v>
      </c>
      <c r="O41" s="307"/>
      <c r="P41" s="308">
        <v>1.15663E-2</v>
      </c>
      <c r="Q41" s="307"/>
      <c r="R41" s="308">
        <v>4.5300000000000002E-3</v>
      </c>
      <c r="S41" s="307"/>
      <c r="T41" s="308"/>
      <c r="U41" s="274"/>
      <c r="V41" s="307" t="s">
        <v>196</v>
      </c>
      <c r="W41" s="275"/>
      <c r="X41" s="5"/>
    </row>
    <row r="42" spans="1:24" ht="15.6" x14ac:dyDescent="0.3">
      <c r="A42" s="271"/>
      <c r="B42" s="272" t="s">
        <v>300</v>
      </c>
      <c r="C42" s="272"/>
      <c r="D42" s="280" t="s">
        <v>226</v>
      </c>
      <c r="E42" s="272"/>
      <c r="F42" s="280" t="s">
        <v>226</v>
      </c>
      <c r="G42" s="280"/>
      <c r="H42" s="280" t="s">
        <v>227</v>
      </c>
      <c r="I42" s="280"/>
      <c r="J42" s="280" t="s">
        <v>237</v>
      </c>
      <c r="K42" s="280"/>
      <c r="L42" s="280" t="s">
        <v>254</v>
      </c>
      <c r="M42" s="280"/>
      <c r="N42" s="280" t="s">
        <v>260</v>
      </c>
      <c r="O42" s="280"/>
      <c r="P42" s="280" t="s">
        <v>258</v>
      </c>
      <c r="Q42" s="280"/>
      <c r="R42" s="280" t="s">
        <v>261</v>
      </c>
      <c r="S42" s="307"/>
      <c r="T42" s="308"/>
      <c r="U42" s="274"/>
      <c r="V42" s="274"/>
      <c r="W42" s="275"/>
      <c r="X42" s="5"/>
    </row>
    <row r="43" spans="1:24" ht="15.6" x14ac:dyDescent="0.3">
      <c r="A43" s="271"/>
      <c r="B43" s="272" t="s">
        <v>301</v>
      </c>
      <c r="C43" s="309"/>
      <c r="D43" s="308">
        <f>+D40</f>
        <v>5.7555999999999996E-3</v>
      </c>
      <c r="E43" s="308"/>
      <c r="F43" s="308">
        <f>+F40</f>
        <v>5.7555999999999996E-3</v>
      </c>
      <c r="G43" s="308"/>
      <c r="H43" s="308">
        <v>5.9995999999999999E-3</v>
      </c>
      <c r="I43" s="308"/>
      <c r="J43" s="308">
        <v>5.8355999999999998E-3</v>
      </c>
      <c r="K43" s="308"/>
      <c r="L43" s="308">
        <f>+L40</f>
        <v>7.3556000000000003E-3</v>
      </c>
      <c r="M43" s="308"/>
      <c r="N43" s="308">
        <v>7.5355999999999999E-3</v>
      </c>
      <c r="O43" s="308"/>
      <c r="P43" s="308">
        <f>+P40</f>
        <v>1.13556E-2</v>
      </c>
      <c r="Q43" s="307"/>
      <c r="R43" s="308">
        <v>1.17556E-2</v>
      </c>
      <c r="S43" s="280"/>
      <c r="T43" s="280"/>
      <c r="U43" s="274"/>
      <c r="V43" s="307">
        <f>SUMPRODUCT(D43:R43,D35:R35)/V35</f>
        <v>6.5191070914409014E-3</v>
      </c>
      <c r="W43" s="275"/>
      <c r="X43" s="5"/>
    </row>
    <row r="44" spans="1:24" ht="15.6" x14ac:dyDescent="0.3">
      <c r="A44" s="271"/>
      <c r="B44" s="272" t="s">
        <v>302</v>
      </c>
      <c r="C44" s="309"/>
      <c r="D44" s="308">
        <f>+D41</f>
        <v>5.9662999999999999E-3</v>
      </c>
      <c r="E44" s="308"/>
      <c r="F44" s="308">
        <f>+F41</f>
        <v>5.9662999999999999E-3</v>
      </c>
      <c r="G44" s="308"/>
      <c r="H44" s="308">
        <v>6.2103000000000002E-3</v>
      </c>
      <c r="I44" s="308"/>
      <c r="J44" s="308">
        <v>6.0463000000000001E-3</v>
      </c>
      <c r="K44" s="308"/>
      <c r="L44" s="308">
        <f>+L41</f>
        <v>7.5662999999999998E-3</v>
      </c>
      <c r="M44" s="308"/>
      <c r="N44" s="308">
        <v>7.7463000000000002E-3</v>
      </c>
      <c r="O44" s="308"/>
      <c r="P44" s="308">
        <f>+P41</f>
        <v>1.15663E-2</v>
      </c>
      <c r="Q44" s="307"/>
      <c r="R44" s="308">
        <v>1.1966299999999999E-2</v>
      </c>
      <c r="S44" s="280"/>
      <c r="T44" s="280"/>
      <c r="U44" s="274"/>
      <c r="V44" s="274"/>
      <c r="W44" s="275"/>
      <c r="X44" s="5"/>
    </row>
    <row r="45" spans="1:24" ht="15.6" x14ac:dyDescent="0.3">
      <c r="A45" s="271"/>
      <c r="B45" s="272" t="s">
        <v>14</v>
      </c>
      <c r="C45" s="272"/>
      <c r="D45" s="309">
        <v>40466</v>
      </c>
      <c r="E45" s="309"/>
      <c r="F45" s="309">
        <v>40466</v>
      </c>
      <c r="G45" s="309"/>
      <c r="H45" s="309">
        <v>40466</v>
      </c>
      <c r="I45" s="309"/>
      <c r="J45" s="309">
        <v>40466</v>
      </c>
      <c r="K45" s="309"/>
      <c r="L45" s="309">
        <v>40466</v>
      </c>
      <c r="M45" s="309"/>
      <c r="N45" s="309">
        <v>40466</v>
      </c>
      <c r="O45" s="309"/>
      <c r="P45" s="309">
        <v>40466</v>
      </c>
      <c r="Q45" s="309"/>
      <c r="R45" s="309">
        <v>40466</v>
      </c>
      <c r="S45" s="280"/>
      <c r="T45" s="280"/>
      <c r="U45" s="274"/>
      <c r="V45" s="274"/>
      <c r="W45" s="275"/>
      <c r="X45" s="5"/>
    </row>
    <row r="46" spans="1:24" ht="15.6" x14ac:dyDescent="0.3">
      <c r="A46" s="271"/>
      <c r="B46" s="272" t="s">
        <v>15</v>
      </c>
      <c r="C46" s="272"/>
      <c r="D46" s="309">
        <v>41105</v>
      </c>
      <c r="E46" s="309"/>
      <c r="F46" s="309">
        <v>40831</v>
      </c>
      <c r="G46" s="309"/>
      <c r="H46" s="309">
        <v>40831</v>
      </c>
      <c r="I46" s="309"/>
      <c r="J46" s="309">
        <v>40831</v>
      </c>
      <c r="K46" s="280"/>
      <c r="L46" s="309">
        <v>40831</v>
      </c>
      <c r="M46" s="280"/>
      <c r="N46" s="309">
        <v>40831</v>
      </c>
      <c r="O46" s="280"/>
      <c r="P46" s="309">
        <v>40831</v>
      </c>
      <c r="Q46" s="280"/>
      <c r="R46" s="309">
        <v>40831</v>
      </c>
      <c r="S46" s="280"/>
      <c r="T46" s="280"/>
      <c r="U46" s="274"/>
      <c r="V46" s="274"/>
      <c r="W46" s="275"/>
      <c r="X46" s="5"/>
    </row>
    <row r="47" spans="1:24" ht="15.6" x14ac:dyDescent="0.3">
      <c r="A47" s="271"/>
      <c r="B47" s="272" t="s">
        <v>122</v>
      </c>
      <c r="C47" s="272"/>
      <c r="D47" s="280" t="s">
        <v>226</v>
      </c>
      <c r="E47" s="272"/>
      <c r="F47" s="280" t="s">
        <v>226</v>
      </c>
      <c r="G47" s="280"/>
      <c r="H47" s="280" t="s">
        <v>226</v>
      </c>
      <c r="I47" s="280"/>
      <c r="J47" s="280" t="s">
        <v>256</v>
      </c>
      <c r="K47" s="280"/>
      <c r="L47" s="280" t="s">
        <v>254</v>
      </c>
      <c r="M47" s="280"/>
      <c r="N47" s="280" t="s">
        <v>257</v>
      </c>
      <c r="O47" s="280"/>
      <c r="P47" s="280" t="s">
        <v>258</v>
      </c>
      <c r="Q47" s="280"/>
      <c r="R47" s="280" t="s">
        <v>259</v>
      </c>
      <c r="S47" s="311"/>
      <c r="T47" s="311"/>
      <c r="U47" s="311"/>
      <c r="V47" s="311"/>
      <c r="W47" s="275"/>
      <c r="X47" s="5"/>
    </row>
    <row r="48" spans="1:24" ht="15.6" x14ac:dyDescent="0.3">
      <c r="A48" s="271"/>
      <c r="B48" s="272" t="s">
        <v>303</v>
      </c>
      <c r="C48" s="272"/>
      <c r="D48" s="280" t="s">
        <v>226</v>
      </c>
      <c r="E48" s="272"/>
      <c r="F48" s="280" t="s">
        <v>226</v>
      </c>
      <c r="G48" s="280"/>
      <c r="H48" s="280" t="s">
        <v>227</v>
      </c>
      <c r="I48" s="280"/>
      <c r="J48" s="280" t="s">
        <v>237</v>
      </c>
      <c r="K48" s="280"/>
      <c r="L48" s="280" t="s">
        <v>254</v>
      </c>
      <c r="M48" s="280"/>
      <c r="N48" s="280" t="s">
        <v>260</v>
      </c>
      <c r="O48" s="280"/>
      <c r="P48" s="280" t="s">
        <v>258</v>
      </c>
      <c r="Q48" s="280"/>
      <c r="R48" s="280" t="s">
        <v>261</v>
      </c>
      <c r="S48" s="272"/>
      <c r="T48" s="272"/>
      <c r="U48" s="272"/>
      <c r="V48" s="307"/>
      <c r="W48" s="275"/>
      <c r="X48" s="5"/>
    </row>
    <row r="49" spans="1:25" ht="15.6" x14ac:dyDescent="0.3">
      <c r="A49" s="271"/>
      <c r="B49" s="272"/>
      <c r="C49" s="272"/>
      <c r="D49" s="280"/>
      <c r="E49" s="272"/>
      <c r="F49" s="280"/>
      <c r="G49" s="280"/>
      <c r="H49" s="280"/>
      <c r="I49" s="280"/>
      <c r="J49" s="280"/>
      <c r="K49" s="280"/>
      <c r="L49" s="280"/>
      <c r="M49" s="280"/>
      <c r="N49" s="280"/>
      <c r="O49" s="280"/>
      <c r="P49" s="280"/>
      <c r="Q49" s="280"/>
      <c r="R49" s="280"/>
      <c r="S49" s="272"/>
      <c r="T49" s="272"/>
      <c r="U49" s="272"/>
      <c r="V49" s="307" t="s">
        <v>196</v>
      </c>
      <c r="W49" s="275"/>
      <c r="X49" s="5"/>
    </row>
    <row r="50" spans="1:25" ht="15.6" x14ac:dyDescent="0.3">
      <c r="A50" s="271"/>
      <c r="B50" s="272" t="s">
        <v>172</v>
      </c>
      <c r="C50" s="272"/>
      <c r="D50" s="280"/>
      <c r="E50" s="272"/>
      <c r="F50" s="280"/>
      <c r="G50" s="280"/>
      <c r="H50" s="280"/>
      <c r="I50" s="280"/>
      <c r="J50" s="280"/>
      <c r="K50" s="280"/>
      <c r="L50" s="280"/>
      <c r="M50" s="280"/>
      <c r="N50" s="280"/>
      <c r="O50" s="280"/>
      <c r="P50" s="280"/>
      <c r="Q50" s="280"/>
      <c r="R50" s="280"/>
      <c r="S50" s="272"/>
      <c r="T50" s="272"/>
      <c r="U50" s="272"/>
      <c r="V50" s="307">
        <f>SUM(L34:R34)/SUM(D34:J34)</f>
        <v>0.13611940162868597</v>
      </c>
      <c r="W50" s="275"/>
      <c r="X50" s="5"/>
    </row>
    <row r="51" spans="1:25" ht="15.6" x14ac:dyDescent="0.3">
      <c r="A51" s="271"/>
      <c r="B51" s="272" t="s">
        <v>173</v>
      </c>
      <c r="C51" s="272"/>
      <c r="D51" s="272"/>
      <c r="E51" s="272"/>
      <c r="F51" s="312"/>
      <c r="G51" s="272"/>
      <c r="H51" s="272"/>
      <c r="I51" s="272"/>
      <c r="J51" s="272"/>
      <c r="K51" s="272"/>
      <c r="L51" s="272"/>
      <c r="M51" s="272"/>
      <c r="N51" s="272"/>
      <c r="O51" s="272"/>
      <c r="P51" s="272"/>
      <c r="Q51" s="272"/>
      <c r="R51" s="272"/>
      <c r="S51" s="272"/>
      <c r="T51" s="272"/>
      <c r="U51" s="272"/>
      <c r="V51" s="307">
        <f>SUM(L36:R36)/SUM(D36:J36)</f>
        <v>0.28967155420886798</v>
      </c>
      <c r="W51" s="275"/>
      <c r="X51" s="5"/>
    </row>
    <row r="52" spans="1:25" ht="15.6" x14ac:dyDescent="0.3">
      <c r="A52" s="271"/>
      <c r="B52" s="272" t="s">
        <v>174</v>
      </c>
      <c r="C52" s="272"/>
      <c r="D52" s="272"/>
      <c r="E52" s="272"/>
      <c r="F52" s="272"/>
      <c r="G52" s="272"/>
      <c r="H52" s="272"/>
      <c r="I52" s="272"/>
      <c r="J52" s="272"/>
      <c r="K52" s="272"/>
      <c r="L52" s="272"/>
      <c r="M52" s="272"/>
      <c r="N52" s="272"/>
      <c r="O52" s="272"/>
      <c r="P52" s="272"/>
      <c r="Q52" s="272"/>
      <c r="R52" s="272"/>
      <c r="S52" s="272"/>
      <c r="T52" s="280" t="s">
        <v>107</v>
      </c>
      <c r="U52" s="280" t="s">
        <v>112</v>
      </c>
      <c r="V52" s="283">
        <f>+V34/2-SUM(L34:R34)</f>
        <v>570356</v>
      </c>
      <c r="W52" s="275"/>
      <c r="X52" s="5"/>
    </row>
    <row r="53" spans="1:25" ht="15.6" x14ac:dyDescent="0.3">
      <c r="A53" s="271"/>
      <c r="B53" s="272"/>
      <c r="C53" s="272"/>
      <c r="D53" s="272"/>
      <c r="E53" s="272"/>
      <c r="F53" s="272"/>
      <c r="G53" s="272"/>
      <c r="H53" s="272"/>
      <c r="I53" s="272"/>
      <c r="J53" s="272"/>
      <c r="K53" s="272"/>
      <c r="L53" s="272"/>
      <c r="M53" s="272"/>
      <c r="N53" s="272"/>
      <c r="O53" s="272"/>
      <c r="P53" s="272"/>
      <c r="Q53" s="272"/>
      <c r="R53" s="272"/>
      <c r="S53" s="272"/>
      <c r="T53" s="272"/>
      <c r="U53" s="272"/>
      <c r="V53" s="313"/>
      <c r="W53" s="275"/>
      <c r="X53" s="5"/>
    </row>
    <row r="54" spans="1:25" ht="15.6" x14ac:dyDescent="0.3">
      <c r="A54" s="271"/>
      <c r="B54" s="272" t="s">
        <v>358</v>
      </c>
      <c r="C54" s="272"/>
      <c r="D54" s="272"/>
      <c r="E54" s="272"/>
      <c r="F54" s="272"/>
      <c r="G54" s="272"/>
      <c r="H54" s="272"/>
      <c r="I54" s="272"/>
      <c r="J54" s="272"/>
      <c r="K54" s="272"/>
      <c r="L54" s="272"/>
      <c r="M54" s="272"/>
      <c r="N54" s="272"/>
      <c r="O54" s="272"/>
      <c r="P54" s="272"/>
      <c r="Q54" s="272"/>
      <c r="R54" s="272"/>
      <c r="S54" s="272"/>
      <c r="T54" s="280"/>
      <c r="U54" s="280"/>
      <c r="V54" s="315" t="s">
        <v>114</v>
      </c>
      <c r="W54" s="275"/>
      <c r="X54" s="5"/>
    </row>
    <row r="55" spans="1:25" ht="15.6" x14ac:dyDescent="0.3">
      <c r="A55" s="271"/>
      <c r="B55" s="279" t="s">
        <v>204</v>
      </c>
      <c r="C55" s="279"/>
      <c r="D55" s="279"/>
      <c r="E55" s="279"/>
      <c r="F55" s="279"/>
      <c r="G55" s="279"/>
      <c r="H55" s="279"/>
      <c r="I55" s="279"/>
      <c r="J55" s="279"/>
      <c r="K55" s="279"/>
      <c r="L55" s="279"/>
      <c r="M55" s="279"/>
      <c r="N55" s="279"/>
      <c r="O55" s="279"/>
      <c r="P55" s="279"/>
      <c r="Q55" s="279"/>
      <c r="R55" s="279"/>
      <c r="S55" s="279"/>
      <c r="T55" s="316"/>
      <c r="U55" s="316"/>
      <c r="V55" s="317">
        <v>42933</v>
      </c>
      <c r="W55" s="275"/>
      <c r="X55" s="5"/>
    </row>
    <row r="56" spans="1:25" ht="15.6" x14ac:dyDescent="0.3">
      <c r="A56" s="271"/>
      <c r="B56" s="272" t="s">
        <v>124</v>
      </c>
      <c r="C56" s="272"/>
      <c r="D56" s="272"/>
      <c r="E56" s="272"/>
      <c r="F56" s="272"/>
      <c r="G56" s="272"/>
      <c r="H56" s="318"/>
      <c r="I56" s="318"/>
      <c r="J56" s="318"/>
      <c r="K56" s="318"/>
      <c r="L56" s="318"/>
      <c r="M56" s="318"/>
      <c r="N56" s="318"/>
      <c r="O56" s="318"/>
      <c r="P56" s="318"/>
      <c r="Q56" s="318"/>
      <c r="R56" s="272">
        <f>+V56-T56+1</f>
        <v>91</v>
      </c>
      <c r="S56" s="318"/>
      <c r="T56" s="319">
        <v>42752</v>
      </c>
      <c r="U56" s="320"/>
      <c r="V56" s="319">
        <v>42842</v>
      </c>
      <c r="W56" s="275"/>
      <c r="X56" s="5"/>
    </row>
    <row r="57" spans="1:25" ht="15.6" x14ac:dyDescent="0.3">
      <c r="A57" s="271"/>
      <c r="B57" s="272" t="s">
        <v>125</v>
      </c>
      <c r="C57" s="272"/>
      <c r="D57" s="272"/>
      <c r="E57" s="272"/>
      <c r="F57" s="272"/>
      <c r="G57" s="272"/>
      <c r="H57" s="272"/>
      <c r="I57" s="272"/>
      <c r="J57" s="272"/>
      <c r="K57" s="272"/>
      <c r="L57" s="272"/>
      <c r="M57" s="272"/>
      <c r="N57" s="272"/>
      <c r="O57" s="272"/>
      <c r="P57" s="272"/>
      <c r="Q57" s="272"/>
      <c r="R57" s="272">
        <f>+V57-T57+1</f>
        <v>90</v>
      </c>
      <c r="S57" s="272"/>
      <c r="T57" s="319">
        <v>42843</v>
      </c>
      <c r="U57" s="320"/>
      <c r="V57" s="319">
        <v>42932</v>
      </c>
      <c r="W57" s="275"/>
      <c r="X57" s="5"/>
    </row>
    <row r="58" spans="1:25" ht="15.6" x14ac:dyDescent="0.3">
      <c r="A58" s="271"/>
      <c r="B58" s="272" t="s">
        <v>357</v>
      </c>
      <c r="C58" s="272"/>
      <c r="D58" s="272"/>
      <c r="E58" s="272"/>
      <c r="F58" s="272"/>
      <c r="G58" s="272"/>
      <c r="H58" s="272"/>
      <c r="I58" s="272"/>
      <c r="J58" s="272"/>
      <c r="K58" s="272"/>
      <c r="L58" s="272"/>
      <c r="M58" s="272"/>
      <c r="N58" s="272"/>
      <c r="O58" s="272"/>
      <c r="P58" s="272"/>
      <c r="Q58" s="272"/>
      <c r="R58" s="272"/>
      <c r="S58" s="272"/>
      <c r="T58" s="319"/>
      <c r="U58" s="320"/>
      <c r="V58" s="319" t="s">
        <v>123</v>
      </c>
      <c r="W58" s="275"/>
      <c r="X58" s="5"/>
    </row>
    <row r="59" spans="1:25" ht="15.6" x14ac:dyDescent="0.3">
      <c r="A59" s="271"/>
      <c r="B59" s="272" t="s">
        <v>356</v>
      </c>
      <c r="C59" s="272"/>
      <c r="D59" s="272"/>
      <c r="E59" s="272"/>
      <c r="F59" s="272"/>
      <c r="G59" s="272"/>
      <c r="H59" s="272"/>
      <c r="I59" s="272"/>
      <c r="J59" s="272"/>
      <c r="K59" s="272"/>
      <c r="L59" s="272"/>
      <c r="M59" s="272"/>
      <c r="N59" s="272"/>
      <c r="O59" s="272"/>
      <c r="P59" s="272"/>
      <c r="Q59" s="272"/>
      <c r="R59" s="272"/>
      <c r="S59" s="272"/>
      <c r="T59" s="319"/>
      <c r="U59" s="320"/>
      <c r="V59" s="319" t="s">
        <v>157</v>
      </c>
      <c r="W59" s="275"/>
      <c r="X59" s="5"/>
      <c r="Y59" s="134"/>
    </row>
    <row r="60" spans="1:25" ht="15.6" x14ac:dyDescent="0.3">
      <c r="A60" s="271"/>
      <c r="B60" s="272" t="s">
        <v>16</v>
      </c>
      <c r="C60" s="272"/>
      <c r="D60" s="272"/>
      <c r="E60" s="272"/>
      <c r="F60" s="272"/>
      <c r="G60" s="272"/>
      <c r="H60" s="272"/>
      <c r="I60" s="272"/>
      <c r="J60" s="272"/>
      <c r="K60" s="272"/>
      <c r="L60" s="272"/>
      <c r="M60" s="272"/>
      <c r="N60" s="272"/>
      <c r="O60" s="272"/>
      <c r="P60" s="272"/>
      <c r="Q60" s="272"/>
      <c r="R60" s="272"/>
      <c r="S60" s="272"/>
      <c r="T60" s="319"/>
      <c r="U60" s="320"/>
      <c r="V60" s="319">
        <v>42919</v>
      </c>
      <c r="W60" s="275"/>
      <c r="X60" s="5"/>
    </row>
    <row r="61" spans="1:25" ht="15.6" x14ac:dyDescent="0.3">
      <c r="A61" s="175"/>
      <c r="B61" s="268"/>
      <c r="C61" s="268"/>
      <c r="D61" s="268"/>
      <c r="E61" s="268"/>
      <c r="F61" s="268"/>
      <c r="G61" s="268"/>
      <c r="H61" s="268"/>
      <c r="I61" s="268"/>
      <c r="J61" s="268"/>
      <c r="K61" s="268"/>
      <c r="L61" s="268"/>
      <c r="M61" s="268"/>
      <c r="N61" s="268"/>
      <c r="O61" s="268"/>
      <c r="P61" s="268"/>
      <c r="Q61" s="268"/>
      <c r="R61" s="268"/>
      <c r="S61" s="268"/>
      <c r="T61" s="269"/>
      <c r="U61" s="270"/>
      <c r="V61" s="269"/>
      <c r="W61" s="268"/>
      <c r="X61" s="5"/>
    </row>
    <row r="62" spans="1:25" ht="15.6" x14ac:dyDescent="0.3">
      <c r="A62" s="175"/>
      <c r="B62" s="220"/>
      <c r="C62" s="220"/>
      <c r="D62" s="220"/>
      <c r="E62" s="220"/>
      <c r="F62" s="220"/>
      <c r="G62" s="220"/>
      <c r="H62" s="220"/>
      <c r="I62" s="220"/>
      <c r="J62" s="220"/>
      <c r="K62" s="220"/>
      <c r="L62" s="220"/>
      <c r="M62" s="220"/>
      <c r="N62" s="220"/>
      <c r="O62" s="220"/>
      <c r="P62" s="220"/>
      <c r="Q62" s="220"/>
      <c r="R62" s="220"/>
      <c r="S62" s="220"/>
      <c r="T62" s="232"/>
      <c r="U62" s="233"/>
      <c r="V62" s="232"/>
      <c r="W62" s="220"/>
      <c r="X62" s="5"/>
    </row>
    <row r="63" spans="1:25" ht="18" thickBot="1" x14ac:dyDescent="0.35">
      <c r="A63" s="194"/>
      <c r="B63" s="234" t="s">
        <v>361</v>
      </c>
      <c r="C63" s="235"/>
      <c r="D63" s="235"/>
      <c r="E63" s="235"/>
      <c r="F63" s="235"/>
      <c r="G63" s="235"/>
      <c r="H63" s="235"/>
      <c r="I63" s="235"/>
      <c r="J63" s="235"/>
      <c r="K63" s="235"/>
      <c r="L63" s="235"/>
      <c r="M63" s="235"/>
      <c r="N63" s="235"/>
      <c r="O63" s="235"/>
      <c r="P63" s="235"/>
      <c r="Q63" s="235"/>
      <c r="R63" s="235"/>
      <c r="S63" s="235"/>
      <c r="T63" s="235"/>
      <c r="U63" s="235"/>
      <c r="V63" s="236"/>
      <c r="W63" s="237"/>
      <c r="X63" s="5"/>
    </row>
    <row r="64" spans="1:25" ht="15.6" x14ac:dyDescent="0.3">
      <c r="A64" s="239"/>
      <c r="B64" s="253" t="s">
        <v>17</v>
      </c>
      <c r="C64" s="240"/>
      <c r="D64" s="240"/>
      <c r="E64" s="240"/>
      <c r="F64" s="240"/>
      <c r="G64" s="240"/>
      <c r="H64" s="240"/>
      <c r="I64" s="240"/>
      <c r="J64" s="240"/>
      <c r="K64" s="240"/>
      <c r="L64" s="240"/>
      <c r="M64" s="240"/>
      <c r="N64" s="240"/>
      <c r="O64" s="240"/>
      <c r="P64" s="240"/>
      <c r="Q64" s="240"/>
      <c r="R64" s="240"/>
      <c r="S64" s="240"/>
      <c r="T64" s="240"/>
      <c r="U64" s="240"/>
      <c r="V64" s="241"/>
      <c r="W64" s="240"/>
      <c r="X64" s="5"/>
    </row>
    <row r="65" spans="1:24" ht="15.6" x14ac:dyDescent="0.3">
      <c r="A65" s="175"/>
      <c r="B65" s="183"/>
      <c r="C65" s="177"/>
      <c r="D65" s="177"/>
      <c r="E65" s="177"/>
      <c r="F65" s="177"/>
      <c r="G65" s="177"/>
      <c r="H65" s="177"/>
      <c r="I65" s="177"/>
      <c r="J65" s="177"/>
      <c r="K65" s="177"/>
      <c r="L65" s="177"/>
      <c r="M65" s="177"/>
      <c r="N65" s="177"/>
      <c r="O65" s="177"/>
      <c r="P65" s="177"/>
      <c r="Q65" s="177"/>
      <c r="R65" s="177"/>
      <c r="S65" s="177"/>
      <c r="T65" s="177"/>
      <c r="U65" s="177"/>
      <c r="V65" s="196"/>
      <c r="W65" s="177"/>
      <c r="X65" s="5"/>
    </row>
    <row r="66" spans="1:24" ht="46.8" x14ac:dyDescent="0.3">
      <c r="A66" s="175"/>
      <c r="B66" s="197" t="s">
        <v>18</v>
      </c>
      <c r="C66" s="198"/>
      <c r="D66" s="198"/>
      <c r="E66" s="198"/>
      <c r="F66" s="198"/>
      <c r="G66" s="198"/>
      <c r="H66" s="198"/>
      <c r="I66" s="198"/>
      <c r="J66" s="198"/>
      <c r="K66" s="198"/>
      <c r="L66" s="198" t="s">
        <v>95</v>
      </c>
      <c r="M66" s="198"/>
      <c r="N66" s="198" t="s">
        <v>97</v>
      </c>
      <c r="O66" s="198"/>
      <c r="P66" s="198" t="s">
        <v>99</v>
      </c>
      <c r="Q66" s="198"/>
      <c r="R66" s="198" t="s">
        <v>101</v>
      </c>
      <c r="S66" s="198"/>
      <c r="T66" s="198" t="s">
        <v>108</v>
      </c>
      <c r="U66" s="198"/>
      <c r="V66" s="199" t="s">
        <v>115</v>
      </c>
      <c r="W66" s="200"/>
      <c r="X66" s="5"/>
    </row>
    <row r="67" spans="1:24" ht="15.6" x14ac:dyDescent="0.3">
      <c r="A67" s="271"/>
      <c r="B67" s="272" t="s">
        <v>19</v>
      </c>
      <c r="C67" s="324"/>
      <c r="D67" s="324"/>
      <c r="E67" s="324"/>
      <c r="F67" s="324"/>
      <c r="G67" s="324"/>
      <c r="H67" s="324"/>
      <c r="I67" s="324"/>
      <c r="J67" s="324"/>
      <c r="K67" s="324"/>
      <c r="L67" s="324">
        <f>1085286</f>
        <v>1085286</v>
      </c>
      <c r="M67" s="324"/>
      <c r="N67" s="325">
        <v>813100</v>
      </c>
      <c r="O67" s="324"/>
      <c r="P67" s="324">
        <f>12868+357</f>
        <v>13225</v>
      </c>
      <c r="Q67" s="324"/>
      <c r="R67" s="324">
        <v>357</v>
      </c>
      <c r="S67" s="324"/>
      <c r="T67" s="324">
        <v>0</v>
      </c>
      <c r="U67" s="324"/>
      <c r="V67" s="325">
        <f>+N67-P67+R67-T67</f>
        <v>800232</v>
      </c>
      <c r="W67" s="275"/>
      <c r="X67" s="5"/>
    </row>
    <row r="68" spans="1:24" ht="15.6" x14ac:dyDescent="0.3">
      <c r="A68" s="271"/>
      <c r="B68" s="272" t="s">
        <v>20</v>
      </c>
      <c r="C68" s="324"/>
      <c r="D68" s="324"/>
      <c r="E68" s="324"/>
      <c r="F68" s="324"/>
      <c r="G68" s="324"/>
      <c r="H68" s="324"/>
      <c r="I68" s="324"/>
      <c r="J68" s="324"/>
      <c r="K68" s="324"/>
      <c r="L68" s="324">
        <v>35</v>
      </c>
      <c r="M68" s="324"/>
      <c r="N68" s="325">
        <v>0</v>
      </c>
      <c r="O68" s="324"/>
      <c r="P68" s="324">
        <v>0</v>
      </c>
      <c r="Q68" s="324"/>
      <c r="R68" s="324">
        <v>0</v>
      </c>
      <c r="S68" s="324"/>
      <c r="T68" s="324">
        <v>0</v>
      </c>
      <c r="U68" s="324"/>
      <c r="V68" s="325">
        <f>+N68-P68</f>
        <v>0</v>
      </c>
      <c r="W68" s="275"/>
      <c r="X68" s="5"/>
    </row>
    <row r="69" spans="1:24" ht="15.6" x14ac:dyDescent="0.3">
      <c r="A69" s="271"/>
      <c r="B69" s="272"/>
      <c r="C69" s="324"/>
      <c r="D69" s="324"/>
      <c r="E69" s="324"/>
      <c r="F69" s="324"/>
      <c r="G69" s="324"/>
      <c r="H69" s="324"/>
      <c r="I69" s="324"/>
      <c r="J69" s="324"/>
      <c r="K69" s="324"/>
      <c r="L69" s="324"/>
      <c r="M69" s="324"/>
      <c r="N69" s="325"/>
      <c r="O69" s="324"/>
      <c r="P69" s="324"/>
      <c r="Q69" s="324"/>
      <c r="R69" s="324"/>
      <c r="S69" s="324"/>
      <c r="T69" s="324"/>
      <c r="U69" s="324"/>
      <c r="V69" s="325"/>
      <c r="W69" s="275"/>
      <c r="X69" s="5"/>
    </row>
    <row r="70" spans="1:24" ht="15.6" x14ac:dyDescent="0.3">
      <c r="A70" s="271"/>
      <c r="B70" s="272" t="s">
        <v>21</v>
      </c>
      <c r="C70" s="324"/>
      <c r="D70" s="324"/>
      <c r="E70" s="324"/>
      <c r="F70" s="324"/>
      <c r="G70" s="324"/>
      <c r="H70" s="324"/>
      <c r="I70" s="324"/>
      <c r="J70" s="324"/>
      <c r="K70" s="324"/>
      <c r="L70" s="324">
        <f>SUM(L67:L69)</f>
        <v>1085321</v>
      </c>
      <c r="M70" s="324"/>
      <c r="N70" s="324">
        <f>N67+N68</f>
        <v>813100</v>
      </c>
      <c r="O70" s="324"/>
      <c r="P70" s="324">
        <f>SUM(P67:P69)</f>
        <v>13225</v>
      </c>
      <c r="Q70" s="324"/>
      <c r="R70" s="324">
        <f>SUM(R67:R69)</f>
        <v>357</v>
      </c>
      <c r="S70" s="324"/>
      <c r="T70" s="324">
        <f>SUM(T67:T69)</f>
        <v>0</v>
      </c>
      <c r="U70" s="324"/>
      <c r="V70" s="324">
        <f>SUM(V67:V69)</f>
        <v>800232</v>
      </c>
      <c r="W70" s="275"/>
      <c r="X70" s="5"/>
    </row>
    <row r="71" spans="1:24" ht="15.6" x14ac:dyDescent="0.3">
      <c r="A71" s="175"/>
      <c r="B71" s="321"/>
      <c r="C71" s="322"/>
      <c r="D71" s="322"/>
      <c r="E71" s="322"/>
      <c r="F71" s="322"/>
      <c r="G71" s="322"/>
      <c r="H71" s="322"/>
      <c r="I71" s="322"/>
      <c r="J71" s="322"/>
      <c r="K71" s="322"/>
      <c r="L71" s="322"/>
      <c r="M71" s="322"/>
      <c r="N71" s="322"/>
      <c r="O71" s="322"/>
      <c r="P71" s="322"/>
      <c r="Q71" s="322"/>
      <c r="R71" s="322"/>
      <c r="S71" s="322"/>
      <c r="T71" s="322"/>
      <c r="U71" s="322"/>
      <c r="V71" s="323"/>
      <c r="W71" s="321"/>
      <c r="X71" s="5"/>
    </row>
    <row r="72" spans="1:24" ht="15.6" x14ac:dyDescent="0.3">
      <c r="A72" s="175"/>
      <c r="B72" s="179" t="s">
        <v>22</v>
      </c>
      <c r="C72" s="201"/>
      <c r="D72" s="201"/>
      <c r="E72" s="201"/>
      <c r="F72" s="201"/>
      <c r="G72" s="201"/>
      <c r="H72" s="201"/>
      <c r="I72" s="201"/>
      <c r="J72" s="201"/>
      <c r="K72" s="201"/>
      <c r="L72" s="201"/>
      <c r="M72" s="201"/>
      <c r="N72" s="201"/>
      <c r="O72" s="201"/>
      <c r="P72" s="201"/>
      <c r="Q72" s="201"/>
      <c r="R72" s="201"/>
      <c r="S72" s="201"/>
      <c r="T72" s="201"/>
      <c r="U72" s="201"/>
      <c r="V72" s="202"/>
      <c r="W72" s="177"/>
      <c r="X72" s="5"/>
    </row>
    <row r="73" spans="1:24" ht="15.6" x14ac:dyDescent="0.3">
      <c r="A73" s="175"/>
      <c r="B73" s="177"/>
      <c r="C73" s="201"/>
      <c r="D73" s="201"/>
      <c r="E73" s="201"/>
      <c r="F73" s="201"/>
      <c r="G73" s="201"/>
      <c r="H73" s="201"/>
      <c r="I73" s="201"/>
      <c r="J73" s="201"/>
      <c r="K73" s="201"/>
      <c r="L73" s="201"/>
      <c r="M73" s="201"/>
      <c r="N73" s="201"/>
      <c r="O73" s="201"/>
      <c r="P73" s="201"/>
      <c r="Q73" s="201"/>
      <c r="R73" s="201"/>
      <c r="S73" s="201"/>
      <c r="T73" s="201"/>
      <c r="U73" s="201"/>
      <c r="V73" s="202"/>
      <c r="W73" s="177"/>
      <c r="X73" s="5"/>
    </row>
    <row r="74" spans="1:24" ht="15.6" x14ac:dyDescent="0.3">
      <c r="A74" s="271"/>
      <c r="B74" s="272" t="s">
        <v>19</v>
      </c>
      <c r="C74" s="324"/>
      <c r="D74" s="324"/>
      <c r="E74" s="324"/>
      <c r="F74" s="324"/>
      <c r="G74" s="324"/>
      <c r="H74" s="324"/>
      <c r="I74" s="324"/>
      <c r="J74" s="324"/>
      <c r="K74" s="324"/>
      <c r="L74" s="324"/>
      <c r="M74" s="324"/>
      <c r="N74" s="324"/>
      <c r="O74" s="324"/>
      <c r="P74" s="324"/>
      <c r="Q74" s="324"/>
      <c r="R74" s="324"/>
      <c r="S74" s="324"/>
      <c r="T74" s="324"/>
      <c r="U74" s="324"/>
      <c r="V74" s="324"/>
      <c r="W74" s="275"/>
      <c r="X74" s="5"/>
    </row>
    <row r="75" spans="1:24" ht="15.6" x14ac:dyDescent="0.3">
      <c r="A75" s="271"/>
      <c r="B75" s="272" t="s">
        <v>20</v>
      </c>
      <c r="C75" s="324"/>
      <c r="D75" s="324"/>
      <c r="E75" s="324"/>
      <c r="F75" s="324"/>
      <c r="G75" s="324"/>
      <c r="H75" s="324"/>
      <c r="I75" s="324"/>
      <c r="J75" s="324"/>
      <c r="K75" s="324"/>
      <c r="L75" s="324"/>
      <c r="M75" s="324"/>
      <c r="N75" s="324"/>
      <c r="O75" s="324"/>
      <c r="P75" s="324"/>
      <c r="Q75" s="324"/>
      <c r="R75" s="324"/>
      <c r="S75" s="324"/>
      <c r="T75" s="324"/>
      <c r="U75" s="324"/>
      <c r="V75" s="324"/>
      <c r="W75" s="275"/>
      <c r="X75" s="5"/>
    </row>
    <row r="76" spans="1:24" ht="15.6" x14ac:dyDescent="0.3">
      <c r="A76" s="271"/>
      <c r="B76" s="272"/>
      <c r="C76" s="324"/>
      <c r="D76" s="324"/>
      <c r="E76" s="324"/>
      <c r="F76" s="324"/>
      <c r="G76" s="324"/>
      <c r="H76" s="324"/>
      <c r="I76" s="324"/>
      <c r="J76" s="324"/>
      <c r="K76" s="324"/>
      <c r="L76" s="324"/>
      <c r="M76" s="324"/>
      <c r="N76" s="324"/>
      <c r="O76" s="324"/>
      <c r="P76" s="324"/>
      <c r="Q76" s="324"/>
      <c r="R76" s="324"/>
      <c r="S76" s="324"/>
      <c r="T76" s="324"/>
      <c r="U76" s="324"/>
      <c r="V76" s="324"/>
      <c r="W76" s="275"/>
      <c r="X76" s="5"/>
    </row>
    <row r="77" spans="1:24" ht="15.6" x14ac:dyDescent="0.3">
      <c r="A77" s="271"/>
      <c r="B77" s="272" t="s">
        <v>21</v>
      </c>
      <c r="C77" s="324"/>
      <c r="D77" s="324"/>
      <c r="E77" s="324"/>
      <c r="F77" s="324"/>
      <c r="G77" s="324"/>
      <c r="H77" s="324"/>
      <c r="I77" s="324"/>
      <c r="J77" s="324"/>
      <c r="K77" s="324"/>
      <c r="L77" s="324"/>
      <c r="M77" s="324"/>
      <c r="N77" s="324"/>
      <c r="O77" s="324"/>
      <c r="P77" s="324"/>
      <c r="Q77" s="324"/>
      <c r="R77" s="324"/>
      <c r="S77" s="324"/>
      <c r="T77" s="324"/>
      <c r="U77" s="324"/>
      <c r="V77" s="324"/>
      <c r="W77" s="275"/>
      <c r="X77" s="5"/>
    </row>
    <row r="78" spans="1:24" ht="15.6" x14ac:dyDescent="0.3">
      <c r="A78" s="271"/>
      <c r="B78" s="272"/>
      <c r="C78" s="324"/>
      <c r="D78" s="324"/>
      <c r="E78" s="324"/>
      <c r="F78" s="324"/>
      <c r="G78" s="324"/>
      <c r="H78" s="324"/>
      <c r="I78" s="324"/>
      <c r="J78" s="324"/>
      <c r="K78" s="324"/>
      <c r="L78" s="324"/>
      <c r="M78" s="324"/>
      <c r="N78" s="324"/>
      <c r="O78" s="324"/>
      <c r="P78" s="324"/>
      <c r="Q78" s="324"/>
      <c r="R78" s="324"/>
      <c r="S78" s="324"/>
      <c r="T78" s="324"/>
      <c r="U78" s="324"/>
      <c r="V78" s="324"/>
      <c r="W78" s="275"/>
      <c r="X78" s="5"/>
    </row>
    <row r="79" spans="1:24" ht="15.6" x14ac:dyDescent="0.3">
      <c r="A79" s="271"/>
      <c r="B79" s="272" t="s">
        <v>23</v>
      </c>
      <c r="C79" s="324"/>
      <c r="D79" s="324"/>
      <c r="E79" s="324"/>
      <c r="F79" s="324"/>
      <c r="G79" s="324"/>
      <c r="H79" s="324"/>
      <c r="I79" s="324"/>
      <c r="J79" s="324"/>
      <c r="K79" s="324"/>
      <c r="L79" s="324">
        <v>0</v>
      </c>
      <c r="M79" s="324"/>
      <c r="N79" s="324">
        <v>0</v>
      </c>
      <c r="O79" s="324"/>
      <c r="P79" s="324"/>
      <c r="Q79" s="324"/>
      <c r="R79" s="324"/>
      <c r="S79" s="324"/>
      <c r="T79" s="324"/>
      <c r="U79" s="324"/>
      <c r="V79" s="325">
        <v>0</v>
      </c>
      <c r="W79" s="275"/>
      <c r="X79" s="5"/>
    </row>
    <row r="80" spans="1:24" ht="15.6" x14ac:dyDescent="0.3">
      <c r="A80" s="271"/>
      <c r="B80" s="272" t="s">
        <v>120</v>
      </c>
      <c r="C80" s="324"/>
      <c r="D80" s="324"/>
      <c r="E80" s="324"/>
      <c r="F80" s="324"/>
      <c r="G80" s="324"/>
      <c r="H80" s="324"/>
      <c r="I80" s="324"/>
      <c r="J80" s="324"/>
      <c r="K80" s="324"/>
      <c r="L80" s="324">
        <f>414862+7</f>
        <v>414869</v>
      </c>
      <c r="M80" s="324"/>
      <c r="N80" s="324">
        <v>0</v>
      </c>
      <c r="O80" s="324"/>
      <c r="P80" s="324">
        <v>0</v>
      </c>
      <c r="Q80" s="324"/>
      <c r="R80" s="324"/>
      <c r="S80" s="324"/>
      <c r="T80" s="324"/>
      <c r="U80" s="324"/>
      <c r="V80" s="324">
        <f>SUM(N80:R80)</f>
        <v>0</v>
      </c>
      <c r="W80" s="275"/>
      <c r="X80" s="5"/>
    </row>
    <row r="81" spans="1:24" ht="15.6" x14ac:dyDescent="0.3">
      <c r="A81" s="271"/>
      <c r="B81" s="272" t="s">
        <v>149</v>
      </c>
      <c r="C81" s="324"/>
      <c r="D81" s="324"/>
      <c r="E81" s="324"/>
      <c r="F81" s="324"/>
      <c r="G81" s="324"/>
      <c r="H81" s="324"/>
      <c r="I81" s="324"/>
      <c r="J81" s="324"/>
      <c r="K81" s="324"/>
      <c r="L81" s="324">
        <v>0</v>
      </c>
      <c r="M81" s="324"/>
      <c r="N81" s="324">
        <v>0</v>
      </c>
      <c r="O81" s="324"/>
      <c r="P81" s="324">
        <v>0</v>
      </c>
      <c r="Q81" s="324"/>
      <c r="R81" s="324"/>
      <c r="S81" s="324"/>
      <c r="T81" s="324"/>
      <c r="U81" s="324"/>
      <c r="V81" s="324">
        <f>+N81+P81</f>
        <v>0</v>
      </c>
      <c r="W81" s="275"/>
      <c r="X81" s="5"/>
    </row>
    <row r="82" spans="1:24" ht="15.6" x14ac:dyDescent="0.3">
      <c r="A82" s="271"/>
      <c r="B82" s="272" t="s">
        <v>25</v>
      </c>
      <c r="C82" s="324"/>
      <c r="D82" s="324"/>
      <c r="E82" s="324"/>
      <c r="F82" s="324"/>
      <c r="G82" s="324"/>
      <c r="H82" s="324"/>
      <c r="I82" s="324"/>
      <c r="J82" s="324"/>
      <c r="K82" s="324"/>
      <c r="L82" s="324">
        <v>0</v>
      </c>
      <c r="M82" s="324"/>
      <c r="N82" s="324">
        <v>0</v>
      </c>
      <c r="O82" s="324"/>
      <c r="P82" s="324"/>
      <c r="Q82" s="324"/>
      <c r="R82" s="324"/>
      <c r="S82" s="324"/>
      <c r="T82" s="324"/>
      <c r="U82" s="324"/>
      <c r="V82" s="324">
        <v>0</v>
      </c>
      <c r="W82" s="275"/>
      <c r="X82" s="5"/>
    </row>
    <row r="83" spans="1:24" ht="15.6" x14ac:dyDescent="0.3">
      <c r="A83" s="326"/>
      <c r="B83" s="327" t="s">
        <v>26</v>
      </c>
      <c r="C83" s="328"/>
      <c r="D83" s="328"/>
      <c r="E83" s="328"/>
      <c r="F83" s="328"/>
      <c r="G83" s="328"/>
      <c r="H83" s="328"/>
      <c r="I83" s="328"/>
      <c r="J83" s="328"/>
      <c r="K83" s="328"/>
      <c r="L83" s="328">
        <f>SUM(L70:L82)</f>
        <v>1500190</v>
      </c>
      <c r="M83" s="328"/>
      <c r="N83" s="328">
        <f>SUM(N70:N82)</f>
        <v>813100</v>
      </c>
      <c r="O83" s="328"/>
      <c r="P83" s="328"/>
      <c r="Q83" s="328"/>
      <c r="R83" s="328"/>
      <c r="S83" s="328"/>
      <c r="T83" s="328"/>
      <c r="U83" s="328"/>
      <c r="V83" s="328">
        <f>SUM(V70:V82)</f>
        <v>800232</v>
      </c>
      <c r="W83" s="329"/>
      <c r="X83" s="5"/>
    </row>
    <row r="84" spans="1:24" ht="15.6" x14ac:dyDescent="0.3">
      <c r="A84" s="192"/>
      <c r="B84" s="229"/>
      <c r="C84" s="231"/>
      <c r="D84" s="231"/>
      <c r="E84" s="231"/>
      <c r="F84" s="231"/>
      <c r="G84" s="231"/>
      <c r="H84" s="231"/>
      <c r="I84" s="231"/>
      <c r="J84" s="231"/>
      <c r="K84" s="231"/>
      <c r="L84" s="231"/>
      <c r="M84" s="231"/>
      <c r="N84" s="231"/>
      <c r="O84" s="231"/>
      <c r="P84" s="231"/>
      <c r="Q84" s="231"/>
      <c r="R84" s="231"/>
      <c r="S84" s="231"/>
      <c r="T84" s="231"/>
      <c r="U84" s="231"/>
      <c r="V84" s="231"/>
      <c r="W84" s="229"/>
      <c r="X84" s="5"/>
    </row>
    <row r="85" spans="1:24" ht="15.6" x14ac:dyDescent="0.3">
      <c r="A85" s="175"/>
      <c r="B85" s="220"/>
      <c r="C85" s="220"/>
      <c r="D85" s="220"/>
      <c r="E85" s="220"/>
      <c r="F85" s="220"/>
      <c r="G85" s="220"/>
      <c r="H85" s="220"/>
      <c r="I85" s="220"/>
      <c r="J85" s="220"/>
      <c r="K85" s="220"/>
      <c r="L85" s="220"/>
      <c r="M85" s="220"/>
      <c r="N85" s="220"/>
      <c r="O85" s="220"/>
      <c r="P85" s="220"/>
      <c r="Q85" s="220"/>
      <c r="R85" s="220"/>
      <c r="S85" s="220"/>
      <c r="T85" s="220"/>
      <c r="U85" s="220"/>
      <c r="V85" s="220"/>
      <c r="W85" s="220"/>
      <c r="X85" s="5"/>
    </row>
    <row r="86" spans="1:24" ht="15.6" x14ac:dyDescent="0.3">
      <c r="A86" s="239"/>
      <c r="B86" s="253" t="s">
        <v>27</v>
      </c>
      <c r="C86" s="253"/>
      <c r="D86" s="253"/>
      <c r="E86" s="253"/>
      <c r="F86" s="253"/>
      <c r="G86" s="253"/>
      <c r="H86" s="254"/>
      <c r="I86" s="254"/>
      <c r="J86" s="254"/>
      <c r="K86" s="254"/>
      <c r="L86" s="330" t="s">
        <v>96</v>
      </c>
      <c r="M86" s="254"/>
      <c r="N86" s="331">
        <f>+T198</f>
        <v>42916</v>
      </c>
      <c r="O86" s="254"/>
      <c r="P86" s="254"/>
      <c r="Q86" s="254"/>
      <c r="R86" s="254"/>
      <c r="S86" s="254"/>
      <c r="T86" s="254" t="s">
        <v>109</v>
      </c>
      <c r="U86" s="254"/>
      <c r="V86" s="254" t="s">
        <v>116</v>
      </c>
      <c r="W86" s="240"/>
      <c r="X86" s="5"/>
    </row>
    <row r="87" spans="1:24" ht="15.6" x14ac:dyDescent="0.3">
      <c r="A87" s="271"/>
      <c r="B87" s="272" t="s">
        <v>28</v>
      </c>
      <c r="C87" s="272"/>
      <c r="D87" s="272"/>
      <c r="E87" s="272"/>
      <c r="F87" s="272"/>
      <c r="G87" s="272"/>
      <c r="H87" s="272"/>
      <c r="I87" s="272"/>
      <c r="J87" s="272"/>
      <c r="K87" s="272"/>
      <c r="L87" s="272"/>
      <c r="M87" s="272"/>
      <c r="N87" s="272"/>
      <c r="O87" s="272"/>
      <c r="P87" s="272"/>
      <c r="Q87" s="272"/>
      <c r="R87" s="272"/>
      <c r="S87" s="272"/>
      <c r="T87" s="324">
        <v>0</v>
      </c>
      <c r="U87" s="272"/>
      <c r="V87" s="325">
        <v>0</v>
      </c>
      <c r="W87" s="275"/>
      <c r="X87" s="5"/>
    </row>
    <row r="88" spans="1:24" ht="15.6" x14ac:dyDescent="0.3">
      <c r="A88" s="271"/>
      <c r="B88" s="272" t="s">
        <v>29</v>
      </c>
      <c r="C88" s="272"/>
      <c r="D88" s="272"/>
      <c r="E88" s="272"/>
      <c r="F88" s="272"/>
      <c r="G88" s="272"/>
      <c r="H88" s="311"/>
      <c r="I88" s="311"/>
      <c r="J88" s="311"/>
      <c r="K88" s="333"/>
      <c r="L88" s="311"/>
      <c r="M88" s="272"/>
      <c r="N88" s="334"/>
      <c r="O88" s="272"/>
      <c r="P88" s="272"/>
      <c r="Q88" s="272"/>
      <c r="R88" s="272"/>
      <c r="S88" s="272"/>
      <c r="T88" s="324">
        <f>13225-37</f>
        <v>13188</v>
      </c>
      <c r="U88" s="272"/>
      <c r="V88" s="325"/>
      <c r="W88" s="275"/>
      <c r="X88" s="5"/>
    </row>
    <row r="89" spans="1:24" ht="15.6" x14ac:dyDescent="0.3">
      <c r="A89" s="271"/>
      <c r="B89" s="272" t="s">
        <v>219</v>
      </c>
      <c r="C89" s="272"/>
      <c r="D89" s="272"/>
      <c r="E89" s="272"/>
      <c r="F89" s="272"/>
      <c r="G89" s="272"/>
      <c r="H89" s="311"/>
      <c r="I89" s="311"/>
      <c r="J89" s="311"/>
      <c r="K89" s="333"/>
      <c r="L89" s="311"/>
      <c r="M89" s="272"/>
      <c r="N89" s="334"/>
      <c r="O89" s="272"/>
      <c r="P89" s="272"/>
      <c r="Q89" s="272"/>
      <c r="R89" s="272"/>
      <c r="S89" s="272"/>
      <c r="T89" s="324"/>
      <c r="U89" s="272"/>
      <c r="V89" s="325">
        <f>3638+2500-791-1099</f>
        <v>4248</v>
      </c>
      <c r="W89" s="275"/>
      <c r="X89" s="5"/>
    </row>
    <row r="90" spans="1:24" ht="15.6" x14ac:dyDescent="0.3">
      <c r="A90" s="271"/>
      <c r="B90" s="272" t="s">
        <v>214</v>
      </c>
      <c r="C90" s="272"/>
      <c r="D90" s="272"/>
      <c r="E90" s="272"/>
      <c r="F90" s="272"/>
      <c r="G90" s="272"/>
      <c r="H90" s="311"/>
      <c r="I90" s="311"/>
      <c r="J90" s="311"/>
      <c r="K90" s="333"/>
      <c r="L90" s="311"/>
      <c r="M90" s="272"/>
      <c r="N90" s="334"/>
      <c r="O90" s="272"/>
      <c r="P90" s="272"/>
      <c r="Q90" s="272"/>
      <c r="R90" s="272"/>
      <c r="S90" s="272"/>
      <c r="T90" s="324"/>
      <c r="U90" s="272"/>
      <c r="V90" s="325">
        <f>27+43</f>
        <v>70</v>
      </c>
      <c r="W90" s="275"/>
      <c r="X90" s="5"/>
    </row>
    <row r="91" spans="1:24" ht="15.6" x14ac:dyDescent="0.3">
      <c r="A91" s="271"/>
      <c r="B91" s="272" t="s">
        <v>215</v>
      </c>
      <c r="C91" s="272"/>
      <c r="D91" s="272"/>
      <c r="E91" s="272"/>
      <c r="F91" s="272"/>
      <c r="G91" s="272"/>
      <c r="H91" s="311"/>
      <c r="I91" s="311"/>
      <c r="J91" s="311"/>
      <c r="K91" s="333"/>
      <c r="L91" s="311"/>
      <c r="M91" s="272"/>
      <c r="N91" s="334"/>
      <c r="O91" s="272"/>
      <c r="P91" s="272"/>
      <c r="Q91" s="272"/>
      <c r="R91" s="272"/>
      <c r="S91" s="272"/>
      <c r="T91" s="324"/>
      <c r="U91" s="272"/>
      <c r="V91" s="325">
        <v>33</v>
      </c>
      <c r="W91" s="275"/>
      <c r="X91" s="5"/>
    </row>
    <row r="92" spans="1:24" ht="15.6" x14ac:dyDescent="0.3">
      <c r="A92" s="271"/>
      <c r="B92" s="272" t="s">
        <v>277</v>
      </c>
      <c r="C92" s="272"/>
      <c r="D92" s="272"/>
      <c r="E92" s="272"/>
      <c r="F92" s="272"/>
      <c r="G92" s="272"/>
      <c r="H92" s="311"/>
      <c r="I92" s="311"/>
      <c r="J92" s="311"/>
      <c r="K92" s="333"/>
      <c r="L92" s="311"/>
      <c r="M92" s="272"/>
      <c r="N92" s="334"/>
      <c r="O92" s="272"/>
      <c r="P92" s="272"/>
      <c r="Q92" s="272"/>
      <c r="R92" s="272"/>
      <c r="S92" s="272"/>
      <c r="T92" s="324"/>
      <c r="U92" s="272"/>
      <c r="V92" s="325">
        <v>0</v>
      </c>
      <c r="W92" s="275"/>
      <c r="X92" s="5"/>
    </row>
    <row r="93" spans="1:24" ht="15.6" x14ac:dyDescent="0.3">
      <c r="A93" s="271"/>
      <c r="B93" s="272" t="s">
        <v>138</v>
      </c>
      <c r="C93" s="272"/>
      <c r="D93" s="272"/>
      <c r="E93" s="272"/>
      <c r="F93" s="272"/>
      <c r="G93" s="272"/>
      <c r="H93" s="272"/>
      <c r="I93" s="272"/>
      <c r="J93" s="272"/>
      <c r="K93" s="272"/>
      <c r="L93" s="272"/>
      <c r="M93" s="272"/>
      <c r="N93" s="272"/>
      <c r="O93" s="272"/>
      <c r="P93" s="272"/>
      <c r="Q93" s="272"/>
      <c r="R93" s="272"/>
      <c r="S93" s="272"/>
      <c r="T93" s="324"/>
      <c r="U93" s="272"/>
      <c r="V93" s="325">
        <v>0</v>
      </c>
      <c r="W93" s="275"/>
      <c r="X93" s="5"/>
    </row>
    <row r="94" spans="1:24" ht="15.6" x14ac:dyDescent="0.3">
      <c r="A94" s="271"/>
      <c r="B94" s="272" t="s">
        <v>265</v>
      </c>
      <c r="C94" s="272"/>
      <c r="D94" s="272"/>
      <c r="E94" s="272"/>
      <c r="F94" s="272"/>
      <c r="G94" s="272"/>
      <c r="H94" s="272"/>
      <c r="I94" s="272"/>
      <c r="J94" s="272"/>
      <c r="K94" s="272"/>
      <c r="L94" s="272"/>
      <c r="M94" s="272"/>
      <c r="N94" s="272"/>
      <c r="O94" s="272"/>
      <c r="P94" s="272"/>
      <c r="Q94" s="272"/>
      <c r="R94" s="272"/>
      <c r="S94" s="272"/>
      <c r="T94" s="324"/>
      <c r="U94" s="272"/>
      <c r="V94" s="325">
        <v>393</v>
      </c>
      <c r="W94" s="275"/>
      <c r="X94" s="5"/>
    </row>
    <row r="95" spans="1:24" ht="15.6" x14ac:dyDescent="0.3">
      <c r="A95" s="271"/>
      <c r="B95" s="272" t="s">
        <v>30</v>
      </c>
      <c r="C95" s="272"/>
      <c r="D95" s="272"/>
      <c r="E95" s="272"/>
      <c r="F95" s="272"/>
      <c r="G95" s="272"/>
      <c r="H95" s="272"/>
      <c r="I95" s="272"/>
      <c r="J95" s="272"/>
      <c r="K95" s="272"/>
      <c r="L95" s="272"/>
      <c r="M95" s="272"/>
      <c r="N95" s="272"/>
      <c r="O95" s="272"/>
      <c r="P95" s="272"/>
      <c r="Q95" s="272"/>
      <c r="R95" s="272"/>
      <c r="S95" s="272"/>
      <c r="T95" s="324">
        <f>SUM(T87:T94)</f>
        <v>13188</v>
      </c>
      <c r="U95" s="272"/>
      <c r="V95" s="324">
        <f>SUM(V87:V94)</f>
        <v>4744</v>
      </c>
      <c r="W95" s="275"/>
      <c r="X95" s="5"/>
    </row>
    <row r="96" spans="1:24" ht="15.6" x14ac:dyDescent="0.3">
      <c r="A96" s="271"/>
      <c r="B96" s="272" t="s">
        <v>164</v>
      </c>
      <c r="C96" s="272"/>
      <c r="D96" s="272"/>
      <c r="E96" s="272"/>
      <c r="F96" s="272"/>
      <c r="G96" s="272"/>
      <c r="H96" s="272"/>
      <c r="I96" s="272"/>
      <c r="J96" s="272"/>
      <c r="K96" s="272"/>
      <c r="L96" s="272"/>
      <c r="M96" s="272"/>
      <c r="N96" s="272"/>
      <c r="O96" s="272"/>
      <c r="P96" s="272"/>
      <c r="Q96" s="272"/>
      <c r="R96" s="272"/>
      <c r="S96" s="272"/>
      <c r="T96" s="324">
        <f>-V96</f>
        <v>0</v>
      </c>
      <c r="U96" s="272"/>
      <c r="V96" s="324">
        <v>0</v>
      </c>
      <c r="W96" s="275"/>
      <c r="X96" s="5"/>
    </row>
    <row r="97" spans="1:26" ht="15.6" x14ac:dyDescent="0.3">
      <c r="A97" s="271"/>
      <c r="B97" s="272" t="s">
        <v>31</v>
      </c>
      <c r="C97" s="272"/>
      <c r="D97" s="272"/>
      <c r="E97" s="272"/>
      <c r="F97" s="272"/>
      <c r="G97" s="272"/>
      <c r="H97" s="272"/>
      <c r="I97" s="272"/>
      <c r="J97" s="272"/>
      <c r="K97" s="272"/>
      <c r="L97" s="272"/>
      <c r="M97" s="272"/>
      <c r="N97" s="272"/>
      <c r="O97" s="272"/>
      <c r="P97" s="272"/>
      <c r="Q97" s="272"/>
      <c r="R97" s="272"/>
      <c r="S97" s="272"/>
      <c r="T97" s="324">
        <f>-V97</f>
        <v>0</v>
      </c>
      <c r="U97" s="272"/>
      <c r="V97" s="325">
        <v>0</v>
      </c>
      <c r="W97" s="275"/>
      <c r="X97" s="5"/>
    </row>
    <row r="98" spans="1:26" ht="15.6" x14ac:dyDescent="0.3">
      <c r="A98" s="271"/>
      <c r="B98" s="272" t="s">
        <v>288</v>
      </c>
      <c r="C98" s="272"/>
      <c r="D98" s="272"/>
      <c r="E98" s="272"/>
      <c r="F98" s="272"/>
      <c r="G98" s="272"/>
      <c r="H98" s="272"/>
      <c r="I98" s="272"/>
      <c r="J98" s="272"/>
      <c r="K98" s="272"/>
      <c r="L98" s="272"/>
      <c r="M98" s="272"/>
      <c r="N98" s="272"/>
      <c r="O98" s="272"/>
      <c r="P98" s="272"/>
      <c r="Q98" s="272"/>
      <c r="R98" s="272"/>
      <c r="S98" s="272"/>
      <c r="T98" s="324"/>
      <c r="U98" s="272"/>
      <c r="V98" s="325">
        <v>-242</v>
      </c>
      <c r="W98" s="275"/>
      <c r="X98" s="5"/>
    </row>
    <row r="99" spans="1:26" ht="15.6" x14ac:dyDescent="0.3">
      <c r="A99" s="271"/>
      <c r="B99" s="272" t="s">
        <v>32</v>
      </c>
      <c r="C99" s="272"/>
      <c r="D99" s="272"/>
      <c r="E99" s="272"/>
      <c r="F99" s="272"/>
      <c r="G99" s="272"/>
      <c r="H99" s="272"/>
      <c r="I99" s="272"/>
      <c r="J99" s="272"/>
      <c r="K99" s="272"/>
      <c r="L99" s="272"/>
      <c r="M99" s="272"/>
      <c r="N99" s="272"/>
      <c r="O99" s="272"/>
      <c r="P99" s="272"/>
      <c r="Q99" s="272"/>
      <c r="R99" s="272"/>
      <c r="S99" s="272"/>
      <c r="T99" s="324">
        <f>T95+T97+T96</f>
        <v>13188</v>
      </c>
      <c r="U99" s="272"/>
      <c r="V99" s="324">
        <f>V95+V97+V96+V98</f>
        <v>4502</v>
      </c>
      <c r="W99" s="275"/>
      <c r="X99" s="5"/>
    </row>
    <row r="100" spans="1:26" ht="15.6" x14ac:dyDescent="0.3">
      <c r="A100" s="271"/>
      <c r="B100" s="335" t="s">
        <v>33</v>
      </c>
      <c r="C100" s="298"/>
      <c r="D100" s="298"/>
      <c r="E100" s="298"/>
      <c r="F100" s="298"/>
      <c r="G100" s="298"/>
      <c r="H100" s="298"/>
      <c r="I100" s="298"/>
      <c r="J100" s="298"/>
      <c r="K100" s="298"/>
      <c r="L100" s="298"/>
      <c r="M100" s="298"/>
      <c r="N100" s="298"/>
      <c r="O100" s="298"/>
      <c r="P100" s="298"/>
      <c r="Q100" s="298"/>
      <c r="R100" s="298"/>
      <c r="S100" s="298"/>
      <c r="T100" s="336"/>
      <c r="U100" s="298"/>
      <c r="V100" s="337"/>
      <c r="W100" s="304"/>
      <c r="X100" s="5"/>
    </row>
    <row r="101" spans="1:26" ht="15.6" x14ac:dyDescent="0.3">
      <c r="A101" s="338">
        <v>1</v>
      </c>
      <c r="B101" s="272" t="s">
        <v>34</v>
      </c>
      <c r="C101" s="272"/>
      <c r="D101" s="272"/>
      <c r="E101" s="272"/>
      <c r="F101" s="272"/>
      <c r="G101" s="272"/>
      <c r="H101" s="272"/>
      <c r="I101" s="272"/>
      <c r="J101" s="272"/>
      <c r="K101" s="272"/>
      <c r="L101" s="272"/>
      <c r="M101" s="272"/>
      <c r="N101" s="272"/>
      <c r="O101" s="272"/>
      <c r="P101" s="272"/>
      <c r="Q101" s="272"/>
      <c r="R101" s="272"/>
      <c r="S101" s="272"/>
      <c r="T101" s="272"/>
      <c r="U101" s="272"/>
      <c r="V101" s="325">
        <v>0</v>
      </c>
      <c r="W101" s="275"/>
      <c r="X101" s="5"/>
    </row>
    <row r="102" spans="1:26" ht="15.6" x14ac:dyDescent="0.3">
      <c r="A102" s="338">
        <f>+A101+1</f>
        <v>2</v>
      </c>
      <c r="B102" s="272" t="s">
        <v>331</v>
      </c>
      <c r="C102" s="272"/>
      <c r="D102" s="272"/>
      <c r="E102" s="272"/>
      <c r="F102" s="272"/>
      <c r="G102" s="272"/>
      <c r="H102" s="272"/>
      <c r="I102" s="272"/>
      <c r="J102" s="272"/>
      <c r="K102" s="272"/>
      <c r="L102" s="272"/>
      <c r="M102" s="272"/>
      <c r="N102" s="272"/>
      <c r="O102" s="272"/>
      <c r="P102" s="272"/>
      <c r="Q102" s="272"/>
      <c r="R102" s="272"/>
      <c r="S102" s="272"/>
      <c r="T102" s="272"/>
      <c r="U102" s="272"/>
      <c r="V102" s="325">
        <f>-2</f>
        <v>-2</v>
      </c>
      <c r="W102" s="275"/>
      <c r="X102" s="5"/>
    </row>
    <row r="103" spans="1:26" ht="15.6" x14ac:dyDescent="0.3">
      <c r="A103" s="338">
        <f>+A102+1</f>
        <v>3</v>
      </c>
      <c r="B103" s="343" t="s">
        <v>332</v>
      </c>
      <c r="C103" s="272"/>
      <c r="D103" s="272"/>
      <c r="E103" s="272"/>
      <c r="F103" s="272"/>
      <c r="G103" s="272"/>
      <c r="H103" s="272"/>
      <c r="I103" s="272"/>
      <c r="J103" s="272"/>
      <c r="K103" s="272"/>
      <c r="L103" s="272"/>
      <c r="M103" s="272"/>
      <c r="N103" s="272"/>
      <c r="O103" s="272"/>
      <c r="P103" s="272"/>
      <c r="Q103" s="272"/>
      <c r="R103" s="272"/>
      <c r="S103" s="272"/>
      <c r="T103" s="272"/>
      <c r="U103" s="272"/>
      <c r="V103" s="325">
        <f>-309-111-10</f>
        <v>-430</v>
      </c>
      <c r="W103" s="275"/>
      <c r="X103" s="5"/>
    </row>
    <row r="104" spans="1:26" ht="15.6" x14ac:dyDescent="0.3">
      <c r="A104" s="338" t="s">
        <v>130</v>
      </c>
      <c r="B104" s="272" t="s">
        <v>119</v>
      </c>
      <c r="C104" s="272"/>
      <c r="D104" s="272"/>
      <c r="E104" s="272"/>
      <c r="F104" s="272"/>
      <c r="G104" s="272"/>
      <c r="H104" s="272"/>
      <c r="I104" s="272"/>
      <c r="J104" s="272"/>
      <c r="K104" s="272"/>
      <c r="L104" s="272"/>
      <c r="M104" s="272"/>
      <c r="N104" s="272"/>
      <c r="O104" s="272"/>
      <c r="P104" s="272"/>
      <c r="Q104" s="272"/>
      <c r="R104" s="272"/>
      <c r="S104" s="272"/>
      <c r="T104" s="272"/>
      <c r="U104" s="272"/>
      <c r="V104" s="325">
        <v>0</v>
      </c>
      <c r="W104" s="275"/>
      <c r="X104" s="5"/>
    </row>
    <row r="105" spans="1:26" ht="15.6" x14ac:dyDescent="0.3">
      <c r="A105" s="338" t="s">
        <v>131</v>
      </c>
      <c r="B105" s="272" t="s">
        <v>362</v>
      </c>
      <c r="C105" s="272"/>
      <c r="D105" s="272"/>
      <c r="E105" s="272"/>
      <c r="F105" s="272"/>
      <c r="G105" s="272"/>
      <c r="H105" s="272"/>
      <c r="I105" s="272"/>
      <c r="J105" s="272"/>
      <c r="K105" s="272"/>
      <c r="L105" s="272"/>
      <c r="M105" s="272"/>
      <c r="N105" s="272"/>
      <c r="O105" s="272"/>
      <c r="P105" s="272"/>
      <c r="Q105" s="272"/>
      <c r="R105" s="272"/>
      <c r="S105" s="272"/>
      <c r="T105" s="272"/>
      <c r="U105" s="272"/>
      <c r="V105" s="325">
        <f>-543-86</f>
        <v>-629</v>
      </c>
      <c r="W105" s="275"/>
      <c r="X105" s="5"/>
      <c r="Y105" s="109"/>
      <c r="Z105" s="109"/>
    </row>
    <row r="106" spans="1:26" ht="15.6" x14ac:dyDescent="0.3">
      <c r="A106" s="338" t="s">
        <v>153</v>
      </c>
      <c r="B106" s="272" t="s">
        <v>363</v>
      </c>
      <c r="C106" s="272"/>
      <c r="D106" s="272"/>
      <c r="E106" s="272"/>
      <c r="F106" s="272"/>
      <c r="G106" s="272"/>
      <c r="H106" s="272"/>
      <c r="I106" s="272"/>
      <c r="J106" s="272"/>
      <c r="K106" s="272"/>
      <c r="L106" s="272"/>
      <c r="M106" s="272"/>
      <c r="N106" s="272"/>
      <c r="O106" s="272"/>
      <c r="P106" s="272"/>
      <c r="Q106" s="272"/>
      <c r="R106" s="272"/>
      <c r="S106" s="272"/>
      <c r="T106" s="272"/>
      <c r="U106" s="272"/>
      <c r="V106" s="325">
        <f>-150-128</f>
        <v>-278</v>
      </c>
      <c r="W106" s="275"/>
      <c r="X106" s="5"/>
      <c r="Y106" s="109"/>
    </row>
    <row r="107" spans="1:26" ht="15.6" x14ac:dyDescent="0.3">
      <c r="A107" s="338" t="s">
        <v>266</v>
      </c>
      <c r="B107" s="272" t="s">
        <v>269</v>
      </c>
      <c r="C107" s="272"/>
      <c r="D107" s="272"/>
      <c r="E107" s="272"/>
      <c r="F107" s="272"/>
      <c r="G107" s="272"/>
      <c r="H107" s="272"/>
      <c r="I107" s="272"/>
      <c r="J107" s="272"/>
      <c r="K107" s="272"/>
      <c r="L107" s="272"/>
      <c r="M107" s="272"/>
      <c r="N107" s="272"/>
      <c r="O107" s="272"/>
      <c r="P107" s="272"/>
      <c r="Q107" s="272"/>
      <c r="R107" s="272"/>
      <c r="S107" s="272"/>
      <c r="T107" s="272"/>
      <c r="U107" s="272"/>
      <c r="V107" s="325">
        <v>0</v>
      </c>
      <c r="W107" s="275"/>
      <c r="X107" s="5"/>
    </row>
    <row r="108" spans="1:26" ht="15.6" x14ac:dyDescent="0.3">
      <c r="A108" s="338" t="s">
        <v>208</v>
      </c>
      <c r="B108" s="272" t="s">
        <v>188</v>
      </c>
      <c r="C108" s="272"/>
      <c r="D108" s="272"/>
      <c r="E108" s="272"/>
      <c r="F108" s="272"/>
      <c r="G108" s="272"/>
      <c r="H108" s="272"/>
      <c r="I108" s="272"/>
      <c r="J108" s="272"/>
      <c r="K108" s="272"/>
      <c r="L108" s="272"/>
      <c r="M108" s="272"/>
      <c r="N108" s="272"/>
      <c r="O108" s="272"/>
      <c r="P108" s="272"/>
      <c r="Q108" s="272"/>
      <c r="R108" s="272"/>
      <c r="S108" s="272"/>
      <c r="T108" s="272"/>
      <c r="U108" s="272"/>
      <c r="V108" s="325">
        <v>-105</v>
      </c>
      <c r="W108" s="275"/>
      <c r="X108" s="5"/>
      <c r="Y108" s="109"/>
    </row>
    <row r="109" spans="1:26" ht="15.6" x14ac:dyDescent="0.3">
      <c r="A109" s="338" t="s">
        <v>209</v>
      </c>
      <c r="B109" s="272" t="s">
        <v>189</v>
      </c>
      <c r="C109" s="272"/>
      <c r="D109" s="272"/>
      <c r="E109" s="272"/>
      <c r="F109" s="272"/>
      <c r="G109" s="272"/>
      <c r="H109" s="272"/>
      <c r="I109" s="272"/>
      <c r="J109" s="272"/>
      <c r="K109" s="272"/>
      <c r="L109" s="272"/>
      <c r="M109" s="272"/>
      <c r="N109" s="272"/>
      <c r="O109" s="272"/>
      <c r="P109" s="272"/>
      <c r="Q109" s="272"/>
      <c r="R109" s="272"/>
      <c r="S109" s="272"/>
      <c r="T109" s="272"/>
      <c r="U109" s="272"/>
      <c r="V109" s="325">
        <v>-101</v>
      </c>
      <c r="W109" s="275"/>
      <c r="X109" s="5"/>
      <c r="Y109" s="109"/>
    </row>
    <row r="110" spans="1:26" ht="15.6" x14ac:dyDescent="0.3">
      <c r="A110" s="338" t="s">
        <v>210</v>
      </c>
      <c r="B110" s="272" t="s">
        <v>199</v>
      </c>
      <c r="C110" s="272"/>
      <c r="D110" s="272"/>
      <c r="E110" s="272"/>
      <c r="F110" s="272"/>
      <c r="G110" s="272"/>
      <c r="H110" s="272"/>
      <c r="I110" s="272"/>
      <c r="J110" s="272"/>
      <c r="K110" s="272"/>
      <c r="L110" s="272"/>
      <c r="M110" s="272"/>
      <c r="N110" s="272"/>
      <c r="O110" s="272"/>
      <c r="P110" s="272"/>
      <c r="Q110" s="272"/>
      <c r="R110" s="272"/>
      <c r="S110" s="272"/>
      <c r="T110" s="272"/>
      <c r="U110" s="272"/>
      <c r="V110" s="325">
        <v>-158</v>
      </c>
      <c r="W110" s="275"/>
      <c r="X110" s="5"/>
      <c r="Y110" s="109"/>
    </row>
    <row r="111" spans="1:26" ht="15.6" x14ac:dyDescent="0.3">
      <c r="A111" s="338" t="s">
        <v>230</v>
      </c>
      <c r="B111" s="272" t="s">
        <v>229</v>
      </c>
      <c r="C111" s="272"/>
      <c r="D111" s="272"/>
      <c r="E111" s="272"/>
      <c r="F111" s="272"/>
      <c r="G111" s="272"/>
      <c r="H111" s="272"/>
      <c r="I111" s="272"/>
      <c r="J111" s="272"/>
      <c r="K111" s="272"/>
      <c r="L111" s="272"/>
      <c r="M111" s="272"/>
      <c r="N111" s="272"/>
      <c r="O111" s="272"/>
      <c r="P111" s="272"/>
      <c r="Q111" s="272"/>
      <c r="R111" s="272"/>
      <c r="S111" s="272"/>
      <c r="T111" s="272"/>
      <c r="U111" s="272"/>
      <c r="V111" s="325">
        <v>-36</v>
      </c>
      <c r="W111" s="275"/>
      <c r="X111" s="5"/>
      <c r="Y111" s="109"/>
    </row>
    <row r="112" spans="1:26" ht="15.6" x14ac:dyDescent="0.3">
      <c r="A112" s="392">
        <v>7</v>
      </c>
      <c r="B112" s="343" t="s">
        <v>333</v>
      </c>
      <c r="C112" s="343"/>
      <c r="D112" s="343"/>
      <c r="E112" s="343"/>
      <c r="F112" s="343"/>
      <c r="G112" s="272"/>
      <c r="H112" s="272"/>
      <c r="I112" s="272"/>
      <c r="J112" s="272"/>
      <c r="K112" s="272"/>
      <c r="L112" s="272"/>
      <c r="M112" s="272"/>
      <c r="N112" s="272"/>
      <c r="O112" s="272"/>
      <c r="P112" s="272"/>
      <c r="Q112" s="272"/>
      <c r="R112" s="272"/>
      <c r="S112" s="272"/>
      <c r="T112" s="272"/>
      <c r="U112" s="272"/>
      <c r="V112" s="325">
        <v>0</v>
      </c>
      <c r="W112" s="275"/>
      <c r="X112" s="5"/>
      <c r="Y112" s="109"/>
    </row>
    <row r="113" spans="1:24" ht="15.6" x14ac:dyDescent="0.3">
      <c r="A113" s="338">
        <f t="shared" ref="A113:A120" si="0">+A112+1</f>
        <v>8</v>
      </c>
      <c r="B113" s="272" t="s">
        <v>35</v>
      </c>
      <c r="C113" s="272"/>
      <c r="D113" s="272"/>
      <c r="E113" s="272"/>
      <c r="F113" s="272"/>
      <c r="G113" s="272"/>
      <c r="H113" s="272"/>
      <c r="I113" s="272"/>
      <c r="J113" s="272"/>
      <c r="K113" s="272"/>
      <c r="L113" s="272"/>
      <c r="M113" s="272"/>
      <c r="N113" s="272"/>
      <c r="O113" s="272"/>
      <c r="P113" s="272"/>
      <c r="Q113" s="272"/>
      <c r="R113" s="272"/>
      <c r="S113" s="272"/>
      <c r="T113" s="272"/>
      <c r="U113" s="272"/>
      <c r="V113" s="325">
        <v>-45</v>
      </c>
      <c r="W113" s="275"/>
      <c r="X113" s="5"/>
    </row>
    <row r="114" spans="1:24" ht="15.6" x14ac:dyDescent="0.3">
      <c r="A114" s="338">
        <f t="shared" si="0"/>
        <v>9</v>
      </c>
      <c r="B114" s="272" t="s">
        <v>45</v>
      </c>
      <c r="C114" s="272"/>
      <c r="D114" s="272"/>
      <c r="E114" s="272"/>
      <c r="F114" s="272"/>
      <c r="G114" s="272"/>
      <c r="H114" s="272"/>
      <c r="I114" s="272"/>
      <c r="J114" s="272"/>
      <c r="K114" s="272"/>
      <c r="L114" s="272"/>
      <c r="M114" s="272"/>
      <c r="N114" s="272"/>
      <c r="O114" s="272"/>
      <c r="P114" s="272"/>
      <c r="Q114" s="272"/>
      <c r="R114" s="272"/>
      <c r="S114" s="272"/>
      <c r="T114" s="324">
        <f>-V114</f>
        <v>37</v>
      </c>
      <c r="U114" s="272"/>
      <c r="V114" s="325">
        <v>-37</v>
      </c>
      <c r="W114" s="275"/>
      <c r="X114" s="5"/>
    </row>
    <row r="115" spans="1:24" ht="15.6" x14ac:dyDescent="0.3">
      <c r="A115" s="338">
        <f t="shared" si="0"/>
        <v>10</v>
      </c>
      <c r="B115" s="272" t="s">
        <v>128</v>
      </c>
      <c r="C115" s="272"/>
      <c r="D115" s="272"/>
      <c r="E115" s="272"/>
      <c r="F115" s="272"/>
      <c r="G115" s="272"/>
      <c r="H115" s="272"/>
      <c r="I115" s="272"/>
      <c r="J115" s="272"/>
      <c r="K115" s="272"/>
      <c r="L115" s="272"/>
      <c r="M115" s="272"/>
      <c r="N115" s="272"/>
      <c r="O115" s="272"/>
      <c r="P115" s="272"/>
      <c r="Q115" s="272"/>
      <c r="R115" s="272"/>
      <c r="S115" s="272"/>
      <c r="T115" s="272"/>
      <c r="U115" s="272"/>
      <c r="V115" s="325">
        <v>0</v>
      </c>
      <c r="W115" s="275"/>
      <c r="X115" s="5"/>
    </row>
    <row r="116" spans="1:24" ht="15.6" x14ac:dyDescent="0.3">
      <c r="A116" s="338">
        <f t="shared" si="0"/>
        <v>11</v>
      </c>
      <c r="B116" s="272" t="s">
        <v>271</v>
      </c>
      <c r="C116" s="272"/>
      <c r="D116" s="272"/>
      <c r="E116" s="272"/>
      <c r="F116" s="272"/>
      <c r="G116" s="272"/>
      <c r="H116" s="272"/>
      <c r="I116" s="272"/>
      <c r="J116" s="272"/>
      <c r="K116" s="272"/>
      <c r="L116" s="272"/>
      <c r="M116" s="272"/>
      <c r="N116" s="272"/>
      <c r="O116" s="272"/>
      <c r="P116" s="272"/>
      <c r="Q116" s="272"/>
      <c r="R116" s="272"/>
      <c r="S116" s="272"/>
      <c r="T116" s="272"/>
      <c r="U116" s="272"/>
      <c r="V116" s="325">
        <v>0</v>
      </c>
      <c r="W116" s="275"/>
      <c r="X116" s="5"/>
    </row>
    <row r="117" spans="1:24" ht="15.6" x14ac:dyDescent="0.3">
      <c r="A117" s="338">
        <f t="shared" si="0"/>
        <v>12</v>
      </c>
      <c r="B117" s="272" t="s">
        <v>36</v>
      </c>
      <c r="C117" s="272"/>
      <c r="D117" s="272"/>
      <c r="E117" s="272"/>
      <c r="F117" s="272"/>
      <c r="G117" s="272"/>
      <c r="H117" s="272"/>
      <c r="I117" s="272"/>
      <c r="J117" s="272"/>
      <c r="K117" s="272"/>
      <c r="L117" s="272"/>
      <c r="M117" s="272"/>
      <c r="N117" s="272"/>
      <c r="O117" s="272"/>
      <c r="P117" s="272"/>
      <c r="Q117" s="272"/>
      <c r="R117" s="272"/>
      <c r="S117" s="272"/>
      <c r="T117" s="272"/>
      <c r="U117" s="272"/>
      <c r="V117" s="325">
        <v>0</v>
      </c>
      <c r="W117" s="275"/>
      <c r="X117" s="5"/>
    </row>
    <row r="118" spans="1:24" ht="15.6" x14ac:dyDescent="0.3">
      <c r="A118" s="338">
        <f t="shared" si="0"/>
        <v>13</v>
      </c>
      <c r="B118" s="272" t="s">
        <v>270</v>
      </c>
      <c r="C118" s="272"/>
      <c r="D118" s="272"/>
      <c r="E118" s="272"/>
      <c r="F118" s="272"/>
      <c r="G118" s="272"/>
      <c r="H118" s="272"/>
      <c r="I118" s="272"/>
      <c r="J118" s="272"/>
      <c r="K118" s="272"/>
      <c r="L118" s="272"/>
      <c r="M118" s="272"/>
      <c r="N118" s="272"/>
      <c r="O118" s="272"/>
      <c r="P118" s="272"/>
      <c r="Q118" s="272"/>
      <c r="R118" s="272"/>
      <c r="S118" s="272"/>
      <c r="T118" s="272"/>
      <c r="U118" s="272"/>
      <c r="V118" s="325">
        <v>0</v>
      </c>
      <c r="W118" s="275"/>
      <c r="X118" s="5"/>
    </row>
    <row r="119" spans="1:24" ht="15.6" x14ac:dyDescent="0.3">
      <c r="A119" s="338">
        <f t="shared" si="0"/>
        <v>14</v>
      </c>
      <c r="B119" s="272" t="s">
        <v>152</v>
      </c>
      <c r="C119" s="272"/>
      <c r="D119" s="272"/>
      <c r="E119" s="272"/>
      <c r="F119" s="272"/>
      <c r="G119" s="272"/>
      <c r="H119" s="272"/>
      <c r="I119" s="272"/>
      <c r="J119" s="272"/>
      <c r="K119" s="272"/>
      <c r="L119" s="272"/>
      <c r="M119" s="272"/>
      <c r="N119" s="272"/>
      <c r="O119" s="272"/>
      <c r="P119" s="272"/>
      <c r="Q119" s="272"/>
      <c r="R119" s="272"/>
      <c r="S119" s="272"/>
      <c r="T119" s="272"/>
      <c r="U119" s="272"/>
      <c r="V119" s="325">
        <v>-309</v>
      </c>
      <c r="W119" s="275"/>
      <c r="X119" s="5"/>
    </row>
    <row r="120" spans="1:24" ht="15.6" x14ac:dyDescent="0.3">
      <c r="A120" s="338">
        <f t="shared" si="0"/>
        <v>15</v>
      </c>
      <c r="B120" s="272" t="s">
        <v>129</v>
      </c>
      <c r="C120" s="272"/>
      <c r="D120" s="272"/>
      <c r="E120" s="272"/>
      <c r="F120" s="272"/>
      <c r="G120" s="272"/>
      <c r="H120" s="272"/>
      <c r="I120" s="272"/>
      <c r="J120" s="272"/>
      <c r="K120" s="272"/>
      <c r="L120" s="272"/>
      <c r="M120" s="272"/>
      <c r="N120" s="272"/>
      <c r="O120" s="272"/>
      <c r="P120" s="272"/>
      <c r="Q120" s="272"/>
      <c r="R120" s="272"/>
      <c r="S120" s="272"/>
      <c r="T120" s="272"/>
      <c r="U120" s="272"/>
      <c r="V120" s="325">
        <f>-V99-SUM(V101:V119)</f>
        <v>-2372</v>
      </c>
      <c r="W120" s="275"/>
      <c r="X120" s="5"/>
    </row>
    <row r="121" spans="1:24" ht="15.6" x14ac:dyDescent="0.3">
      <c r="A121" s="271"/>
      <c r="B121" s="335" t="s">
        <v>37</v>
      </c>
      <c r="C121" s="298"/>
      <c r="D121" s="298"/>
      <c r="E121" s="298"/>
      <c r="F121" s="298"/>
      <c r="G121" s="298"/>
      <c r="H121" s="298"/>
      <c r="I121" s="298"/>
      <c r="J121" s="298"/>
      <c r="K121" s="298"/>
      <c r="L121" s="298"/>
      <c r="M121" s="298"/>
      <c r="N121" s="298"/>
      <c r="O121" s="298"/>
      <c r="P121" s="298"/>
      <c r="Q121" s="298"/>
      <c r="R121" s="298"/>
      <c r="S121" s="298"/>
      <c r="T121" s="298"/>
      <c r="U121" s="298"/>
      <c r="V121" s="339"/>
      <c r="W121" s="304"/>
      <c r="X121" s="5"/>
    </row>
    <row r="122" spans="1:24" ht="15.6" x14ac:dyDescent="0.3">
      <c r="A122" s="338"/>
      <c r="B122" s="272" t="s">
        <v>176</v>
      </c>
      <c r="C122" s="272"/>
      <c r="D122" s="272"/>
      <c r="E122" s="272"/>
      <c r="F122" s="272"/>
      <c r="G122" s="272"/>
      <c r="H122" s="272"/>
      <c r="I122" s="272"/>
      <c r="J122" s="272"/>
      <c r="K122" s="272"/>
      <c r="L122" s="272"/>
      <c r="M122" s="272"/>
      <c r="N122" s="272"/>
      <c r="O122" s="272"/>
      <c r="P122" s="272"/>
      <c r="Q122" s="272"/>
      <c r="R122" s="272"/>
      <c r="S122" s="272"/>
      <c r="T122" s="324">
        <f>-T182</f>
        <v>0</v>
      </c>
      <c r="U122" s="324"/>
      <c r="V122" s="325"/>
      <c r="W122" s="275"/>
      <c r="X122" s="5"/>
    </row>
    <row r="123" spans="1:24" ht="15.6" x14ac:dyDescent="0.3">
      <c r="A123" s="338"/>
      <c r="B123" s="272" t="s">
        <v>177</v>
      </c>
      <c r="C123" s="272"/>
      <c r="D123" s="272"/>
      <c r="E123" s="272"/>
      <c r="F123" s="272"/>
      <c r="G123" s="272"/>
      <c r="H123" s="272"/>
      <c r="I123" s="272"/>
      <c r="J123" s="272"/>
      <c r="K123" s="272"/>
      <c r="L123" s="272"/>
      <c r="M123" s="272"/>
      <c r="N123" s="272"/>
      <c r="O123" s="272"/>
      <c r="P123" s="272"/>
      <c r="Q123" s="272"/>
      <c r="R123" s="272"/>
      <c r="S123" s="272"/>
      <c r="T123" s="324">
        <v>0</v>
      </c>
      <c r="U123" s="324"/>
      <c r="V123" s="325"/>
      <c r="W123" s="275"/>
      <c r="X123" s="5"/>
    </row>
    <row r="124" spans="1:24" ht="15.6" x14ac:dyDescent="0.3">
      <c r="A124" s="338"/>
      <c r="B124" s="272" t="s">
        <v>38</v>
      </c>
      <c r="C124" s="272"/>
      <c r="D124" s="272"/>
      <c r="E124" s="272"/>
      <c r="F124" s="272"/>
      <c r="G124" s="272"/>
      <c r="H124" s="272"/>
      <c r="I124" s="272"/>
      <c r="J124" s="272"/>
      <c r="K124" s="272"/>
      <c r="L124" s="272"/>
      <c r="M124" s="272"/>
      <c r="N124" s="272"/>
      <c r="O124" s="272"/>
      <c r="P124" s="272"/>
      <c r="Q124" s="272"/>
      <c r="R124" s="272"/>
      <c r="S124" s="272"/>
      <c r="T124" s="324">
        <f>-S182</f>
        <v>-357</v>
      </c>
      <c r="U124" s="324"/>
      <c r="V124" s="325"/>
      <c r="W124" s="275"/>
      <c r="X124" s="5"/>
    </row>
    <row r="125" spans="1:24" ht="15.6" x14ac:dyDescent="0.3">
      <c r="A125" s="338"/>
      <c r="B125" s="272" t="s">
        <v>386</v>
      </c>
      <c r="C125" s="272"/>
      <c r="D125" s="272"/>
      <c r="E125" s="272"/>
      <c r="F125" s="272"/>
      <c r="G125" s="272"/>
      <c r="H125" s="272"/>
      <c r="I125" s="272"/>
      <c r="J125" s="272"/>
      <c r="K125" s="272"/>
      <c r="L125" s="272"/>
      <c r="M125" s="272"/>
      <c r="N125" s="272"/>
      <c r="O125" s="272"/>
      <c r="P125" s="272"/>
      <c r="Q125" s="272"/>
      <c r="R125" s="272"/>
      <c r="S125" s="272"/>
      <c r="T125" s="324">
        <v>-7776</v>
      </c>
      <c r="U125" s="324"/>
      <c r="V125" s="325"/>
      <c r="W125" s="275"/>
      <c r="X125" s="5"/>
    </row>
    <row r="126" spans="1:24" ht="15.6" x14ac:dyDescent="0.3">
      <c r="A126" s="338"/>
      <c r="B126" s="272" t="s">
        <v>198</v>
      </c>
      <c r="C126" s="272"/>
      <c r="D126" s="272"/>
      <c r="E126" s="272"/>
      <c r="F126" s="272"/>
      <c r="G126" s="272"/>
      <c r="H126" s="272"/>
      <c r="I126" s="272"/>
      <c r="J126" s="272"/>
      <c r="K126" s="272"/>
      <c r="L126" s="272"/>
      <c r="M126" s="272"/>
      <c r="N126" s="272"/>
      <c r="O126" s="272"/>
      <c r="P126" s="272"/>
      <c r="Q126" s="272"/>
      <c r="R126" s="272"/>
      <c r="S126" s="272"/>
      <c r="T126" s="324">
        <v>-1218</v>
      </c>
      <c r="U126" s="324"/>
      <c r="V126" s="325"/>
      <c r="W126" s="275"/>
      <c r="X126" s="5"/>
    </row>
    <row r="127" spans="1:24" ht="15.6" x14ac:dyDescent="0.3">
      <c r="A127" s="338"/>
      <c r="B127" s="272" t="s">
        <v>197</v>
      </c>
      <c r="C127" s="272"/>
      <c r="D127" s="272"/>
      <c r="E127" s="272"/>
      <c r="F127" s="272"/>
      <c r="G127" s="272"/>
      <c r="H127" s="272"/>
      <c r="I127" s="272"/>
      <c r="J127" s="272"/>
      <c r="K127" s="272"/>
      <c r="L127" s="272"/>
      <c r="M127" s="272"/>
      <c r="N127" s="272"/>
      <c r="O127" s="272"/>
      <c r="P127" s="272"/>
      <c r="Q127" s="272"/>
      <c r="R127" s="272"/>
      <c r="S127" s="272"/>
      <c r="T127" s="324">
        <v>-2060</v>
      </c>
      <c r="U127" s="324"/>
      <c r="V127" s="325"/>
      <c r="W127" s="275"/>
      <c r="X127" s="5"/>
    </row>
    <row r="128" spans="1:24" ht="15.6" x14ac:dyDescent="0.3">
      <c r="A128" s="338"/>
      <c r="B128" s="272" t="s">
        <v>232</v>
      </c>
      <c r="C128" s="272"/>
      <c r="D128" s="272"/>
      <c r="E128" s="272"/>
      <c r="F128" s="272"/>
      <c r="G128" s="272"/>
      <c r="H128" s="272"/>
      <c r="I128" s="272"/>
      <c r="J128" s="272"/>
      <c r="K128" s="272"/>
      <c r="L128" s="272"/>
      <c r="M128" s="272"/>
      <c r="N128" s="272"/>
      <c r="O128" s="272"/>
      <c r="P128" s="272"/>
      <c r="Q128" s="272"/>
      <c r="R128" s="272"/>
      <c r="S128" s="272"/>
      <c r="T128" s="324">
        <v>-1814</v>
      </c>
      <c r="U128" s="324"/>
      <c r="V128" s="325"/>
      <c r="W128" s="275"/>
      <c r="X128" s="5"/>
    </row>
    <row r="129" spans="1:24" ht="15.6" x14ac:dyDescent="0.3">
      <c r="A129" s="338"/>
      <c r="B129" s="272" t="s">
        <v>192</v>
      </c>
      <c r="C129" s="272"/>
      <c r="D129" s="272"/>
      <c r="E129" s="272"/>
      <c r="F129" s="272"/>
      <c r="G129" s="272"/>
      <c r="H129" s="272"/>
      <c r="I129" s="272"/>
      <c r="J129" s="272"/>
      <c r="K129" s="272"/>
      <c r="L129" s="272"/>
      <c r="M129" s="272"/>
      <c r="N129" s="272"/>
      <c r="O129" s="272"/>
      <c r="P129" s="272"/>
      <c r="Q129" s="272"/>
      <c r="R129" s="272"/>
      <c r="S129" s="272"/>
      <c r="T129" s="324">
        <v>0</v>
      </c>
      <c r="U129" s="324"/>
      <c r="V129" s="325"/>
      <c r="W129" s="275"/>
      <c r="X129" s="5"/>
    </row>
    <row r="130" spans="1:24" ht="15.6" x14ac:dyDescent="0.3">
      <c r="A130" s="338"/>
      <c r="B130" s="272" t="s">
        <v>191</v>
      </c>
      <c r="C130" s="272"/>
      <c r="D130" s="272"/>
      <c r="E130" s="272"/>
      <c r="F130" s="272"/>
      <c r="G130" s="272"/>
      <c r="H130" s="272"/>
      <c r="I130" s="272"/>
      <c r="J130" s="272"/>
      <c r="K130" s="272"/>
      <c r="L130" s="272"/>
      <c r="M130" s="272"/>
      <c r="N130" s="272"/>
      <c r="O130" s="272"/>
      <c r="P130" s="272"/>
      <c r="Q130" s="272"/>
      <c r="R130" s="272"/>
      <c r="S130" s="272"/>
      <c r="T130" s="324">
        <v>0</v>
      </c>
      <c r="U130" s="324"/>
      <c r="V130" s="325"/>
      <c r="W130" s="275"/>
      <c r="X130" s="5"/>
    </row>
    <row r="131" spans="1:24" ht="15.6" x14ac:dyDescent="0.3">
      <c r="A131" s="338"/>
      <c r="B131" s="272" t="s">
        <v>233</v>
      </c>
      <c r="C131" s="272"/>
      <c r="D131" s="272"/>
      <c r="E131" s="272"/>
      <c r="F131" s="272"/>
      <c r="G131" s="272"/>
      <c r="H131" s="272"/>
      <c r="I131" s="272"/>
      <c r="J131" s="272"/>
      <c r="K131" s="272"/>
      <c r="L131" s="272"/>
      <c r="M131" s="272"/>
      <c r="N131" s="272"/>
      <c r="O131" s="272"/>
      <c r="P131" s="272"/>
      <c r="Q131" s="272"/>
      <c r="R131" s="272"/>
      <c r="S131" s="272"/>
      <c r="T131" s="324">
        <v>0</v>
      </c>
      <c r="U131" s="324"/>
      <c r="V131" s="325"/>
      <c r="W131" s="275"/>
      <c r="X131" s="5"/>
    </row>
    <row r="132" spans="1:24" ht="15.6" x14ac:dyDescent="0.3">
      <c r="A132" s="338"/>
      <c r="B132" s="272" t="s">
        <v>190</v>
      </c>
      <c r="C132" s="272"/>
      <c r="D132" s="272"/>
      <c r="E132" s="272"/>
      <c r="F132" s="272"/>
      <c r="G132" s="272"/>
      <c r="H132" s="272"/>
      <c r="I132" s="272"/>
      <c r="J132" s="272"/>
      <c r="K132" s="272"/>
      <c r="L132" s="272"/>
      <c r="M132" s="272"/>
      <c r="N132" s="272"/>
      <c r="O132" s="272"/>
      <c r="P132" s="272"/>
      <c r="Q132" s="272"/>
      <c r="R132" s="272"/>
      <c r="S132" s="272"/>
      <c r="T132" s="324">
        <v>0</v>
      </c>
      <c r="U132" s="324"/>
      <c r="V132" s="325"/>
      <c r="W132" s="275"/>
      <c r="X132" s="5"/>
    </row>
    <row r="133" spans="1:24" ht="15.6" x14ac:dyDescent="0.3">
      <c r="A133" s="338"/>
      <c r="B133" s="272" t="s">
        <v>39</v>
      </c>
      <c r="C133" s="272"/>
      <c r="D133" s="272"/>
      <c r="E133" s="272"/>
      <c r="F133" s="272"/>
      <c r="G133" s="272"/>
      <c r="H133" s="272"/>
      <c r="I133" s="272"/>
      <c r="J133" s="272"/>
      <c r="K133" s="272"/>
      <c r="L133" s="272"/>
      <c r="M133" s="272"/>
      <c r="N133" s="272"/>
      <c r="O133" s="272"/>
      <c r="P133" s="272"/>
      <c r="Q133" s="272"/>
      <c r="R133" s="272"/>
      <c r="S133" s="272"/>
      <c r="T133" s="324">
        <f>SUM(T122:T132)</f>
        <v>-13225</v>
      </c>
      <c r="U133" s="324"/>
      <c r="V133" s="324">
        <f>SUM(V100:V130)</f>
        <v>-4502</v>
      </c>
      <c r="W133" s="275"/>
      <c r="X133" s="5"/>
    </row>
    <row r="134" spans="1:24" ht="15.6" x14ac:dyDescent="0.3">
      <c r="A134" s="338"/>
      <c r="B134" s="272" t="s">
        <v>40</v>
      </c>
      <c r="C134" s="272"/>
      <c r="D134" s="272"/>
      <c r="E134" s="272"/>
      <c r="F134" s="272"/>
      <c r="G134" s="272"/>
      <c r="H134" s="272"/>
      <c r="I134" s="272"/>
      <c r="J134" s="272"/>
      <c r="K134" s="272"/>
      <c r="L134" s="272"/>
      <c r="M134" s="272"/>
      <c r="N134" s="272"/>
      <c r="O134" s="272"/>
      <c r="P134" s="272"/>
      <c r="Q134" s="272"/>
      <c r="R134" s="272"/>
      <c r="S134" s="272"/>
      <c r="T134" s="324">
        <f>T99+T133+T114</f>
        <v>0</v>
      </c>
      <c r="U134" s="324"/>
      <c r="V134" s="324">
        <f>V99+V133</f>
        <v>0</v>
      </c>
      <c r="W134" s="275"/>
      <c r="X134" s="5"/>
    </row>
    <row r="135" spans="1:24" ht="15.6" x14ac:dyDescent="0.3">
      <c r="A135" s="242"/>
      <c r="B135" s="268"/>
      <c r="C135" s="268"/>
      <c r="D135" s="268"/>
      <c r="E135" s="268"/>
      <c r="F135" s="268"/>
      <c r="G135" s="268"/>
      <c r="H135" s="268"/>
      <c r="I135" s="268"/>
      <c r="J135" s="268"/>
      <c r="K135" s="268"/>
      <c r="L135" s="268"/>
      <c r="M135" s="268"/>
      <c r="N135" s="268"/>
      <c r="O135" s="268"/>
      <c r="P135" s="268"/>
      <c r="Q135" s="268"/>
      <c r="R135" s="268"/>
      <c r="S135" s="268"/>
      <c r="T135" s="332"/>
      <c r="U135" s="332"/>
      <c r="V135" s="332"/>
      <c r="W135" s="268"/>
      <c r="X135" s="5"/>
    </row>
    <row r="136" spans="1:24" ht="15.6" x14ac:dyDescent="0.3">
      <c r="A136" s="242"/>
      <c r="B136" s="220"/>
      <c r="C136" s="220"/>
      <c r="D136" s="220"/>
      <c r="E136" s="220"/>
      <c r="F136" s="220"/>
      <c r="G136" s="220"/>
      <c r="H136" s="220"/>
      <c r="I136" s="220"/>
      <c r="J136" s="220"/>
      <c r="K136" s="220"/>
      <c r="L136" s="220"/>
      <c r="M136" s="220"/>
      <c r="N136" s="220"/>
      <c r="O136" s="220"/>
      <c r="P136" s="220"/>
      <c r="Q136" s="220"/>
      <c r="R136" s="220"/>
      <c r="S136" s="220"/>
      <c r="T136" s="220"/>
      <c r="U136" s="220"/>
      <c r="V136" s="243"/>
      <c r="W136" s="220"/>
      <c r="X136" s="5"/>
    </row>
    <row r="137" spans="1:24" ht="18" thickBot="1" x14ac:dyDescent="0.35">
      <c r="A137" s="244"/>
      <c r="B137" s="234" t="str">
        <f>B63</f>
        <v>PM13 INVESTOR REPORT QUARTER ENDING JUNE 2017</v>
      </c>
      <c r="C137" s="235"/>
      <c r="D137" s="235"/>
      <c r="E137" s="235"/>
      <c r="F137" s="235"/>
      <c r="G137" s="235"/>
      <c r="H137" s="235"/>
      <c r="I137" s="235"/>
      <c r="J137" s="235"/>
      <c r="K137" s="235"/>
      <c r="L137" s="235"/>
      <c r="M137" s="235"/>
      <c r="N137" s="235"/>
      <c r="O137" s="235"/>
      <c r="P137" s="235"/>
      <c r="Q137" s="235"/>
      <c r="R137" s="235"/>
      <c r="S137" s="235"/>
      <c r="T137" s="235"/>
      <c r="U137" s="235"/>
      <c r="V137" s="245"/>
      <c r="W137" s="237"/>
      <c r="X137" s="5"/>
    </row>
    <row r="138" spans="1:24" ht="15.6" x14ac:dyDescent="0.3">
      <c r="A138" s="246"/>
      <c r="B138" s="388" t="s">
        <v>41</v>
      </c>
      <c r="C138" s="247"/>
      <c r="D138" s="247"/>
      <c r="E138" s="247"/>
      <c r="F138" s="247"/>
      <c r="G138" s="247"/>
      <c r="H138" s="247"/>
      <c r="I138" s="247"/>
      <c r="J138" s="247"/>
      <c r="K138" s="247"/>
      <c r="L138" s="247"/>
      <c r="M138" s="247"/>
      <c r="N138" s="247"/>
      <c r="O138" s="247"/>
      <c r="P138" s="247"/>
      <c r="Q138" s="247"/>
      <c r="R138" s="247"/>
      <c r="S138" s="247"/>
      <c r="T138" s="247"/>
      <c r="U138" s="247"/>
      <c r="V138" s="248"/>
      <c r="W138" s="247"/>
      <c r="X138" s="5"/>
    </row>
    <row r="139" spans="1:24" ht="15.6" x14ac:dyDescent="0.3">
      <c r="A139" s="175"/>
      <c r="B139" s="186"/>
      <c r="C139" s="177"/>
      <c r="D139" s="177"/>
      <c r="E139" s="177"/>
      <c r="F139" s="177"/>
      <c r="G139" s="177"/>
      <c r="H139" s="177"/>
      <c r="I139" s="177"/>
      <c r="J139" s="177"/>
      <c r="K139" s="177"/>
      <c r="L139" s="177"/>
      <c r="M139" s="177"/>
      <c r="N139" s="177"/>
      <c r="O139" s="177"/>
      <c r="P139" s="177"/>
      <c r="Q139" s="177"/>
      <c r="R139" s="177"/>
      <c r="S139" s="177"/>
      <c r="T139" s="177"/>
      <c r="U139" s="177"/>
      <c r="V139" s="196"/>
      <c r="W139" s="177"/>
      <c r="X139" s="5"/>
    </row>
    <row r="140" spans="1:24" ht="15.6" x14ac:dyDescent="0.3">
      <c r="A140" s="175"/>
      <c r="B140" s="203" t="s">
        <v>42</v>
      </c>
      <c r="C140" s="177"/>
      <c r="D140" s="177"/>
      <c r="E140" s="177"/>
      <c r="F140" s="177"/>
      <c r="G140" s="177"/>
      <c r="H140" s="177"/>
      <c r="I140" s="177"/>
      <c r="J140" s="177"/>
      <c r="K140" s="177"/>
      <c r="L140" s="177"/>
      <c r="M140" s="177"/>
      <c r="N140" s="177"/>
      <c r="O140" s="177"/>
      <c r="P140" s="177"/>
      <c r="Q140" s="177"/>
      <c r="R140" s="177"/>
      <c r="S140" s="177"/>
      <c r="T140" s="177"/>
      <c r="U140" s="177"/>
      <c r="V140" s="196"/>
      <c r="W140" s="177"/>
      <c r="X140" s="5"/>
    </row>
    <row r="141" spans="1:24" ht="15.6" x14ac:dyDescent="0.3">
      <c r="A141" s="271"/>
      <c r="B141" s="272" t="s">
        <v>43</v>
      </c>
      <c r="C141" s="272"/>
      <c r="D141" s="272"/>
      <c r="E141" s="272"/>
      <c r="F141" s="272"/>
      <c r="G141" s="272"/>
      <c r="H141" s="272"/>
      <c r="I141" s="272"/>
      <c r="J141" s="272"/>
      <c r="K141" s="272"/>
      <c r="L141" s="272"/>
      <c r="M141" s="272"/>
      <c r="N141" s="272"/>
      <c r="O141" s="272"/>
      <c r="P141" s="272"/>
      <c r="Q141" s="272"/>
      <c r="R141" s="272"/>
      <c r="S141" s="272"/>
      <c r="T141" s="272"/>
      <c r="U141" s="272"/>
      <c r="V141" s="325">
        <f>+V34*0.019</f>
        <v>28503.61</v>
      </c>
      <c r="W141" s="275"/>
      <c r="X141" s="5"/>
    </row>
    <row r="142" spans="1:24" ht="15.6" x14ac:dyDescent="0.3">
      <c r="A142" s="271"/>
      <c r="B142" s="272" t="s">
        <v>44</v>
      </c>
      <c r="C142" s="272"/>
      <c r="D142" s="272"/>
      <c r="E142" s="272"/>
      <c r="F142" s="272"/>
      <c r="G142" s="272"/>
      <c r="H142" s="272"/>
      <c r="I142" s="272"/>
      <c r="J142" s="272"/>
      <c r="K142" s="272"/>
      <c r="L142" s="272"/>
      <c r="M142" s="272"/>
      <c r="N142" s="272"/>
      <c r="O142" s="272"/>
      <c r="P142" s="272"/>
      <c r="Q142" s="272"/>
      <c r="R142" s="272"/>
      <c r="S142" s="272"/>
      <c r="T142" s="272"/>
      <c r="U142" s="272"/>
      <c r="V142" s="325">
        <v>28504</v>
      </c>
      <c r="W142" s="275"/>
      <c r="X142" s="5"/>
    </row>
    <row r="143" spans="1:24" ht="15.6" x14ac:dyDescent="0.3">
      <c r="A143" s="271"/>
      <c r="B143" s="272" t="s">
        <v>139</v>
      </c>
      <c r="C143" s="272"/>
      <c r="D143" s="272"/>
      <c r="E143" s="272"/>
      <c r="F143" s="272"/>
      <c r="G143" s="272"/>
      <c r="H143" s="272"/>
      <c r="I143" s="272"/>
      <c r="J143" s="272"/>
      <c r="K143" s="272"/>
      <c r="L143" s="272"/>
      <c r="M143" s="272"/>
      <c r="N143" s="272"/>
      <c r="O143" s="272"/>
      <c r="P143" s="272"/>
      <c r="Q143" s="272"/>
      <c r="R143" s="272"/>
      <c r="S143" s="272"/>
      <c r="T143" s="272"/>
      <c r="U143" s="272"/>
      <c r="V143" s="325"/>
      <c r="W143" s="275"/>
      <c r="X143" s="5"/>
    </row>
    <row r="144" spans="1:24" ht="15.6" x14ac:dyDescent="0.3">
      <c r="A144" s="271"/>
      <c r="B144" s="272" t="s">
        <v>126</v>
      </c>
      <c r="C144" s="272"/>
      <c r="D144" s="272"/>
      <c r="E144" s="272"/>
      <c r="F144" s="272"/>
      <c r="G144" s="272"/>
      <c r="H144" s="272"/>
      <c r="I144" s="272"/>
      <c r="J144" s="272"/>
      <c r="K144" s="272"/>
      <c r="L144" s="272"/>
      <c r="M144" s="272"/>
      <c r="N144" s="272"/>
      <c r="O144" s="272"/>
      <c r="P144" s="272"/>
      <c r="Q144" s="272"/>
      <c r="R144" s="272"/>
      <c r="S144" s="272"/>
      <c r="T144" s="272"/>
      <c r="U144" s="272"/>
      <c r="V144" s="325">
        <v>0</v>
      </c>
      <c r="W144" s="275"/>
      <c r="X144" s="5"/>
    </row>
    <row r="145" spans="1:25" ht="15.6" x14ac:dyDescent="0.3">
      <c r="A145" s="271"/>
      <c r="B145" s="272" t="s">
        <v>127</v>
      </c>
      <c r="C145" s="272"/>
      <c r="D145" s="272"/>
      <c r="E145" s="272"/>
      <c r="F145" s="272"/>
      <c r="G145" s="272"/>
      <c r="H145" s="272"/>
      <c r="I145" s="272"/>
      <c r="J145" s="272"/>
      <c r="K145" s="272"/>
      <c r="L145" s="272"/>
      <c r="M145" s="272"/>
      <c r="N145" s="272"/>
      <c r="O145" s="272"/>
      <c r="P145" s="272"/>
      <c r="Q145" s="272"/>
      <c r="R145" s="272"/>
      <c r="S145" s="272"/>
      <c r="T145" s="272"/>
      <c r="U145" s="272"/>
      <c r="V145" s="325">
        <v>0</v>
      </c>
      <c r="W145" s="275"/>
      <c r="X145" s="5"/>
    </row>
    <row r="146" spans="1:25" ht="15.6" x14ac:dyDescent="0.3">
      <c r="A146" s="271"/>
      <c r="B146" s="272" t="s">
        <v>178</v>
      </c>
      <c r="C146" s="272"/>
      <c r="D146" s="272"/>
      <c r="E146" s="272"/>
      <c r="F146" s="272"/>
      <c r="G146" s="272"/>
      <c r="H146" s="272"/>
      <c r="I146" s="272"/>
      <c r="J146" s="272"/>
      <c r="K146" s="272"/>
      <c r="L146" s="272"/>
      <c r="M146" s="272"/>
      <c r="N146" s="272"/>
      <c r="O146" s="272"/>
      <c r="P146" s="272"/>
      <c r="Q146" s="272"/>
      <c r="R146" s="272"/>
      <c r="S146" s="272"/>
      <c r="T146" s="272"/>
      <c r="U146" s="272"/>
      <c r="V146" s="325">
        <v>0</v>
      </c>
      <c r="W146" s="275"/>
      <c r="X146" s="5"/>
    </row>
    <row r="147" spans="1:25" ht="15.6" x14ac:dyDescent="0.3">
      <c r="A147" s="271"/>
      <c r="B147" s="272" t="s">
        <v>45</v>
      </c>
      <c r="C147" s="272"/>
      <c r="D147" s="272"/>
      <c r="E147" s="272"/>
      <c r="F147" s="272"/>
      <c r="G147" s="272"/>
      <c r="H147" s="272"/>
      <c r="I147" s="272"/>
      <c r="J147" s="272"/>
      <c r="K147" s="272"/>
      <c r="L147" s="272"/>
      <c r="M147" s="272"/>
      <c r="N147" s="272"/>
      <c r="O147" s="272"/>
      <c r="P147" s="272"/>
      <c r="Q147" s="272"/>
      <c r="R147" s="272"/>
      <c r="S147" s="272"/>
      <c r="T147" s="272"/>
      <c r="U147" s="272"/>
      <c r="V147" s="325">
        <v>0</v>
      </c>
      <c r="W147" s="275"/>
      <c r="X147" s="5"/>
    </row>
    <row r="148" spans="1:25" ht="15.6" x14ac:dyDescent="0.3">
      <c r="A148" s="271"/>
      <c r="B148" s="272" t="s">
        <v>132</v>
      </c>
      <c r="C148" s="272"/>
      <c r="D148" s="272"/>
      <c r="E148" s="272"/>
      <c r="F148" s="272"/>
      <c r="G148" s="272"/>
      <c r="H148" s="272"/>
      <c r="I148" s="272"/>
      <c r="J148" s="272"/>
      <c r="K148" s="272"/>
      <c r="L148" s="272"/>
      <c r="M148" s="272"/>
      <c r="N148" s="272"/>
      <c r="O148" s="272"/>
      <c r="P148" s="272"/>
      <c r="Q148" s="272"/>
      <c r="R148" s="272"/>
      <c r="S148" s="272"/>
      <c r="T148" s="272"/>
      <c r="U148" s="272"/>
      <c r="V148" s="325">
        <v>0</v>
      </c>
      <c r="W148" s="275"/>
      <c r="X148" s="5"/>
    </row>
    <row r="149" spans="1:25" ht="15.6" x14ac:dyDescent="0.3">
      <c r="A149" s="271"/>
      <c r="B149" s="272" t="s">
        <v>267</v>
      </c>
      <c r="C149" s="272"/>
      <c r="D149" s="272"/>
      <c r="E149" s="272"/>
      <c r="F149" s="272"/>
      <c r="G149" s="272"/>
      <c r="H149" s="272"/>
      <c r="I149" s="272"/>
      <c r="J149" s="272"/>
      <c r="K149" s="272"/>
      <c r="L149" s="272"/>
      <c r="M149" s="272"/>
      <c r="N149" s="272"/>
      <c r="O149" s="272"/>
      <c r="P149" s="272"/>
      <c r="Q149" s="272"/>
      <c r="R149" s="272"/>
      <c r="S149" s="272"/>
      <c r="T149" s="272"/>
      <c r="U149" s="272"/>
      <c r="V149" s="325">
        <v>0</v>
      </c>
      <c r="W149" s="275"/>
      <c r="X149" s="5"/>
      <c r="Y149" s="109"/>
    </row>
    <row r="150" spans="1:25" ht="15.6" x14ac:dyDescent="0.3">
      <c r="A150" s="271"/>
      <c r="B150" s="272" t="s">
        <v>46</v>
      </c>
      <c r="C150" s="272"/>
      <c r="D150" s="272"/>
      <c r="E150" s="272"/>
      <c r="F150" s="272"/>
      <c r="G150" s="272"/>
      <c r="H150" s="272"/>
      <c r="I150" s="272"/>
      <c r="J150" s="272"/>
      <c r="K150" s="272"/>
      <c r="L150" s="272"/>
      <c r="M150" s="272"/>
      <c r="N150" s="272"/>
      <c r="O150" s="272"/>
      <c r="P150" s="272"/>
      <c r="Q150" s="272"/>
      <c r="R150" s="272"/>
      <c r="S150" s="272"/>
      <c r="T150" s="272"/>
      <c r="U150" s="272"/>
      <c r="V150" s="325">
        <f>SUM(V142:V149)</f>
        <v>28504</v>
      </c>
      <c r="W150" s="275"/>
      <c r="X150" s="5"/>
    </row>
    <row r="151" spans="1:25" ht="15.6" x14ac:dyDescent="0.3">
      <c r="A151" s="271"/>
      <c r="B151" s="298"/>
      <c r="C151" s="298"/>
      <c r="D151" s="298"/>
      <c r="E151" s="298"/>
      <c r="F151" s="298"/>
      <c r="G151" s="298"/>
      <c r="H151" s="298"/>
      <c r="I151" s="298"/>
      <c r="J151" s="298"/>
      <c r="K151" s="298"/>
      <c r="L151" s="298"/>
      <c r="M151" s="298"/>
      <c r="N151" s="298"/>
      <c r="O151" s="298"/>
      <c r="P151" s="298"/>
      <c r="Q151" s="298"/>
      <c r="R151" s="298"/>
      <c r="S151" s="298"/>
      <c r="T151" s="298"/>
      <c r="U151" s="298"/>
      <c r="V151" s="337"/>
      <c r="W151" s="304"/>
      <c r="X151" s="5"/>
    </row>
    <row r="152" spans="1:25" ht="15.6" x14ac:dyDescent="0.3">
      <c r="A152" s="271"/>
      <c r="B152" s="335" t="s">
        <v>268</v>
      </c>
      <c r="C152" s="298"/>
      <c r="D152" s="298"/>
      <c r="E152" s="298"/>
      <c r="F152" s="298"/>
      <c r="G152" s="298"/>
      <c r="H152" s="298"/>
      <c r="I152" s="298"/>
      <c r="J152" s="298"/>
      <c r="K152" s="298"/>
      <c r="L152" s="298"/>
      <c r="M152" s="298"/>
      <c r="N152" s="298"/>
      <c r="O152" s="298"/>
      <c r="P152" s="298"/>
      <c r="Q152" s="298"/>
      <c r="R152" s="298"/>
      <c r="S152" s="298"/>
      <c r="T152" s="298"/>
      <c r="U152" s="298"/>
      <c r="V152" s="337"/>
      <c r="W152" s="304"/>
      <c r="X152" s="5"/>
    </row>
    <row r="153" spans="1:25" ht="15.6" x14ac:dyDescent="0.3">
      <c r="A153" s="271"/>
      <c r="B153" s="272" t="s">
        <v>158</v>
      </c>
      <c r="C153" s="272"/>
      <c r="D153" s="272"/>
      <c r="E153" s="272"/>
      <c r="F153" s="272"/>
      <c r="G153" s="272"/>
      <c r="H153" s="272"/>
      <c r="I153" s="272"/>
      <c r="J153" s="272"/>
      <c r="K153" s="272"/>
      <c r="L153" s="272"/>
      <c r="M153" s="272"/>
      <c r="N153" s="272"/>
      <c r="O153" s="272"/>
      <c r="P153" s="272"/>
      <c r="Q153" s="272"/>
      <c r="R153" s="272"/>
      <c r="S153" s="272"/>
      <c r="T153" s="272"/>
      <c r="U153" s="272"/>
      <c r="V153" s="325">
        <v>15000</v>
      </c>
      <c r="W153" s="275"/>
      <c r="X153" s="5"/>
    </row>
    <row r="154" spans="1:25" ht="15.6" x14ac:dyDescent="0.3">
      <c r="A154" s="271"/>
      <c r="B154" s="272" t="s">
        <v>175</v>
      </c>
      <c r="C154" s="272"/>
      <c r="D154" s="272"/>
      <c r="E154" s="272"/>
      <c r="F154" s="272"/>
      <c r="G154" s="272"/>
      <c r="H154" s="272"/>
      <c r="I154" s="272"/>
      <c r="J154" s="272"/>
      <c r="K154" s="272"/>
      <c r="L154" s="272"/>
      <c r="M154" s="272"/>
      <c r="N154" s="272"/>
      <c r="O154" s="272"/>
      <c r="P154" s="272"/>
      <c r="Q154" s="272"/>
      <c r="R154" s="272"/>
      <c r="S154" s="272"/>
      <c r="T154" s="272"/>
      <c r="U154" s="272"/>
      <c r="V154" s="325">
        <v>0</v>
      </c>
      <c r="W154" s="275"/>
      <c r="X154" s="5"/>
    </row>
    <row r="155" spans="1:25" ht="15.6" x14ac:dyDescent="0.3">
      <c r="A155" s="271"/>
      <c r="B155" s="272" t="s">
        <v>341</v>
      </c>
      <c r="C155" s="272"/>
      <c r="D155" s="272"/>
      <c r="E155" s="272"/>
      <c r="F155" s="272"/>
      <c r="G155" s="272"/>
      <c r="H155" s="272"/>
      <c r="I155" s="272"/>
      <c r="J155" s="272"/>
      <c r="K155" s="272"/>
      <c r="L155" s="272"/>
      <c r="M155" s="272"/>
      <c r="N155" s="272"/>
      <c r="O155" s="272"/>
      <c r="P155" s="272"/>
      <c r="Q155" s="272"/>
      <c r="R155" s="272"/>
      <c r="S155" s="272"/>
      <c r="T155" s="272"/>
      <c r="U155" s="272"/>
      <c r="V155" s="325">
        <v>0</v>
      </c>
      <c r="W155" s="275"/>
      <c r="X155" s="5"/>
    </row>
    <row r="156" spans="1:25" ht="15.6" x14ac:dyDescent="0.3">
      <c r="A156" s="271"/>
      <c r="B156" s="298"/>
      <c r="C156" s="298"/>
      <c r="D156" s="298"/>
      <c r="E156" s="298"/>
      <c r="F156" s="298"/>
      <c r="G156" s="298"/>
      <c r="H156" s="298"/>
      <c r="I156" s="298"/>
      <c r="J156" s="298"/>
      <c r="K156" s="298"/>
      <c r="L156" s="298"/>
      <c r="M156" s="298"/>
      <c r="N156" s="298"/>
      <c r="O156" s="298"/>
      <c r="P156" s="298"/>
      <c r="Q156" s="298"/>
      <c r="R156" s="298"/>
      <c r="S156" s="298"/>
      <c r="T156" s="298"/>
      <c r="U156" s="298"/>
      <c r="V156" s="337"/>
      <c r="W156" s="304"/>
      <c r="X156" s="5"/>
    </row>
    <row r="157" spans="1:25" ht="15.6" x14ac:dyDescent="0.3">
      <c r="A157" s="175"/>
      <c r="B157" s="321"/>
      <c r="C157" s="321"/>
      <c r="D157" s="321"/>
      <c r="E157" s="321"/>
      <c r="F157" s="321"/>
      <c r="G157" s="321"/>
      <c r="H157" s="321"/>
      <c r="I157" s="321"/>
      <c r="J157" s="321"/>
      <c r="K157" s="321"/>
      <c r="L157" s="321"/>
      <c r="M157" s="321"/>
      <c r="N157" s="321"/>
      <c r="O157" s="321"/>
      <c r="P157" s="321"/>
      <c r="Q157" s="321"/>
      <c r="R157" s="321"/>
      <c r="S157" s="321"/>
      <c r="T157" s="321"/>
      <c r="U157" s="321"/>
      <c r="V157" s="340"/>
      <c r="W157" s="321"/>
      <c r="X157" s="5"/>
    </row>
    <row r="158" spans="1:25" ht="15.6" x14ac:dyDescent="0.3">
      <c r="A158" s="175"/>
      <c r="B158" s="203" t="s">
        <v>24</v>
      </c>
      <c r="C158" s="177"/>
      <c r="D158" s="177"/>
      <c r="E158" s="177"/>
      <c r="F158" s="177"/>
      <c r="G158" s="177"/>
      <c r="H158" s="177"/>
      <c r="I158" s="177"/>
      <c r="J158" s="177"/>
      <c r="K158" s="177"/>
      <c r="L158" s="177"/>
      <c r="M158" s="177"/>
      <c r="N158" s="177"/>
      <c r="O158" s="177"/>
      <c r="P158" s="177"/>
      <c r="Q158" s="177"/>
      <c r="R158" s="177"/>
      <c r="S158" s="177"/>
      <c r="T158" s="177"/>
      <c r="U158" s="177"/>
      <c r="V158" s="196"/>
      <c r="W158" s="177"/>
      <c r="X158" s="5"/>
    </row>
    <row r="159" spans="1:25" ht="15.6" x14ac:dyDescent="0.3">
      <c r="A159" s="271"/>
      <c r="B159" s="272" t="s">
        <v>47</v>
      </c>
      <c r="C159" s="272"/>
      <c r="D159" s="272"/>
      <c r="E159" s="272"/>
      <c r="F159" s="272"/>
      <c r="G159" s="272"/>
      <c r="H159" s="272"/>
      <c r="I159" s="272"/>
      <c r="J159" s="272"/>
      <c r="K159" s="272"/>
      <c r="L159" s="272"/>
      <c r="M159" s="272"/>
      <c r="N159" s="272"/>
      <c r="O159" s="272"/>
      <c r="P159" s="272"/>
      <c r="Q159" s="272"/>
      <c r="R159" s="272"/>
      <c r="S159" s="272"/>
      <c r="T159" s="272"/>
      <c r="U159" s="272"/>
      <c r="V159" s="341" t="s">
        <v>121</v>
      </c>
      <c r="W159" s="275"/>
      <c r="X159" s="5"/>
    </row>
    <row r="160" spans="1:25" ht="15.6" x14ac:dyDescent="0.3">
      <c r="A160" s="271"/>
      <c r="B160" s="272" t="s">
        <v>48</v>
      </c>
      <c r="C160" s="274"/>
      <c r="D160" s="274"/>
      <c r="E160" s="274"/>
      <c r="F160" s="274"/>
      <c r="G160" s="274"/>
      <c r="H160" s="274"/>
      <c r="I160" s="274"/>
      <c r="J160" s="274"/>
      <c r="K160" s="274"/>
      <c r="L160" s="274"/>
      <c r="M160" s="274"/>
      <c r="N160" s="274"/>
      <c r="O160" s="274"/>
      <c r="P160" s="274"/>
      <c r="Q160" s="274"/>
      <c r="R160" s="274"/>
      <c r="S160" s="274"/>
      <c r="T160" s="274"/>
      <c r="U160" s="274"/>
      <c r="V160" s="341" t="s">
        <v>121</v>
      </c>
      <c r="W160" s="275"/>
      <c r="X160" s="5"/>
    </row>
    <row r="161" spans="1:24" ht="15.6" x14ac:dyDescent="0.3">
      <c r="A161" s="271"/>
      <c r="B161" s="272" t="s">
        <v>49</v>
      </c>
      <c r="C161" s="272"/>
      <c r="D161" s="272"/>
      <c r="E161" s="272"/>
      <c r="F161" s="272"/>
      <c r="G161" s="272"/>
      <c r="H161" s="272"/>
      <c r="I161" s="272"/>
      <c r="J161" s="272"/>
      <c r="K161" s="272"/>
      <c r="L161" s="272"/>
      <c r="M161" s="272"/>
      <c r="N161" s="272"/>
      <c r="O161" s="272"/>
      <c r="P161" s="272"/>
      <c r="Q161" s="272"/>
      <c r="R161" s="272"/>
      <c r="S161" s="272"/>
      <c r="T161" s="272"/>
      <c r="U161" s="272"/>
      <c r="V161" s="341" t="s">
        <v>121</v>
      </c>
      <c r="W161" s="275"/>
      <c r="X161" s="5"/>
    </row>
    <row r="162" spans="1:24" ht="15.6" x14ac:dyDescent="0.3">
      <c r="A162" s="271"/>
      <c r="B162" s="272" t="s">
        <v>50</v>
      </c>
      <c r="C162" s="272"/>
      <c r="D162" s="272"/>
      <c r="E162" s="272"/>
      <c r="F162" s="272"/>
      <c r="G162" s="272"/>
      <c r="H162" s="272"/>
      <c r="I162" s="272"/>
      <c r="J162" s="272"/>
      <c r="K162" s="272"/>
      <c r="L162" s="272"/>
      <c r="M162" s="272"/>
      <c r="N162" s="272"/>
      <c r="O162" s="272"/>
      <c r="P162" s="272"/>
      <c r="Q162" s="272"/>
      <c r="R162" s="272"/>
      <c r="S162" s="272"/>
      <c r="T162" s="272"/>
      <c r="U162" s="272"/>
      <c r="V162" s="341" t="s">
        <v>121</v>
      </c>
      <c r="W162" s="275"/>
      <c r="X162" s="5"/>
    </row>
    <row r="163" spans="1:24" ht="15.6" x14ac:dyDescent="0.3">
      <c r="A163" s="175"/>
      <c r="B163" s="321"/>
      <c r="C163" s="321"/>
      <c r="D163" s="321"/>
      <c r="E163" s="321"/>
      <c r="F163" s="321"/>
      <c r="G163" s="321"/>
      <c r="H163" s="321"/>
      <c r="I163" s="321"/>
      <c r="J163" s="321"/>
      <c r="K163" s="321"/>
      <c r="L163" s="321"/>
      <c r="M163" s="321"/>
      <c r="N163" s="321"/>
      <c r="O163" s="321"/>
      <c r="P163" s="321"/>
      <c r="Q163" s="321"/>
      <c r="R163" s="321"/>
      <c r="S163" s="321"/>
      <c r="T163" s="321"/>
      <c r="U163" s="321"/>
      <c r="V163" s="340"/>
      <c r="W163" s="321"/>
      <c r="X163" s="5"/>
    </row>
    <row r="164" spans="1:24" ht="15.6" x14ac:dyDescent="0.3">
      <c r="A164" s="175"/>
      <c r="B164" s="203" t="s">
        <v>51</v>
      </c>
      <c r="C164" s="177"/>
      <c r="D164" s="177"/>
      <c r="E164" s="177"/>
      <c r="F164" s="177"/>
      <c r="G164" s="177"/>
      <c r="H164" s="177"/>
      <c r="I164" s="177"/>
      <c r="J164" s="177"/>
      <c r="K164" s="177"/>
      <c r="L164" s="177"/>
      <c r="M164" s="177"/>
      <c r="N164" s="177"/>
      <c r="O164" s="177"/>
      <c r="P164" s="177"/>
      <c r="Q164" s="177"/>
      <c r="R164" s="177"/>
      <c r="S164" s="177"/>
      <c r="T164" s="177"/>
      <c r="U164" s="177"/>
      <c r="V164" s="204"/>
      <c r="W164" s="177"/>
      <c r="X164" s="5"/>
    </row>
    <row r="165" spans="1:24" ht="15.6" x14ac:dyDescent="0.3">
      <c r="A165" s="342"/>
      <c r="B165" s="343" t="s">
        <v>52</v>
      </c>
      <c r="C165" s="343"/>
      <c r="D165" s="343"/>
      <c r="E165" s="343"/>
      <c r="F165" s="343"/>
      <c r="G165" s="343"/>
      <c r="H165" s="343"/>
      <c r="I165" s="343"/>
      <c r="J165" s="343"/>
      <c r="K165" s="343"/>
      <c r="L165" s="343"/>
      <c r="M165" s="343"/>
      <c r="N165" s="343"/>
      <c r="O165" s="343"/>
      <c r="P165" s="343"/>
      <c r="Q165" s="343"/>
      <c r="R165" s="343"/>
      <c r="S165" s="343"/>
      <c r="T165" s="343"/>
      <c r="U165" s="343"/>
      <c r="V165" s="344">
        <v>0</v>
      </c>
      <c r="W165" s="345"/>
      <c r="X165" s="5"/>
    </row>
    <row r="166" spans="1:24" ht="15.6" x14ac:dyDescent="0.3">
      <c r="A166" s="342"/>
      <c r="B166" s="343" t="s">
        <v>53</v>
      </c>
      <c r="C166" s="343"/>
      <c r="D166" s="343"/>
      <c r="E166" s="343"/>
      <c r="F166" s="343"/>
      <c r="G166" s="343"/>
      <c r="H166" s="343"/>
      <c r="I166" s="343"/>
      <c r="J166" s="343"/>
      <c r="K166" s="343"/>
      <c r="L166" s="343"/>
      <c r="M166" s="343"/>
      <c r="N166" s="343"/>
      <c r="O166" s="343"/>
      <c r="P166" s="343"/>
      <c r="Q166" s="343"/>
      <c r="R166" s="343"/>
      <c r="S166" s="343"/>
      <c r="T166" s="343"/>
      <c r="U166" s="343"/>
      <c r="V166" s="344">
        <v>37</v>
      </c>
      <c r="W166" s="345"/>
      <c r="X166" s="5"/>
    </row>
    <row r="167" spans="1:24" ht="15.6" x14ac:dyDescent="0.3">
      <c r="A167" s="342"/>
      <c r="B167" s="343" t="s">
        <v>54</v>
      </c>
      <c r="C167" s="343"/>
      <c r="D167" s="343"/>
      <c r="E167" s="343"/>
      <c r="F167" s="343"/>
      <c r="G167" s="343"/>
      <c r="H167" s="343"/>
      <c r="I167" s="343"/>
      <c r="J167" s="343"/>
      <c r="K167" s="343"/>
      <c r="L167" s="343"/>
      <c r="M167" s="343"/>
      <c r="N167" s="343"/>
      <c r="O167" s="343"/>
      <c r="P167" s="343"/>
      <c r="Q167" s="343"/>
      <c r="R167" s="343"/>
      <c r="S167" s="343"/>
      <c r="T167" s="343"/>
      <c r="U167" s="343"/>
      <c r="V167" s="344">
        <f>V166+V165</f>
        <v>37</v>
      </c>
      <c r="W167" s="345"/>
      <c r="X167" s="5"/>
    </row>
    <row r="168" spans="1:24" ht="15.6" x14ac:dyDescent="0.3">
      <c r="A168" s="342"/>
      <c r="B168" s="272" t="s">
        <v>318</v>
      </c>
      <c r="C168" s="343"/>
      <c r="D168" s="343"/>
      <c r="E168" s="343"/>
      <c r="F168" s="343"/>
      <c r="G168" s="343"/>
      <c r="H168" s="343"/>
      <c r="I168" s="343"/>
      <c r="J168" s="343"/>
      <c r="K168" s="343"/>
      <c r="L168" s="343"/>
      <c r="M168" s="343"/>
      <c r="N168" s="343"/>
      <c r="O168" s="343"/>
      <c r="P168" s="343"/>
      <c r="Q168" s="343"/>
      <c r="R168" s="343"/>
      <c r="S168" s="343"/>
      <c r="T168" s="343"/>
      <c r="U168" s="343"/>
      <c r="V168" s="344">
        <f>V114</f>
        <v>-37</v>
      </c>
      <c r="W168" s="345"/>
      <c r="X168" s="5"/>
    </row>
    <row r="169" spans="1:24" ht="15.6" x14ac:dyDescent="0.3">
      <c r="A169" s="342"/>
      <c r="B169" s="343" t="s">
        <v>55</v>
      </c>
      <c r="C169" s="343"/>
      <c r="D169" s="343"/>
      <c r="E169" s="343"/>
      <c r="F169" s="343"/>
      <c r="G169" s="343"/>
      <c r="H169" s="343"/>
      <c r="I169" s="343"/>
      <c r="J169" s="343"/>
      <c r="K169" s="343"/>
      <c r="L169" s="343"/>
      <c r="M169" s="343"/>
      <c r="N169" s="343"/>
      <c r="O169" s="343"/>
      <c r="P169" s="343"/>
      <c r="Q169" s="343"/>
      <c r="R169" s="343"/>
      <c r="S169" s="343"/>
      <c r="T169" s="343"/>
      <c r="U169" s="343"/>
      <c r="V169" s="344">
        <f>V167+V168</f>
        <v>0</v>
      </c>
      <c r="W169" s="345"/>
      <c r="X169" s="5"/>
    </row>
    <row r="170" spans="1:24" ht="15.6" x14ac:dyDescent="0.3">
      <c r="A170" s="342"/>
      <c r="B170" s="343" t="s">
        <v>288</v>
      </c>
      <c r="C170" s="343"/>
      <c r="D170" s="343"/>
      <c r="E170" s="343"/>
      <c r="F170" s="343"/>
      <c r="G170" s="343"/>
      <c r="H170" s="343"/>
      <c r="I170" s="343"/>
      <c r="J170" s="343"/>
      <c r="K170" s="343"/>
      <c r="L170" s="343"/>
      <c r="M170" s="343"/>
      <c r="N170" s="343"/>
      <c r="O170" s="343"/>
      <c r="P170" s="343"/>
      <c r="Q170" s="343"/>
      <c r="R170" s="343"/>
      <c r="S170" s="343"/>
      <c r="T170" s="343"/>
      <c r="U170" s="343"/>
      <c r="V170" s="344">
        <f>-V98</f>
        <v>242</v>
      </c>
      <c r="W170" s="345"/>
      <c r="X170" s="5"/>
    </row>
    <row r="171" spans="1:24" ht="16.2" thickBot="1" x14ac:dyDescent="0.35">
      <c r="A171" s="175"/>
      <c r="B171" s="321"/>
      <c r="C171" s="321"/>
      <c r="D171" s="321"/>
      <c r="E171" s="321"/>
      <c r="F171" s="321"/>
      <c r="G171" s="321"/>
      <c r="H171" s="321"/>
      <c r="I171" s="321"/>
      <c r="J171" s="321"/>
      <c r="K171" s="321"/>
      <c r="L171" s="321"/>
      <c r="M171" s="321"/>
      <c r="N171" s="321"/>
      <c r="O171" s="321"/>
      <c r="P171" s="321"/>
      <c r="Q171" s="321"/>
      <c r="R171" s="321"/>
      <c r="S171" s="321"/>
      <c r="T171" s="321"/>
      <c r="U171" s="321"/>
      <c r="V171" s="340"/>
      <c r="W171" s="321"/>
      <c r="X171" s="5"/>
    </row>
    <row r="172" spans="1:24" ht="15.6" x14ac:dyDescent="0.3">
      <c r="A172" s="173"/>
      <c r="B172" s="174"/>
      <c r="C172" s="174"/>
      <c r="D172" s="174"/>
      <c r="E172" s="174"/>
      <c r="F172" s="174"/>
      <c r="G172" s="174"/>
      <c r="H172" s="174"/>
      <c r="I172" s="174"/>
      <c r="J172" s="174"/>
      <c r="K172" s="174"/>
      <c r="L172" s="174"/>
      <c r="M172" s="174"/>
      <c r="N172" s="174"/>
      <c r="O172" s="174"/>
      <c r="P172" s="174"/>
      <c r="Q172" s="174"/>
      <c r="R172" s="174"/>
      <c r="S172" s="174"/>
      <c r="T172" s="174"/>
      <c r="U172" s="174"/>
      <c r="V172" s="195"/>
      <c r="W172" s="174"/>
      <c r="X172" s="5"/>
    </row>
    <row r="173" spans="1:24" ht="15.6" x14ac:dyDescent="0.3">
      <c r="A173" s="175"/>
      <c r="B173" s="203" t="s">
        <v>56</v>
      </c>
      <c r="C173" s="177"/>
      <c r="D173" s="177"/>
      <c r="E173" s="177"/>
      <c r="F173" s="177"/>
      <c r="G173" s="177"/>
      <c r="H173" s="177"/>
      <c r="I173" s="177"/>
      <c r="J173" s="177"/>
      <c r="K173" s="177"/>
      <c r="L173" s="177"/>
      <c r="M173" s="177"/>
      <c r="N173" s="177"/>
      <c r="O173" s="177"/>
      <c r="P173" s="177"/>
      <c r="Q173" s="177"/>
      <c r="R173" s="177"/>
      <c r="S173" s="177"/>
      <c r="T173" s="177"/>
      <c r="U173" s="177"/>
      <c r="V173" s="196"/>
      <c r="W173" s="177"/>
      <c r="X173" s="5"/>
    </row>
    <row r="174" spans="1:24" ht="15.6" x14ac:dyDescent="0.3">
      <c r="A174" s="175"/>
      <c r="B174" s="186"/>
      <c r="C174" s="177"/>
      <c r="D174" s="177"/>
      <c r="E174" s="177"/>
      <c r="F174" s="177"/>
      <c r="G174" s="177"/>
      <c r="H174" s="177"/>
      <c r="I174" s="177"/>
      <c r="J174" s="177"/>
      <c r="K174" s="177"/>
      <c r="L174" s="177"/>
      <c r="M174" s="177"/>
      <c r="N174" s="177"/>
      <c r="O174" s="177"/>
      <c r="P174" s="177"/>
      <c r="Q174" s="177"/>
      <c r="R174" s="177"/>
      <c r="S174" s="177"/>
      <c r="T174" s="177"/>
      <c r="U174" s="177"/>
      <c r="V174" s="196"/>
      <c r="W174" s="177"/>
      <c r="X174" s="5"/>
    </row>
    <row r="175" spans="1:24" ht="15.6" x14ac:dyDescent="0.3">
      <c r="A175" s="271"/>
      <c r="B175" s="272" t="s">
        <v>57</v>
      </c>
      <c r="C175" s="272"/>
      <c r="D175" s="272"/>
      <c r="E175" s="272"/>
      <c r="F175" s="272"/>
      <c r="G175" s="272"/>
      <c r="H175" s="272"/>
      <c r="I175" s="272"/>
      <c r="J175" s="272"/>
      <c r="K175" s="272"/>
      <c r="L175" s="272"/>
      <c r="M175" s="272"/>
      <c r="N175" s="272"/>
      <c r="O175" s="272"/>
      <c r="P175" s="272"/>
      <c r="Q175" s="272"/>
      <c r="R175" s="272"/>
      <c r="S175" s="272"/>
      <c r="T175" s="272"/>
      <c r="U175" s="272"/>
      <c r="V175" s="325">
        <f>V70</f>
        <v>800232</v>
      </c>
      <c r="W175" s="275"/>
      <c r="X175" s="5"/>
    </row>
    <row r="176" spans="1:24" ht="15.6" x14ac:dyDescent="0.3">
      <c r="A176" s="271"/>
      <c r="B176" s="272" t="s">
        <v>58</v>
      </c>
      <c r="C176" s="272"/>
      <c r="D176" s="272"/>
      <c r="E176" s="272"/>
      <c r="F176" s="272"/>
      <c r="G176" s="272"/>
      <c r="H176" s="272"/>
      <c r="I176" s="272"/>
      <c r="J176" s="272"/>
      <c r="K176" s="272"/>
      <c r="L176" s="272"/>
      <c r="M176" s="272"/>
      <c r="N176" s="272"/>
      <c r="O176" s="272"/>
      <c r="P176" s="272"/>
      <c r="Q176" s="272"/>
      <c r="R176" s="272"/>
      <c r="S176" s="272"/>
      <c r="T176" s="272"/>
      <c r="U176" s="272"/>
      <c r="V176" s="325">
        <f>V83</f>
        <v>800232</v>
      </c>
      <c r="W176" s="275"/>
      <c r="X176" s="5"/>
    </row>
    <row r="177" spans="1:24" ht="16.2" thickBot="1" x14ac:dyDescent="0.35">
      <c r="A177" s="175"/>
      <c r="B177" s="321"/>
      <c r="C177" s="321"/>
      <c r="D177" s="321"/>
      <c r="E177" s="321"/>
      <c r="F177" s="321"/>
      <c r="G177" s="321"/>
      <c r="H177" s="321"/>
      <c r="I177" s="321"/>
      <c r="J177" s="321"/>
      <c r="K177" s="321"/>
      <c r="L177" s="321"/>
      <c r="M177" s="321"/>
      <c r="N177" s="321"/>
      <c r="O177" s="321"/>
      <c r="P177" s="321"/>
      <c r="Q177" s="321"/>
      <c r="R177" s="321"/>
      <c r="S177" s="321"/>
      <c r="T177" s="321"/>
      <c r="U177" s="321"/>
      <c r="V177" s="340"/>
      <c r="W177" s="321"/>
      <c r="X177" s="5"/>
    </row>
    <row r="178" spans="1:24" ht="15.6" x14ac:dyDescent="0.3">
      <c r="A178" s="173"/>
      <c r="B178" s="174"/>
      <c r="C178" s="174"/>
      <c r="D178" s="174"/>
      <c r="E178" s="174"/>
      <c r="F178" s="174"/>
      <c r="G178" s="174"/>
      <c r="H178" s="174"/>
      <c r="I178" s="174"/>
      <c r="J178" s="174"/>
      <c r="K178" s="174"/>
      <c r="L178" s="174"/>
      <c r="M178" s="174"/>
      <c r="N178" s="174"/>
      <c r="O178" s="174"/>
      <c r="P178" s="174"/>
      <c r="Q178" s="174"/>
      <c r="R178" s="174"/>
      <c r="S178" s="174"/>
      <c r="T178" s="174"/>
      <c r="U178" s="174"/>
      <c r="V178" s="195"/>
      <c r="W178" s="174"/>
      <c r="X178" s="5"/>
    </row>
    <row r="179" spans="1:24" ht="15.6" x14ac:dyDescent="0.3">
      <c r="A179" s="175"/>
      <c r="B179" s="203" t="s">
        <v>59</v>
      </c>
      <c r="C179" s="200"/>
      <c r="D179" s="200"/>
      <c r="E179" s="200"/>
      <c r="F179" s="200"/>
      <c r="G179" s="200"/>
      <c r="H179" s="205"/>
      <c r="I179" s="205"/>
      <c r="J179" s="205"/>
      <c r="K179" s="205"/>
      <c r="L179" s="205"/>
      <c r="M179" s="205"/>
      <c r="N179" s="205"/>
      <c r="O179" s="205"/>
      <c r="P179" s="205"/>
      <c r="Q179" s="205"/>
      <c r="R179" s="205"/>
      <c r="S179" s="205" t="s">
        <v>102</v>
      </c>
      <c r="T179" s="205" t="s">
        <v>179</v>
      </c>
      <c r="U179" s="179"/>
      <c r="V179" s="206" t="s">
        <v>117</v>
      </c>
      <c r="W179" s="207"/>
      <c r="X179" s="5"/>
    </row>
    <row r="180" spans="1:24" ht="15.6" x14ac:dyDescent="0.3">
      <c r="A180" s="271"/>
      <c r="B180" s="272" t="s">
        <v>60</v>
      </c>
      <c r="C180" s="272"/>
      <c r="D180" s="272"/>
      <c r="E180" s="272"/>
      <c r="F180" s="272"/>
      <c r="G180" s="272"/>
      <c r="H180" s="272"/>
      <c r="I180" s="272"/>
      <c r="J180" s="272"/>
      <c r="K180" s="272"/>
      <c r="L180" s="272"/>
      <c r="M180" s="272"/>
      <c r="N180" s="272"/>
      <c r="O180" s="272"/>
      <c r="P180" s="272"/>
      <c r="Q180" s="272"/>
      <c r="R180" s="272"/>
      <c r="S180" s="325">
        <f>+V34*0.16</f>
        <v>240030.4</v>
      </c>
      <c r="T180" s="311"/>
      <c r="U180" s="272"/>
      <c r="V180" s="325"/>
      <c r="W180" s="275"/>
      <c r="X180" s="5"/>
    </row>
    <row r="181" spans="1:24" ht="15.6" x14ac:dyDescent="0.3">
      <c r="A181" s="271"/>
      <c r="B181" s="272" t="s">
        <v>61</v>
      </c>
      <c r="C181" s="272"/>
      <c r="D181" s="272"/>
      <c r="E181" s="272"/>
      <c r="F181" s="272"/>
      <c r="G181" s="272"/>
      <c r="H181" s="272"/>
      <c r="I181" s="272"/>
      <c r="J181" s="272"/>
      <c r="K181" s="272"/>
      <c r="L181" s="272"/>
      <c r="M181" s="272"/>
      <c r="N181" s="272"/>
      <c r="O181" s="272"/>
      <c r="P181" s="272"/>
      <c r="Q181" s="272"/>
      <c r="R181" s="272"/>
      <c r="S181" s="325">
        <f>+'March 17'!S183</f>
        <v>53103</v>
      </c>
      <c r="T181" s="325">
        <f>+'March 17'!T183</f>
        <v>9757</v>
      </c>
      <c r="U181" s="272"/>
      <c r="V181" s="325">
        <f>S181+T181</f>
        <v>62860</v>
      </c>
      <c r="W181" s="275"/>
      <c r="X181" s="5"/>
    </row>
    <row r="182" spans="1:24" ht="15.6" x14ac:dyDescent="0.3">
      <c r="A182" s="271"/>
      <c r="B182" s="272" t="s">
        <v>62</v>
      </c>
      <c r="C182" s="272"/>
      <c r="D182" s="272"/>
      <c r="E182" s="272"/>
      <c r="F182" s="272"/>
      <c r="G182" s="272"/>
      <c r="H182" s="272"/>
      <c r="I182" s="272"/>
      <c r="J182" s="272"/>
      <c r="K182" s="272"/>
      <c r="L182" s="272"/>
      <c r="M182" s="272"/>
      <c r="N182" s="272"/>
      <c r="O182" s="272"/>
      <c r="P182" s="272"/>
      <c r="Q182" s="272"/>
      <c r="R182" s="272"/>
      <c r="S182" s="324">
        <v>357</v>
      </c>
      <c r="T182" s="324">
        <v>0</v>
      </c>
      <c r="U182" s="272"/>
      <c r="V182" s="325">
        <f>S182+T182</f>
        <v>357</v>
      </c>
      <c r="W182" s="275"/>
      <c r="X182" s="5"/>
    </row>
    <row r="183" spans="1:24" ht="15.6" x14ac:dyDescent="0.3">
      <c r="A183" s="271"/>
      <c r="B183" s="272" t="s">
        <v>63</v>
      </c>
      <c r="C183" s="272"/>
      <c r="D183" s="272"/>
      <c r="E183" s="272"/>
      <c r="F183" s="272"/>
      <c r="G183" s="272"/>
      <c r="H183" s="272"/>
      <c r="I183" s="272"/>
      <c r="J183" s="272"/>
      <c r="K183" s="272"/>
      <c r="L183" s="272"/>
      <c r="M183" s="272"/>
      <c r="N183" s="272"/>
      <c r="O183" s="272"/>
      <c r="P183" s="272"/>
      <c r="Q183" s="272"/>
      <c r="R183" s="272"/>
      <c r="S183" s="325">
        <f>+S181+S182</f>
        <v>53460</v>
      </c>
      <c r="T183" s="325">
        <f>T182+T181</f>
        <v>9757</v>
      </c>
      <c r="U183" s="272"/>
      <c r="V183" s="325">
        <f>S183+T183</f>
        <v>63217</v>
      </c>
      <c r="W183" s="275"/>
      <c r="X183" s="5"/>
    </row>
    <row r="184" spans="1:24" ht="15.6" x14ac:dyDescent="0.3">
      <c r="A184" s="271"/>
      <c r="B184" s="272" t="s">
        <v>64</v>
      </c>
      <c r="C184" s="272"/>
      <c r="D184" s="272"/>
      <c r="E184" s="272"/>
      <c r="F184" s="272"/>
      <c r="G184" s="272"/>
      <c r="H184" s="272"/>
      <c r="I184" s="272"/>
      <c r="J184" s="272"/>
      <c r="K184" s="272"/>
      <c r="L184" s="272"/>
      <c r="M184" s="272"/>
      <c r="N184" s="272"/>
      <c r="O184" s="272"/>
      <c r="P184" s="272"/>
      <c r="Q184" s="272"/>
      <c r="R184" s="272"/>
      <c r="S184" s="325">
        <f>S180-S183-T183</f>
        <v>176813.4</v>
      </c>
      <c r="T184" s="311"/>
      <c r="U184" s="272"/>
      <c r="V184" s="325"/>
      <c r="W184" s="275"/>
      <c r="X184" s="5"/>
    </row>
    <row r="185" spans="1:24" ht="16.2" thickBot="1" x14ac:dyDescent="0.35">
      <c r="A185" s="175"/>
      <c r="B185" s="321"/>
      <c r="C185" s="321"/>
      <c r="D185" s="321"/>
      <c r="E185" s="321"/>
      <c r="F185" s="321"/>
      <c r="G185" s="321"/>
      <c r="H185" s="321"/>
      <c r="I185" s="321"/>
      <c r="J185" s="321"/>
      <c r="K185" s="321"/>
      <c r="L185" s="321"/>
      <c r="M185" s="321"/>
      <c r="N185" s="321"/>
      <c r="O185" s="321"/>
      <c r="P185" s="321"/>
      <c r="Q185" s="321"/>
      <c r="R185" s="321"/>
      <c r="S185" s="321"/>
      <c r="T185" s="321"/>
      <c r="U185" s="321"/>
      <c r="V185" s="340"/>
      <c r="W185" s="321"/>
      <c r="X185" s="5"/>
    </row>
    <row r="186" spans="1:24" ht="15.6" x14ac:dyDescent="0.3">
      <c r="A186" s="173"/>
      <c r="B186" s="174"/>
      <c r="C186" s="174"/>
      <c r="D186" s="174"/>
      <c r="E186" s="174"/>
      <c r="F186" s="174"/>
      <c r="G186" s="174"/>
      <c r="H186" s="174"/>
      <c r="I186" s="174"/>
      <c r="J186" s="174"/>
      <c r="K186" s="174"/>
      <c r="L186" s="174"/>
      <c r="M186" s="174"/>
      <c r="N186" s="174"/>
      <c r="O186" s="174"/>
      <c r="P186" s="174"/>
      <c r="Q186" s="174"/>
      <c r="R186" s="174"/>
      <c r="S186" s="174"/>
      <c r="T186" s="174"/>
      <c r="U186" s="174"/>
      <c r="V186" s="195"/>
      <c r="W186" s="174"/>
      <c r="X186" s="5"/>
    </row>
    <row r="187" spans="1:24" ht="15.6" x14ac:dyDescent="0.3">
      <c r="A187" s="175"/>
      <c r="B187" s="203" t="s">
        <v>65</v>
      </c>
      <c r="C187" s="177"/>
      <c r="D187" s="177"/>
      <c r="E187" s="177"/>
      <c r="F187" s="177"/>
      <c r="G187" s="177"/>
      <c r="H187" s="177"/>
      <c r="I187" s="177"/>
      <c r="J187" s="177"/>
      <c r="K187" s="177"/>
      <c r="L187" s="177"/>
      <c r="M187" s="177"/>
      <c r="N187" s="177"/>
      <c r="O187" s="177"/>
      <c r="P187" s="177"/>
      <c r="Q187" s="177"/>
      <c r="R187" s="177"/>
      <c r="S187" s="177"/>
      <c r="T187" s="177"/>
      <c r="U187" s="177"/>
      <c r="V187" s="208"/>
      <c r="W187" s="177"/>
      <c r="X187" s="5"/>
    </row>
    <row r="188" spans="1:24" ht="15.6" x14ac:dyDescent="0.3">
      <c r="A188" s="271"/>
      <c r="B188" s="272" t="s">
        <v>66</v>
      </c>
      <c r="C188" s="272"/>
      <c r="D188" s="272"/>
      <c r="E188" s="272"/>
      <c r="F188" s="272"/>
      <c r="G188" s="272"/>
      <c r="H188" s="272"/>
      <c r="I188" s="272"/>
      <c r="J188" s="272"/>
      <c r="K188" s="272"/>
      <c r="L188" s="272"/>
      <c r="M188" s="272"/>
      <c r="N188" s="272"/>
      <c r="O188" s="272"/>
      <c r="P188" s="272"/>
      <c r="Q188" s="272"/>
      <c r="R188" s="272"/>
      <c r="S188" s="272"/>
      <c r="T188" s="272"/>
      <c r="U188" s="272"/>
      <c r="V188" s="341">
        <f>(V99+V101+V102+V103+V104)/-(V105+V106)</f>
        <v>4.4873208379272329</v>
      </c>
      <c r="W188" s="275" t="s">
        <v>118</v>
      </c>
      <c r="X188" s="5"/>
    </row>
    <row r="189" spans="1:24" ht="15.6" x14ac:dyDescent="0.3">
      <c r="A189" s="271"/>
      <c r="B189" s="272" t="s">
        <v>67</v>
      </c>
      <c r="C189" s="272"/>
      <c r="D189" s="272"/>
      <c r="E189" s="272"/>
      <c r="F189" s="272"/>
      <c r="G189" s="272"/>
      <c r="H189" s="272"/>
      <c r="I189" s="272"/>
      <c r="J189" s="272"/>
      <c r="K189" s="272"/>
      <c r="L189" s="272"/>
      <c r="M189" s="272"/>
      <c r="N189" s="272"/>
      <c r="O189" s="272"/>
      <c r="P189" s="272"/>
      <c r="Q189" s="272"/>
      <c r="R189" s="272"/>
      <c r="S189" s="272"/>
      <c r="T189" s="272"/>
      <c r="U189" s="272"/>
      <c r="V189" s="346">
        <v>1.88</v>
      </c>
      <c r="W189" s="275" t="s">
        <v>118</v>
      </c>
      <c r="X189" s="5"/>
    </row>
    <row r="190" spans="1:24" ht="15.6" x14ac:dyDescent="0.3">
      <c r="A190" s="271"/>
      <c r="B190" s="272" t="s">
        <v>68</v>
      </c>
      <c r="C190" s="272"/>
      <c r="D190" s="272"/>
      <c r="E190" s="272"/>
      <c r="F190" s="272"/>
      <c r="G190" s="272"/>
      <c r="H190" s="272"/>
      <c r="I190" s="272"/>
      <c r="J190" s="272"/>
      <c r="K190" s="272"/>
      <c r="L190" s="272"/>
      <c r="M190" s="272"/>
      <c r="N190" s="272"/>
      <c r="O190" s="272"/>
      <c r="P190" s="272"/>
      <c r="Q190" s="272"/>
      <c r="R190" s="272"/>
      <c r="S190" s="272"/>
      <c r="T190" s="272"/>
      <c r="U190" s="272"/>
      <c r="V190" s="341">
        <f>(V99+V101+V102+V103+V104+V105+V106)/-(V108+V109)</f>
        <v>15.354368932038835</v>
      </c>
      <c r="W190" s="275" t="s">
        <v>118</v>
      </c>
      <c r="X190" s="5"/>
    </row>
    <row r="191" spans="1:24" ht="15.6" x14ac:dyDescent="0.3">
      <c r="A191" s="271"/>
      <c r="B191" s="272" t="s">
        <v>69</v>
      </c>
      <c r="C191" s="272"/>
      <c r="D191" s="272"/>
      <c r="E191" s="272"/>
      <c r="F191" s="272"/>
      <c r="G191" s="272"/>
      <c r="H191" s="272"/>
      <c r="I191" s="272"/>
      <c r="J191" s="272"/>
      <c r="K191" s="272"/>
      <c r="L191" s="272"/>
      <c r="M191" s="272"/>
      <c r="N191" s="272"/>
      <c r="O191" s="272"/>
      <c r="P191" s="272"/>
      <c r="Q191" s="272"/>
      <c r="R191" s="272"/>
      <c r="S191" s="272"/>
      <c r="T191" s="272"/>
      <c r="U191" s="272"/>
      <c r="V191" s="346">
        <v>7.68</v>
      </c>
      <c r="W191" s="275" t="s">
        <v>118</v>
      </c>
      <c r="X191" s="5"/>
    </row>
    <row r="192" spans="1:24" ht="15.6" x14ac:dyDescent="0.3">
      <c r="A192" s="271"/>
      <c r="B192" s="272" t="s">
        <v>201</v>
      </c>
      <c r="C192" s="272"/>
      <c r="D192" s="272"/>
      <c r="E192" s="272"/>
      <c r="F192" s="272"/>
      <c r="G192" s="272"/>
      <c r="H192" s="272"/>
      <c r="I192" s="272"/>
      <c r="J192" s="272"/>
      <c r="K192" s="272"/>
      <c r="L192" s="272"/>
      <c r="M192" s="272"/>
      <c r="N192" s="272"/>
      <c r="O192" s="272"/>
      <c r="P192" s="272"/>
      <c r="Q192" s="272"/>
      <c r="R192" s="272"/>
      <c r="S192" s="272"/>
      <c r="T192" s="272"/>
      <c r="U192" s="272"/>
      <c r="V192" s="341">
        <f>(V99+V101+V102+V103+V104+V105+V106+V108+V109)/-(V110+V111)</f>
        <v>15.242268041237113</v>
      </c>
      <c r="W192" s="275" t="s">
        <v>118</v>
      </c>
      <c r="X192" s="5"/>
    </row>
    <row r="193" spans="1:24" ht="15.6" x14ac:dyDescent="0.3">
      <c r="A193" s="271"/>
      <c r="B193" s="272" t="s">
        <v>202</v>
      </c>
      <c r="C193" s="272"/>
      <c r="D193" s="272"/>
      <c r="E193" s="272"/>
      <c r="F193" s="272"/>
      <c r="G193" s="272"/>
      <c r="H193" s="272"/>
      <c r="I193" s="272"/>
      <c r="J193" s="272"/>
      <c r="K193" s="272"/>
      <c r="L193" s="272"/>
      <c r="M193" s="272"/>
      <c r="N193" s="272"/>
      <c r="O193" s="272"/>
      <c r="P193" s="272"/>
      <c r="Q193" s="272"/>
      <c r="R193" s="272"/>
      <c r="S193" s="272"/>
      <c r="T193" s="272"/>
      <c r="U193" s="272"/>
      <c r="V193" s="346">
        <v>9.64</v>
      </c>
      <c r="W193" s="275" t="s">
        <v>118</v>
      </c>
      <c r="X193" s="5"/>
    </row>
    <row r="194" spans="1:24" ht="15.6" x14ac:dyDescent="0.3">
      <c r="A194" s="271"/>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304"/>
      <c r="X194" s="5"/>
    </row>
    <row r="195" spans="1:24" ht="15.6" x14ac:dyDescent="0.3">
      <c r="A195" s="175"/>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5"/>
    </row>
    <row r="196" spans="1:24" ht="15.6" x14ac:dyDescent="0.3">
      <c r="A196" s="175"/>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5"/>
    </row>
    <row r="197" spans="1:24" ht="18" thickBot="1" x14ac:dyDescent="0.35">
      <c r="A197" s="194"/>
      <c r="B197" s="234" t="str">
        <f>B137</f>
        <v>PM13 INVESTOR REPORT QUARTER ENDING JUNE 2017</v>
      </c>
      <c r="C197" s="209"/>
      <c r="D197" s="209"/>
      <c r="E197" s="209"/>
      <c r="F197" s="209"/>
      <c r="G197" s="209"/>
      <c r="H197" s="209"/>
      <c r="I197" s="209"/>
      <c r="J197" s="209"/>
      <c r="K197" s="209"/>
      <c r="L197" s="209"/>
      <c r="M197" s="209"/>
      <c r="N197" s="209"/>
      <c r="O197" s="209"/>
      <c r="P197" s="209"/>
      <c r="Q197" s="209"/>
      <c r="R197" s="209"/>
      <c r="S197" s="209"/>
      <c r="T197" s="209"/>
      <c r="U197" s="209"/>
      <c r="V197" s="209"/>
      <c r="W197" s="210"/>
      <c r="X197" s="5"/>
    </row>
    <row r="198" spans="1:24" ht="15.6" x14ac:dyDescent="0.3">
      <c r="A198" s="246"/>
      <c r="B198" s="388" t="s">
        <v>70</v>
      </c>
      <c r="C198" s="249"/>
      <c r="D198" s="249"/>
      <c r="E198" s="249"/>
      <c r="F198" s="249"/>
      <c r="G198" s="250"/>
      <c r="H198" s="250"/>
      <c r="I198" s="250"/>
      <c r="J198" s="250"/>
      <c r="K198" s="250"/>
      <c r="L198" s="250"/>
      <c r="M198" s="250"/>
      <c r="N198" s="250"/>
      <c r="O198" s="250"/>
      <c r="P198" s="250"/>
      <c r="Q198" s="250"/>
      <c r="R198" s="250"/>
      <c r="S198" s="250"/>
      <c r="T198" s="250">
        <v>42916</v>
      </c>
      <c r="U198" s="247"/>
      <c r="V198" s="247"/>
      <c r="W198" s="247"/>
      <c r="X198" s="5"/>
    </row>
    <row r="199" spans="1:24" ht="15.6" x14ac:dyDescent="0.3">
      <c r="A199" s="211"/>
      <c r="B199" s="212"/>
      <c r="C199" s="213"/>
      <c r="D199" s="213"/>
      <c r="E199" s="213"/>
      <c r="F199" s="213"/>
      <c r="G199" s="214"/>
      <c r="H199" s="214"/>
      <c r="I199" s="214"/>
      <c r="J199" s="214"/>
      <c r="K199" s="214"/>
      <c r="L199" s="214"/>
      <c r="M199" s="214"/>
      <c r="N199" s="214"/>
      <c r="O199" s="214"/>
      <c r="P199" s="214"/>
      <c r="Q199" s="214"/>
      <c r="R199" s="214"/>
      <c r="S199" s="214"/>
      <c r="T199" s="214"/>
      <c r="U199" s="177"/>
      <c r="V199" s="177"/>
      <c r="W199" s="177"/>
      <c r="X199" s="5"/>
    </row>
    <row r="200" spans="1:24" ht="15.6" x14ac:dyDescent="0.3">
      <c r="A200" s="349"/>
      <c r="B200" s="272" t="s">
        <v>71</v>
      </c>
      <c r="C200" s="350"/>
      <c r="D200" s="350"/>
      <c r="E200" s="350"/>
      <c r="F200" s="350"/>
      <c r="G200" s="316"/>
      <c r="H200" s="316"/>
      <c r="I200" s="316"/>
      <c r="J200" s="316"/>
      <c r="K200" s="316"/>
      <c r="L200" s="316"/>
      <c r="M200" s="316"/>
      <c r="N200" s="316"/>
      <c r="O200" s="316"/>
      <c r="P200" s="316"/>
      <c r="Q200" s="316"/>
      <c r="R200" s="316"/>
      <c r="S200" s="316"/>
      <c r="T200" s="307">
        <v>5.4539999999999998E-2</v>
      </c>
      <c r="U200" s="272"/>
      <c r="V200" s="272"/>
      <c r="W200" s="275"/>
      <c r="X200" s="5"/>
    </row>
    <row r="201" spans="1:24" ht="15.6" x14ac:dyDescent="0.3">
      <c r="A201" s="349"/>
      <c r="B201" s="272" t="s">
        <v>154</v>
      </c>
      <c r="C201" s="350"/>
      <c r="D201" s="350"/>
      <c r="E201" s="350"/>
      <c r="F201" s="350"/>
      <c r="G201" s="316"/>
      <c r="H201" s="316"/>
      <c r="I201" s="316"/>
      <c r="J201" s="316"/>
      <c r="K201" s="316"/>
      <c r="L201" s="316"/>
      <c r="M201" s="316"/>
      <c r="N201" s="316"/>
      <c r="O201" s="316"/>
      <c r="P201" s="316"/>
      <c r="Q201" s="316"/>
      <c r="R201" s="316"/>
      <c r="S201" s="316"/>
      <c r="T201" s="307">
        <f>'Dec 06'!T199</f>
        <v>5.238600504269459E-2</v>
      </c>
      <c r="U201" s="272"/>
      <c r="V201" s="272"/>
      <c r="W201" s="275"/>
      <c r="X201" s="5"/>
    </row>
    <row r="202" spans="1:24" ht="15.6" x14ac:dyDescent="0.3">
      <c r="A202" s="349"/>
      <c r="B202" s="272" t="s">
        <v>72</v>
      </c>
      <c r="C202" s="350"/>
      <c r="D202" s="350"/>
      <c r="E202" s="350"/>
      <c r="F202" s="350"/>
      <c r="G202" s="316"/>
      <c r="H202" s="316"/>
      <c r="I202" s="316"/>
      <c r="J202" s="316"/>
      <c r="K202" s="316"/>
      <c r="L202" s="316"/>
      <c r="M202" s="316"/>
      <c r="N202" s="316"/>
      <c r="O202" s="316"/>
      <c r="P202" s="316"/>
      <c r="Q202" s="316"/>
      <c r="R202" s="316"/>
      <c r="S202" s="316"/>
      <c r="T202" s="307">
        <f>+T200-T201</f>
        <v>2.1539949573054079E-3</v>
      </c>
      <c r="U202" s="272"/>
      <c r="V202" s="272"/>
      <c r="W202" s="275"/>
      <c r="X202" s="5"/>
    </row>
    <row r="203" spans="1:24" ht="15.6" x14ac:dyDescent="0.3">
      <c r="A203" s="349"/>
      <c r="B203" s="272" t="s">
        <v>73</v>
      </c>
      <c r="C203" s="350"/>
      <c r="D203" s="350"/>
      <c r="E203" s="350"/>
      <c r="F203" s="350"/>
      <c r="G203" s="316"/>
      <c r="H203" s="316"/>
      <c r="I203" s="316"/>
      <c r="J203" s="316"/>
      <c r="K203" s="316"/>
      <c r="L203" s="316"/>
      <c r="M203" s="316"/>
      <c r="N203" s="316"/>
      <c r="O203" s="316"/>
      <c r="P203" s="316"/>
      <c r="Q203" s="316"/>
      <c r="R203" s="316"/>
      <c r="S203" s="316"/>
      <c r="T203" s="307">
        <v>2.0760000000000001E-2</v>
      </c>
      <c r="U203" s="272"/>
      <c r="V203" s="272"/>
      <c r="W203" s="275"/>
      <c r="X203" s="5"/>
    </row>
    <row r="204" spans="1:24" ht="15.6" x14ac:dyDescent="0.3">
      <c r="A204" s="349"/>
      <c r="B204" s="272" t="s">
        <v>222</v>
      </c>
      <c r="C204" s="350"/>
      <c r="D204" s="350"/>
      <c r="E204" s="350"/>
      <c r="F204" s="350"/>
      <c r="G204" s="316"/>
      <c r="H204" s="316"/>
      <c r="I204" s="316"/>
      <c r="J204" s="316"/>
      <c r="K204" s="316"/>
      <c r="L204" s="316"/>
      <c r="M204" s="316"/>
      <c r="N204" s="316"/>
      <c r="O204" s="316"/>
      <c r="P204" s="316"/>
      <c r="Q204" s="316"/>
      <c r="R204" s="316"/>
      <c r="S204" s="316"/>
      <c r="T204" s="307">
        <f>V43</f>
        <v>6.5191070914409014E-3</v>
      </c>
      <c r="U204" s="272"/>
      <c r="V204" s="272"/>
      <c r="W204" s="275"/>
      <c r="X204" s="5"/>
    </row>
    <row r="205" spans="1:24" ht="15.6" x14ac:dyDescent="0.3">
      <c r="A205" s="349"/>
      <c r="B205" s="272" t="s">
        <v>74</v>
      </c>
      <c r="C205" s="350"/>
      <c r="D205" s="350"/>
      <c r="E205" s="350"/>
      <c r="F205" s="350"/>
      <c r="G205" s="316"/>
      <c r="H205" s="316"/>
      <c r="I205" s="316"/>
      <c r="J205" s="316"/>
      <c r="K205" s="316"/>
      <c r="L205" s="316"/>
      <c r="M205" s="316"/>
      <c r="N205" s="316"/>
      <c r="O205" s="316"/>
      <c r="P205" s="316"/>
      <c r="Q205" s="316"/>
      <c r="R205" s="316"/>
      <c r="S205" s="316"/>
      <c r="T205" s="307">
        <f>T203-T204</f>
        <v>1.4240892908559099E-2</v>
      </c>
      <c r="U205" s="272"/>
      <c r="V205" s="272"/>
      <c r="W205" s="275"/>
      <c r="X205" s="5"/>
    </row>
    <row r="206" spans="1:24" ht="15.6" x14ac:dyDescent="0.3">
      <c r="A206" s="349"/>
      <c r="B206" s="272" t="s">
        <v>274</v>
      </c>
      <c r="C206" s="350"/>
      <c r="D206" s="350"/>
      <c r="E206" s="350"/>
      <c r="F206" s="350"/>
      <c r="G206" s="316"/>
      <c r="H206" s="316"/>
      <c r="I206" s="316"/>
      <c r="J206" s="316"/>
      <c r="K206" s="316"/>
      <c r="L206" s="316"/>
      <c r="M206" s="316"/>
      <c r="N206" s="316"/>
      <c r="O206" s="316"/>
      <c r="P206" s="316"/>
      <c r="Q206" s="316"/>
      <c r="R206" s="316"/>
      <c r="S206" s="316"/>
      <c r="T206" s="307">
        <f>+V99/N70</f>
        <v>5.5368343377198374E-3</v>
      </c>
      <c r="U206" s="272"/>
      <c r="V206" s="272"/>
      <c r="W206" s="275"/>
      <c r="X206" s="5"/>
    </row>
    <row r="207" spans="1:24" ht="15.6" x14ac:dyDescent="0.3">
      <c r="A207" s="349"/>
      <c r="B207" s="272" t="s">
        <v>211</v>
      </c>
      <c r="C207" s="350"/>
      <c r="D207" s="350"/>
      <c r="E207" s="350"/>
      <c r="F207" s="350"/>
      <c r="G207" s="316"/>
      <c r="H207" s="316"/>
      <c r="I207" s="316"/>
      <c r="J207" s="316"/>
      <c r="K207" s="316"/>
      <c r="L207" s="316"/>
      <c r="M207" s="316"/>
      <c r="N207" s="316"/>
      <c r="O207" s="316"/>
      <c r="P207" s="316"/>
      <c r="Q207" s="316"/>
      <c r="R207" s="316"/>
      <c r="S207" s="316"/>
      <c r="T207" s="351">
        <v>50771</v>
      </c>
      <c r="U207" s="272"/>
      <c r="V207" s="272"/>
      <c r="W207" s="275"/>
      <c r="X207" s="5"/>
    </row>
    <row r="208" spans="1:24" ht="15.6" x14ac:dyDescent="0.3">
      <c r="A208" s="349"/>
      <c r="B208" s="272" t="s">
        <v>212</v>
      </c>
      <c r="C208" s="350"/>
      <c r="D208" s="350"/>
      <c r="E208" s="350"/>
      <c r="F208" s="350"/>
      <c r="G208" s="316"/>
      <c r="H208" s="316"/>
      <c r="I208" s="316"/>
      <c r="J208" s="316"/>
      <c r="K208" s="316"/>
      <c r="L208" s="316"/>
      <c r="M208" s="316"/>
      <c r="N208" s="316"/>
      <c r="O208" s="316"/>
      <c r="P208" s="316"/>
      <c r="Q208" s="316"/>
      <c r="R208" s="316"/>
      <c r="S208" s="316"/>
      <c r="T208" s="351">
        <v>50771</v>
      </c>
      <c r="U208" s="272"/>
      <c r="V208" s="272"/>
      <c r="W208" s="275"/>
      <c r="X208" s="5"/>
    </row>
    <row r="209" spans="1:24" ht="15.6" x14ac:dyDescent="0.3">
      <c r="A209" s="349"/>
      <c r="B209" s="272" t="s">
        <v>213</v>
      </c>
      <c r="C209" s="350"/>
      <c r="D209" s="350"/>
      <c r="E209" s="350"/>
      <c r="F209" s="350"/>
      <c r="G209" s="316"/>
      <c r="H209" s="316"/>
      <c r="I209" s="316"/>
      <c r="J209" s="316"/>
      <c r="K209" s="316"/>
      <c r="L209" s="316"/>
      <c r="M209" s="316"/>
      <c r="N209" s="316"/>
      <c r="O209" s="316"/>
      <c r="P209" s="316"/>
      <c r="Q209" s="316"/>
      <c r="R209" s="316"/>
      <c r="S209" s="316"/>
      <c r="T209" s="351">
        <v>50771</v>
      </c>
      <c r="U209" s="272"/>
      <c r="V209" s="272"/>
      <c r="W209" s="275"/>
      <c r="X209" s="5"/>
    </row>
    <row r="210" spans="1:24" ht="15.6" x14ac:dyDescent="0.3">
      <c r="A210" s="349"/>
      <c r="B210" s="272" t="s">
        <v>75</v>
      </c>
      <c r="C210" s="350"/>
      <c r="D210" s="350"/>
      <c r="E210" s="350"/>
      <c r="F210" s="350"/>
      <c r="G210" s="316"/>
      <c r="H210" s="316"/>
      <c r="I210" s="316"/>
      <c r="J210" s="316"/>
      <c r="K210" s="316"/>
      <c r="L210" s="316"/>
      <c r="M210" s="316"/>
      <c r="N210" s="316"/>
      <c r="O210" s="316"/>
      <c r="P210" s="316"/>
      <c r="Q210" s="316"/>
      <c r="R210" s="316"/>
      <c r="S210" s="316"/>
      <c r="T210" s="313">
        <v>20.66</v>
      </c>
      <c r="U210" s="272" t="s">
        <v>113</v>
      </c>
      <c r="V210" s="272"/>
      <c r="W210" s="275"/>
      <c r="X210" s="5"/>
    </row>
    <row r="211" spans="1:24" ht="15.6" x14ac:dyDescent="0.3">
      <c r="A211" s="349"/>
      <c r="B211" s="272" t="s">
        <v>76</v>
      </c>
      <c r="C211" s="350"/>
      <c r="D211" s="350"/>
      <c r="E211" s="350"/>
      <c r="F211" s="350"/>
      <c r="G211" s="316"/>
      <c r="H211" s="316"/>
      <c r="I211" s="316"/>
      <c r="J211" s="316"/>
      <c r="K211" s="316"/>
      <c r="L211" s="316"/>
      <c r="M211" s="316"/>
      <c r="N211" s="316"/>
      <c r="O211" s="316"/>
      <c r="P211" s="316"/>
      <c r="Q211" s="316"/>
      <c r="R211" s="316"/>
      <c r="S211" s="316"/>
      <c r="T211" s="313">
        <v>10.9</v>
      </c>
      <c r="U211" s="272" t="s">
        <v>113</v>
      </c>
      <c r="V211" s="272"/>
      <c r="W211" s="275"/>
      <c r="X211" s="5"/>
    </row>
    <row r="212" spans="1:24" ht="15.6" x14ac:dyDescent="0.3">
      <c r="A212" s="349"/>
      <c r="B212" s="272" t="s">
        <v>77</v>
      </c>
      <c r="C212" s="350"/>
      <c r="D212" s="350"/>
      <c r="E212" s="350"/>
      <c r="F212" s="350"/>
      <c r="G212" s="316"/>
      <c r="H212" s="316"/>
      <c r="I212" s="316"/>
      <c r="J212" s="316"/>
      <c r="K212" s="316"/>
      <c r="L212" s="316"/>
      <c r="M212" s="316"/>
      <c r="N212" s="316"/>
      <c r="O212" s="316"/>
      <c r="P212" s="316"/>
      <c r="Q212" s="316"/>
      <c r="R212" s="316"/>
      <c r="S212" s="316"/>
      <c r="T212" s="307">
        <f>P67/N67</f>
        <v>1.6264912064936663E-2</v>
      </c>
      <c r="U212" s="272"/>
      <c r="V212" s="272"/>
      <c r="W212" s="275"/>
      <c r="X212" s="5"/>
    </row>
    <row r="213" spans="1:24" ht="15.6" x14ac:dyDescent="0.3">
      <c r="A213" s="349"/>
      <c r="B213" s="272" t="s">
        <v>78</v>
      </c>
      <c r="C213" s="350"/>
      <c r="D213" s="350"/>
      <c r="E213" s="350"/>
      <c r="F213" s="350"/>
      <c r="G213" s="316"/>
      <c r="H213" s="316"/>
      <c r="I213" s="316"/>
      <c r="J213" s="316"/>
      <c r="K213" s="316"/>
      <c r="L213" s="316"/>
      <c r="M213" s="316"/>
      <c r="N213" s="316"/>
      <c r="O213" s="316"/>
      <c r="P213" s="316"/>
      <c r="Q213" s="316"/>
      <c r="R213" s="316"/>
      <c r="S213" s="316"/>
      <c r="T213" s="307">
        <v>6.3899999999999998E-2</v>
      </c>
      <c r="U213" s="272"/>
      <c r="V213" s="272"/>
      <c r="W213" s="275"/>
      <c r="X213" s="5"/>
    </row>
    <row r="214" spans="1:24" ht="15.6" x14ac:dyDescent="0.3">
      <c r="A214" s="211"/>
      <c r="B214" s="347"/>
      <c r="C214" s="347"/>
      <c r="D214" s="347"/>
      <c r="E214" s="347"/>
      <c r="F214" s="347"/>
      <c r="G214" s="321"/>
      <c r="H214" s="321"/>
      <c r="I214" s="321"/>
      <c r="J214" s="321"/>
      <c r="K214" s="321"/>
      <c r="L214" s="321"/>
      <c r="M214" s="321"/>
      <c r="N214" s="321"/>
      <c r="O214" s="321"/>
      <c r="P214" s="321"/>
      <c r="Q214" s="321"/>
      <c r="R214" s="321"/>
      <c r="S214" s="321"/>
      <c r="T214" s="340"/>
      <c r="U214" s="321"/>
      <c r="V214" s="348"/>
      <c r="W214" s="321"/>
      <c r="X214" s="5"/>
    </row>
    <row r="215" spans="1:24" ht="15.6" x14ac:dyDescent="0.3">
      <c r="A215" s="215"/>
      <c r="B215" s="219" t="s">
        <v>79</v>
      </c>
      <c r="C215" s="224"/>
      <c r="D215" s="224"/>
      <c r="E215" s="224"/>
      <c r="F215" s="251"/>
      <c r="G215" s="224"/>
      <c r="H215" s="224"/>
      <c r="I215" s="224"/>
      <c r="J215" s="224"/>
      <c r="K215" s="224"/>
      <c r="L215" s="224"/>
      <c r="M215" s="224"/>
      <c r="N215" s="224"/>
      <c r="O215" s="224"/>
      <c r="P215" s="224"/>
      <c r="Q215" s="224"/>
      <c r="R215" s="224"/>
      <c r="S215" s="224" t="s">
        <v>103</v>
      </c>
      <c r="T215" s="251" t="s">
        <v>110</v>
      </c>
      <c r="U215" s="220"/>
      <c r="V215" s="220"/>
      <c r="W215" s="220"/>
      <c r="X215" s="5"/>
    </row>
    <row r="216" spans="1:24" ht="15.6" x14ac:dyDescent="0.3">
      <c r="A216" s="356"/>
      <c r="B216" s="272" t="s">
        <v>80</v>
      </c>
      <c r="C216" s="324"/>
      <c r="D216" s="324"/>
      <c r="E216" s="324"/>
      <c r="F216" s="272"/>
      <c r="G216" s="272"/>
      <c r="H216" s="280"/>
      <c r="I216" s="280"/>
      <c r="J216" s="280"/>
      <c r="K216" s="280"/>
      <c r="L216" s="280"/>
      <c r="M216" s="280"/>
      <c r="N216" s="280"/>
      <c r="O216" s="280"/>
      <c r="P216" s="280"/>
      <c r="Q216" s="280"/>
      <c r="R216" s="280"/>
      <c r="S216" s="280">
        <v>0</v>
      </c>
      <c r="T216" s="357">
        <v>0</v>
      </c>
      <c r="U216" s="272"/>
      <c r="V216" s="358"/>
      <c r="W216" s="359"/>
      <c r="X216" s="5"/>
    </row>
    <row r="217" spans="1:24" ht="15.6" x14ac:dyDescent="0.3">
      <c r="A217" s="356"/>
      <c r="B217" s="272" t="s">
        <v>148</v>
      </c>
      <c r="C217" s="324"/>
      <c r="D217" s="324"/>
      <c r="E217" s="324"/>
      <c r="F217" s="272"/>
      <c r="G217" s="272"/>
      <c r="H217" s="280"/>
      <c r="I217" s="280"/>
      <c r="J217" s="280"/>
      <c r="K217" s="280"/>
      <c r="L217" s="280"/>
      <c r="M217" s="280"/>
      <c r="N217" s="280"/>
      <c r="O217" s="280"/>
      <c r="P217" s="280"/>
      <c r="Q217" s="280"/>
      <c r="R217" s="280"/>
      <c r="S217" s="360">
        <f>+R269</f>
        <v>119</v>
      </c>
      <c r="T217" s="357">
        <f>+T269</f>
        <v>19269</v>
      </c>
      <c r="U217" s="272"/>
      <c r="V217" s="358"/>
      <c r="W217" s="359"/>
      <c r="X217" s="5"/>
    </row>
    <row r="218" spans="1:24" ht="15.6" x14ac:dyDescent="0.3">
      <c r="A218" s="356"/>
      <c r="B218" s="272" t="s">
        <v>81</v>
      </c>
      <c r="C218" s="324"/>
      <c r="D218" s="324"/>
      <c r="E218" s="324"/>
      <c r="F218" s="272"/>
      <c r="G218" s="272"/>
      <c r="H218" s="280"/>
      <c r="I218" s="280"/>
      <c r="J218" s="280"/>
      <c r="K218" s="280"/>
      <c r="L218" s="280"/>
      <c r="M218" s="280"/>
      <c r="N218" s="280"/>
      <c r="O218" s="280"/>
      <c r="P218" s="280"/>
      <c r="Q218" s="280"/>
      <c r="R218" s="280"/>
      <c r="S218" s="360">
        <f>+R281</f>
        <v>1</v>
      </c>
      <c r="T218" s="357">
        <f>+T281</f>
        <v>118</v>
      </c>
      <c r="U218" s="272"/>
      <c r="V218" s="358"/>
      <c r="W218" s="359"/>
      <c r="X218" s="5"/>
    </row>
    <row r="219" spans="1:24" ht="15.6" x14ac:dyDescent="0.3">
      <c r="A219" s="356"/>
      <c r="B219" s="297" t="s">
        <v>82</v>
      </c>
      <c r="C219" s="361"/>
      <c r="D219" s="361"/>
      <c r="E219" s="361"/>
      <c r="F219" s="298"/>
      <c r="G219" s="298"/>
      <c r="H219" s="298"/>
      <c r="I219" s="298"/>
      <c r="J219" s="298"/>
      <c r="K219" s="298"/>
      <c r="L219" s="298"/>
      <c r="M219" s="298"/>
      <c r="N219" s="298"/>
      <c r="O219" s="298"/>
      <c r="P219" s="298"/>
      <c r="Q219" s="298"/>
      <c r="R219" s="298"/>
      <c r="S219" s="298"/>
      <c r="T219" s="357">
        <v>0</v>
      </c>
      <c r="U219" s="298"/>
      <c r="V219" s="362"/>
      <c r="W219" s="363"/>
      <c r="X219" s="5"/>
    </row>
    <row r="220" spans="1:24" ht="15.6" x14ac:dyDescent="0.3">
      <c r="A220" s="356"/>
      <c r="B220" s="297" t="s">
        <v>275</v>
      </c>
      <c r="C220" s="361"/>
      <c r="D220" s="361"/>
      <c r="E220" s="361"/>
      <c r="F220" s="298"/>
      <c r="G220" s="298"/>
      <c r="H220" s="298"/>
      <c r="I220" s="298"/>
      <c r="J220" s="298"/>
      <c r="K220" s="298"/>
      <c r="L220" s="298"/>
      <c r="M220" s="298"/>
      <c r="N220" s="298"/>
      <c r="O220" s="298"/>
      <c r="P220" s="298"/>
      <c r="Q220" s="298"/>
      <c r="R220" s="298"/>
      <c r="S220" s="298"/>
      <c r="T220" s="357">
        <f>+N80</f>
        <v>0</v>
      </c>
      <c r="U220" s="298"/>
      <c r="V220" s="362"/>
      <c r="W220" s="363"/>
      <c r="X220" s="5"/>
    </row>
    <row r="221" spans="1:24" ht="15.6" x14ac:dyDescent="0.3">
      <c r="A221" s="364"/>
      <c r="B221" s="297" t="s">
        <v>83</v>
      </c>
      <c r="C221" s="365"/>
      <c r="D221" s="365"/>
      <c r="E221" s="365"/>
      <c r="F221" s="365"/>
      <c r="G221" s="298"/>
      <c r="H221" s="298"/>
      <c r="I221" s="298"/>
      <c r="J221" s="298"/>
      <c r="K221" s="298"/>
      <c r="L221" s="298"/>
      <c r="M221" s="298"/>
      <c r="N221" s="298"/>
      <c r="O221" s="298"/>
      <c r="P221" s="298"/>
      <c r="Q221" s="298"/>
      <c r="R221" s="298"/>
      <c r="S221" s="298"/>
      <c r="T221" s="366"/>
      <c r="U221" s="298"/>
      <c r="V221" s="362"/>
      <c r="W221" s="367"/>
      <c r="X221" s="5"/>
    </row>
    <row r="222" spans="1:24" ht="15.6" x14ac:dyDescent="0.3">
      <c r="A222" s="364"/>
      <c r="B222" s="272" t="s">
        <v>84</v>
      </c>
      <c r="C222" s="272"/>
      <c r="D222" s="272"/>
      <c r="E222" s="272"/>
      <c r="F222" s="272"/>
      <c r="G222" s="272"/>
      <c r="H222" s="272"/>
      <c r="I222" s="272"/>
      <c r="J222" s="272"/>
      <c r="K222" s="272"/>
      <c r="L222" s="272"/>
      <c r="M222" s="272"/>
      <c r="N222" s="272"/>
      <c r="O222" s="272"/>
      <c r="P222" s="272"/>
      <c r="Q222" s="272"/>
      <c r="R222" s="272"/>
      <c r="S222" s="280"/>
      <c r="T222" s="357">
        <f>V166</f>
        <v>37</v>
      </c>
      <c r="U222" s="272"/>
      <c r="V222" s="362"/>
      <c r="W222" s="367"/>
      <c r="X222" s="5"/>
    </row>
    <row r="223" spans="1:24" ht="15.6" x14ac:dyDescent="0.3">
      <c r="A223" s="356"/>
      <c r="B223" s="272" t="s">
        <v>85</v>
      </c>
      <c r="C223" s="324"/>
      <c r="D223" s="324"/>
      <c r="E223" s="324"/>
      <c r="F223" s="324"/>
      <c r="G223" s="272"/>
      <c r="H223" s="272"/>
      <c r="I223" s="272"/>
      <c r="J223" s="272"/>
      <c r="K223" s="272"/>
      <c r="L223" s="272"/>
      <c r="M223" s="272"/>
      <c r="N223" s="272"/>
      <c r="O223" s="272"/>
      <c r="P223" s="272"/>
      <c r="Q223" s="272"/>
      <c r="R223" s="272"/>
      <c r="S223" s="280"/>
      <c r="T223" s="357">
        <f>'March 17'!T223+T222</f>
        <v>9236</v>
      </c>
      <c r="U223" s="272"/>
      <c r="V223" s="362"/>
      <c r="W223" s="367"/>
      <c r="X223" s="5"/>
    </row>
    <row r="224" spans="1:24" ht="15.6" x14ac:dyDescent="0.3">
      <c r="A224" s="364"/>
      <c r="B224" s="297" t="s">
        <v>297</v>
      </c>
      <c r="C224" s="365"/>
      <c r="D224" s="365"/>
      <c r="E224" s="365"/>
      <c r="F224" s="365"/>
      <c r="G224" s="298"/>
      <c r="H224" s="298"/>
      <c r="I224" s="298"/>
      <c r="J224" s="298"/>
      <c r="K224" s="298"/>
      <c r="L224" s="298"/>
      <c r="M224" s="298"/>
      <c r="N224" s="298"/>
      <c r="O224" s="298"/>
      <c r="P224" s="298"/>
      <c r="Q224" s="298"/>
      <c r="R224" s="298"/>
      <c r="S224" s="302"/>
      <c r="T224" s="366"/>
      <c r="U224" s="298"/>
      <c r="V224" s="362"/>
      <c r="W224" s="367"/>
      <c r="X224" s="5"/>
    </row>
    <row r="225" spans="1:25" ht="15.6" x14ac:dyDescent="0.3">
      <c r="A225" s="364"/>
      <c r="B225" s="272" t="s">
        <v>295</v>
      </c>
      <c r="C225" s="365"/>
      <c r="D225" s="365"/>
      <c r="E225" s="365"/>
      <c r="F225" s="365"/>
      <c r="G225" s="298"/>
      <c r="H225" s="298"/>
      <c r="I225" s="298"/>
      <c r="J225" s="298"/>
      <c r="K225" s="298"/>
      <c r="L225" s="298"/>
      <c r="M225" s="298"/>
      <c r="N225" s="298"/>
      <c r="O225" s="298"/>
      <c r="P225" s="298"/>
      <c r="Q225" s="298"/>
      <c r="R225" s="298"/>
      <c r="S225" s="280">
        <v>0</v>
      </c>
      <c r="T225" s="357">
        <v>0</v>
      </c>
      <c r="U225" s="298"/>
      <c r="V225" s="362"/>
      <c r="W225" s="367"/>
      <c r="X225" s="5"/>
    </row>
    <row r="226" spans="1:25" ht="15.6" x14ac:dyDescent="0.3">
      <c r="A226" s="356"/>
      <c r="B226" s="272" t="s">
        <v>87</v>
      </c>
      <c r="C226" s="370"/>
      <c r="D226" s="370"/>
      <c r="E226" s="370"/>
      <c r="F226" s="371"/>
      <c r="G226" s="298"/>
      <c r="H226" s="298"/>
      <c r="I226" s="298"/>
      <c r="J226" s="298"/>
      <c r="K226" s="298"/>
      <c r="L226" s="298"/>
      <c r="M226" s="298"/>
      <c r="N226" s="298"/>
      <c r="O226" s="298"/>
      <c r="P226" s="298"/>
      <c r="Q226" s="298"/>
      <c r="R226" s="298"/>
      <c r="S226" s="272"/>
      <c r="T226" s="372">
        <v>0</v>
      </c>
      <c r="U226" s="298"/>
      <c r="V226" s="362"/>
      <c r="W226" s="367"/>
      <c r="X226" s="5"/>
    </row>
    <row r="227" spans="1:25" ht="15.6" x14ac:dyDescent="0.3">
      <c r="A227" s="356"/>
      <c r="B227" s="272" t="s">
        <v>88</v>
      </c>
      <c r="C227" s="370"/>
      <c r="D227" s="370"/>
      <c r="E227" s="370"/>
      <c r="F227" s="371"/>
      <c r="G227" s="298"/>
      <c r="H227" s="298"/>
      <c r="I227" s="298"/>
      <c r="J227" s="298"/>
      <c r="K227" s="298"/>
      <c r="L227" s="298"/>
      <c r="M227" s="298"/>
      <c r="N227" s="298"/>
      <c r="O227" s="298"/>
      <c r="P227" s="298"/>
      <c r="Q227" s="298"/>
      <c r="R227" s="298"/>
      <c r="S227" s="272"/>
      <c r="T227" s="372">
        <v>0</v>
      </c>
      <c r="U227" s="298"/>
      <c r="V227" s="362"/>
      <c r="W227" s="367"/>
      <c r="X227" s="5"/>
    </row>
    <row r="228" spans="1:25" ht="15.6" x14ac:dyDescent="0.3">
      <c r="A228" s="356"/>
      <c r="B228" s="297" t="s">
        <v>220</v>
      </c>
      <c r="C228" s="370"/>
      <c r="D228" s="370"/>
      <c r="E228" s="370"/>
      <c r="F228" s="371"/>
      <c r="G228" s="298"/>
      <c r="H228" s="298"/>
      <c r="I228" s="298"/>
      <c r="J228" s="298"/>
      <c r="K228" s="298"/>
      <c r="L228" s="298"/>
      <c r="M228" s="298"/>
      <c r="N228" s="298"/>
      <c r="O228" s="298"/>
      <c r="P228" s="298"/>
      <c r="Q228" s="298"/>
      <c r="R228" s="298"/>
      <c r="S228" s="272"/>
      <c r="T228" s="373"/>
      <c r="U228" s="298"/>
      <c r="V228" s="362"/>
      <c r="W228" s="367"/>
      <c r="X228" s="5"/>
    </row>
    <row r="229" spans="1:25" ht="15.6" x14ac:dyDescent="0.3">
      <c r="A229" s="356"/>
      <c r="B229" s="272" t="s">
        <v>295</v>
      </c>
      <c r="C229" s="370"/>
      <c r="D229" s="370"/>
      <c r="E229" s="370"/>
      <c r="F229" s="371"/>
      <c r="G229" s="298"/>
      <c r="H229" s="298"/>
      <c r="I229" s="298"/>
      <c r="J229" s="298"/>
      <c r="K229" s="298"/>
      <c r="L229" s="298"/>
      <c r="M229" s="298"/>
      <c r="N229" s="298"/>
      <c r="O229" s="298"/>
      <c r="P229" s="298"/>
      <c r="Q229" s="298"/>
      <c r="R229" s="298"/>
      <c r="S229" s="280">
        <v>3</v>
      </c>
      <c r="T229" s="357">
        <v>249</v>
      </c>
      <c r="U229" s="298"/>
      <c r="V229" s="362"/>
      <c r="W229" s="367"/>
      <c r="X229" s="5"/>
    </row>
    <row r="230" spans="1:25" ht="15.6" x14ac:dyDescent="0.3">
      <c r="A230" s="356"/>
      <c r="B230" s="272" t="s">
        <v>221</v>
      </c>
      <c r="C230" s="370"/>
      <c r="D230" s="370"/>
      <c r="E230" s="370"/>
      <c r="F230" s="371"/>
      <c r="G230" s="298"/>
      <c r="H230" s="298"/>
      <c r="I230" s="298"/>
      <c r="J230" s="298"/>
      <c r="K230" s="298"/>
      <c r="L230" s="298"/>
      <c r="M230" s="298"/>
      <c r="N230" s="298"/>
      <c r="O230" s="298"/>
      <c r="P230" s="298"/>
      <c r="Q230" s="298"/>
      <c r="R230" s="298"/>
      <c r="S230" s="272"/>
      <c r="T230" s="372">
        <v>8.36</v>
      </c>
      <c r="U230" s="298"/>
      <c r="V230" s="362"/>
      <c r="W230" s="367"/>
      <c r="X230" s="5"/>
    </row>
    <row r="231" spans="1:25" ht="15.6" x14ac:dyDescent="0.3">
      <c r="A231" s="356"/>
      <c r="B231" s="365"/>
      <c r="C231" s="370"/>
      <c r="D231" s="370"/>
      <c r="E231" s="370"/>
      <c r="F231" s="371"/>
      <c r="G231" s="298"/>
      <c r="H231" s="298"/>
      <c r="I231" s="298"/>
      <c r="J231" s="298"/>
      <c r="K231" s="298"/>
      <c r="L231" s="298"/>
      <c r="M231" s="298"/>
      <c r="N231" s="298"/>
      <c r="O231" s="298"/>
      <c r="P231" s="298"/>
      <c r="Q231" s="298"/>
      <c r="R231" s="298"/>
      <c r="S231" s="298"/>
      <c r="T231" s="374"/>
      <c r="U231" s="298"/>
      <c r="V231" s="362"/>
      <c r="W231" s="367"/>
      <c r="X231" s="5"/>
    </row>
    <row r="232" spans="1:25" ht="15.6" x14ac:dyDescent="0.3">
      <c r="A232" s="356"/>
      <c r="B232" s="365"/>
      <c r="C232" s="370"/>
      <c r="D232" s="370"/>
      <c r="E232" s="370"/>
      <c r="F232" s="371"/>
      <c r="G232" s="298"/>
      <c r="H232" s="298"/>
      <c r="I232" s="298"/>
      <c r="J232" s="298"/>
      <c r="K232" s="298"/>
      <c r="L232" s="298"/>
      <c r="M232" s="298"/>
      <c r="N232" s="298"/>
      <c r="O232" s="298"/>
      <c r="P232" s="298"/>
      <c r="Q232" s="298"/>
      <c r="R232" s="298"/>
      <c r="S232" s="298"/>
      <c r="T232" s="374"/>
      <c r="U232" s="298"/>
      <c r="V232" s="362"/>
      <c r="W232" s="367"/>
      <c r="X232" s="5"/>
    </row>
    <row r="233" spans="1:25" ht="17.399999999999999" x14ac:dyDescent="0.3">
      <c r="A233" s="356"/>
      <c r="B233" s="375" t="s">
        <v>171</v>
      </c>
      <c r="C233" s="370"/>
      <c r="D233" s="370"/>
      <c r="E233" s="370"/>
      <c r="F233" s="371"/>
      <c r="G233" s="298"/>
      <c r="H233" s="298"/>
      <c r="I233" s="298"/>
      <c r="J233" s="298"/>
      <c r="K233" s="298"/>
      <c r="L233" s="298"/>
      <c r="M233" s="298"/>
      <c r="N233" s="298"/>
      <c r="O233" s="298"/>
      <c r="P233" s="376" t="s">
        <v>170</v>
      </c>
      <c r="Q233" s="298"/>
      <c r="R233" s="298"/>
      <c r="S233" s="298"/>
      <c r="T233" s="374"/>
      <c r="U233" s="298"/>
      <c r="V233" s="362"/>
      <c r="W233" s="367"/>
      <c r="X233" s="5"/>
    </row>
    <row r="234" spans="1:25" ht="15.6" x14ac:dyDescent="0.3">
      <c r="A234" s="215"/>
      <c r="B234" s="347"/>
      <c r="C234" s="352"/>
      <c r="D234" s="352"/>
      <c r="E234" s="352"/>
      <c r="F234" s="353"/>
      <c r="G234" s="321"/>
      <c r="H234" s="321"/>
      <c r="I234" s="321"/>
      <c r="J234" s="321"/>
      <c r="K234" s="321"/>
      <c r="L234" s="321"/>
      <c r="M234" s="321"/>
      <c r="N234" s="321"/>
      <c r="O234" s="321"/>
      <c r="P234" s="321"/>
      <c r="Q234" s="321"/>
      <c r="R234" s="321"/>
      <c r="S234" s="321"/>
      <c r="T234" s="354"/>
      <c r="U234" s="321"/>
      <c r="V234" s="348"/>
      <c r="W234" s="355"/>
      <c r="X234" s="5"/>
    </row>
    <row r="235" spans="1:25" ht="15.6" x14ac:dyDescent="0.3">
      <c r="A235" s="239"/>
      <c r="B235" s="253" t="s">
        <v>310</v>
      </c>
      <c r="C235" s="254"/>
      <c r="D235" s="254"/>
      <c r="E235" s="254"/>
      <c r="F235" s="255"/>
      <c r="G235" s="254"/>
      <c r="H235" s="254"/>
      <c r="I235" s="254"/>
      <c r="J235" s="254"/>
      <c r="K235" s="254"/>
      <c r="L235" s="254"/>
      <c r="M235" s="254"/>
      <c r="N235" s="254"/>
      <c r="O235" s="254"/>
      <c r="P235" s="254"/>
      <c r="Q235" s="254"/>
      <c r="R235" s="255" t="s">
        <v>103</v>
      </c>
      <c r="S235" s="254" t="s">
        <v>104</v>
      </c>
      <c r="T235" s="255" t="s">
        <v>111</v>
      </c>
      <c r="U235" s="254" t="s">
        <v>104</v>
      </c>
      <c r="V235" s="240"/>
      <c r="W235" s="253"/>
      <c r="X235" s="5"/>
    </row>
    <row r="236" spans="1:25" ht="15.6" x14ac:dyDescent="0.3">
      <c r="A236" s="192"/>
      <c r="B236" s="231" t="s">
        <v>89</v>
      </c>
      <c r="C236" s="260"/>
      <c r="D236" s="260"/>
      <c r="E236" s="260"/>
      <c r="F236" s="229"/>
      <c r="G236" s="260"/>
      <c r="H236" s="260"/>
      <c r="I236" s="260"/>
      <c r="J236" s="260"/>
      <c r="K236" s="260"/>
      <c r="L236" s="260"/>
      <c r="M236" s="260"/>
      <c r="N236" s="260"/>
      <c r="O236" s="260"/>
      <c r="P236" s="260"/>
      <c r="Q236" s="260"/>
      <c r="R236" s="324">
        <f t="shared" ref="R236:R243" si="1">+R248+R260+R272</f>
        <v>6228</v>
      </c>
      <c r="S236" s="381">
        <f t="shared" ref="S236:S243" si="2">R236/$R$245</f>
        <v>0.9952061361457335</v>
      </c>
      <c r="T236" s="325">
        <f t="shared" ref="T236:T243" si="3">+T248+T260+T272</f>
        <v>796469</v>
      </c>
      <c r="U236" s="381">
        <f t="shared" ref="U236:U243" si="4">T236/$T$245</f>
        <v>0.99529761369202929</v>
      </c>
      <c r="V236" s="252"/>
      <c r="W236" s="230"/>
      <c r="X236" s="5"/>
    </row>
    <row r="237" spans="1:25" ht="15.6" x14ac:dyDescent="0.3">
      <c r="A237" s="271"/>
      <c r="B237" s="324" t="s">
        <v>90</v>
      </c>
      <c r="C237" s="380"/>
      <c r="D237" s="380"/>
      <c r="E237" s="380"/>
      <c r="F237" s="272"/>
      <c r="G237" s="381"/>
      <c r="H237" s="380"/>
      <c r="I237" s="380"/>
      <c r="J237" s="380"/>
      <c r="K237" s="380"/>
      <c r="L237" s="380"/>
      <c r="M237" s="380"/>
      <c r="N237" s="380"/>
      <c r="O237" s="380"/>
      <c r="P237" s="380"/>
      <c r="Q237" s="380"/>
      <c r="R237" s="324">
        <f t="shared" si="1"/>
        <v>5</v>
      </c>
      <c r="S237" s="381">
        <f t="shared" si="2"/>
        <v>7.9897730904442317E-4</v>
      </c>
      <c r="T237" s="325">
        <f t="shared" si="3"/>
        <v>614</v>
      </c>
      <c r="U237" s="381">
        <f t="shared" si="4"/>
        <v>7.6727748952803683E-4</v>
      </c>
      <c r="V237" s="358"/>
      <c r="W237" s="382"/>
      <c r="X237" s="5"/>
      <c r="Y237" s="109"/>
    </row>
    <row r="238" spans="1:25" ht="15.6" x14ac:dyDescent="0.3">
      <c r="A238" s="271"/>
      <c r="B238" s="324" t="s">
        <v>91</v>
      </c>
      <c r="C238" s="380"/>
      <c r="D238" s="380"/>
      <c r="E238" s="380"/>
      <c r="F238" s="272"/>
      <c r="G238" s="381"/>
      <c r="H238" s="380"/>
      <c r="I238" s="380"/>
      <c r="J238" s="380"/>
      <c r="K238" s="380"/>
      <c r="L238" s="380"/>
      <c r="M238" s="380"/>
      <c r="N238" s="380"/>
      <c r="O238" s="380"/>
      <c r="P238" s="380"/>
      <c r="Q238" s="380"/>
      <c r="R238" s="324">
        <f t="shared" si="1"/>
        <v>6</v>
      </c>
      <c r="S238" s="381">
        <f t="shared" si="2"/>
        <v>9.5877277085330771E-4</v>
      </c>
      <c r="T238" s="325">
        <f t="shared" si="3"/>
        <v>575</v>
      </c>
      <c r="U238" s="381">
        <f t="shared" si="4"/>
        <v>7.1854162292935052E-4</v>
      </c>
      <c r="V238" s="358"/>
      <c r="W238" s="382"/>
      <c r="X238" s="5"/>
    </row>
    <row r="239" spans="1:25" ht="15.6" x14ac:dyDescent="0.3">
      <c r="A239" s="271"/>
      <c r="B239" s="324" t="s">
        <v>159</v>
      </c>
      <c r="C239" s="380"/>
      <c r="D239" s="380"/>
      <c r="E239" s="380"/>
      <c r="F239" s="272"/>
      <c r="G239" s="381"/>
      <c r="H239" s="380"/>
      <c r="I239" s="380"/>
      <c r="J239" s="380"/>
      <c r="K239" s="380"/>
      <c r="L239" s="380"/>
      <c r="M239" s="380"/>
      <c r="N239" s="380"/>
      <c r="O239" s="380"/>
      <c r="P239" s="380"/>
      <c r="Q239" s="380"/>
      <c r="R239" s="324">
        <f t="shared" si="1"/>
        <v>0</v>
      </c>
      <c r="S239" s="381">
        <f t="shared" si="2"/>
        <v>0</v>
      </c>
      <c r="T239" s="325">
        <f t="shared" si="3"/>
        <v>0</v>
      </c>
      <c r="U239" s="381">
        <f t="shared" si="4"/>
        <v>0</v>
      </c>
      <c r="V239" s="358"/>
      <c r="W239" s="382"/>
      <c r="X239" s="5"/>
      <c r="Y239" s="109"/>
    </row>
    <row r="240" spans="1:25" ht="15.6" x14ac:dyDescent="0.3">
      <c r="A240" s="271"/>
      <c r="B240" s="324" t="s">
        <v>160</v>
      </c>
      <c r="C240" s="380"/>
      <c r="D240" s="380"/>
      <c r="E240" s="380"/>
      <c r="F240" s="272"/>
      <c r="G240" s="381"/>
      <c r="H240" s="380"/>
      <c r="I240" s="380"/>
      <c r="J240" s="380"/>
      <c r="K240" s="380"/>
      <c r="L240" s="380"/>
      <c r="M240" s="380"/>
      <c r="N240" s="380"/>
      <c r="O240" s="380"/>
      <c r="P240" s="380"/>
      <c r="Q240" s="380"/>
      <c r="R240" s="324">
        <f t="shared" si="1"/>
        <v>1</v>
      </c>
      <c r="S240" s="381">
        <f t="shared" si="2"/>
        <v>1.5979546180888463E-4</v>
      </c>
      <c r="T240" s="325">
        <f t="shared" si="3"/>
        <v>98</v>
      </c>
      <c r="U240" s="381">
        <f t="shared" si="4"/>
        <v>1.224644852992632E-4</v>
      </c>
      <c r="V240" s="358"/>
      <c r="W240" s="382"/>
      <c r="X240" s="5"/>
    </row>
    <row r="241" spans="1:25" ht="15.6" x14ac:dyDescent="0.3">
      <c r="A241" s="271"/>
      <c r="B241" s="324" t="s">
        <v>161</v>
      </c>
      <c r="C241" s="380"/>
      <c r="D241" s="380"/>
      <c r="E241" s="380"/>
      <c r="F241" s="272"/>
      <c r="G241" s="381"/>
      <c r="H241" s="380"/>
      <c r="I241" s="380"/>
      <c r="J241" s="380"/>
      <c r="K241" s="380"/>
      <c r="L241" s="380"/>
      <c r="M241" s="380"/>
      <c r="N241" s="380"/>
      <c r="O241" s="380"/>
      <c r="P241" s="380"/>
      <c r="Q241" s="380"/>
      <c r="R241" s="324">
        <f t="shared" si="1"/>
        <v>0</v>
      </c>
      <c r="S241" s="381">
        <f t="shared" si="2"/>
        <v>0</v>
      </c>
      <c r="T241" s="325">
        <f t="shared" si="3"/>
        <v>0</v>
      </c>
      <c r="U241" s="381">
        <f t="shared" si="4"/>
        <v>0</v>
      </c>
      <c r="V241" s="358"/>
      <c r="W241" s="382"/>
      <c r="X241" s="5"/>
      <c r="Y241" s="109"/>
    </row>
    <row r="242" spans="1:25" ht="15.6" x14ac:dyDescent="0.3">
      <c r="A242" s="271"/>
      <c r="B242" s="324" t="s">
        <v>162</v>
      </c>
      <c r="C242" s="380"/>
      <c r="D242" s="380"/>
      <c r="E242" s="380"/>
      <c r="F242" s="272"/>
      <c r="G242" s="381"/>
      <c r="H242" s="380"/>
      <c r="I242" s="380"/>
      <c r="J242" s="380"/>
      <c r="K242" s="380"/>
      <c r="L242" s="380"/>
      <c r="M242" s="380"/>
      <c r="N242" s="380"/>
      <c r="O242" s="380"/>
      <c r="P242" s="380"/>
      <c r="Q242" s="380"/>
      <c r="R242" s="324">
        <f t="shared" si="1"/>
        <v>0</v>
      </c>
      <c r="S242" s="381">
        <f t="shared" si="2"/>
        <v>0</v>
      </c>
      <c r="T242" s="325">
        <f t="shared" si="3"/>
        <v>0</v>
      </c>
      <c r="U242" s="381">
        <f t="shared" si="4"/>
        <v>0</v>
      </c>
      <c r="V242" s="358"/>
      <c r="W242" s="382"/>
      <c r="X242" s="5"/>
    </row>
    <row r="243" spans="1:25" ht="15.6" x14ac:dyDescent="0.3">
      <c r="A243" s="271"/>
      <c r="B243" s="324" t="s">
        <v>163</v>
      </c>
      <c r="C243" s="380"/>
      <c r="D243" s="380"/>
      <c r="E243" s="380"/>
      <c r="F243" s="272"/>
      <c r="G243" s="381"/>
      <c r="H243" s="380"/>
      <c r="I243" s="380"/>
      <c r="J243" s="380"/>
      <c r="K243" s="380"/>
      <c r="L243" s="380"/>
      <c r="M243" s="380"/>
      <c r="N243" s="380"/>
      <c r="O243" s="380"/>
      <c r="P243" s="380"/>
      <c r="Q243" s="380"/>
      <c r="R243" s="324">
        <f t="shared" si="1"/>
        <v>18</v>
      </c>
      <c r="S243" s="381">
        <f t="shared" si="2"/>
        <v>2.8763183125599234E-3</v>
      </c>
      <c r="T243" s="325">
        <f t="shared" si="3"/>
        <v>2476</v>
      </c>
      <c r="U243" s="381">
        <f t="shared" si="4"/>
        <v>3.0941027102140378E-3</v>
      </c>
      <c r="V243" s="358"/>
      <c r="W243" s="382"/>
      <c r="X243" s="5"/>
      <c r="Y243" s="109"/>
    </row>
    <row r="244" spans="1:25" ht="15.6" x14ac:dyDescent="0.3">
      <c r="A244" s="271"/>
      <c r="B244" s="324"/>
      <c r="C244" s="380"/>
      <c r="D244" s="380"/>
      <c r="E244" s="380"/>
      <c r="F244" s="272"/>
      <c r="G244" s="381"/>
      <c r="H244" s="380"/>
      <c r="I244" s="380"/>
      <c r="J244" s="380"/>
      <c r="K244" s="380"/>
      <c r="L244" s="380"/>
      <c r="M244" s="380"/>
      <c r="N244" s="380"/>
      <c r="O244" s="380"/>
      <c r="P244" s="380"/>
      <c r="Q244" s="380"/>
      <c r="R244" s="324"/>
      <c r="S244" s="381"/>
      <c r="T244" s="325"/>
      <c r="U244" s="381"/>
      <c r="V244" s="358"/>
      <c r="W244" s="382"/>
      <c r="X244" s="5"/>
    </row>
    <row r="245" spans="1:25" ht="15.6" x14ac:dyDescent="0.3">
      <c r="A245" s="271"/>
      <c r="B245" s="272" t="s">
        <v>117</v>
      </c>
      <c r="C245" s="272"/>
      <c r="D245" s="272"/>
      <c r="E245" s="272"/>
      <c r="F245" s="272"/>
      <c r="G245" s="272"/>
      <c r="H245" s="383"/>
      <c r="I245" s="383"/>
      <c r="J245" s="383"/>
      <c r="K245" s="383"/>
      <c r="L245" s="383"/>
      <c r="M245" s="383"/>
      <c r="N245" s="383"/>
      <c r="O245" s="383"/>
      <c r="P245" s="383"/>
      <c r="Q245" s="383"/>
      <c r="R245" s="324">
        <f>SUM(R236:R244)</f>
        <v>6258</v>
      </c>
      <c r="S245" s="381">
        <f>SUM(S236:S244)</f>
        <v>1</v>
      </c>
      <c r="T245" s="325">
        <f>SUM(T236:T244)</f>
        <v>800232</v>
      </c>
      <c r="U245" s="381">
        <f>SUM(U236:U244)</f>
        <v>1</v>
      </c>
      <c r="V245" s="272"/>
      <c r="W245" s="275"/>
      <c r="X245" s="5"/>
    </row>
    <row r="246" spans="1:25" ht="15.6" x14ac:dyDescent="0.3">
      <c r="A246" s="215"/>
      <c r="B246" s="347"/>
      <c r="C246" s="352"/>
      <c r="D246" s="352"/>
      <c r="E246" s="352"/>
      <c r="F246" s="353"/>
      <c r="G246" s="321"/>
      <c r="H246" s="321"/>
      <c r="I246" s="321"/>
      <c r="J246" s="321"/>
      <c r="K246" s="321"/>
      <c r="L246" s="321"/>
      <c r="M246" s="321"/>
      <c r="N246" s="321"/>
      <c r="O246" s="321"/>
      <c r="P246" s="321"/>
      <c r="Q246" s="321"/>
      <c r="R246" s="321"/>
      <c r="S246" s="321"/>
      <c r="T246" s="354"/>
      <c r="U246" s="321"/>
      <c r="V246" s="348"/>
      <c r="W246" s="355"/>
      <c r="X246" s="5"/>
    </row>
    <row r="247" spans="1:25" ht="15.6" x14ac:dyDescent="0.3">
      <c r="A247" s="239"/>
      <c r="B247" s="253" t="s">
        <v>165</v>
      </c>
      <c r="C247" s="254"/>
      <c r="D247" s="254"/>
      <c r="E247" s="254"/>
      <c r="F247" s="255"/>
      <c r="G247" s="254"/>
      <c r="H247" s="254"/>
      <c r="I247" s="254"/>
      <c r="J247" s="254"/>
      <c r="K247" s="254"/>
      <c r="L247" s="254"/>
      <c r="M247" s="254"/>
      <c r="N247" s="254"/>
      <c r="O247" s="254"/>
      <c r="P247" s="254"/>
      <c r="Q247" s="254"/>
      <c r="R247" s="255" t="s">
        <v>103</v>
      </c>
      <c r="S247" s="254" t="s">
        <v>104</v>
      </c>
      <c r="T247" s="255" t="s">
        <v>111</v>
      </c>
      <c r="U247" s="254" t="s">
        <v>104</v>
      </c>
      <c r="V247" s="240"/>
      <c r="W247" s="253"/>
      <c r="X247" s="5"/>
    </row>
    <row r="248" spans="1:25" ht="15.6" x14ac:dyDescent="0.3">
      <c r="A248" s="192"/>
      <c r="B248" s="231" t="s">
        <v>89</v>
      </c>
      <c r="C248" s="260"/>
      <c r="D248" s="260"/>
      <c r="E248" s="260"/>
      <c r="F248" s="229"/>
      <c r="G248" s="260"/>
      <c r="H248" s="260"/>
      <c r="I248" s="260"/>
      <c r="J248" s="260"/>
      <c r="K248" s="260"/>
      <c r="L248" s="260"/>
      <c r="M248" s="260"/>
      <c r="N248" s="260"/>
      <c r="O248" s="260"/>
      <c r="P248" s="260"/>
      <c r="Q248" s="260"/>
      <c r="R248" s="231">
        <v>6136</v>
      </c>
      <c r="S248" s="261">
        <f t="shared" ref="S248:S255" si="5">R248/$R$257</f>
        <v>0.99967416096448358</v>
      </c>
      <c r="T248" s="238">
        <v>780569</v>
      </c>
      <c r="U248" s="261">
        <f t="shared" ref="U248:U255" si="6">T248/$T$257</f>
        <v>0.99964653676465876</v>
      </c>
      <c r="V248" s="252"/>
      <c r="W248" s="230"/>
      <c r="X248" s="5"/>
    </row>
    <row r="249" spans="1:25" ht="15.6" x14ac:dyDescent="0.3">
      <c r="A249" s="271"/>
      <c r="B249" s="324" t="s">
        <v>90</v>
      </c>
      <c r="C249" s="380"/>
      <c r="D249" s="380"/>
      <c r="E249" s="380"/>
      <c r="F249" s="272"/>
      <c r="G249" s="381"/>
      <c r="H249" s="380"/>
      <c r="I249" s="380"/>
      <c r="J249" s="380"/>
      <c r="K249" s="380"/>
      <c r="L249" s="380"/>
      <c r="M249" s="380"/>
      <c r="N249" s="380"/>
      <c r="O249" s="380"/>
      <c r="P249" s="380"/>
      <c r="Q249" s="380"/>
      <c r="R249" s="324">
        <v>2</v>
      </c>
      <c r="S249" s="381">
        <f t="shared" si="5"/>
        <v>3.2583903551645487E-4</v>
      </c>
      <c r="T249" s="325">
        <v>276</v>
      </c>
      <c r="U249" s="381">
        <f t="shared" si="6"/>
        <v>3.5346323534120089E-4</v>
      </c>
      <c r="V249" s="358"/>
      <c r="W249" s="382"/>
      <c r="X249" s="5"/>
      <c r="Y249" s="109"/>
    </row>
    <row r="250" spans="1:25" ht="15.6" x14ac:dyDescent="0.3">
      <c r="A250" s="271"/>
      <c r="B250" s="324" t="s">
        <v>91</v>
      </c>
      <c r="C250" s="380"/>
      <c r="D250" s="380"/>
      <c r="E250" s="380"/>
      <c r="F250" s="272"/>
      <c r="G250" s="381"/>
      <c r="H250" s="380"/>
      <c r="I250" s="380"/>
      <c r="J250" s="380"/>
      <c r="K250" s="380"/>
      <c r="L250" s="380"/>
      <c r="M250" s="380"/>
      <c r="N250" s="380"/>
      <c r="O250" s="380"/>
      <c r="P250" s="380"/>
      <c r="Q250" s="380"/>
      <c r="R250" s="324">
        <v>0</v>
      </c>
      <c r="S250" s="381">
        <f t="shared" si="5"/>
        <v>0</v>
      </c>
      <c r="T250" s="325">
        <v>0</v>
      </c>
      <c r="U250" s="381">
        <f t="shared" si="6"/>
        <v>0</v>
      </c>
      <c r="V250" s="358"/>
      <c r="W250" s="382"/>
      <c r="X250" s="5"/>
    </row>
    <row r="251" spans="1:25" ht="15.6" x14ac:dyDescent="0.3">
      <c r="A251" s="271"/>
      <c r="B251" s="324" t="s">
        <v>159</v>
      </c>
      <c r="C251" s="380"/>
      <c r="D251" s="380"/>
      <c r="E251" s="380"/>
      <c r="F251" s="272"/>
      <c r="G251" s="381"/>
      <c r="H251" s="380"/>
      <c r="I251" s="380"/>
      <c r="J251" s="380"/>
      <c r="K251" s="380"/>
      <c r="L251" s="380"/>
      <c r="M251" s="380"/>
      <c r="N251" s="380"/>
      <c r="O251" s="380"/>
      <c r="P251" s="380"/>
      <c r="Q251" s="380"/>
      <c r="R251" s="324">
        <v>0</v>
      </c>
      <c r="S251" s="381">
        <f t="shared" si="5"/>
        <v>0</v>
      </c>
      <c r="T251" s="325">
        <v>0</v>
      </c>
      <c r="U251" s="381">
        <f t="shared" si="6"/>
        <v>0</v>
      </c>
      <c r="V251" s="358"/>
      <c r="W251" s="382"/>
      <c r="X251" s="5"/>
      <c r="Y251" s="109"/>
    </row>
    <row r="252" spans="1:25" ht="15.6" x14ac:dyDescent="0.3">
      <c r="A252" s="271"/>
      <c r="B252" s="324" t="s">
        <v>160</v>
      </c>
      <c r="C252" s="380"/>
      <c r="D252" s="380"/>
      <c r="E252" s="380"/>
      <c r="F252" s="272"/>
      <c r="G252" s="381"/>
      <c r="H252" s="380"/>
      <c r="I252" s="380"/>
      <c r="J252" s="380"/>
      <c r="K252" s="380"/>
      <c r="L252" s="380"/>
      <c r="M252" s="380"/>
      <c r="N252" s="380"/>
      <c r="O252" s="380"/>
      <c r="P252" s="380"/>
      <c r="Q252" s="380"/>
      <c r="R252" s="324">
        <v>0</v>
      </c>
      <c r="S252" s="381">
        <f t="shared" si="5"/>
        <v>0</v>
      </c>
      <c r="T252" s="325">
        <v>0</v>
      </c>
      <c r="U252" s="381">
        <f t="shared" si="6"/>
        <v>0</v>
      </c>
      <c r="V252" s="358"/>
      <c r="W252" s="382"/>
      <c r="X252" s="5"/>
    </row>
    <row r="253" spans="1:25" ht="15.6" x14ac:dyDescent="0.3">
      <c r="A253" s="271"/>
      <c r="B253" s="324" t="s">
        <v>161</v>
      </c>
      <c r="C253" s="380"/>
      <c r="D253" s="380"/>
      <c r="E253" s="380"/>
      <c r="F253" s="272"/>
      <c r="G253" s="381"/>
      <c r="H253" s="380"/>
      <c r="I253" s="380"/>
      <c r="J253" s="380"/>
      <c r="K253" s="380"/>
      <c r="L253" s="380"/>
      <c r="M253" s="380"/>
      <c r="N253" s="380"/>
      <c r="O253" s="380"/>
      <c r="P253" s="380"/>
      <c r="Q253" s="380"/>
      <c r="R253" s="324">
        <v>0</v>
      </c>
      <c r="S253" s="381">
        <f t="shared" si="5"/>
        <v>0</v>
      </c>
      <c r="T253" s="325">
        <v>0</v>
      </c>
      <c r="U253" s="381">
        <f t="shared" si="6"/>
        <v>0</v>
      </c>
      <c r="V253" s="358"/>
      <c r="W253" s="382"/>
      <c r="X253" s="5"/>
      <c r="Y253" s="109"/>
    </row>
    <row r="254" spans="1:25" ht="15.6" x14ac:dyDescent="0.3">
      <c r="A254" s="271"/>
      <c r="B254" s="324" t="s">
        <v>162</v>
      </c>
      <c r="C254" s="380"/>
      <c r="D254" s="380"/>
      <c r="E254" s="380"/>
      <c r="F254" s="272"/>
      <c r="G254" s="381"/>
      <c r="H254" s="380"/>
      <c r="I254" s="380"/>
      <c r="J254" s="380"/>
      <c r="K254" s="380"/>
      <c r="L254" s="380"/>
      <c r="M254" s="380"/>
      <c r="N254" s="380"/>
      <c r="O254" s="380"/>
      <c r="P254" s="380"/>
      <c r="Q254" s="380"/>
      <c r="R254" s="324">
        <v>0</v>
      </c>
      <c r="S254" s="381">
        <f t="shared" si="5"/>
        <v>0</v>
      </c>
      <c r="T254" s="325">
        <v>0</v>
      </c>
      <c r="U254" s="381">
        <f t="shared" si="6"/>
        <v>0</v>
      </c>
      <c r="V254" s="358"/>
      <c r="W254" s="382"/>
      <c r="X254" s="5"/>
    </row>
    <row r="255" spans="1:25" ht="15.6" x14ac:dyDescent="0.3">
      <c r="A255" s="271"/>
      <c r="B255" s="324" t="s">
        <v>163</v>
      </c>
      <c r="C255" s="380"/>
      <c r="D255" s="380"/>
      <c r="E255" s="380"/>
      <c r="F255" s="272"/>
      <c r="G255" s="381"/>
      <c r="H255" s="380"/>
      <c r="I255" s="380"/>
      <c r="J255" s="380"/>
      <c r="K255" s="380"/>
      <c r="L255" s="380"/>
      <c r="M255" s="380"/>
      <c r="N255" s="380"/>
      <c r="O255" s="380"/>
      <c r="P255" s="380"/>
      <c r="Q255" s="380"/>
      <c r="R255" s="324">
        <v>0</v>
      </c>
      <c r="S255" s="381">
        <f t="shared" si="5"/>
        <v>0</v>
      </c>
      <c r="T255" s="325">
        <v>0</v>
      </c>
      <c r="U255" s="381">
        <f t="shared" si="6"/>
        <v>0</v>
      </c>
      <c r="V255" s="358"/>
      <c r="W255" s="382"/>
      <c r="X255" s="5"/>
      <c r="Y255" s="109"/>
    </row>
    <row r="256" spans="1:25" ht="15.6" x14ac:dyDescent="0.3">
      <c r="A256" s="271"/>
      <c r="B256" s="324"/>
      <c r="C256" s="380"/>
      <c r="D256" s="380"/>
      <c r="E256" s="380"/>
      <c r="F256" s="272"/>
      <c r="G256" s="381"/>
      <c r="H256" s="380"/>
      <c r="I256" s="380"/>
      <c r="J256" s="380"/>
      <c r="K256" s="380"/>
      <c r="L256" s="380"/>
      <c r="M256" s="380"/>
      <c r="N256" s="380"/>
      <c r="O256" s="380"/>
      <c r="P256" s="380"/>
      <c r="Q256" s="380"/>
      <c r="R256" s="324"/>
      <c r="S256" s="381"/>
      <c r="T256" s="325"/>
      <c r="U256" s="381"/>
      <c r="V256" s="358"/>
      <c r="W256" s="382"/>
      <c r="X256" s="5"/>
    </row>
    <row r="257" spans="1:24" ht="15.6" x14ac:dyDescent="0.3">
      <c r="A257" s="271"/>
      <c r="B257" s="272" t="s">
        <v>117</v>
      </c>
      <c r="C257" s="272"/>
      <c r="D257" s="272"/>
      <c r="E257" s="272"/>
      <c r="F257" s="272"/>
      <c r="G257" s="272"/>
      <c r="H257" s="383"/>
      <c r="I257" s="383"/>
      <c r="J257" s="383"/>
      <c r="K257" s="383"/>
      <c r="L257" s="383"/>
      <c r="M257" s="383"/>
      <c r="N257" s="383"/>
      <c r="O257" s="383"/>
      <c r="P257" s="383"/>
      <c r="Q257" s="383"/>
      <c r="R257" s="324">
        <f>SUM(R248:R256)</f>
        <v>6138</v>
      </c>
      <c r="S257" s="381">
        <f>SUM(S248:S256)</f>
        <v>1</v>
      </c>
      <c r="T257" s="325">
        <f>SUM(T248:T256)</f>
        <v>780845</v>
      </c>
      <c r="U257" s="381">
        <f>SUM(U248:U256)</f>
        <v>1</v>
      </c>
      <c r="V257" s="272"/>
      <c r="W257" s="275"/>
      <c r="X257" s="5"/>
    </row>
    <row r="258" spans="1:24" ht="15.6" x14ac:dyDescent="0.3">
      <c r="A258" s="175"/>
      <c r="B258" s="321"/>
      <c r="C258" s="321"/>
      <c r="D258" s="321"/>
      <c r="E258" s="321"/>
      <c r="F258" s="321"/>
      <c r="G258" s="321"/>
      <c r="H258" s="377"/>
      <c r="I258" s="377"/>
      <c r="J258" s="377"/>
      <c r="K258" s="377"/>
      <c r="L258" s="377"/>
      <c r="M258" s="377"/>
      <c r="N258" s="377"/>
      <c r="O258" s="377"/>
      <c r="P258" s="377"/>
      <c r="Q258" s="377"/>
      <c r="R258" s="322"/>
      <c r="S258" s="378"/>
      <c r="T258" s="379"/>
      <c r="U258" s="378"/>
      <c r="V258" s="321"/>
      <c r="W258" s="321"/>
      <c r="X258" s="5"/>
    </row>
    <row r="259" spans="1:24" ht="15.6" x14ac:dyDescent="0.3">
      <c r="A259" s="256"/>
      <c r="B259" s="253" t="s">
        <v>279</v>
      </c>
      <c r="C259" s="254"/>
      <c r="D259" s="254"/>
      <c r="E259" s="254"/>
      <c r="F259" s="255"/>
      <c r="G259" s="254"/>
      <c r="H259" s="254"/>
      <c r="I259" s="254"/>
      <c r="J259" s="254"/>
      <c r="K259" s="254"/>
      <c r="L259" s="254"/>
      <c r="M259" s="254"/>
      <c r="N259" s="254"/>
      <c r="O259" s="254"/>
      <c r="P259" s="254"/>
      <c r="Q259" s="254"/>
      <c r="R259" s="255" t="s">
        <v>103</v>
      </c>
      <c r="S259" s="254" t="s">
        <v>104</v>
      </c>
      <c r="T259" s="255" t="s">
        <v>111</v>
      </c>
      <c r="U259" s="254" t="s">
        <v>104</v>
      </c>
      <c r="V259" s="257"/>
      <c r="W259" s="258"/>
      <c r="X259" s="5"/>
    </row>
    <row r="260" spans="1:24" ht="15.6" x14ac:dyDescent="0.3">
      <c r="A260" s="192"/>
      <c r="B260" s="231" t="s">
        <v>89</v>
      </c>
      <c r="C260" s="260"/>
      <c r="D260" s="260"/>
      <c r="E260" s="260"/>
      <c r="F260" s="229"/>
      <c r="G260" s="260"/>
      <c r="H260" s="260"/>
      <c r="I260" s="260"/>
      <c r="J260" s="260"/>
      <c r="K260" s="260"/>
      <c r="L260" s="260"/>
      <c r="M260" s="260"/>
      <c r="N260" s="260"/>
      <c r="O260" s="260"/>
      <c r="P260" s="260"/>
      <c r="Q260" s="260"/>
      <c r="R260" s="231">
        <v>91</v>
      </c>
      <c r="S260" s="261">
        <f>R260/$R$269</f>
        <v>0.76470588235294112</v>
      </c>
      <c r="T260" s="238">
        <v>15782</v>
      </c>
      <c r="U260" s="261">
        <f t="shared" ref="U260:U267" si="7">T260/$T$269</f>
        <v>0.81903575691525243</v>
      </c>
      <c r="V260" s="229"/>
      <c r="W260" s="193"/>
      <c r="X260" s="5"/>
    </row>
    <row r="261" spans="1:24" ht="15.6" x14ac:dyDescent="0.3">
      <c r="A261" s="271"/>
      <c r="B261" s="324" t="s">
        <v>90</v>
      </c>
      <c r="C261" s="380"/>
      <c r="D261" s="380"/>
      <c r="E261" s="380"/>
      <c r="F261" s="272"/>
      <c r="G261" s="381"/>
      <c r="H261" s="380"/>
      <c r="I261" s="380"/>
      <c r="J261" s="380"/>
      <c r="K261" s="380"/>
      <c r="L261" s="380"/>
      <c r="M261" s="380"/>
      <c r="N261" s="380"/>
      <c r="O261" s="380"/>
      <c r="P261" s="380"/>
      <c r="Q261" s="380"/>
      <c r="R261" s="324">
        <v>3</v>
      </c>
      <c r="S261" s="381">
        <f t="shared" ref="S261:S265" si="8">R261/$R$269</f>
        <v>2.5210084033613446E-2</v>
      </c>
      <c r="T261" s="325">
        <v>338</v>
      </c>
      <c r="U261" s="381">
        <f t="shared" si="7"/>
        <v>1.7541128237064715E-2</v>
      </c>
      <c r="V261" s="272"/>
      <c r="W261" s="304"/>
      <c r="X261" s="5"/>
    </row>
    <row r="262" spans="1:24" ht="15.6" x14ac:dyDescent="0.3">
      <c r="A262" s="271"/>
      <c r="B262" s="324" t="s">
        <v>91</v>
      </c>
      <c r="C262" s="380"/>
      <c r="D262" s="380"/>
      <c r="E262" s="380"/>
      <c r="F262" s="272"/>
      <c r="G262" s="381"/>
      <c r="H262" s="380"/>
      <c r="I262" s="380"/>
      <c r="J262" s="380"/>
      <c r="K262" s="380"/>
      <c r="L262" s="380"/>
      <c r="M262" s="380"/>
      <c r="N262" s="380"/>
      <c r="O262" s="380"/>
      <c r="P262" s="380"/>
      <c r="Q262" s="380"/>
      <c r="R262" s="324">
        <v>6</v>
      </c>
      <c r="S262" s="381">
        <f t="shared" si="8"/>
        <v>5.0420168067226892E-2</v>
      </c>
      <c r="T262" s="325">
        <v>575</v>
      </c>
      <c r="U262" s="381">
        <f t="shared" si="7"/>
        <v>2.9840676734651513E-2</v>
      </c>
      <c r="V262" s="272"/>
      <c r="W262" s="304"/>
      <c r="X262" s="5"/>
    </row>
    <row r="263" spans="1:24" ht="15.6" x14ac:dyDescent="0.3">
      <c r="A263" s="271"/>
      <c r="B263" s="324" t="s">
        <v>159</v>
      </c>
      <c r="C263" s="380"/>
      <c r="D263" s="380"/>
      <c r="E263" s="380"/>
      <c r="F263" s="272"/>
      <c r="G263" s="381"/>
      <c r="H263" s="380"/>
      <c r="I263" s="380"/>
      <c r="J263" s="380"/>
      <c r="K263" s="380"/>
      <c r="L263" s="380"/>
      <c r="M263" s="380"/>
      <c r="N263" s="380"/>
      <c r="O263" s="380"/>
      <c r="P263" s="380"/>
      <c r="Q263" s="380"/>
      <c r="R263" s="324">
        <v>0</v>
      </c>
      <c r="S263" s="381">
        <f t="shared" si="8"/>
        <v>0</v>
      </c>
      <c r="T263" s="325">
        <v>0</v>
      </c>
      <c r="U263" s="381">
        <f t="shared" si="7"/>
        <v>0</v>
      </c>
      <c r="V263" s="272"/>
      <c r="W263" s="304"/>
      <c r="X263" s="5"/>
    </row>
    <row r="264" spans="1:24" ht="15.6" x14ac:dyDescent="0.3">
      <c r="A264" s="271"/>
      <c r="B264" s="324" t="s">
        <v>160</v>
      </c>
      <c r="C264" s="380"/>
      <c r="D264" s="380"/>
      <c r="E264" s="380"/>
      <c r="F264" s="272"/>
      <c r="G264" s="381"/>
      <c r="H264" s="380"/>
      <c r="I264" s="380"/>
      <c r="J264" s="380"/>
      <c r="K264" s="380"/>
      <c r="L264" s="380"/>
      <c r="M264" s="380"/>
      <c r="N264" s="380"/>
      <c r="O264" s="380"/>
      <c r="P264" s="380"/>
      <c r="Q264" s="380"/>
      <c r="R264" s="324">
        <v>1</v>
      </c>
      <c r="S264" s="381">
        <f t="shared" si="8"/>
        <v>8.4033613445378148E-3</v>
      </c>
      <c r="T264" s="325">
        <v>98</v>
      </c>
      <c r="U264" s="381">
        <f t="shared" si="7"/>
        <v>5.0858892521666926E-3</v>
      </c>
      <c r="V264" s="272"/>
      <c r="W264" s="304"/>
      <c r="X264" s="5"/>
    </row>
    <row r="265" spans="1:24" ht="15.6" x14ac:dyDescent="0.3">
      <c r="A265" s="271"/>
      <c r="B265" s="324" t="s">
        <v>161</v>
      </c>
      <c r="C265" s="380"/>
      <c r="D265" s="380"/>
      <c r="E265" s="380"/>
      <c r="F265" s="272"/>
      <c r="G265" s="381"/>
      <c r="H265" s="380"/>
      <c r="I265" s="380"/>
      <c r="J265" s="380"/>
      <c r="K265" s="380"/>
      <c r="L265" s="380"/>
      <c r="M265" s="380"/>
      <c r="N265" s="380"/>
      <c r="O265" s="380"/>
      <c r="P265" s="380"/>
      <c r="Q265" s="380"/>
      <c r="R265" s="324">
        <v>0</v>
      </c>
      <c r="S265" s="381">
        <f t="shared" si="8"/>
        <v>0</v>
      </c>
      <c r="T265" s="325">
        <v>0</v>
      </c>
      <c r="U265" s="381">
        <f t="shared" si="7"/>
        <v>0</v>
      </c>
      <c r="V265" s="272"/>
      <c r="W265" s="304"/>
      <c r="X265" s="5"/>
    </row>
    <row r="266" spans="1:24" ht="15.6" x14ac:dyDescent="0.3">
      <c r="A266" s="271"/>
      <c r="B266" s="324" t="s">
        <v>162</v>
      </c>
      <c r="C266" s="380"/>
      <c r="D266" s="380"/>
      <c r="E266" s="380"/>
      <c r="F266" s="272"/>
      <c r="G266" s="381"/>
      <c r="H266" s="380"/>
      <c r="I266" s="380"/>
      <c r="J266" s="380"/>
      <c r="K266" s="380"/>
      <c r="L266" s="380"/>
      <c r="M266" s="380"/>
      <c r="N266" s="380"/>
      <c r="O266" s="380"/>
      <c r="P266" s="380"/>
      <c r="Q266" s="380"/>
      <c r="R266" s="324">
        <v>0</v>
      </c>
      <c r="S266" s="381">
        <f>R266/$R$269</f>
        <v>0</v>
      </c>
      <c r="T266" s="325">
        <v>0</v>
      </c>
      <c r="U266" s="381">
        <f t="shared" si="7"/>
        <v>0</v>
      </c>
      <c r="V266" s="272"/>
      <c r="W266" s="304"/>
      <c r="X266" s="5"/>
    </row>
    <row r="267" spans="1:24" ht="15.6" x14ac:dyDescent="0.3">
      <c r="A267" s="271"/>
      <c r="B267" s="324" t="s">
        <v>163</v>
      </c>
      <c r="C267" s="380"/>
      <c r="D267" s="380"/>
      <c r="E267" s="380"/>
      <c r="F267" s="272"/>
      <c r="G267" s="381"/>
      <c r="H267" s="380"/>
      <c r="I267" s="380"/>
      <c r="J267" s="380"/>
      <c r="K267" s="380"/>
      <c r="L267" s="380"/>
      <c r="M267" s="380"/>
      <c r="N267" s="380"/>
      <c r="O267" s="380"/>
      <c r="P267" s="380"/>
      <c r="Q267" s="380"/>
      <c r="R267" s="324">
        <v>18</v>
      </c>
      <c r="S267" s="381">
        <f>R267/$R$269</f>
        <v>0.15126050420168066</v>
      </c>
      <c r="T267" s="325">
        <v>2476</v>
      </c>
      <c r="U267" s="381">
        <f t="shared" si="7"/>
        <v>0.12849654886086459</v>
      </c>
      <c r="V267" s="272"/>
      <c r="W267" s="304"/>
      <c r="X267" s="5"/>
    </row>
    <row r="268" spans="1:24" ht="15.6" x14ac:dyDescent="0.3">
      <c r="A268" s="271"/>
      <c r="B268" s="324"/>
      <c r="C268" s="380"/>
      <c r="D268" s="380"/>
      <c r="E268" s="380"/>
      <c r="F268" s="272"/>
      <c r="G268" s="381"/>
      <c r="H268" s="380"/>
      <c r="I268" s="380"/>
      <c r="J268" s="380"/>
      <c r="K268" s="380"/>
      <c r="L268" s="380"/>
      <c r="M268" s="380"/>
      <c r="N268" s="380"/>
      <c r="O268" s="380"/>
      <c r="P268" s="380"/>
      <c r="Q268" s="380"/>
      <c r="R268" s="324"/>
      <c r="S268" s="381"/>
      <c r="T268" s="325"/>
      <c r="U268" s="381"/>
      <c r="V268" s="272"/>
      <c r="W268" s="304"/>
      <c r="X268" s="5"/>
    </row>
    <row r="269" spans="1:24" ht="15.6" x14ac:dyDescent="0.3">
      <c r="A269" s="271"/>
      <c r="B269" s="272" t="s">
        <v>117</v>
      </c>
      <c r="C269" s="272"/>
      <c r="D269" s="272"/>
      <c r="E269" s="272"/>
      <c r="F269" s="272"/>
      <c r="G269" s="272"/>
      <c r="H269" s="383"/>
      <c r="I269" s="383"/>
      <c r="J269" s="383"/>
      <c r="K269" s="383"/>
      <c r="L269" s="383"/>
      <c r="M269" s="383"/>
      <c r="N269" s="383"/>
      <c r="O269" s="383"/>
      <c r="P269" s="383"/>
      <c r="Q269" s="383"/>
      <c r="R269" s="324">
        <f>SUM(R260:R268)</f>
        <v>119</v>
      </c>
      <c r="S269" s="381">
        <f>SUM(S260:S268)</f>
        <v>1</v>
      </c>
      <c r="T269" s="325">
        <f>SUM(T260:T268)</f>
        <v>19269</v>
      </c>
      <c r="U269" s="381">
        <f>SUM(U260:U268)</f>
        <v>0.99999999999999989</v>
      </c>
      <c r="V269" s="272"/>
      <c r="W269" s="304"/>
      <c r="X269" s="5"/>
    </row>
    <row r="270" spans="1:24" ht="15.6" x14ac:dyDescent="0.3">
      <c r="A270" s="175"/>
      <c r="B270" s="321"/>
      <c r="C270" s="321"/>
      <c r="D270" s="321"/>
      <c r="E270" s="321"/>
      <c r="F270" s="321"/>
      <c r="G270" s="321"/>
      <c r="H270" s="377"/>
      <c r="I270" s="377"/>
      <c r="J270" s="377"/>
      <c r="K270" s="377"/>
      <c r="L270" s="377"/>
      <c r="M270" s="377"/>
      <c r="N270" s="377"/>
      <c r="O270" s="377"/>
      <c r="P270" s="377"/>
      <c r="Q270" s="377"/>
      <c r="R270" s="322"/>
      <c r="S270" s="378"/>
      <c r="T270" s="379"/>
      <c r="U270" s="378"/>
      <c r="V270" s="321"/>
      <c r="W270" s="321"/>
      <c r="X270" s="5"/>
    </row>
    <row r="271" spans="1:24" ht="15.6" x14ac:dyDescent="0.3">
      <c r="A271" s="256"/>
      <c r="B271" s="253" t="s">
        <v>166</v>
      </c>
      <c r="C271" s="257"/>
      <c r="D271" s="257"/>
      <c r="E271" s="257"/>
      <c r="F271" s="257"/>
      <c r="G271" s="257"/>
      <c r="H271" s="259"/>
      <c r="I271" s="259"/>
      <c r="J271" s="259"/>
      <c r="K271" s="259"/>
      <c r="L271" s="259"/>
      <c r="M271" s="259"/>
      <c r="N271" s="259"/>
      <c r="O271" s="259"/>
      <c r="P271" s="259"/>
      <c r="Q271" s="259"/>
      <c r="R271" s="255" t="s">
        <v>103</v>
      </c>
      <c r="S271" s="254" t="s">
        <v>104</v>
      </c>
      <c r="T271" s="255" t="s">
        <v>111</v>
      </c>
      <c r="U271" s="254" t="s">
        <v>104</v>
      </c>
      <c r="V271" s="257"/>
      <c r="W271" s="258"/>
      <c r="X271" s="5"/>
    </row>
    <row r="272" spans="1:24" ht="15.6" x14ac:dyDescent="0.3">
      <c r="A272" s="192"/>
      <c r="B272" s="231" t="s">
        <v>89</v>
      </c>
      <c r="C272" s="229"/>
      <c r="D272" s="229"/>
      <c r="E272" s="229"/>
      <c r="F272" s="229"/>
      <c r="G272" s="229"/>
      <c r="H272" s="262"/>
      <c r="I272" s="262"/>
      <c r="J272" s="262"/>
      <c r="K272" s="262"/>
      <c r="L272" s="262"/>
      <c r="M272" s="262"/>
      <c r="N272" s="262"/>
      <c r="O272" s="262"/>
      <c r="P272" s="262"/>
      <c r="Q272" s="262"/>
      <c r="R272" s="231">
        <v>1</v>
      </c>
      <c r="S272" s="261">
        <f>R272/R281</f>
        <v>1</v>
      </c>
      <c r="T272" s="238">
        <v>118</v>
      </c>
      <c r="U272" s="261">
        <f>T272/T281</f>
        <v>1</v>
      </c>
      <c r="V272" s="229"/>
      <c r="W272" s="229"/>
      <c r="X272" s="5"/>
    </row>
    <row r="273" spans="1:24" ht="15.6" x14ac:dyDescent="0.3">
      <c r="A273" s="271"/>
      <c r="B273" s="324" t="s">
        <v>90</v>
      </c>
      <c r="C273" s="272"/>
      <c r="D273" s="272"/>
      <c r="E273" s="272"/>
      <c r="F273" s="272"/>
      <c r="G273" s="272"/>
      <c r="H273" s="383"/>
      <c r="I273" s="383"/>
      <c r="J273" s="383"/>
      <c r="K273" s="383"/>
      <c r="L273" s="383"/>
      <c r="M273" s="383"/>
      <c r="N273" s="383"/>
      <c r="O273" s="383"/>
      <c r="P273" s="383"/>
      <c r="Q273" s="383"/>
      <c r="R273" s="324">
        <v>0</v>
      </c>
      <c r="S273" s="381">
        <v>0</v>
      </c>
      <c r="T273" s="325">
        <v>0</v>
      </c>
      <c r="U273" s="381">
        <v>0</v>
      </c>
      <c r="V273" s="272"/>
      <c r="W273" s="275"/>
      <c r="X273" s="5"/>
    </row>
    <row r="274" spans="1:24" ht="15.6" x14ac:dyDescent="0.3">
      <c r="A274" s="271"/>
      <c r="B274" s="324" t="s">
        <v>91</v>
      </c>
      <c r="C274" s="272"/>
      <c r="D274" s="272"/>
      <c r="E274" s="272"/>
      <c r="F274" s="272"/>
      <c r="G274" s="272"/>
      <c r="H274" s="383"/>
      <c r="I274" s="383"/>
      <c r="J274" s="383"/>
      <c r="K274" s="383"/>
      <c r="L274" s="383"/>
      <c r="M274" s="383"/>
      <c r="N274" s="383"/>
      <c r="O274" s="383"/>
      <c r="P274" s="383"/>
      <c r="Q274" s="383"/>
      <c r="R274" s="324">
        <v>0</v>
      </c>
      <c r="S274" s="381">
        <v>0</v>
      </c>
      <c r="T274" s="325">
        <v>0</v>
      </c>
      <c r="U274" s="381">
        <v>0</v>
      </c>
      <c r="V274" s="272"/>
      <c r="W274" s="275"/>
      <c r="X274" s="5"/>
    </row>
    <row r="275" spans="1:24" ht="15.6" x14ac:dyDescent="0.3">
      <c r="A275" s="271"/>
      <c r="B275" s="324" t="s">
        <v>159</v>
      </c>
      <c r="C275" s="272"/>
      <c r="D275" s="272"/>
      <c r="E275" s="272"/>
      <c r="F275" s="272"/>
      <c r="G275" s="272"/>
      <c r="H275" s="383"/>
      <c r="I275" s="383"/>
      <c r="J275" s="383"/>
      <c r="K275" s="383"/>
      <c r="L275" s="383"/>
      <c r="M275" s="383"/>
      <c r="N275" s="383"/>
      <c r="O275" s="383"/>
      <c r="P275" s="383"/>
      <c r="Q275" s="383"/>
      <c r="R275" s="324">
        <v>0</v>
      </c>
      <c r="S275" s="381">
        <v>0</v>
      </c>
      <c r="T275" s="325">
        <v>0</v>
      </c>
      <c r="U275" s="381">
        <v>0</v>
      </c>
      <c r="V275" s="272"/>
      <c r="W275" s="275"/>
      <c r="X275" s="5"/>
    </row>
    <row r="276" spans="1:24" ht="15.6" x14ac:dyDescent="0.3">
      <c r="A276" s="271"/>
      <c r="B276" s="324" t="s">
        <v>160</v>
      </c>
      <c r="C276" s="272"/>
      <c r="D276" s="272"/>
      <c r="E276" s="272"/>
      <c r="F276" s="272"/>
      <c r="G276" s="272"/>
      <c r="H276" s="383"/>
      <c r="I276" s="383"/>
      <c r="J276" s="383"/>
      <c r="K276" s="383"/>
      <c r="L276" s="383"/>
      <c r="M276" s="383"/>
      <c r="N276" s="383"/>
      <c r="O276" s="383"/>
      <c r="P276" s="383"/>
      <c r="Q276" s="383"/>
      <c r="R276" s="324">
        <v>0</v>
      </c>
      <c r="S276" s="381">
        <v>0</v>
      </c>
      <c r="T276" s="325">
        <v>0</v>
      </c>
      <c r="U276" s="381">
        <v>0</v>
      </c>
      <c r="V276" s="272"/>
      <c r="W276" s="275"/>
      <c r="X276" s="5"/>
    </row>
    <row r="277" spans="1:24" ht="15.6" x14ac:dyDescent="0.3">
      <c r="A277" s="271"/>
      <c r="B277" s="324" t="s">
        <v>161</v>
      </c>
      <c r="C277" s="272"/>
      <c r="D277" s="272"/>
      <c r="E277" s="272"/>
      <c r="F277" s="272"/>
      <c r="G277" s="272"/>
      <c r="H277" s="383"/>
      <c r="I277" s="383"/>
      <c r="J277" s="383"/>
      <c r="K277" s="383"/>
      <c r="L277" s="383"/>
      <c r="M277" s="383"/>
      <c r="N277" s="383"/>
      <c r="O277" s="383"/>
      <c r="P277" s="383"/>
      <c r="Q277" s="383"/>
      <c r="R277" s="324">
        <v>0</v>
      </c>
      <c r="S277" s="381">
        <v>0</v>
      </c>
      <c r="T277" s="325">
        <v>0</v>
      </c>
      <c r="U277" s="381">
        <v>0</v>
      </c>
      <c r="V277" s="272"/>
      <c r="W277" s="275"/>
      <c r="X277" s="5"/>
    </row>
    <row r="278" spans="1:24" ht="15.6" x14ac:dyDescent="0.3">
      <c r="A278" s="271"/>
      <c r="B278" s="324" t="s">
        <v>162</v>
      </c>
      <c r="C278" s="272"/>
      <c r="D278" s="272"/>
      <c r="E278" s="272"/>
      <c r="F278" s="272"/>
      <c r="G278" s="272"/>
      <c r="H278" s="383"/>
      <c r="I278" s="383"/>
      <c r="J278" s="383"/>
      <c r="K278" s="383"/>
      <c r="L278" s="383"/>
      <c r="M278" s="383"/>
      <c r="N278" s="383"/>
      <c r="O278" s="383"/>
      <c r="P278" s="383"/>
      <c r="Q278" s="383"/>
      <c r="R278" s="324">
        <v>0</v>
      </c>
      <c r="S278" s="381">
        <v>0</v>
      </c>
      <c r="T278" s="325">
        <v>0</v>
      </c>
      <c r="U278" s="381">
        <v>0</v>
      </c>
      <c r="V278" s="272"/>
      <c r="W278" s="275"/>
      <c r="X278" s="5"/>
    </row>
    <row r="279" spans="1:24" ht="15.6" x14ac:dyDescent="0.3">
      <c r="A279" s="271"/>
      <c r="B279" s="324" t="s">
        <v>163</v>
      </c>
      <c r="C279" s="272"/>
      <c r="D279" s="272"/>
      <c r="E279" s="272"/>
      <c r="F279" s="272"/>
      <c r="G279" s="272"/>
      <c r="H279" s="383"/>
      <c r="I279" s="383"/>
      <c r="J279" s="383"/>
      <c r="K279" s="383"/>
      <c r="L279" s="383"/>
      <c r="M279" s="383"/>
      <c r="N279" s="383"/>
      <c r="O279" s="383"/>
      <c r="P279" s="383"/>
      <c r="Q279" s="383"/>
      <c r="R279" s="324">
        <v>0</v>
      </c>
      <c r="S279" s="381">
        <v>0</v>
      </c>
      <c r="T279" s="325">
        <v>0</v>
      </c>
      <c r="U279" s="381">
        <v>0</v>
      </c>
      <c r="V279" s="272"/>
      <c r="W279" s="275"/>
      <c r="X279" s="5"/>
    </row>
    <row r="280" spans="1:24" ht="15.6" x14ac:dyDescent="0.3">
      <c r="A280" s="271"/>
      <c r="B280" s="324"/>
      <c r="C280" s="272"/>
      <c r="D280" s="272"/>
      <c r="E280" s="272"/>
      <c r="F280" s="272"/>
      <c r="G280" s="272"/>
      <c r="H280" s="383"/>
      <c r="I280" s="383"/>
      <c r="J280" s="383"/>
      <c r="K280" s="383"/>
      <c r="L280" s="383"/>
      <c r="M280" s="383"/>
      <c r="N280" s="383"/>
      <c r="O280" s="383"/>
      <c r="P280" s="383"/>
      <c r="Q280" s="383"/>
      <c r="R280" s="324"/>
      <c r="S280" s="381"/>
      <c r="T280" s="325"/>
      <c r="U280" s="381"/>
      <c r="V280" s="272"/>
      <c r="W280" s="275"/>
      <c r="X280" s="5"/>
    </row>
    <row r="281" spans="1:24" ht="15.6" x14ac:dyDescent="0.3">
      <c r="A281" s="271"/>
      <c r="B281" s="272" t="s">
        <v>117</v>
      </c>
      <c r="C281" s="272"/>
      <c r="D281" s="272"/>
      <c r="E281" s="272"/>
      <c r="F281" s="272"/>
      <c r="G281" s="272"/>
      <c r="H281" s="383"/>
      <c r="I281" s="383"/>
      <c r="J281" s="383"/>
      <c r="K281" s="383"/>
      <c r="L281" s="383"/>
      <c r="M281" s="383"/>
      <c r="N281" s="383"/>
      <c r="O281" s="383"/>
      <c r="P281" s="383"/>
      <c r="Q281" s="383"/>
      <c r="R281" s="324">
        <f>SUM(R272:R279)</f>
        <v>1</v>
      </c>
      <c r="S281" s="381">
        <f>SUM(S272:S279)</f>
        <v>1</v>
      </c>
      <c r="T281" s="325">
        <f>SUM(T272:T279)</f>
        <v>118</v>
      </c>
      <c r="U281" s="381">
        <f>SUM(U272:U279)</f>
        <v>1</v>
      </c>
      <c r="V281" s="272"/>
      <c r="W281" s="275"/>
      <c r="X281" s="5"/>
    </row>
    <row r="282" spans="1:24" ht="15.6" x14ac:dyDescent="0.3">
      <c r="A282" s="271"/>
      <c r="B282" s="272"/>
      <c r="C282" s="272"/>
      <c r="D282" s="272"/>
      <c r="E282" s="272"/>
      <c r="F282" s="272"/>
      <c r="G282" s="272"/>
      <c r="H282" s="383"/>
      <c r="I282" s="383"/>
      <c r="J282" s="383"/>
      <c r="K282" s="383"/>
      <c r="L282" s="383"/>
      <c r="M282" s="383"/>
      <c r="N282" s="383"/>
      <c r="O282" s="383"/>
      <c r="P282" s="383"/>
      <c r="Q282" s="383"/>
      <c r="R282" s="324"/>
      <c r="S282" s="381"/>
      <c r="T282" s="325"/>
      <c r="U282" s="381"/>
      <c r="V282" s="272"/>
      <c r="W282" s="275"/>
      <c r="X282" s="5"/>
    </row>
    <row r="283" spans="1:24" ht="15.6" x14ac:dyDescent="0.3">
      <c r="A283" s="271"/>
      <c r="B283" s="279" t="s">
        <v>167</v>
      </c>
      <c r="C283" s="272"/>
      <c r="D283" s="272"/>
      <c r="E283" s="272"/>
      <c r="F283" s="272"/>
      <c r="G283" s="272"/>
      <c r="H283" s="383"/>
      <c r="I283" s="383"/>
      <c r="J283" s="383"/>
      <c r="K283" s="383"/>
      <c r="L283" s="383"/>
      <c r="M283" s="383"/>
      <c r="N283" s="383"/>
      <c r="O283" s="383"/>
      <c r="P283" s="383"/>
      <c r="Q283" s="383"/>
      <c r="R283" s="390">
        <f>R281+R269+R257</f>
        <v>6258</v>
      </c>
      <c r="S283" s="381"/>
      <c r="T283" s="387">
        <f>+T281+T269+T257</f>
        <v>800232</v>
      </c>
      <c r="U283" s="381"/>
      <c r="V283" s="272"/>
      <c r="W283" s="275"/>
      <c r="X283" s="5"/>
    </row>
    <row r="284" spans="1:24" ht="15.6" x14ac:dyDescent="0.3">
      <c r="A284" s="175"/>
      <c r="B284" s="268"/>
      <c r="C284" s="268"/>
      <c r="D284" s="268"/>
      <c r="E284" s="268"/>
      <c r="F284" s="268"/>
      <c r="G284" s="268"/>
      <c r="H284" s="384"/>
      <c r="I284" s="384"/>
      <c r="J284" s="384"/>
      <c r="K284" s="384"/>
      <c r="L284" s="384"/>
      <c r="M284" s="384"/>
      <c r="N284" s="384"/>
      <c r="O284" s="384"/>
      <c r="P284" s="384"/>
      <c r="Q284" s="384"/>
      <c r="R284" s="384"/>
      <c r="S284" s="384"/>
      <c r="T284" s="385"/>
      <c r="U284" s="384"/>
      <c r="V284" s="268"/>
      <c r="W284" s="268"/>
      <c r="X284" s="5"/>
    </row>
    <row r="285" spans="1:24" ht="15.6" x14ac:dyDescent="0.3">
      <c r="A285" s="175"/>
      <c r="B285" s="220"/>
      <c r="C285" s="220"/>
      <c r="D285" s="220"/>
      <c r="E285" s="220"/>
      <c r="F285" s="220"/>
      <c r="G285" s="220"/>
      <c r="H285" s="263"/>
      <c r="I285" s="263"/>
      <c r="J285" s="263"/>
      <c r="K285" s="263"/>
      <c r="L285" s="263"/>
      <c r="M285" s="263"/>
      <c r="N285" s="263"/>
      <c r="O285" s="263"/>
      <c r="P285" s="263"/>
      <c r="Q285" s="263"/>
      <c r="R285" s="263"/>
      <c r="S285" s="263"/>
      <c r="T285" s="264"/>
      <c r="U285" s="263"/>
      <c r="V285" s="220"/>
      <c r="W285" s="220"/>
      <c r="X285" s="5"/>
    </row>
    <row r="286" spans="1:24" ht="15.6" x14ac:dyDescent="0.3">
      <c r="A286" s="216"/>
      <c r="B286" s="219" t="s">
        <v>92</v>
      </c>
      <c r="C286" s="220"/>
      <c r="D286" s="220"/>
      <c r="E286" s="220"/>
      <c r="F286" s="224" t="s">
        <v>98</v>
      </c>
      <c r="G286" s="220"/>
      <c r="H286" s="219" t="s">
        <v>100</v>
      </c>
      <c r="I286" s="219"/>
      <c r="J286" s="219"/>
      <c r="K286" s="227"/>
      <c r="L286" s="227"/>
      <c r="M286" s="227"/>
      <c r="N286" s="227"/>
      <c r="O286" s="227"/>
      <c r="P286" s="227"/>
      <c r="Q286" s="227"/>
      <c r="R286" s="227"/>
      <c r="S286" s="227"/>
      <c r="T286" s="227"/>
      <c r="U286" s="227"/>
      <c r="V286" s="227"/>
      <c r="W286" s="227"/>
      <c r="X286" s="5"/>
    </row>
    <row r="287" spans="1:24" ht="15.6" x14ac:dyDescent="0.3">
      <c r="A287" s="216"/>
      <c r="B287" s="219" t="s">
        <v>336</v>
      </c>
      <c r="C287" s="219"/>
      <c r="D287" s="219"/>
      <c r="E287" s="219"/>
      <c r="F287" s="265" t="s">
        <v>282</v>
      </c>
      <c r="G287" s="219"/>
      <c r="H287" s="219" t="s">
        <v>283</v>
      </c>
      <c r="I287" s="227"/>
      <c r="J287" s="219"/>
      <c r="K287" s="227"/>
      <c r="L287" s="227"/>
      <c r="M287" s="227"/>
      <c r="N287" s="227"/>
      <c r="O287" s="227"/>
      <c r="P287" s="227"/>
      <c r="Q287" s="227"/>
      <c r="R287" s="227"/>
      <c r="S287" s="227"/>
      <c r="T287" s="227"/>
      <c r="U287" s="227"/>
      <c r="V287" s="227"/>
      <c r="W287" s="227"/>
      <c r="X287" s="5"/>
    </row>
    <row r="288" spans="1:24" ht="15.6" x14ac:dyDescent="0.3">
      <c r="A288" s="216"/>
      <c r="B288" s="219" t="s">
        <v>337</v>
      </c>
      <c r="C288" s="219"/>
      <c r="D288" s="219"/>
      <c r="E288" s="219"/>
      <c r="F288" s="265" t="s">
        <v>150</v>
      </c>
      <c r="G288" s="219"/>
      <c r="H288" s="219" t="s">
        <v>156</v>
      </c>
      <c r="I288" s="219"/>
      <c r="J288" s="219"/>
      <c r="K288" s="227"/>
      <c r="L288" s="227"/>
      <c r="M288" s="227"/>
      <c r="N288" s="227"/>
      <c r="O288" s="227"/>
      <c r="P288" s="227"/>
      <c r="Q288" s="227"/>
      <c r="R288" s="227"/>
      <c r="S288" s="227"/>
      <c r="T288" s="227"/>
      <c r="U288" s="227"/>
      <c r="V288" s="227"/>
      <c r="W288" s="227"/>
      <c r="X288" s="5"/>
    </row>
    <row r="289" spans="1:24" ht="15.6" x14ac:dyDescent="0.3">
      <c r="A289" s="216"/>
      <c r="B289" s="219"/>
      <c r="C289" s="219"/>
      <c r="D289" s="219"/>
      <c r="E289" s="219"/>
      <c r="F289" s="265"/>
      <c r="G289" s="219"/>
      <c r="H289" s="219"/>
      <c r="I289" s="219"/>
      <c r="J289" s="219"/>
      <c r="K289" s="227"/>
      <c r="L289" s="227"/>
      <c r="M289" s="227"/>
      <c r="N289" s="227"/>
      <c r="O289" s="227"/>
      <c r="P289" s="227"/>
      <c r="Q289" s="227"/>
      <c r="R289" s="227"/>
      <c r="S289" s="227"/>
      <c r="T289" s="227"/>
      <c r="U289" s="227"/>
      <c r="V289" s="227"/>
      <c r="W289" s="227"/>
      <c r="X289" s="5"/>
    </row>
    <row r="290" spans="1:24" ht="15.6" x14ac:dyDescent="0.3">
      <c r="A290" s="216"/>
      <c r="B290" s="268" t="s">
        <v>367</v>
      </c>
      <c r="C290" s="219"/>
      <c r="D290" s="219"/>
      <c r="E290" s="219"/>
      <c r="F290" s="265"/>
      <c r="G290" s="219"/>
      <c r="H290" s="219"/>
      <c r="I290" s="219"/>
      <c r="J290" s="219"/>
      <c r="K290" s="227"/>
      <c r="L290" s="227"/>
      <c r="M290" s="227"/>
      <c r="N290" s="227"/>
      <c r="O290" s="227"/>
      <c r="P290" s="227"/>
      <c r="Q290" s="227"/>
      <c r="R290" s="227"/>
      <c r="S290" s="227"/>
      <c r="T290" s="227"/>
      <c r="U290" s="227"/>
      <c r="V290" s="227"/>
      <c r="W290" s="227"/>
      <c r="X290" s="5"/>
    </row>
    <row r="291" spans="1:24" ht="15.6" x14ac:dyDescent="0.3">
      <c r="A291" s="216"/>
      <c r="B291" s="268" t="s">
        <v>364</v>
      </c>
      <c r="C291" s="219"/>
      <c r="D291" s="219"/>
      <c r="E291" s="219"/>
      <c r="F291" s="265"/>
      <c r="G291" s="219"/>
      <c r="H291" s="219"/>
      <c r="I291" s="219"/>
      <c r="J291" s="219"/>
      <c r="K291" s="227"/>
      <c r="L291" s="227"/>
      <c r="M291" s="227"/>
      <c r="N291" s="227"/>
      <c r="O291" s="227"/>
      <c r="P291" s="227"/>
      <c r="Q291" s="227"/>
      <c r="R291" s="227"/>
      <c r="S291" s="227"/>
      <c r="T291" s="227"/>
      <c r="U291" s="227"/>
      <c r="V291" s="227"/>
      <c r="W291" s="227"/>
      <c r="X291" s="5"/>
    </row>
    <row r="292" spans="1:24" ht="15.6" x14ac:dyDescent="0.3">
      <c r="A292" s="216"/>
      <c r="B292" s="268" t="s">
        <v>365</v>
      </c>
      <c r="C292" s="219"/>
      <c r="D292" s="219"/>
      <c r="E292" s="219"/>
      <c r="F292" s="265"/>
      <c r="G292" s="219"/>
      <c r="H292" s="219"/>
      <c r="I292" s="219"/>
      <c r="J292" s="219"/>
      <c r="K292" s="227"/>
      <c r="L292" s="227"/>
      <c r="M292" s="227"/>
      <c r="N292" s="227"/>
      <c r="O292" s="227"/>
      <c r="P292" s="227"/>
      <c r="Q292" s="227"/>
      <c r="R292" s="227"/>
      <c r="S292" s="227"/>
      <c r="T292" s="227"/>
      <c r="U292" s="227"/>
      <c r="V292" s="227"/>
      <c r="W292" s="227"/>
      <c r="X292" s="5"/>
    </row>
    <row r="293" spans="1:24" ht="15.6" x14ac:dyDescent="0.3">
      <c r="A293" s="216"/>
      <c r="B293" s="268" t="s">
        <v>366</v>
      </c>
      <c r="C293" s="219"/>
      <c r="D293" s="219"/>
      <c r="E293" s="219"/>
      <c r="F293" s="265"/>
      <c r="G293" s="219"/>
      <c r="H293" s="219"/>
      <c r="I293" s="219"/>
      <c r="J293" s="219"/>
      <c r="K293" s="227"/>
      <c r="L293" s="227"/>
      <c r="M293" s="227"/>
      <c r="N293" s="227"/>
      <c r="O293" s="227"/>
      <c r="P293" s="227"/>
      <c r="Q293" s="227"/>
      <c r="R293" s="227"/>
      <c r="S293" s="227"/>
      <c r="T293" s="227"/>
      <c r="U293" s="227"/>
      <c r="V293" s="227"/>
      <c r="W293" s="227"/>
      <c r="X293" s="5"/>
    </row>
    <row r="294" spans="1:24" ht="15.6" x14ac:dyDescent="0.3">
      <c r="A294" s="216"/>
      <c r="B294" s="219"/>
      <c r="C294" s="219"/>
      <c r="D294" s="219"/>
      <c r="E294" s="219"/>
      <c r="F294" s="265"/>
      <c r="G294" s="219"/>
      <c r="H294" s="219"/>
      <c r="I294" s="219"/>
      <c r="J294" s="219"/>
      <c r="K294" s="227"/>
      <c r="L294" s="227"/>
      <c r="M294" s="227"/>
      <c r="N294" s="227"/>
      <c r="O294" s="227"/>
      <c r="P294" s="227"/>
      <c r="Q294" s="227"/>
      <c r="R294" s="227"/>
      <c r="S294" s="227"/>
      <c r="T294" s="227"/>
      <c r="U294" s="227"/>
      <c r="V294" s="227"/>
      <c r="W294" s="227"/>
      <c r="X294" s="5"/>
    </row>
    <row r="295" spans="1:24" ht="17.399999999999999" x14ac:dyDescent="0.3">
      <c r="A295" s="216"/>
      <c r="B295" s="400" t="s">
        <v>368</v>
      </c>
      <c r="C295" s="219"/>
      <c r="D295" s="219"/>
      <c r="E295" s="219"/>
      <c r="F295" s="219"/>
      <c r="G295" s="266"/>
      <c r="H295" s="227"/>
      <c r="I295" s="227"/>
      <c r="J295" s="227"/>
      <c r="K295" s="227"/>
      <c r="L295" s="187"/>
      <c r="M295" s="187"/>
      <c r="N295" s="401"/>
      <c r="O295" s="187"/>
      <c r="P295" s="401" t="s">
        <v>170</v>
      </c>
      <c r="Q295" s="227"/>
      <c r="R295" s="227"/>
      <c r="S295" s="227"/>
      <c r="T295" s="227"/>
      <c r="U295" s="227"/>
      <c r="V295" s="227"/>
      <c r="W295" s="227"/>
      <c r="X295" s="5"/>
    </row>
    <row r="296" spans="1:24" ht="15.6" x14ac:dyDescent="0.3">
      <c r="A296" s="216"/>
      <c r="B296" s="219"/>
      <c r="C296" s="219"/>
      <c r="D296" s="219"/>
      <c r="E296" s="219"/>
      <c r="F296" s="219"/>
      <c r="G296" s="266"/>
      <c r="H296" s="227"/>
      <c r="I296" s="227"/>
      <c r="J296" s="227"/>
      <c r="K296" s="227"/>
      <c r="L296" s="227"/>
      <c r="M296" s="227"/>
      <c r="N296" s="227"/>
      <c r="O296" s="227"/>
      <c r="P296" s="227"/>
      <c r="Q296" s="227"/>
      <c r="R296" s="227"/>
      <c r="S296" s="227"/>
      <c r="T296" s="227"/>
      <c r="U296" s="227"/>
      <c r="V296" s="227"/>
      <c r="W296" s="227"/>
      <c r="X296" s="5"/>
    </row>
    <row r="297" spans="1:24" ht="18" thickBot="1" x14ac:dyDescent="0.35">
      <c r="A297" s="216"/>
      <c r="B297" s="267" t="str">
        <f>B197</f>
        <v>PM13 INVESTOR REPORT QUARTER ENDING JUNE 2017</v>
      </c>
      <c r="C297" s="219"/>
      <c r="D297" s="219"/>
      <c r="E297" s="219"/>
      <c r="F297" s="219"/>
      <c r="G297" s="266"/>
      <c r="H297" s="227"/>
      <c r="I297" s="227"/>
      <c r="J297" s="227"/>
      <c r="K297" s="227"/>
      <c r="L297" s="227"/>
      <c r="M297" s="227"/>
      <c r="N297" s="227"/>
      <c r="O297" s="227"/>
      <c r="P297" s="227"/>
      <c r="Q297" s="227"/>
      <c r="R297" s="227"/>
      <c r="S297" s="227"/>
      <c r="T297" s="227"/>
      <c r="U297" s="227"/>
      <c r="V297" s="227"/>
      <c r="W297" s="227"/>
      <c r="X297" s="5"/>
    </row>
    <row r="298" spans="1:24" x14ac:dyDescent="0.25">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row>
  </sheetData>
  <hyperlinks>
    <hyperlink ref="P233" r:id="rId1" xr:uid="{00000000-0004-0000-2A00-000000000000}"/>
    <hyperlink ref="I9" r:id="rId2" xr:uid="{00000000-0004-0000-2A00-000001000000}"/>
    <hyperlink ref="P295" r:id="rId3" xr:uid="{00000000-0004-0000-2A00-000002000000}"/>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37" max="22" man="1"/>
    <brk id="197" max="22" man="1"/>
  </rowBreaks>
  <drawing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2D2926"/>
  </sheetPr>
  <dimension ref="A1:Z298"/>
  <sheetViews>
    <sheetView showGridLines="0" showOutlineSymbols="0" zoomScale="70" zoomScaleNormal="70" workbookViewId="0"/>
  </sheetViews>
  <sheetFormatPr defaultColWidth="9.81640625" defaultRowHeight="15.6" x14ac:dyDescent="0.3"/>
  <cols>
    <col min="1" max="1" width="4" style="407" customWidth="1"/>
    <col min="2" max="2" width="71.08984375" style="407" customWidth="1"/>
    <col min="3" max="3" width="2.08984375" style="407" customWidth="1"/>
    <col min="4" max="4" width="19.1796875" style="407" customWidth="1"/>
    <col min="5" max="5" width="2.08984375" style="407" customWidth="1"/>
    <col min="6" max="6" width="25.08984375" style="407" customWidth="1"/>
    <col min="7" max="7" width="2.08984375" style="407" customWidth="1"/>
    <col min="8" max="8" width="16.08984375" style="407" customWidth="1"/>
    <col min="9" max="9" width="2.81640625" style="407" customWidth="1"/>
    <col min="10" max="10" width="16.08984375" style="407" customWidth="1"/>
    <col min="11" max="11" width="2.08984375" style="407" customWidth="1"/>
    <col min="12" max="12" width="17.81640625" style="407" customWidth="1"/>
    <col min="13" max="13" width="2.1796875" style="407" customWidth="1"/>
    <col min="14" max="14" width="14.81640625" style="407" customWidth="1"/>
    <col min="15" max="15" width="2.1796875" style="407" customWidth="1"/>
    <col min="16" max="16" width="15.54296875" style="407" customWidth="1"/>
    <col min="17" max="17" width="2.08984375" style="407" customWidth="1"/>
    <col min="18" max="18" width="15.54296875" style="407" customWidth="1"/>
    <col min="19" max="20" width="12.81640625" style="407" customWidth="1"/>
    <col min="21" max="21" width="7.81640625" style="407" customWidth="1"/>
    <col min="22" max="22" width="14.81640625" style="407" customWidth="1"/>
    <col min="23" max="23" width="11.81640625" style="407" customWidth="1"/>
    <col min="24" max="16384" width="9.81640625" style="407"/>
  </cols>
  <sheetData>
    <row r="1" spans="1:24" ht="21" x14ac:dyDescent="0.4">
      <c r="A1" s="402"/>
      <c r="B1" s="403" t="s">
        <v>238</v>
      </c>
      <c r="C1" s="404"/>
      <c r="D1" s="404"/>
      <c r="E1" s="404"/>
      <c r="F1" s="404"/>
      <c r="G1" s="404"/>
      <c r="H1" s="404"/>
      <c r="I1" s="404"/>
      <c r="J1" s="404"/>
      <c r="K1" s="404"/>
      <c r="L1" s="404"/>
      <c r="M1" s="404"/>
      <c r="N1" s="404"/>
      <c r="O1" s="404"/>
      <c r="P1" s="404"/>
      <c r="Q1" s="404"/>
      <c r="R1" s="404"/>
      <c r="S1" s="404"/>
      <c r="T1" s="404"/>
      <c r="U1" s="404"/>
      <c r="V1" s="404"/>
      <c r="W1" s="405"/>
      <c r="X1" s="406"/>
    </row>
    <row r="2" spans="1:24" x14ac:dyDescent="0.3">
      <c r="A2" s="408"/>
      <c r="B2" s="409"/>
      <c r="C2" s="410"/>
      <c r="D2" s="410"/>
      <c r="E2" s="410"/>
      <c r="F2" s="410"/>
      <c r="G2" s="410"/>
      <c r="H2" s="410"/>
      <c r="I2" s="410"/>
      <c r="J2" s="410"/>
      <c r="K2" s="410"/>
      <c r="L2" s="410"/>
      <c r="M2" s="410"/>
      <c r="N2" s="410"/>
      <c r="O2" s="410"/>
      <c r="P2" s="410"/>
      <c r="Q2" s="410"/>
      <c r="R2" s="410"/>
      <c r="S2" s="410"/>
      <c r="T2" s="410"/>
      <c r="U2" s="410"/>
      <c r="V2" s="410"/>
      <c r="W2" s="411"/>
      <c r="X2" s="406"/>
    </row>
    <row r="3" spans="1:24" x14ac:dyDescent="0.3">
      <c r="A3" s="412"/>
      <c r="B3" s="413" t="s">
        <v>239</v>
      </c>
      <c r="C3" s="410"/>
      <c r="D3" s="410"/>
      <c r="E3" s="410"/>
      <c r="F3" s="410"/>
      <c r="G3" s="410"/>
      <c r="H3" s="410"/>
      <c r="I3" s="410"/>
      <c r="J3" s="410"/>
      <c r="K3" s="410"/>
      <c r="L3" s="410"/>
      <c r="M3" s="410"/>
      <c r="N3" s="410"/>
      <c r="O3" s="410"/>
      <c r="P3" s="410"/>
      <c r="Q3" s="410"/>
      <c r="R3" s="410"/>
      <c r="S3" s="410"/>
      <c r="T3" s="410"/>
      <c r="U3" s="410"/>
      <c r="V3" s="410"/>
      <c r="W3" s="411"/>
      <c r="X3" s="406"/>
    </row>
    <row r="4" spans="1:24" x14ac:dyDescent="0.3">
      <c r="A4" s="408"/>
      <c r="B4" s="409"/>
      <c r="C4" s="410"/>
      <c r="D4" s="410"/>
      <c r="E4" s="410"/>
      <c r="F4" s="410"/>
      <c r="G4" s="410"/>
      <c r="H4" s="410"/>
      <c r="I4" s="410"/>
      <c r="J4" s="410"/>
      <c r="K4" s="410"/>
      <c r="L4" s="410"/>
      <c r="M4" s="410"/>
      <c r="N4" s="410"/>
      <c r="O4" s="410"/>
      <c r="P4" s="410"/>
      <c r="Q4" s="410"/>
      <c r="R4" s="410"/>
      <c r="S4" s="410"/>
      <c r="T4" s="410"/>
      <c r="U4" s="410"/>
      <c r="V4" s="410"/>
      <c r="W4" s="411"/>
      <c r="X4" s="406"/>
    </row>
    <row r="5" spans="1:24" x14ac:dyDescent="0.3">
      <c r="A5" s="408"/>
      <c r="B5" s="414" t="s">
        <v>140</v>
      </c>
      <c r="C5" s="410"/>
      <c r="D5" s="410"/>
      <c r="E5" s="410"/>
      <c r="F5" s="410"/>
      <c r="G5" s="410"/>
      <c r="H5" s="410"/>
      <c r="I5" s="410"/>
      <c r="J5" s="410"/>
      <c r="K5" s="410"/>
      <c r="L5" s="410"/>
      <c r="M5" s="410"/>
      <c r="N5" s="410"/>
      <c r="O5" s="410"/>
      <c r="P5" s="410"/>
      <c r="Q5" s="410"/>
      <c r="R5" s="410"/>
      <c r="S5" s="410"/>
      <c r="T5" s="410"/>
      <c r="U5" s="410"/>
      <c r="V5" s="410"/>
      <c r="W5" s="411"/>
      <c r="X5" s="406"/>
    </row>
    <row r="6" spans="1:24" x14ac:dyDescent="0.3">
      <c r="A6" s="408"/>
      <c r="B6" s="414" t="s">
        <v>142</v>
      </c>
      <c r="C6" s="410"/>
      <c r="D6" s="410"/>
      <c r="E6" s="410"/>
      <c r="F6" s="410"/>
      <c r="G6" s="410"/>
      <c r="H6" s="410"/>
      <c r="I6" s="410"/>
      <c r="J6" s="410"/>
      <c r="K6" s="410"/>
      <c r="L6" s="410"/>
      <c r="M6" s="410"/>
      <c r="N6" s="410"/>
      <c r="O6" s="410"/>
      <c r="P6" s="410"/>
      <c r="Q6" s="410"/>
      <c r="R6" s="410"/>
      <c r="S6" s="410"/>
      <c r="T6" s="410"/>
      <c r="U6" s="410"/>
      <c r="V6" s="410"/>
      <c r="W6" s="411"/>
      <c r="X6" s="406"/>
    </row>
    <row r="7" spans="1:24" x14ac:dyDescent="0.3">
      <c r="A7" s="408"/>
      <c r="B7" s="414" t="s">
        <v>141</v>
      </c>
      <c r="C7" s="410"/>
      <c r="D7" s="410"/>
      <c r="E7" s="410"/>
      <c r="F7" s="410"/>
      <c r="G7" s="410"/>
      <c r="H7" s="410"/>
      <c r="I7" s="410"/>
      <c r="J7" s="410"/>
      <c r="K7" s="410"/>
      <c r="L7" s="410"/>
      <c r="M7" s="410"/>
      <c r="N7" s="410"/>
      <c r="O7" s="410"/>
      <c r="P7" s="410"/>
      <c r="Q7" s="410"/>
      <c r="R7" s="410"/>
      <c r="S7" s="410"/>
      <c r="T7" s="410"/>
      <c r="U7" s="410"/>
      <c r="V7" s="410"/>
      <c r="W7" s="411"/>
      <c r="X7" s="406"/>
    </row>
    <row r="8" spans="1:24" x14ac:dyDescent="0.3">
      <c r="A8" s="408"/>
      <c r="B8" s="415"/>
      <c r="C8" s="410"/>
      <c r="D8" s="410"/>
      <c r="E8" s="410"/>
      <c r="F8" s="410"/>
      <c r="G8" s="410"/>
      <c r="H8" s="410"/>
      <c r="I8" s="410"/>
      <c r="J8" s="410"/>
      <c r="K8" s="410"/>
      <c r="L8" s="410"/>
      <c r="M8" s="410"/>
      <c r="N8" s="410"/>
      <c r="O8" s="410"/>
      <c r="P8" s="410"/>
      <c r="Q8" s="410"/>
      <c r="R8" s="410"/>
      <c r="S8" s="410"/>
      <c r="T8" s="410"/>
      <c r="U8" s="410"/>
      <c r="V8" s="410"/>
      <c r="W8" s="411"/>
      <c r="X8" s="406"/>
    </row>
    <row r="9" spans="1:24" ht="18" x14ac:dyDescent="0.35">
      <c r="A9" s="408"/>
      <c r="B9" s="413" t="s">
        <v>169</v>
      </c>
      <c r="C9" s="410"/>
      <c r="D9" s="410"/>
      <c r="E9" s="410"/>
      <c r="F9" s="410"/>
      <c r="G9" s="410"/>
      <c r="H9" s="410"/>
      <c r="I9" s="416" t="s">
        <v>370</v>
      </c>
      <c r="J9" s="410"/>
      <c r="K9" s="410"/>
      <c r="L9" s="417"/>
      <c r="M9" s="410"/>
      <c r="N9" s="418"/>
      <c r="O9" s="410"/>
      <c r="P9" s="410"/>
      <c r="Q9" s="410"/>
      <c r="R9" s="410"/>
      <c r="S9" s="410"/>
      <c r="T9" s="410"/>
      <c r="U9" s="410"/>
      <c r="V9" s="410"/>
      <c r="W9" s="411"/>
      <c r="X9" s="406"/>
    </row>
    <row r="10" spans="1:24" x14ac:dyDescent="0.3">
      <c r="A10" s="408"/>
      <c r="B10" s="415"/>
      <c r="C10" s="419"/>
      <c r="D10" s="419"/>
      <c r="E10" s="419"/>
      <c r="F10" s="410"/>
      <c r="G10" s="410"/>
      <c r="H10" s="410"/>
      <c r="I10" s="410"/>
      <c r="J10" s="410"/>
      <c r="K10" s="410"/>
      <c r="L10" s="410"/>
      <c r="M10" s="410"/>
      <c r="N10" s="410"/>
      <c r="O10" s="410"/>
      <c r="P10" s="410"/>
      <c r="Q10" s="410"/>
      <c r="R10" s="410"/>
      <c r="S10" s="410"/>
      <c r="T10" s="410"/>
      <c r="U10" s="410"/>
      <c r="V10" s="410"/>
      <c r="W10" s="411"/>
      <c r="X10" s="406"/>
    </row>
    <row r="11" spans="1:24" x14ac:dyDescent="0.3">
      <c r="A11" s="408"/>
      <c r="B11" s="420" t="s">
        <v>0</v>
      </c>
      <c r="C11" s="410"/>
      <c r="D11" s="410"/>
      <c r="E11" s="410"/>
      <c r="F11" s="410"/>
      <c r="G11" s="410"/>
      <c r="H11" s="410"/>
      <c r="I11" s="410"/>
      <c r="J11" s="410"/>
      <c r="K11" s="410"/>
      <c r="L11" s="410"/>
      <c r="M11" s="410"/>
      <c r="N11" s="410"/>
      <c r="O11" s="410"/>
      <c r="P11" s="410"/>
      <c r="Q11" s="410"/>
      <c r="R11" s="410"/>
      <c r="S11" s="410"/>
      <c r="T11" s="410"/>
      <c r="U11" s="410"/>
      <c r="V11" s="410"/>
      <c r="W11" s="411"/>
      <c r="X11" s="406"/>
    </row>
    <row r="12" spans="1:24" ht="16.2" thickBot="1" x14ac:dyDescent="0.35">
      <c r="A12" s="408"/>
      <c r="B12" s="419"/>
      <c r="C12" s="410"/>
      <c r="D12" s="410"/>
      <c r="E12" s="410"/>
      <c r="F12" s="410"/>
      <c r="G12" s="410"/>
      <c r="H12" s="410"/>
      <c r="I12" s="410"/>
      <c r="J12" s="410"/>
      <c r="K12" s="410"/>
      <c r="L12" s="410"/>
      <c r="M12" s="410"/>
      <c r="N12" s="410"/>
      <c r="O12" s="410"/>
      <c r="P12" s="410"/>
      <c r="Q12" s="410"/>
      <c r="R12" s="410"/>
      <c r="S12" s="410"/>
      <c r="T12" s="410"/>
      <c r="U12" s="410"/>
      <c r="V12" s="410"/>
      <c r="W12" s="411"/>
      <c r="X12" s="406"/>
    </row>
    <row r="13" spans="1:24" x14ac:dyDescent="0.3">
      <c r="A13" s="402"/>
      <c r="B13" s="404"/>
      <c r="C13" s="404"/>
      <c r="D13" s="404"/>
      <c r="E13" s="404"/>
      <c r="F13" s="404"/>
      <c r="G13" s="404"/>
      <c r="H13" s="404"/>
      <c r="I13" s="404"/>
      <c r="J13" s="404"/>
      <c r="K13" s="404"/>
      <c r="L13" s="404"/>
      <c r="M13" s="404"/>
      <c r="N13" s="404"/>
      <c r="O13" s="404"/>
      <c r="P13" s="404"/>
      <c r="Q13" s="404"/>
      <c r="R13" s="404"/>
      <c r="S13" s="404"/>
      <c r="T13" s="404"/>
      <c r="U13" s="404"/>
      <c r="V13" s="404"/>
      <c r="W13" s="405"/>
      <c r="X13" s="406"/>
    </row>
    <row r="14" spans="1:24" s="426" customFormat="1" x14ac:dyDescent="0.3">
      <c r="A14" s="421"/>
      <c r="B14" s="420" t="s">
        <v>1</v>
      </c>
      <c r="C14" s="422"/>
      <c r="D14" s="422"/>
      <c r="E14" s="422"/>
      <c r="F14" s="422"/>
      <c r="G14" s="422"/>
      <c r="H14" s="422"/>
      <c r="I14" s="422"/>
      <c r="J14" s="422"/>
      <c r="K14" s="422"/>
      <c r="L14" s="422"/>
      <c r="M14" s="422"/>
      <c r="N14" s="422"/>
      <c r="O14" s="422"/>
      <c r="P14" s="422"/>
      <c r="Q14" s="422"/>
      <c r="R14" s="422"/>
      <c r="S14" s="422"/>
      <c r="T14" s="422"/>
      <c r="U14" s="422"/>
      <c r="V14" s="423" t="s">
        <v>240</v>
      </c>
      <c r="W14" s="424"/>
      <c r="X14" s="425"/>
    </row>
    <row r="15" spans="1:24" s="426" customFormat="1" x14ac:dyDescent="0.3">
      <c r="A15" s="421"/>
      <c r="B15" s="420" t="s">
        <v>2</v>
      </c>
      <c r="C15" s="422"/>
      <c r="D15" s="422"/>
      <c r="E15" s="422"/>
      <c r="F15" s="422"/>
      <c r="G15" s="422"/>
      <c r="H15" s="427"/>
      <c r="I15" s="427"/>
      <c r="J15" s="427"/>
      <c r="K15" s="427"/>
      <c r="L15" s="427"/>
      <c r="M15" s="427"/>
      <c r="N15" s="427"/>
      <c r="O15" s="427"/>
      <c r="P15" s="427"/>
      <c r="Q15" s="427"/>
      <c r="R15" s="427" t="s">
        <v>105</v>
      </c>
      <c r="S15" s="428">
        <v>0.57609999999999995</v>
      </c>
      <c r="T15" s="429" t="s">
        <v>143</v>
      </c>
      <c r="U15" s="428">
        <v>0.4239</v>
      </c>
      <c r="V15" s="423"/>
      <c r="W15" s="424"/>
      <c r="X15" s="425"/>
    </row>
    <row r="16" spans="1:24" s="426" customFormat="1" x14ac:dyDescent="0.3">
      <c r="A16" s="421"/>
      <c r="B16" s="420" t="s">
        <v>3</v>
      </c>
      <c r="C16" s="422"/>
      <c r="D16" s="422"/>
      <c r="E16" s="422"/>
      <c r="F16" s="422"/>
      <c r="G16" s="422"/>
      <c r="H16" s="427"/>
      <c r="I16" s="427"/>
      <c r="J16" s="427"/>
      <c r="K16" s="427"/>
      <c r="L16" s="427"/>
      <c r="M16" s="427"/>
      <c r="N16" s="427"/>
      <c r="O16" s="427"/>
      <c r="P16" s="427"/>
      <c r="Q16" s="427"/>
      <c r="R16" s="427" t="s">
        <v>105</v>
      </c>
      <c r="S16" s="428">
        <v>0.66720000000000002</v>
      </c>
      <c r="T16" s="429" t="s">
        <v>143</v>
      </c>
      <c r="U16" s="428">
        <v>0.33279999999999998</v>
      </c>
      <c r="V16" s="423"/>
      <c r="W16" s="424"/>
      <c r="X16" s="425"/>
    </row>
    <row r="17" spans="1:24" s="426" customFormat="1" x14ac:dyDescent="0.3">
      <c r="A17" s="421"/>
      <c r="B17" s="420" t="s">
        <v>4</v>
      </c>
      <c r="C17" s="422"/>
      <c r="D17" s="422"/>
      <c r="E17" s="422"/>
      <c r="F17" s="422"/>
      <c r="G17" s="422"/>
      <c r="H17" s="422"/>
      <c r="I17" s="422"/>
      <c r="J17" s="422"/>
      <c r="K17" s="422"/>
      <c r="L17" s="422"/>
      <c r="M17" s="422"/>
      <c r="N17" s="422"/>
      <c r="O17" s="422"/>
      <c r="P17" s="422"/>
      <c r="Q17" s="422"/>
      <c r="R17" s="422"/>
      <c r="S17" s="422"/>
      <c r="T17" s="422"/>
      <c r="U17" s="422"/>
      <c r="V17" s="430">
        <v>39016</v>
      </c>
      <c r="W17" s="424"/>
      <c r="X17" s="425"/>
    </row>
    <row r="18" spans="1:24" s="426" customFormat="1" x14ac:dyDescent="0.3">
      <c r="A18" s="421"/>
      <c r="B18" s="420" t="s">
        <v>5</v>
      </c>
      <c r="C18" s="422"/>
      <c r="D18" s="422"/>
      <c r="E18" s="422"/>
      <c r="F18" s="422"/>
      <c r="G18" s="422"/>
      <c r="H18" s="422"/>
      <c r="I18" s="422"/>
      <c r="J18" s="422"/>
      <c r="K18" s="422"/>
      <c r="L18" s="422"/>
      <c r="M18" s="422"/>
      <c r="N18" s="422"/>
      <c r="O18" s="422"/>
      <c r="P18" s="422"/>
      <c r="Q18" s="422"/>
      <c r="R18" s="422"/>
      <c r="S18" s="422"/>
      <c r="T18" s="422"/>
      <c r="U18" s="422"/>
      <c r="V18" s="430">
        <v>43025</v>
      </c>
      <c r="W18" s="424"/>
      <c r="X18" s="425"/>
    </row>
    <row r="19" spans="1:24" s="426" customFormat="1" x14ac:dyDescent="0.3">
      <c r="A19" s="421"/>
      <c r="B19" s="422"/>
      <c r="C19" s="422"/>
      <c r="D19" s="422"/>
      <c r="E19" s="422"/>
      <c r="F19" s="422"/>
      <c r="G19" s="422"/>
      <c r="H19" s="422"/>
      <c r="I19" s="422"/>
      <c r="J19" s="422"/>
      <c r="K19" s="422"/>
      <c r="L19" s="422"/>
      <c r="M19" s="422"/>
      <c r="N19" s="422"/>
      <c r="O19" s="422"/>
      <c r="P19" s="422"/>
      <c r="Q19" s="422"/>
      <c r="R19" s="422"/>
      <c r="S19" s="422"/>
      <c r="T19" s="422"/>
      <c r="U19" s="422"/>
      <c r="V19" s="431"/>
      <c r="W19" s="424"/>
      <c r="X19" s="425"/>
    </row>
    <row r="20" spans="1:24" s="426" customFormat="1" x14ac:dyDescent="0.3">
      <c r="A20" s="421"/>
      <c r="B20" s="432" t="s">
        <v>6</v>
      </c>
      <c r="C20" s="422"/>
      <c r="D20" s="422"/>
      <c r="E20" s="422"/>
      <c r="F20" s="422"/>
      <c r="G20" s="422"/>
      <c r="H20" s="422"/>
      <c r="I20" s="422"/>
      <c r="J20" s="422"/>
      <c r="K20" s="422"/>
      <c r="L20" s="422"/>
      <c r="M20" s="422"/>
      <c r="N20" s="422"/>
      <c r="O20" s="422"/>
      <c r="P20" s="422"/>
      <c r="Q20" s="422"/>
      <c r="R20" s="422"/>
      <c r="S20" s="422"/>
      <c r="T20" s="431" t="s">
        <v>106</v>
      </c>
      <c r="U20" s="422"/>
      <c r="V20" s="422"/>
      <c r="W20" s="424"/>
      <c r="X20" s="425"/>
    </row>
    <row r="21" spans="1:24" x14ac:dyDescent="0.3">
      <c r="A21" s="408"/>
      <c r="B21" s="410"/>
      <c r="C21" s="410"/>
      <c r="D21" s="410"/>
      <c r="E21" s="410"/>
      <c r="F21" s="410"/>
      <c r="G21" s="410"/>
      <c r="H21" s="410"/>
      <c r="I21" s="410"/>
      <c r="J21" s="410"/>
      <c r="K21" s="410"/>
      <c r="L21" s="410"/>
      <c r="M21" s="410"/>
      <c r="N21" s="410"/>
      <c r="O21" s="410"/>
      <c r="P21" s="410"/>
      <c r="Q21" s="410"/>
      <c r="R21" s="410"/>
      <c r="S21" s="410"/>
      <c r="T21" s="410"/>
      <c r="U21" s="410"/>
      <c r="V21" s="433"/>
      <c r="W21" s="411"/>
      <c r="X21" s="406"/>
    </row>
    <row r="22" spans="1:24" x14ac:dyDescent="0.3">
      <c r="A22" s="434"/>
      <c r="B22" s="435"/>
      <c r="C22" s="436"/>
      <c r="D22" s="436" t="s">
        <v>180</v>
      </c>
      <c r="E22" s="436"/>
      <c r="F22" s="436" t="s">
        <v>181</v>
      </c>
      <c r="G22" s="436"/>
      <c r="H22" s="436" t="s">
        <v>182</v>
      </c>
      <c r="I22" s="436"/>
      <c r="J22" s="436" t="s">
        <v>223</v>
      </c>
      <c r="K22" s="436"/>
      <c r="L22" s="436" t="s">
        <v>183</v>
      </c>
      <c r="M22" s="436"/>
      <c r="N22" s="436" t="s">
        <v>184</v>
      </c>
      <c r="O22" s="436"/>
      <c r="P22" s="436" t="s">
        <v>224</v>
      </c>
      <c r="Q22" s="436"/>
      <c r="R22" s="436" t="s">
        <v>185</v>
      </c>
      <c r="S22" s="437"/>
      <c r="T22" s="437"/>
      <c r="U22" s="435"/>
      <c r="V22" s="435"/>
      <c r="W22" s="438"/>
      <c r="X22" s="406"/>
    </row>
    <row r="23" spans="1:24" s="426" customFormat="1" x14ac:dyDescent="0.3">
      <c r="A23" s="439"/>
      <c r="B23" s="440" t="s">
        <v>7</v>
      </c>
      <c r="C23" s="441"/>
      <c r="D23" s="441" t="s">
        <v>216</v>
      </c>
      <c r="E23" s="441"/>
      <c r="F23" s="441" t="s">
        <v>144</v>
      </c>
      <c r="G23" s="441"/>
      <c r="H23" s="441" t="s">
        <v>144</v>
      </c>
      <c r="I23" s="441"/>
      <c r="J23" s="441" t="s">
        <v>144</v>
      </c>
      <c r="K23" s="441"/>
      <c r="L23" s="441" t="s">
        <v>186</v>
      </c>
      <c r="M23" s="441"/>
      <c r="N23" s="441" t="s">
        <v>186</v>
      </c>
      <c r="O23" s="441"/>
      <c r="P23" s="441" t="s">
        <v>145</v>
      </c>
      <c r="Q23" s="441"/>
      <c r="R23" s="441" t="s">
        <v>145</v>
      </c>
      <c r="S23" s="441"/>
      <c r="T23" s="441"/>
      <c r="U23" s="440"/>
      <c r="V23" s="440"/>
      <c r="W23" s="442"/>
      <c r="X23" s="425"/>
    </row>
    <row r="24" spans="1:24" s="426" customFormat="1" x14ac:dyDescent="0.3">
      <c r="A24" s="443"/>
      <c r="B24" s="444" t="s">
        <v>8</v>
      </c>
      <c r="C24" s="445"/>
      <c r="D24" s="445" t="s">
        <v>217</v>
      </c>
      <c r="E24" s="445"/>
      <c r="F24" s="445" t="s">
        <v>146</v>
      </c>
      <c r="G24" s="445"/>
      <c r="H24" s="445" t="s">
        <v>146</v>
      </c>
      <c r="I24" s="445"/>
      <c r="J24" s="445" t="s">
        <v>146</v>
      </c>
      <c r="K24" s="445"/>
      <c r="L24" s="445" t="s">
        <v>168</v>
      </c>
      <c r="M24" s="445"/>
      <c r="N24" s="445" t="s">
        <v>168</v>
      </c>
      <c r="O24" s="445"/>
      <c r="P24" s="445" t="s">
        <v>147</v>
      </c>
      <c r="Q24" s="445"/>
      <c r="R24" s="445" t="s">
        <v>147</v>
      </c>
      <c r="S24" s="445"/>
      <c r="T24" s="445"/>
      <c r="U24" s="444"/>
      <c r="V24" s="444"/>
      <c r="W24" s="446"/>
      <c r="X24" s="425"/>
    </row>
    <row r="25" spans="1:24" s="426" customFormat="1" x14ac:dyDescent="0.3">
      <c r="A25" s="447"/>
      <c r="B25" s="444" t="s">
        <v>193</v>
      </c>
      <c r="C25" s="448"/>
      <c r="D25" s="445" t="s">
        <v>218</v>
      </c>
      <c r="E25" s="445"/>
      <c r="F25" s="445" t="s">
        <v>146</v>
      </c>
      <c r="G25" s="445"/>
      <c r="H25" s="445" t="s">
        <v>146</v>
      </c>
      <c r="I25" s="445"/>
      <c r="J25" s="445" t="s">
        <v>146</v>
      </c>
      <c r="K25" s="445"/>
      <c r="L25" s="445" t="s">
        <v>168</v>
      </c>
      <c r="M25" s="445"/>
      <c r="N25" s="445" t="s">
        <v>168</v>
      </c>
      <c r="O25" s="445"/>
      <c r="P25" s="445" t="s">
        <v>147</v>
      </c>
      <c r="Q25" s="445"/>
      <c r="R25" s="445" t="s">
        <v>147</v>
      </c>
      <c r="S25" s="448"/>
      <c r="T25" s="445"/>
      <c r="U25" s="444"/>
      <c r="V25" s="444"/>
      <c r="W25" s="446"/>
      <c r="X25" s="425"/>
    </row>
    <row r="26" spans="1:24" s="426" customFormat="1" x14ac:dyDescent="0.3">
      <c r="A26" s="447"/>
      <c r="B26" s="449" t="s">
        <v>9</v>
      </c>
      <c r="C26" s="448"/>
      <c r="D26" s="448" t="s">
        <v>144</v>
      </c>
      <c r="E26" s="448"/>
      <c r="F26" s="448" t="s">
        <v>144</v>
      </c>
      <c r="G26" s="448"/>
      <c r="H26" s="448" t="s">
        <v>144</v>
      </c>
      <c r="I26" s="448"/>
      <c r="J26" s="448" t="s">
        <v>144</v>
      </c>
      <c r="K26" s="448"/>
      <c r="L26" s="448" t="s">
        <v>186</v>
      </c>
      <c r="M26" s="448"/>
      <c r="N26" s="448" t="s">
        <v>186</v>
      </c>
      <c r="O26" s="448"/>
      <c r="P26" s="448" t="s">
        <v>145</v>
      </c>
      <c r="Q26" s="448"/>
      <c r="R26" s="448" t="s">
        <v>145</v>
      </c>
      <c r="S26" s="448"/>
      <c r="T26" s="445"/>
      <c r="U26" s="444"/>
      <c r="V26" s="444"/>
      <c r="W26" s="446"/>
      <c r="X26" s="425"/>
    </row>
    <row r="27" spans="1:24" s="426" customFormat="1" x14ac:dyDescent="0.3">
      <c r="A27" s="443"/>
      <c r="B27" s="449" t="s">
        <v>194</v>
      </c>
      <c r="C27" s="445"/>
      <c r="D27" s="448" t="s">
        <v>168</v>
      </c>
      <c r="E27" s="448"/>
      <c r="F27" s="448" t="s">
        <v>168</v>
      </c>
      <c r="G27" s="448"/>
      <c r="H27" s="448" t="s">
        <v>168</v>
      </c>
      <c r="I27" s="448"/>
      <c r="J27" s="448" t="s">
        <v>168</v>
      </c>
      <c r="K27" s="448"/>
      <c r="L27" s="448" t="s">
        <v>360</v>
      </c>
      <c r="M27" s="448"/>
      <c r="N27" s="448" t="s">
        <v>360</v>
      </c>
      <c r="O27" s="448"/>
      <c r="P27" s="448" t="s">
        <v>147</v>
      </c>
      <c r="Q27" s="448"/>
      <c r="R27" s="448" t="s">
        <v>147</v>
      </c>
      <c r="S27" s="445"/>
      <c r="T27" s="450"/>
      <c r="U27" s="444"/>
      <c r="V27" s="444"/>
      <c r="W27" s="446"/>
      <c r="X27" s="425"/>
    </row>
    <row r="28" spans="1:24" s="426" customFormat="1" x14ac:dyDescent="0.3">
      <c r="A28" s="443"/>
      <c r="B28" s="449" t="s">
        <v>195</v>
      </c>
      <c r="C28" s="445"/>
      <c r="D28" s="448" t="s">
        <v>146</v>
      </c>
      <c r="E28" s="448"/>
      <c r="F28" s="448" t="s">
        <v>146</v>
      </c>
      <c r="G28" s="448"/>
      <c r="H28" s="448" t="s">
        <v>146</v>
      </c>
      <c r="I28" s="448"/>
      <c r="J28" s="448" t="s">
        <v>146</v>
      </c>
      <c r="K28" s="448"/>
      <c r="L28" s="448" t="s">
        <v>146</v>
      </c>
      <c r="M28" s="448"/>
      <c r="N28" s="448" t="s">
        <v>146</v>
      </c>
      <c r="O28" s="448"/>
      <c r="P28" s="448" t="s">
        <v>147</v>
      </c>
      <c r="Q28" s="448"/>
      <c r="R28" s="448" t="s">
        <v>147</v>
      </c>
      <c r="S28" s="445"/>
      <c r="T28" s="450"/>
      <c r="U28" s="444"/>
      <c r="V28" s="444"/>
      <c r="W28" s="446"/>
      <c r="X28" s="425"/>
    </row>
    <row r="29" spans="1:24" s="426" customFormat="1" x14ac:dyDescent="0.3">
      <c r="A29" s="443"/>
      <c r="B29" s="444" t="s">
        <v>10</v>
      </c>
      <c r="C29" s="451"/>
      <c r="D29" s="445" t="s">
        <v>348</v>
      </c>
      <c r="E29" s="445"/>
      <c r="F29" s="450" t="s">
        <v>242</v>
      </c>
      <c r="G29" s="445"/>
      <c r="H29" s="445" t="s">
        <v>243</v>
      </c>
      <c r="I29" s="445"/>
      <c r="J29" s="445" t="s">
        <v>245</v>
      </c>
      <c r="K29" s="445"/>
      <c r="L29" s="445" t="s">
        <v>246</v>
      </c>
      <c r="M29" s="445"/>
      <c r="N29" s="445" t="s">
        <v>247</v>
      </c>
      <c r="O29" s="445"/>
      <c r="P29" s="445" t="s">
        <v>248</v>
      </c>
      <c r="Q29" s="445"/>
      <c r="R29" s="445" t="s">
        <v>249</v>
      </c>
      <c r="S29" s="452"/>
      <c r="T29" s="452"/>
      <c r="U29" s="451"/>
      <c r="V29" s="452"/>
      <c r="W29" s="453"/>
      <c r="X29" s="425"/>
    </row>
    <row r="30" spans="1:24" s="426" customFormat="1" x14ac:dyDescent="0.3">
      <c r="A30" s="443"/>
      <c r="B30" s="444" t="s">
        <v>10</v>
      </c>
      <c r="C30" s="451"/>
      <c r="D30" s="445" t="s">
        <v>241</v>
      </c>
      <c r="E30" s="445"/>
      <c r="F30" s="450" t="s">
        <v>121</v>
      </c>
      <c r="G30" s="445"/>
      <c r="H30" s="445" t="s">
        <v>121</v>
      </c>
      <c r="I30" s="445"/>
      <c r="J30" s="445" t="s">
        <v>244</v>
      </c>
      <c r="K30" s="445"/>
      <c r="L30" s="445" t="s">
        <v>121</v>
      </c>
      <c r="M30" s="445"/>
      <c r="N30" s="445" t="s">
        <v>121</v>
      </c>
      <c r="O30" s="445"/>
      <c r="P30" s="445" t="s">
        <v>121</v>
      </c>
      <c r="Q30" s="445"/>
      <c r="R30" s="445" t="s">
        <v>121</v>
      </c>
      <c r="S30" s="452"/>
      <c r="T30" s="452"/>
      <c r="U30" s="451"/>
      <c r="V30" s="452"/>
      <c r="W30" s="453"/>
      <c r="X30" s="425"/>
    </row>
    <row r="31" spans="1:24" s="426" customFormat="1" x14ac:dyDescent="0.3">
      <c r="A31" s="447"/>
      <c r="B31" s="444" t="s">
        <v>136</v>
      </c>
      <c r="C31" s="454"/>
      <c r="D31" s="455">
        <v>1500000</v>
      </c>
      <c r="E31" s="451"/>
      <c r="F31" s="452">
        <v>125000</v>
      </c>
      <c r="G31" s="452"/>
      <c r="H31" s="456">
        <v>315000</v>
      </c>
      <c r="I31" s="456"/>
      <c r="J31" s="455">
        <v>350000</v>
      </c>
      <c r="K31" s="452"/>
      <c r="L31" s="452">
        <v>56000</v>
      </c>
      <c r="M31" s="452"/>
      <c r="N31" s="456">
        <v>84000</v>
      </c>
      <c r="O31" s="452"/>
      <c r="P31" s="452">
        <v>13000</v>
      </c>
      <c r="Q31" s="452"/>
      <c r="R31" s="456">
        <v>81000</v>
      </c>
      <c r="S31" s="457"/>
      <c r="T31" s="457"/>
      <c r="U31" s="454"/>
      <c r="V31" s="457"/>
      <c r="W31" s="453"/>
      <c r="X31" s="425"/>
    </row>
    <row r="32" spans="1:24" s="426" customFormat="1" x14ac:dyDescent="0.3">
      <c r="A32" s="443"/>
      <c r="B32" s="444" t="s">
        <v>135</v>
      </c>
      <c r="C32" s="451"/>
      <c r="D32" s="458">
        <f>D34*D38</f>
        <v>374927.23364799999</v>
      </c>
      <c r="E32" s="451"/>
      <c r="F32" s="452">
        <f>F31*F38</f>
        <v>58738.875</v>
      </c>
      <c r="G32" s="452"/>
      <c r="H32" s="456">
        <f>H31*H38</f>
        <v>148021.965</v>
      </c>
      <c r="I32" s="456"/>
      <c r="J32" s="455">
        <f>J31*J38</f>
        <v>164468.01</v>
      </c>
      <c r="K32" s="452"/>
      <c r="L32" s="452">
        <f>L31*L38</f>
        <v>56000</v>
      </c>
      <c r="M32" s="452"/>
      <c r="N32" s="456">
        <f>N31*N38</f>
        <v>84000</v>
      </c>
      <c r="O32" s="452"/>
      <c r="P32" s="452">
        <f>P31*P38</f>
        <v>13000</v>
      </c>
      <c r="Q32" s="452"/>
      <c r="R32" s="456">
        <f>R31*R38</f>
        <v>81000</v>
      </c>
      <c r="S32" s="452"/>
      <c r="T32" s="452"/>
      <c r="U32" s="451"/>
      <c r="V32" s="452"/>
      <c r="W32" s="453"/>
      <c r="X32" s="425"/>
    </row>
    <row r="33" spans="1:24" s="426" customFormat="1" x14ac:dyDescent="0.3">
      <c r="A33" s="443"/>
      <c r="B33" s="449" t="s">
        <v>137</v>
      </c>
      <c r="C33" s="451"/>
      <c r="D33" s="459">
        <f>D34*D37</f>
        <v>369373.64559199999</v>
      </c>
      <c r="E33" s="454"/>
      <c r="F33" s="457">
        <f>F37*F31</f>
        <v>57868.799999999996</v>
      </c>
      <c r="G33" s="457"/>
      <c r="H33" s="460">
        <f>H31*H37</f>
        <v>145829.37599999999</v>
      </c>
      <c r="I33" s="460"/>
      <c r="J33" s="461">
        <f>J37*J31</f>
        <v>162031.80000000002</v>
      </c>
      <c r="K33" s="457"/>
      <c r="L33" s="457">
        <f>L31*L37</f>
        <v>56000</v>
      </c>
      <c r="M33" s="457"/>
      <c r="N33" s="460">
        <f>N31*N37</f>
        <v>84000</v>
      </c>
      <c r="O33" s="457"/>
      <c r="P33" s="457">
        <f>P31*P37</f>
        <v>13000</v>
      </c>
      <c r="Q33" s="457"/>
      <c r="R33" s="460">
        <f>R31*R37</f>
        <v>81000</v>
      </c>
      <c r="S33" s="452"/>
      <c r="T33" s="452"/>
      <c r="U33" s="451"/>
      <c r="V33" s="452"/>
      <c r="W33" s="453"/>
      <c r="X33" s="425"/>
    </row>
    <row r="34" spans="1:24" s="426" customFormat="1" x14ac:dyDescent="0.3">
      <c r="A34" s="447"/>
      <c r="B34" s="444" t="s">
        <v>298</v>
      </c>
      <c r="C34" s="454"/>
      <c r="D34" s="452">
        <v>797872</v>
      </c>
      <c r="E34" s="451"/>
      <c r="F34" s="452">
        <v>125000</v>
      </c>
      <c r="G34" s="452"/>
      <c r="H34" s="452">
        <v>211409</v>
      </c>
      <c r="I34" s="452"/>
      <c r="J34" s="452">
        <v>186170</v>
      </c>
      <c r="K34" s="452"/>
      <c r="L34" s="452">
        <v>56000</v>
      </c>
      <c r="M34" s="452"/>
      <c r="N34" s="452">
        <v>56376</v>
      </c>
      <c r="O34" s="452"/>
      <c r="P34" s="452">
        <v>13000</v>
      </c>
      <c r="Q34" s="452"/>
      <c r="R34" s="452">
        <v>54363</v>
      </c>
      <c r="S34" s="457"/>
      <c r="T34" s="457"/>
      <c r="U34" s="454"/>
      <c r="V34" s="452">
        <f>SUM(C34:R34)</f>
        <v>1500190</v>
      </c>
      <c r="W34" s="453"/>
      <c r="X34" s="425"/>
    </row>
    <row r="35" spans="1:24" s="426" customFormat="1" x14ac:dyDescent="0.3">
      <c r="A35" s="447"/>
      <c r="B35" s="444" t="s">
        <v>299</v>
      </c>
      <c r="C35" s="454"/>
      <c r="D35" s="452">
        <f>D34*D38</f>
        <v>374927.23364799999</v>
      </c>
      <c r="E35" s="451"/>
      <c r="F35" s="452">
        <f>F34*F38</f>
        <v>58738.875</v>
      </c>
      <c r="G35" s="452"/>
      <c r="H35" s="452">
        <f>H34*H38</f>
        <v>99343.414599000011</v>
      </c>
      <c r="I35" s="452"/>
      <c r="J35" s="452">
        <f>J34*J38</f>
        <v>87482.884061999997</v>
      </c>
      <c r="K35" s="452"/>
      <c r="L35" s="452">
        <f>L34*L38</f>
        <v>56000</v>
      </c>
      <c r="M35" s="452"/>
      <c r="N35" s="452">
        <f>N34*N38</f>
        <v>56376</v>
      </c>
      <c r="O35" s="452"/>
      <c r="P35" s="452">
        <f>P34*P38</f>
        <v>13000</v>
      </c>
      <c r="Q35" s="452"/>
      <c r="R35" s="452">
        <f>R34*R38</f>
        <v>54363</v>
      </c>
      <c r="S35" s="452"/>
      <c r="T35" s="452"/>
      <c r="U35" s="451"/>
      <c r="V35" s="452">
        <f>SUM(C35:R35)+1</f>
        <v>800232.40730900003</v>
      </c>
      <c r="W35" s="453"/>
      <c r="X35" s="425"/>
    </row>
    <row r="36" spans="1:24" s="426" customFormat="1" x14ac:dyDescent="0.3">
      <c r="A36" s="447"/>
      <c r="B36" s="449" t="s">
        <v>304</v>
      </c>
      <c r="C36" s="454"/>
      <c r="D36" s="457">
        <f>D34*D37</f>
        <v>369373.64559199999</v>
      </c>
      <c r="E36" s="454"/>
      <c r="F36" s="457">
        <f>F34*F37</f>
        <v>57868.799999999996</v>
      </c>
      <c r="G36" s="457"/>
      <c r="H36" s="457">
        <f>H34*H37</f>
        <v>97871.8811136</v>
      </c>
      <c r="I36" s="457"/>
      <c r="J36" s="457">
        <f>J34*J37</f>
        <v>86187.029160000006</v>
      </c>
      <c r="K36" s="457"/>
      <c r="L36" s="457">
        <v>56000</v>
      </c>
      <c r="M36" s="457"/>
      <c r="N36" s="457">
        <v>56376</v>
      </c>
      <c r="O36" s="457"/>
      <c r="P36" s="457">
        <v>13000</v>
      </c>
      <c r="Q36" s="457"/>
      <c r="R36" s="457">
        <v>54363</v>
      </c>
      <c r="S36" s="462"/>
      <c r="T36" s="462"/>
      <c r="U36" s="451"/>
      <c r="V36" s="457">
        <f>SUM(C36:R36)+1</f>
        <v>791041.35586560005</v>
      </c>
      <c r="W36" s="453"/>
      <c r="X36" s="425"/>
    </row>
    <row r="37" spans="1:24" s="473" customFormat="1" x14ac:dyDescent="0.3">
      <c r="A37" s="463"/>
      <c r="B37" s="464" t="s">
        <v>133</v>
      </c>
      <c r="C37" s="465"/>
      <c r="D37" s="466">
        <v>0.46294849999999999</v>
      </c>
      <c r="E37" s="467"/>
      <c r="F37" s="466">
        <v>0.46295039999999998</v>
      </c>
      <c r="G37" s="468"/>
      <c r="H37" s="466">
        <v>0.46295039999999998</v>
      </c>
      <c r="I37" s="468"/>
      <c r="J37" s="466">
        <v>0.46294800000000003</v>
      </c>
      <c r="K37" s="468"/>
      <c r="L37" s="466">
        <v>1</v>
      </c>
      <c r="M37" s="468"/>
      <c r="N37" s="466">
        <v>1</v>
      </c>
      <c r="O37" s="468"/>
      <c r="P37" s="466">
        <v>1</v>
      </c>
      <c r="Q37" s="468"/>
      <c r="R37" s="466">
        <v>1</v>
      </c>
      <c r="S37" s="469"/>
      <c r="T37" s="469"/>
      <c r="U37" s="470"/>
      <c r="V37" s="470"/>
      <c r="W37" s="471"/>
      <c r="X37" s="472"/>
    </row>
    <row r="38" spans="1:24" s="473" customFormat="1" x14ac:dyDescent="0.3">
      <c r="A38" s="463"/>
      <c r="B38" s="465" t="s">
        <v>134</v>
      </c>
      <c r="C38" s="465"/>
      <c r="D38" s="474">
        <v>0.46990900000000002</v>
      </c>
      <c r="E38" s="475"/>
      <c r="F38" s="474">
        <v>0.46991100000000002</v>
      </c>
      <c r="G38" s="476"/>
      <c r="H38" s="474">
        <v>0.46991100000000002</v>
      </c>
      <c r="I38" s="476"/>
      <c r="J38" s="474">
        <v>0.46990860000000001</v>
      </c>
      <c r="K38" s="476"/>
      <c r="L38" s="474">
        <v>1</v>
      </c>
      <c r="M38" s="476"/>
      <c r="N38" s="474">
        <v>1</v>
      </c>
      <c r="O38" s="476"/>
      <c r="P38" s="474">
        <v>1</v>
      </c>
      <c r="Q38" s="476"/>
      <c r="R38" s="474">
        <v>1</v>
      </c>
      <c r="S38" s="477"/>
      <c r="T38" s="478"/>
      <c r="U38" s="470"/>
      <c r="V38" s="477"/>
      <c r="W38" s="471"/>
      <c r="X38" s="472"/>
    </row>
    <row r="39" spans="1:24" s="426" customFormat="1" x14ac:dyDescent="0.3">
      <c r="A39" s="443"/>
      <c r="B39" s="444" t="s">
        <v>11</v>
      </c>
      <c r="C39" s="444"/>
      <c r="D39" s="450" t="s">
        <v>226</v>
      </c>
      <c r="E39" s="444"/>
      <c r="F39" s="450" t="s">
        <v>226</v>
      </c>
      <c r="G39" s="450"/>
      <c r="H39" s="450" t="s">
        <v>226</v>
      </c>
      <c r="I39" s="450"/>
      <c r="J39" s="450" t="s">
        <v>256</v>
      </c>
      <c r="K39" s="450"/>
      <c r="L39" s="450" t="s">
        <v>254</v>
      </c>
      <c r="M39" s="450"/>
      <c r="N39" s="450" t="s">
        <v>257</v>
      </c>
      <c r="O39" s="450"/>
      <c r="P39" s="450" t="s">
        <v>258</v>
      </c>
      <c r="Q39" s="450"/>
      <c r="R39" s="450" t="s">
        <v>259</v>
      </c>
      <c r="S39" s="479"/>
      <c r="T39" s="480"/>
      <c r="U39" s="444"/>
      <c r="V39" s="444"/>
      <c r="W39" s="446"/>
      <c r="X39" s="425"/>
    </row>
    <row r="40" spans="1:24" s="426" customFormat="1" x14ac:dyDescent="0.3">
      <c r="A40" s="443"/>
      <c r="B40" s="444" t="s">
        <v>12</v>
      </c>
      <c r="C40" s="444"/>
      <c r="D40" s="480">
        <v>5.3468999999999999E-3</v>
      </c>
      <c r="E40" s="444"/>
      <c r="F40" s="480">
        <v>5.3468999999999999E-3</v>
      </c>
      <c r="G40" s="479"/>
      <c r="H40" s="480">
        <v>0</v>
      </c>
      <c r="I40" s="480"/>
      <c r="J40" s="480">
        <v>1.48361E-2</v>
      </c>
      <c r="K40" s="479"/>
      <c r="L40" s="480">
        <v>6.9468999999999998E-3</v>
      </c>
      <c r="M40" s="479"/>
      <c r="N40" s="480">
        <v>4.8999999999999998E-4</v>
      </c>
      <c r="O40" s="479"/>
      <c r="P40" s="480">
        <v>1.0946900000000001E-2</v>
      </c>
      <c r="Q40" s="479"/>
      <c r="R40" s="480">
        <v>4.4900000000000001E-3</v>
      </c>
      <c r="S40" s="479"/>
      <c r="T40" s="480"/>
      <c r="U40" s="444"/>
      <c r="V40" s="450"/>
      <c r="W40" s="446"/>
      <c r="X40" s="425"/>
    </row>
    <row r="41" spans="1:24" s="426" customFormat="1" x14ac:dyDescent="0.3">
      <c r="A41" s="443"/>
      <c r="B41" s="444" t="s">
        <v>13</v>
      </c>
      <c r="C41" s="444"/>
      <c r="D41" s="480">
        <v>5.7555999999999996E-3</v>
      </c>
      <c r="E41" s="444"/>
      <c r="F41" s="480">
        <v>5.7555999999999996E-3</v>
      </c>
      <c r="G41" s="479"/>
      <c r="H41" s="480">
        <v>0</v>
      </c>
      <c r="I41" s="480"/>
      <c r="J41" s="480">
        <v>1.3384399999999999E-2</v>
      </c>
      <c r="K41" s="479"/>
      <c r="L41" s="480">
        <v>7.3556000000000003E-3</v>
      </c>
      <c r="M41" s="479"/>
      <c r="N41" s="480">
        <v>4.8000000000000001E-4</v>
      </c>
      <c r="O41" s="479"/>
      <c r="P41" s="480">
        <v>1.13556E-2</v>
      </c>
      <c r="Q41" s="479"/>
      <c r="R41" s="480">
        <v>4.4799999999999996E-3</v>
      </c>
      <c r="S41" s="479"/>
      <c r="T41" s="480"/>
      <c r="U41" s="444"/>
      <c r="V41" s="479" t="s">
        <v>196</v>
      </c>
      <c r="W41" s="446"/>
      <c r="X41" s="425"/>
    </row>
    <row r="42" spans="1:24" s="426" customFormat="1" x14ac:dyDescent="0.3">
      <c r="A42" s="443"/>
      <c r="B42" s="444" t="s">
        <v>300</v>
      </c>
      <c r="C42" s="444"/>
      <c r="D42" s="450" t="s">
        <v>226</v>
      </c>
      <c r="E42" s="444"/>
      <c r="F42" s="450" t="s">
        <v>226</v>
      </c>
      <c r="G42" s="450"/>
      <c r="H42" s="450" t="s">
        <v>227</v>
      </c>
      <c r="I42" s="450"/>
      <c r="J42" s="450" t="s">
        <v>237</v>
      </c>
      <c r="K42" s="450"/>
      <c r="L42" s="450" t="s">
        <v>254</v>
      </c>
      <c r="M42" s="450"/>
      <c r="N42" s="450" t="s">
        <v>260</v>
      </c>
      <c r="O42" s="450"/>
      <c r="P42" s="450" t="s">
        <v>258</v>
      </c>
      <c r="Q42" s="450"/>
      <c r="R42" s="450" t="s">
        <v>261</v>
      </c>
      <c r="S42" s="479"/>
      <c r="T42" s="480"/>
      <c r="U42" s="444"/>
      <c r="V42" s="444"/>
      <c r="W42" s="446"/>
      <c r="X42" s="425"/>
    </row>
    <row r="43" spans="1:24" s="426" customFormat="1" x14ac:dyDescent="0.3">
      <c r="A43" s="443"/>
      <c r="B43" s="444" t="s">
        <v>301</v>
      </c>
      <c r="C43" s="481"/>
      <c r="D43" s="480">
        <f>+D40</f>
        <v>5.3468999999999999E-3</v>
      </c>
      <c r="E43" s="480"/>
      <c r="F43" s="480">
        <f>+F40</f>
        <v>5.3468999999999999E-3</v>
      </c>
      <c r="G43" s="480"/>
      <c r="H43" s="480">
        <v>5.5909000000000002E-3</v>
      </c>
      <c r="I43" s="480"/>
      <c r="J43" s="480">
        <v>5.4269000000000001E-3</v>
      </c>
      <c r="K43" s="480"/>
      <c r="L43" s="480">
        <f>+L40</f>
        <v>6.9468999999999998E-3</v>
      </c>
      <c r="M43" s="480"/>
      <c r="N43" s="480">
        <v>7.1269000000000002E-3</v>
      </c>
      <c r="O43" s="480"/>
      <c r="P43" s="480">
        <f>+P40</f>
        <v>1.0946900000000001E-2</v>
      </c>
      <c r="Q43" s="479"/>
      <c r="R43" s="480">
        <v>1.13469E-2</v>
      </c>
      <c r="S43" s="450"/>
      <c r="T43" s="450"/>
      <c r="U43" s="444"/>
      <c r="V43" s="479">
        <f>SUMPRODUCT(D43:R43,D35:R35)/V35</f>
        <v>6.1218753088263123E-3</v>
      </c>
      <c r="W43" s="446"/>
      <c r="X43" s="425"/>
    </row>
    <row r="44" spans="1:24" s="426" customFormat="1" x14ac:dyDescent="0.3">
      <c r="A44" s="443"/>
      <c r="B44" s="444" t="s">
        <v>302</v>
      </c>
      <c r="C44" s="481"/>
      <c r="D44" s="480">
        <f>+D41</f>
        <v>5.7555999999999996E-3</v>
      </c>
      <c r="E44" s="480"/>
      <c r="F44" s="480">
        <f>+F41</f>
        <v>5.7555999999999996E-3</v>
      </c>
      <c r="G44" s="480"/>
      <c r="H44" s="480">
        <v>5.9995999999999999E-3</v>
      </c>
      <c r="I44" s="480"/>
      <c r="J44" s="480">
        <v>5.8355999999999998E-3</v>
      </c>
      <c r="K44" s="480"/>
      <c r="L44" s="480">
        <f>+L41</f>
        <v>7.3556000000000003E-3</v>
      </c>
      <c r="M44" s="480"/>
      <c r="N44" s="480">
        <v>7.5355999999999999E-3</v>
      </c>
      <c r="O44" s="480"/>
      <c r="P44" s="480">
        <f>+P41</f>
        <v>1.13556E-2</v>
      </c>
      <c r="Q44" s="479"/>
      <c r="R44" s="480">
        <v>1.17556E-2</v>
      </c>
      <c r="S44" s="450"/>
      <c r="T44" s="450"/>
      <c r="U44" s="444"/>
      <c r="V44" s="444"/>
      <c r="W44" s="446"/>
      <c r="X44" s="425"/>
    </row>
    <row r="45" spans="1:24" s="426" customFormat="1" x14ac:dyDescent="0.3">
      <c r="A45" s="443"/>
      <c r="B45" s="444" t="s">
        <v>14</v>
      </c>
      <c r="C45" s="444"/>
      <c r="D45" s="481">
        <v>40466</v>
      </c>
      <c r="E45" s="481"/>
      <c r="F45" s="481">
        <v>40466</v>
      </c>
      <c r="G45" s="481"/>
      <c r="H45" s="481">
        <v>40466</v>
      </c>
      <c r="I45" s="481"/>
      <c r="J45" s="481">
        <v>40466</v>
      </c>
      <c r="K45" s="481"/>
      <c r="L45" s="481">
        <v>40466</v>
      </c>
      <c r="M45" s="481"/>
      <c r="N45" s="481">
        <v>40466</v>
      </c>
      <c r="O45" s="481"/>
      <c r="P45" s="481">
        <v>40466</v>
      </c>
      <c r="Q45" s="481"/>
      <c r="R45" s="481">
        <v>40466</v>
      </c>
      <c r="S45" s="450"/>
      <c r="T45" s="450"/>
      <c r="U45" s="444"/>
      <c r="V45" s="444"/>
      <c r="W45" s="446"/>
      <c r="X45" s="425"/>
    </row>
    <row r="46" spans="1:24" s="426" customFormat="1" x14ac:dyDescent="0.3">
      <c r="A46" s="443"/>
      <c r="B46" s="444" t="s">
        <v>15</v>
      </c>
      <c r="C46" s="444"/>
      <c r="D46" s="481">
        <v>41105</v>
      </c>
      <c r="E46" s="481"/>
      <c r="F46" s="481">
        <v>40831</v>
      </c>
      <c r="G46" s="481"/>
      <c r="H46" s="481">
        <v>40831</v>
      </c>
      <c r="I46" s="481"/>
      <c r="J46" s="481">
        <v>40831</v>
      </c>
      <c r="K46" s="450"/>
      <c r="L46" s="481">
        <v>40831</v>
      </c>
      <c r="M46" s="450"/>
      <c r="N46" s="481">
        <v>40831</v>
      </c>
      <c r="O46" s="450"/>
      <c r="P46" s="481">
        <v>40831</v>
      </c>
      <c r="Q46" s="450"/>
      <c r="R46" s="481">
        <v>40831</v>
      </c>
      <c r="S46" s="450"/>
      <c r="T46" s="450"/>
      <c r="U46" s="444"/>
      <c r="V46" s="444"/>
      <c r="W46" s="446"/>
      <c r="X46" s="425"/>
    </row>
    <row r="47" spans="1:24" s="426" customFormat="1" x14ac:dyDescent="0.3">
      <c r="A47" s="443"/>
      <c r="B47" s="444" t="s">
        <v>122</v>
      </c>
      <c r="C47" s="444"/>
      <c r="D47" s="450" t="s">
        <v>226</v>
      </c>
      <c r="E47" s="444"/>
      <c r="F47" s="450" t="s">
        <v>226</v>
      </c>
      <c r="G47" s="450"/>
      <c r="H47" s="450" t="s">
        <v>226</v>
      </c>
      <c r="I47" s="450"/>
      <c r="J47" s="450" t="s">
        <v>256</v>
      </c>
      <c r="K47" s="450"/>
      <c r="L47" s="450" t="s">
        <v>254</v>
      </c>
      <c r="M47" s="450"/>
      <c r="N47" s="450" t="s">
        <v>257</v>
      </c>
      <c r="O47" s="450"/>
      <c r="P47" s="450" t="s">
        <v>258</v>
      </c>
      <c r="Q47" s="450"/>
      <c r="R47" s="450" t="s">
        <v>259</v>
      </c>
      <c r="S47" s="482"/>
      <c r="T47" s="482"/>
      <c r="U47" s="482"/>
      <c r="V47" s="482"/>
      <c r="W47" s="446"/>
      <c r="X47" s="425"/>
    </row>
    <row r="48" spans="1:24" s="426" customFormat="1" x14ac:dyDescent="0.3">
      <c r="A48" s="443"/>
      <c r="B48" s="444" t="s">
        <v>303</v>
      </c>
      <c r="C48" s="444"/>
      <c r="D48" s="450" t="s">
        <v>226</v>
      </c>
      <c r="E48" s="444"/>
      <c r="F48" s="450" t="s">
        <v>226</v>
      </c>
      <c r="G48" s="450"/>
      <c r="H48" s="450" t="s">
        <v>227</v>
      </c>
      <c r="I48" s="450"/>
      <c r="J48" s="450" t="s">
        <v>237</v>
      </c>
      <c r="K48" s="450"/>
      <c r="L48" s="450" t="s">
        <v>254</v>
      </c>
      <c r="M48" s="450"/>
      <c r="N48" s="450" t="s">
        <v>260</v>
      </c>
      <c r="O48" s="450"/>
      <c r="P48" s="450" t="s">
        <v>258</v>
      </c>
      <c r="Q48" s="450"/>
      <c r="R48" s="450" t="s">
        <v>261</v>
      </c>
      <c r="S48" s="444"/>
      <c r="T48" s="444"/>
      <c r="U48" s="444"/>
      <c r="V48" s="479"/>
      <c r="W48" s="446"/>
      <c r="X48" s="425"/>
    </row>
    <row r="49" spans="1:25" s="426" customFormat="1" x14ac:dyDescent="0.3">
      <c r="A49" s="443"/>
      <c r="B49" s="444"/>
      <c r="C49" s="444"/>
      <c r="D49" s="450"/>
      <c r="E49" s="444"/>
      <c r="F49" s="450"/>
      <c r="G49" s="450"/>
      <c r="H49" s="450"/>
      <c r="I49" s="450"/>
      <c r="J49" s="450"/>
      <c r="K49" s="450"/>
      <c r="L49" s="450"/>
      <c r="M49" s="450"/>
      <c r="N49" s="450"/>
      <c r="O49" s="450"/>
      <c r="P49" s="450"/>
      <c r="Q49" s="450"/>
      <c r="R49" s="450"/>
      <c r="S49" s="444"/>
      <c r="T49" s="444"/>
      <c r="U49" s="444"/>
      <c r="V49" s="479" t="s">
        <v>196</v>
      </c>
      <c r="W49" s="446"/>
      <c r="X49" s="425"/>
    </row>
    <row r="50" spans="1:25" s="426" customFormat="1" x14ac:dyDescent="0.3">
      <c r="A50" s="443"/>
      <c r="B50" s="444" t="s">
        <v>172</v>
      </c>
      <c r="C50" s="444"/>
      <c r="D50" s="450"/>
      <c r="E50" s="444"/>
      <c r="F50" s="450"/>
      <c r="G50" s="450"/>
      <c r="H50" s="450"/>
      <c r="I50" s="450"/>
      <c r="J50" s="450"/>
      <c r="K50" s="450"/>
      <c r="L50" s="450"/>
      <c r="M50" s="450"/>
      <c r="N50" s="450"/>
      <c r="O50" s="450"/>
      <c r="P50" s="450"/>
      <c r="Q50" s="450"/>
      <c r="R50" s="450"/>
      <c r="S50" s="444"/>
      <c r="T50" s="444"/>
      <c r="U50" s="444"/>
      <c r="V50" s="479">
        <f>SUM(L34:R34)/SUM(D34:J34)</f>
        <v>0.13611940162868597</v>
      </c>
      <c r="W50" s="446"/>
      <c r="X50" s="425"/>
    </row>
    <row r="51" spans="1:25" s="426" customFormat="1" x14ac:dyDescent="0.3">
      <c r="A51" s="443"/>
      <c r="B51" s="444" t="s">
        <v>173</v>
      </c>
      <c r="C51" s="444"/>
      <c r="D51" s="444"/>
      <c r="E51" s="444"/>
      <c r="F51" s="483"/>
      <c r="G51" s="444"/>
      <c r="H51" s="444"/>
      <c r="I51" s="444"/>
      <c r="J51" s="444"/>
      <c r="K51" s="444"/>
      <c r="L51" s="444"/>
      <c r="M51" s="444"/>
      <c r="N51" s="444"/>
      <c r="O51" s="444"/>
      <c r="P51" s="444"/>
      <c r="Q51" s="444"/>
      <c r="R51" s="444"/>
      <c r="S51" s="444"/>
      <c r="T51" s="444"/>
      <c r="U51" s="444"/>
      <c r="V51" s="479">
        <f>SUM(L36:R36)/SUM(D36:J36)</f>
        <v>0.29402683026195869</v>
      </c>
      <c r="W51" s="446"/>
      <c r="X51" s="425"/>
    </row>
    <row r="52" spans="1:25" s="426" customFormat="1" x14ac:dyDescent="0.3">
      <c r="A52" s="443"/>
      <c r="B52" s="444" t="s">
        <v>174</v>
      </c>
      <c r="C52" s="444"/>
      <c r="D52" s="444"/>
      <c r="E52" s="444"/>
      <c r="F52" s="444"/>
      <c r="G52" s="444"/>
      <c r="H52" s="444"/>
      <c r="I52" s="444"/>
      <c r="J52" s="444"/>
      <c r="K52" s="444"/>
      <c r="L52" s="444"/>
      <c r="M52" s="444"/>
      <c r="N52" s="444"/>
      <c r="O52" s="444"/>
      <c r="P52" s="444"/>
      <c r="Q52" s="444"/>
      <c r="R52" s="444"/>
      <c r="S52" s="444"/>
      <c r="T52" s="450" t="s">
        <v>107</v>
      </c>
      <c r="U52" s="450" t="s">
        <v>112</v>
      </c>
      <c r="V52" s="452">
        <f>+V34/2-SUM(L34:R34)</f>
        <v>570356</v>
      </c>
      <c r="W52" s="446"/>
      <c r="X52" s="425"/>
    </row>
    <row r="53" spans="1:25" s="426" customFormat="1" x14ac:dyDescent="0.3">
      <c r="A53" s="443"/>
      <c r="B53" s="444"/>
      <c r="C53" s="444"/>
      <c r="D53" s="444"/>
      <c r="E53" s="444"/>
      <c r="F53" s="444"/>
      <c r="G53" s="444"/>
      <c r="H53" s="444"/>
      <c r="I53" s="444"/>
      <c r="J53" s="444"/>
      <c r="K53" s="444"/>
      <c r="L53" s="444"/>
      <c r="M53" s="444"/>
      <c r="N53" s="444"/>
      <c r="O53" s="444"/>
      <c r="P53" s="444"/>
      <c r="Q53" s="444"/>
      <c r="R53" s="444"/>
      <c r="S53" s="444"/>
      <c r="T53" s="444"/>
      <c r="U53" s="444"/>
      <c r="V53" s="484"/>
      <c r="W53" s="446"/>
      <c r="X53" s="425"/>
    </row>
    <row r="54" spans="1:25" s="426" customFormat="1" x14ac:dyDescent="0.3">
      <c r="A54" s="443"/>
      <c r="B54" s="444" t="s">
        <v>358</v>
      </c>
      <c r="C54" s="444"/>
      <c r="D54" s="444"/>
      <c r="E54" s="444"/>
      <c r="F54" s="444"/>
      <c r="G54" s="444"/>
      <c r="H54" s="444"/>
      <c r="I54" s="444"/>
      <c r="J54" s="444"/>
      <c r="K54" s="444"/>
      <c r="L54" s="444"/>
      <c r="M54" s="444"/>
      <c r="N54" s="444"/>
      <c r="O54" s="444"/>
      <c r="P54" s="444"/>
      <c r="Q54" s="444"/>
      <c r="R54" s="444"/>
      <c r="S54" s="444"/>
      <c r="T54" s="450"/>
      <c r="U54" s="450"/>
      <c r="V54" s="485" t="s">
        <v>114</v>
      </c>
      <c r="W54" s="486"/>
      <c r="X54" s="487"/>
    </row>
    <row r="55" spans="1:25" s="426" customFormat="1" x14ac:dyDescent="0.3">
      <c r="A55" s="443"/>
      <c r="B55" s="449" t="s">
        <v>204</v>
      </c>
      <c r="C55" s="449"/>
      <c r="D55" s="449"/>
      <c r="E55" s="449"/>
      <c r="F55" s="449"/>
      <c r="G55" s="449"/>
      <c r="H55" s="449"/>
      <c r="I55" s="449"/>
      <c r="J55" s="449"/>
      <c r="K55" s="449"/>
      <c r="L55" s="449"/>
      <c r="M55" s="449"/>
      <c r="N55" s="449"/>
      <c r="O55" s="449"/>
      <c r="P55" s="449"/>
      <c r="Q55" s="449"/>
      <c r="R55" s="449"/>
      <c r="S55" s="449"/>
      <c r="T55" s="488"/>
      <c r="U55" s="488"/>
      <c r="V55" s="489">
        <v>43024</v>
      </c>
      <c r="W55" s="486"/>
      <c r="X55" s="487"/>
    </row>
    <row r="56" spans="1:25" s="426" customFormat="1" x14ac:dyDescent="0.3">
      <c r="A56" s="443"/>
      <c r="B56" s="444" t="s">
        <v>124</v>
      </c>
      <c r="C56" s="444"/>
      <c r="D56" s="444"/>
      <c r="E56" s="444"/>
      <c r="F56" s="444"/>
      <c r="G56" s="444"/>
      <c r="H56" s="490"/>
      <c r="I56" s="490"/>
      <c r="J56" s="490"/>
      <c r="K56" s="490"/>
      <c r="L56" s="490"/>
      <c r="M56" s="490"/>
      <c r="N56" s="490"/>
      <c r="O56" s="490"/>
      <c r="P56" s="490"/>
      <c r="Q56" s="490"/>
      <c r="R56" s="444">
        <f>+V56-T56+1</f>
        <v>90</v>
      </c>
      <c r="S56" s="490"/>
      <c r="T56" s="491">
        <v>42843</v>
      </c>
      <c r="U56" s="492"/>
      <c r="V56" s="491">
        <v>42932</v>
      </c>
      <c r="W56" s="486"/>
      <c r="X56" s="487"/>
    </row>
    <row r="57" spans="1:25" s="426" customFormat="1" x14ac:dyDescent="0.3">
      <c r="A57" s="443"/>
      <c r="B57" s="444" t="s">
        <v>125</v>
      </c>
      <c r="C57" s="444"/>
      <c r="D57" s="444"/>
      <c r="E57" s="444"/>
      <c r="F57" s="444"/>
      <c r="G57" s="444"/>
      <c r="H57" s="444"/>
      <c r="I57" s="444"/>
      <c r="J57" s="444"/>
      <c r="K57" s="444"/>
      <c r="L57" s="444"/>
      <c r="M57" s="444"/>
      <c r="N57" s="444"/>
      <c r="O57" s="444"/>
      <c r="P57" s="444"/>
      <c r="Q57" s="444"/>
      <c r="R57" s="444">
        <f>+V57-T57+1</f>
        <v>91</v>
      </c>
      <c r="S57" s="444"/>
      <c r="T57" s="491">
        <v>42933</v>
      </c>
      <c r="U57" s="492"/>
      <c r="V57" s="491">
        <v>43023</v>
      </c>
      <c r="W57" s="486"/>
      <c r="X57" s="487"/>
    </row>
    <row r="58" spans="1:25" s="426" customFormat="1" x14ac:dyDescent="0.3">
      <c r="A58" s="443"/>
      <c r="B58" s="444" t="s">
        <v>357</v>
      </c>
      <c r="C58" s="444"/>
      <c r="D58" s="444"/>
      <c r="E58" s="444"/>
      <c r="F58" s="444"/>
      <c r="G58" s="444"/>
      <c r="H58" s="444"/>
      <c r="I58" s="444"/>
      <c r="J58" s="444"/>
      <c r="K58" s="444"/>
      <c r="L58" s="444"/>
      <c r="M58" s="444"/>
      <c r="N58" s="444"/>
      <c r="O58" s="444"/>
      <c r="P58" s="444"/>
      <c r="Q58" s="444"/>
      <c r="R58" s="444"/>
      <c r="S58" s="444"/>
      <c r="T58" s="491"/>
      <c r="U58" s="492"/>
      <c r="V58" s="491" t="s">
        <v>123</v>
      </c>
      <c r="W58" s="486"/>
      <c r="X58" s="487"/>
    </row>
    <row r="59" spans="1:25" s="426" customFormat="1" x14ac:dyDescent="0.3">
      <c r="A59" s="443"/>
      <c r="B59" s="444" t="s">
        <v>356</v>
      </c>
      <c r="C59" s="444"/>
      <c r="D59" s="444"/>
      <c r="E59" s="444"/>
      <c r="F59" s="444"/>
      <c r="G59" s="444"/>
      <c r="H59" s="444"/>
      <c r="I59" s="444"/>
      <c r="J59" s="444"/>
      <c r="K59" s="444"/>
      <c r="L59" s="444"/>
      <c r="M59" s="444"/>
      <c r="N59" s="444"/>
      <c r="O59" s="444"/>
      <c r="P59" s="444"/>
      <c r="Q59" s="444"/>
      <c r="R59" s="444"/>
      <c r="S59" s="444"/>
      <c r="T59" s="491"/>
      <c r="U59" s="492"/>
      <c r="V59" s="491" t="s">
        <v>157</v>
      </c>
      <c r="W59" s="486"/>
      <c r="X59" s="487"/>
      <c r="Y59" s="493"/>
    </row>
    <row r="60" spans="1:25" s="426" customFormat="1" x14ac:dyDescent="0.3">
      <c r="A60" s="443"/>
      <c r="B60" s="444" t="s">
        <v>16</v>
      </c>
      <c r="C60" s="444"/>
      <c r="D60" s="444"/>
      <c r="E60" s="444"/>
      <c r="F60" s="444"/>
      <c r="G60" s="444"/>
      <c r="H60" s="444"/>
      <c r="I60" s="444"/>
      <c r="J60" s="444"/>
      <c r="K60" s="444"/>
      <c r="L60" s="444"/>
      <c r="M60" s="444"/>
      <c r="N60" s="444"/>
      <c r="O60" s="444"/>
      <c r="P60" s="444"/>
      <c r="Q60" s="444"/>
      <c r="R60" s="444"/>
      <c r="S60" s="444"/>
      <c r="T60" s="491"/>
      <c r="U60" s="492"/>
      <c r="V60" s="491">
        <v>43010</v>
      </c>
      <c r="W60" s="486"/>
      <c r="X60" s="487"/>
    </row>
    <row r="61" spans="1:25" s="426" customFormat="1" x14ac:dyDescent="0.3">
      <c r="A61" s="421"/>
      <c r="B61" s="494"/>
      <c r="C61" s="494"/>
      <c r="D61" s="494"/>
      <c r="E61" s="494"/>
      <c r="F61" s="494"/>
      <c r="G61" s="494"/>
      <c r="H61" s="494"/>
      <c r="I61" s="494"/>
      <c r="J61" s="494"/>
      <c r="K61" s="494"/>
      <c r="L61" s="494"/>
      <c r="M61" s="494"/>
      <c r="N61" s="494"/>
      <c r="O61" s="494"/>
      <c r="P61" s="494"/>
      <c r="Q61" s="494"/>
      <c r="R61" s="494"/>
      <c r="S61" s="494"/>
      <c r="T61" s="495"/>
      <c r="U61" s="496"/>
      <c r="V61" s="495"/>
      <c r="W61" s="497"/>
      <c r="X61" s="487"/>
    </row>
    <row r="62" spans="1:25" s="426" customFormat="1" x14ac:dyDescent="0.3">
      <c r="A62" s="421"/>
      <c r="B62" s="422"/>
      <c r="C62" s="422"/>
      <c r="D62" s="422"/>
      <c r="E62" s="422"/>
      <c r="F62" s="422"/>
      <c r="G62" s="422"/>
      <c r="H62" s="422"/>
      <c r="I62" s="422"/>
      <c r="J62" s="422"/>
      <c r="K62" s="422"/>
      <c r="L62" s="422"/>
      <c r="M62" s="422"/>
      <c r="N62" s="422"/>
      <c r="O62" s="422"/>
      <c r="P62" s="422"/>
      <c r="Q62" s="422"/>
      <c r="R62" s="422"/>
      <c r="S62" s="422"/>
      <c r="T62" s="498"/>
      <c r="U62" s="499"/>
      <c r="V62" s="498"/>
      <c r="W62" s="497"/>
      <c r="X62" s="487"/>
    </row>
    <row r="63" spans="1:25" s="426" customFormat="1" ht="18.600000000000001" thickBot="1" x14ac:dyDescent="0.4">
      <c r="A63" s="500"/>
      <c r="B63" s="501" t="s">
        <v>369</v>
      </c>
      <c r="C63" s="502"/>
      <c r="D63" s="502"/>
      <c r="E63" s="502"/>
      <c r="F63" s="502"/>
      <c r="G63" s="502"/>
      <c r="H63" s="502"/>
      <c r="I63" s="502"/>
      <c r="J63" s="502"/>
      <c r="K63" s="502"/>
      <c r="L63" s="502"/>
      <c r="M63" s="502"/>
      <c r="N63" s="502"/>
      <c r="O63" s="502"/>
      <c r="P63" s="502"/>
      <c r="Q63" s="502"/>
      <c r="R63" s="502"/>
      <c r="S63" s="502"/>
      <c r="T63" s="502"/>
      <c r="U63" s="502"/>
      <c r="V63" s="503"/>
      <c r="W63" s="504"/>
      <c r="X63" s="487"/>
    </row>
    <row r="64" spans="1:25" x14ac:dyDescent="0.3">
      <c r="A64" s="505"/>
      <c r="B64" s="506" t="s">
        <v>17</v>
      </c>
      <c r="C64" s="507"/>
      <c r="D64" s="507"/>
      <c r="E64" s="507"/>
      <c r="F64" s="507"/>
      <c r="G64" s="507"/>
      <c r="H64" s="507"/>
      <c r="I64" s="507"/>
      <c r="J64" s="507"/>
      <c r="K64" s="507"/>
      <c r="L64" s="507"/>
      <c r="M64" s="507"/>
      <c r="N64" s="507"/>
      <c r="O64" s="507"/>
      <c r="P64" s="507"/>
      <c r="Q64" s="507"/>
      <c r="R64" s="507"/>
      <c r="S64" s="507"/>
      <c r="T64" s="507"/>
      <c r="U64" s="507"/>
      <c r="V64" s="508"/>
      <c r="W64" s="509"/>
      <c r="X64" s="406"/>
    </row>
    <row r="65" spans="1:24" x14ac:dyDescent="0.3">
      <c r="A65" s="408"/>
      <c r="B65" s="419"/>
      <c r="C65" s="410"/>
      <c r="D65" s="410"/>
      <c r="E65" s="410"/>
      <c r="F65" s="410"/>
      <c r="G65" s="410"/>
      <c r="H65" s="410"/>
      <c r="I65" s="410"/>
      <c r="J65" s="410"/>
      <c r="K65" s="410"/>
      <c r="L65" s="410"/>
      <c r="M65" s="410"/>
      <c r="N65" s="410"/>
      <c r="O65" s="410"/>
      <c r="P65" s="410"/>
      <c r="Q65" s="410"/>
      <c r="R65" s="410"/>
      <c r="S65" s="410"/>
      <c r="T65" s="410"/>
      <c r="U65" s="410"/>
      <c r="V65" s="510"/>
      <c r="W65" s="411"/>
      <c r="X65" s="406"/>
    </row>
    <row r="66" spans="1:24" s="473" customFormat="1" ht="46.8" x14ac:dyDescent="0.3">
      <c r="A66" s="511"/>
      <c r="B66" s="512" t="s">
        <v>18</v>
      </c>
      <c r="C66" s="513"/>
      <c r="D66" s="513"/>
      <c r="E66" s="513"/>
      <c r="F66" s="513"/>
      <c r="G66" s="513"/>
      <c r="H66" s="513"/>
      <c r="I66" s="513"/>
      <c r="J66" s="513"/>
      <c r="K66" s="513"/>
      <c r="L66" s="513" t="s">
        <v>95</v>
      </c>
      <c r="M66" s="513"/>
      <c r="N66" s="513" t="s">
        <v>97</v>
      </c>
      <c r="O66" s="513"/>
      <c r="P66" s="513" t="s">
        <v>99</v>
      </c>
      <c r="Q66" s="513"/>
      <c r="R66" s="513" t="s">
        <v>101</v>
      </c>
      <c r="S66" s="513"/>
      <c r="T66" s="513" t="s">
        <v>108</v>
      </c>
      <c r="U66" s="513"/>
      <c r="V66" s="514" t="s">
        <v>115</v>
      </c>
      <c r="W66" s="515"/>
      <c r="X66" s="472"/>
    </row>
    <row r="67" spans="1:24" s="426" customFormat="1" x14ac:dyDescent="0.3">
      <c r="A67" s="443"/>
      <c r="B67" s="444" t="s">
        <v>19</v>
      </c>
      <c r="C67" s="516"/>
      <c r="D67" s="516"/>
      <c r="E67" s="516"/>
      <c r="F67" s="516"/>
      <c r="G67" s="516"/>
      <c r="H67" s="516"/>
      <c r="I67" s="516"/>
      <c r="J67" s="516"/>
      <c r="K67" s="516"/>
      <c r="L67" s="516">
        <f>1085286</f>
        <v>1085286</v>
      </c>
      <c r="M67" s="516"/>
      <c r="N67" s="517">
        <v>800232</v>
      </c>
      <c r="O67" s="516"/>
      <c r="P67" s="516">
        <f>9191+3+272</f>
        <v>9466</v>
      </c>
      <c r="Q67" s="516"/>
      <c r="R67" s="516">
        <v>275</v>
      </c>
      <c r="S67" s="516"/>
      <c r="T67" s="516">
        <v>0</v>
      </c>
      <c r="U67" s="516"/>
      <c r="V67" s="517">
        <f>+N67-P67+R67-T67</f>
        <v>791041</v>
      </c>
      <c r="W67" s="446"/>
      <c r="X67" s="425"/>
    </row>
    <row r="68" spans="1:24" s="426" customFormat="1" x14ac:dyDescent="0.3">
      <c r="A68" s="443"/>
      <c r="B68" s="444" t="s">
        <v>20</v>
      </c>
      <c r="C68" s="516"/>
      <c r="D68" s="516"/>
      <c r="E68" s="516"/>
      <c r="F68" s="516"/>
      <c r="G68" s="516"/>
      <c r="H68" s="516"/>
      <c r="I68" s="516"/>
      <c r="J68" s="516"/>
      <c r="K68" s="516"/>
      <c r="L68" s="516">
        <v>35</v>
      </c>
      <c r="M68" s="516"/>
      <c r="N68" s="517">
        <v>0</v>
      </c>
      <c r="O68" s="516"/>
      <c r="P68" s="516">
        <v>0</v>
      </c>
      <c r="Q68" s="516"/>
      <c r="R68" s="516">
        <v>0</v>
      </c>
      <c r="S68" s="516"/>
      <c r="T68" s="516">
        <v>0</v>
      </c>
      <c r="U68" s="516"/>
      <c r="V68" s="517">
        <f>+N68-P68</f>
        <v>0</v>
      </c>
      <c r="W68" s="446"/>
      <c r="X68" s="425"/>
    </row>
    <row r="69" spans="1:24" s="426" customFormat="1" x14ac:dyDescent="0.3">
      <c r="A69" s="443"/>
      <c r="B69" s="444"/>
      <c r="C69" s="516"/>
      <c r="D69" s="516"/>
      <c r="E69" s="516"/>
      <c r="F69" s="516"/>
      <c r="G69" s="516"/>
      <c r="H69" s="516"/>
      <c r="I69" s="516"/>
      <c r="J69" s="516"/>
      <c r="K69" s="516"/>
      <c r="L69" s="516"/>
      <c r="M69" s="516"/>
      <c r="N69" s="517"/>
      <c r="O69" s="516"/>
      <c r="P69" s="516"/>
      <c r="Q69" s="516"/>
      <c r="R69" s="516"/>
      <c r="S69" s="516"/>
      <c r="T69" s="516"/>
      <c r="U69" s="516"/>
      <c r="V69" s="517"/>
      <c r="W69" s="446"/>
      <c r="X69" s="425"/>
    </row>
    <row r="70" spans="1:24" s="426" customFormat="1" x14ac:dyDescent="0.3">
      <c r="A70" s="443"/>
      <c r="B70" s="444" t="s">
        <v>21</v>
      </c>
      <c r="C70" s="516"/>
      <c r="D70" s="516"/>
      <c r="E70" s="516"/>
      <c r="F70" s="516"/>
      <c r="G70" s="516"/>
      <c r="H70" s="516"/>
      <c r="I70" s="516"/>
      <c r="J70" s="516"/>
      <c r="K70" s="516"/>
      <c r="L70" s="516">
        <f>SUM(L67:L69)</f>
        <v>1085321</v>
      </c>
      <c r="M70" s="516"/>
      <c r="N70" s="516">
        <f>N67+N68</f>
        <v>800232</v>
      </c>
      <c r="O70" s="516"/>
      <c r="P70" s="516">
        <f>SUM(P67:P69)</f>
        <v>9466</v>
      </c>
      <c r="Q70" s="516"/>
      <c r="R70" s="516">
        <f>SUM(R67:R69)</f>
        <v>275</v>
      </c>
      <c r="S70" s="516"/>
      <c r="T70" s="516">
        <f>SUM(T67:T69)</f>
        <v>0</v>
      </c>
      <c r="U70" s="516"/>
      <c r="V70" s="516">
        <f>SUM(V67:V69)</f>
        <v>791041</v>
      </c>
      <c r="W70" s="446"/>
      <c r="X70" s="425"/>
    </row>
    <row r="71" spans="1:24" x14ac:dyDescent="0.3">
      <c r="A71" s="408"/>
      <c r="B71" s="518"/>
      <c r="C71" s="519"/>
      <c r="D71" s="519"/>
      <c r="E71" s="519"/>
      <c r="F71" s="519"/>
      <c r="G71" s="519"/>
      <c r="H71" s="519"/>
      <c r="I71" s="519"/>
      <c r="J71" s="519"/>
      <c r="K71" s="519"/>
      <c r="L71" s="519"/>
      <c r="M71" s="519"/>
      <c r="N71" s="519"/>
      <c r="O71" s="519"/>
      <c r="P71" s="519"/>
      <c r="Q71" s="519"/>
      <c r="R71" s="519"/>
      <c r="S71" s="519"/>
      <c r="T71" s="519"/>
      <c r="U71" s="519"/>
      <c r="V71" s="520"/>
      <c r="W71" s="411"/>
      <c r="X71" s="406"/>
    </row>
    <row r="72" spans="1:24" x14ac:dyDescent="0.3">
      <c r="A72" s="408"/>
      <c r="B72" s="413" t="s">
        <v>22</v>
      </c>
      <c r="C72" s="521"/>
      <c r="D72" s="521"/>
      <c r="E72" s="521"/>
      <c r="F72" s="521"/>
      <c r="G72" s="521"/>
      <c r="H72" s="521"/>
      <c r="I72" s="521"/>
      <c r="J72" s="521"/>
      <c r="K72" s="521"/>
      <c r="L72" s="521"/>
      <c r="M72" s="521"/>
      <c r="N72" s="521"/>
      <c r="O72" s="521"/>
      <c r="P72" s="521"/>
      <c r="Q72" s="521"/>
      <c r="R72" s="521"/>
      <c r="S72" s="521"/>
      <c r="T72" s="521"/>
      <c r="U72" s="521"/>
      <c r="V72" s="522"/>
      <c r="W72" s="411"/>
      <c r="X72" s="406"/>
    </row>
    <row r="73" spans="1:24" x14ac:dyDescent="0.3">
      <c r="A73" s="408"/>
      <c r="B73" s="410"/>
      <c r="C73" s="521"/>
      <c r="D73" s="521"/>
      <c r="E73" s="521"/>
      <c r="F73" s="521"/>
      <c r="G73" s="521"/>
      <c r="H73" s="521"/>
      <c r="I73" s="521"/>
      <c r="J73" s="521"/>
      <c r="K73" s="521"/>
      <c r="L73" s="521"/>
      <c r="M73" s="521"/>
      <c r="N73" s="521"/>
      <c r="O73" s="521"/>
      <c r="P73" s="521"/>
      <c r="Q73" s="521"/>
      <c r="R73" s="521"/>
      <c r="S73" s="521"/>
      <c r="T73" s="521"/>
      <c r="U73" s="521"/>
      <c r="V73" s="522"/>
      <c r="W73" s="411"/>
      <c r="X73" s="406"/>
    </row>
    <row r="74" spans="1:24" s="426" customFormat="1" x14ac:dyDescent="0.3">
      <c r="A74" s="443"/>
      <c r="B74" s="444" t="s">
        <v>19</v>
      </c>
      <c r="C74" s="516"/>
      <c r="D74" s="516"/>
      <c r="E74" s="516"/>
      <c r="F74" s="516"/>
      <c r="G74" s="516"/>
      <c r="H74" s="516"/>
      <c r="I74" s="516"/>
      <c r="J74" s="516"/>
      <c r="K74" s="516"/>
      <c r="L74" s="516"/>
      <c r="M74" s="516"/>
      <c r="N74" s="516"/>
      <c r="O74" s="516"/>
      <c r="P74" s="516"/>
      <c r="Q74" s="516"/>
      <c r="R74" s="516"/>
      <c r="S74" s="516"/>
      <c r="T74" s="516"/>
      <c r="U74" s="516"/>
      <c r="V74" s="516"/>
      <c r="W74" s="446"/>
      <c r="X74" s="425"/>
    </row>
    <row r="75" spans="1:24" s="426" customFormat="1" x14ac:dyDescent="0.3">
      <c r="A75" s="443"/>
      <c r="B75" s="444" t="s">
        <v>20</v>
      </c>
      <c r="C75" s="516"/>
      <c r="D75" s="516"/>
      <c r="E75" s="516"/>
      <c r="F75" s="516"/>
      <c r="G75" s="516"/>
      <c r="H75" s="516"/>
      <c r="I75" s="516"/>
      <c r="J75" s="516"/>
      <c r="K75" s="516"/>
      <c r="L75" s="516"/>
      <c r="M75" s="516"/>
      <c r="N75" s="516"/>
      <c r="O75" s="516"/>
      <c r="P75" s="516"/>
      <c r="Q75" s="516"/>
      <c r="R75" s="516"/>
      <c r="S75" s="516"/>
      <c r="T75" s="516"/>
      <c r="U75" s="516"/>
      <c r="V75" s="516"/>
      <c r="W75" s="446"/>
      <c r="X75" s="425"/>
    </row>
    <row r="76" spans="1:24" s="426" customFormat="1" x14ac:dyDescent="0.3">
      <c r="A76" s="443"/>
      <c r="B76" s="444"/>
      <c r="C76" s="516"/>
      <c r="D76" s="516"/>
      <c r="E76" s="516"/>
      <c r="F76" s="516"/>
      <c r="G76" s="516"/>
      <c r="H76" s="516"/>
      <c r="I76" s="516"/>
      <c r="J76" s="516"/>
      <c r="K76" s="516"/>
      <c r="L76" s="516"/>
      <c r="M76" s="516"/>
      <c r="N76" s="516"/>
      <c r="O76" s="516"/>
      <c r="P76" s="516"/>
      <c r="Q76" s="516"/>
      <c r="R76" s="516"/>
      <c r="S76" s="516"/>
      <c r="T76" s="516"/>
      <c r="U76" s="516"/>
      <c r="V76" s="516"/>
      <c r="W76" s="446"/>
      <c r="X76" s="425"/>
    </row>
    <row r="77" spans="1:24" s="426" customFormat="1" x14ac:dyDescent="0.3">
      <c r="A77" s="443"/>
      <c r="B77" s="444" t="s">
        <v>21</v>
      </c>
      <c r="C77" s="516"/>
      <c r="D77" s="516"/>
      <c r="E77" s="516"/>
      <c r="F77" s="516"/>
      <c r="G77" s="516"/>
      <c r="H77" s="516"/>
      <c r="I77" s="516"/>
      <c r="J77" s="516"/>
      <c r="K77" s="516"/>
      <c r="L77" s="516"/>
      <c r="M77" s="516"/>
      <c r="N77" s="516"/>
      <c r="O77" s="516"/>
      <c r="P77" s="516"/>
      <c r="Q77" s="516"/>
      <c r="R77" s="516"/>
      <c r="S77" s="516"/>
      <c r="T77" s="516"/>
      <c r="U77" s="516"/>
      <c r="V77" s="516"/>
      <c r="W77" s="446"/>
      <c r="X77" s="425"/>
    </row>
    <row r="78" spans="1:24" s="426" customFormat="1" x14ac:dyDescent="0.3">
      <c r="A78" s="443"/>
      <c r="B78" s="444"/>
      <c r="C78" s="516"/>
      <c r="D78" s="516"/>
      <c r="E78" s="516"/>
      <c r="F78" s="516"/>
      <c r="G78" s="516"/>
      <c r="H78" s="516"/>
      <c r="I78" s="516"/>
      <c r="J78" s="516"/>
      <c r="K78" s="516"/>
      <c r="L78" s="516"/>
      <c r="M78" s="516"/>
      <c r="N78" s="516"/>
      <c r="O78" s="516"/>
      <c r="P78" s="516"/>
      <c r="Q78" s="516"/>
      <c r="R78" s="516"/>
      <c r="S78" s="516"/>
      <c r="T78" s="516"/>
      <c r="U78" s="516"/>
      <c r="V78" s="516"/>
      <c r="W78" s="446"/>
      <c r="X78" s="425"/>
    </row>
    <row r="79" spans="1:24" s="426" customFormat="1" x14ac:dyDescent="0.3">
      <c r="A79" s="443"/>
      <c r="B79" s="444" t="s">
        <v>23</v>
      </c>
      <c r="C79" s="516"/>
      <c r="D79" s="516"/>
      <c r="E79" s="516"/>
      <c r="F79" s="516"/>
      <c r="G79" s="516"/>
      <c r="H79" s="516"/>
      <c r="I79" s="516"/>
      <c r="J79" s="516"/>
      <c r="K79" s="516"/>
      <c r="L79" s="516">
        <v>0</v>
      </c>
      <c r="M79" s="516"/>
      <c r="N79" s="516">
        <v>0</v>
      </c>
      <c r="O79" s="516"/>
      <c r="P79" s="516"/>
      <c r="Q79" s="516"/>
      <c r="R79" s="516"/>
      <c r="S79" s="516"/>
      <c r="T79" s="516"/>
      <c r="U79" s="516"/>
      <c r="V79" s="517">
        <v>0</v>
      </c>
      <c r="W79" s="446"/>
      <c r="X79" s="425"/>
    </row>
    <row r="80" spans="1:24" s="426" customFormat="1" x14ac:dyDescent="0.3">
      <c r="A80" s="443"/>
      <c r="B80" s="444" t="s">
        <v>120</v>
      </c>
      <c r="C80" s="516"/>
      <c r="D80" s="516"/>
      <c r="E80" s="516"/>
      <c r="F80" s="516"/>
      <c r="G80" s="516"/>
      <c r="H80" s="516"/>
      <c r="I80" s="516"/>
      <c r="J80" s="516"/>
      <c r="K80" s="516"/>
      <c r="L80" s="516">
        <f>414862+7</f>
        <v>414869</v>
      </c>
      <c r="M80" s="516"/>
      <c r="N80" s="516">
        <v>0</v>
      </c>
      <c r="O80" s="516"/>
      <c r="P80" s="516">
        <v>0</v>
      </c>
      <c r="Q80" s="516"/>
      <c r="R80" s="516"/>
      <c r="S80" s="516"/>
      <c r="T80" s="516"/>
      <c r="U80" s="516"/>
      <c r="V80" s="516">
        <f>SUM(N80:R80)</f>
        <v>0</v>
      </c>
      <c r="W80" s="446"/>
      <c r="X80" s="425"/>
    </row>
    <row r="81" spans="1:24" s="426" customFormat="1" x14ac:dyDescent="0.3">
      <c r="A81" s="443"/>
      <c r="B81" s="444" t="s">
        <v>149</v>
      </c>
      <c r="C81" s="516"/>
      <c r="D81" s="516"/>
      <c r="E81" s="516"/>
      <c r="F81" s="516"/>
      <c r="G81" s="516"/>
      <c r="H81" s="516"/>
      <c r="I81" s="516"/>
      <c r="J81" s="516"/>
      <c r="K81" s="516"/>
      <c r="L81" s="516">
        <v>0</v>
      </c>
      <c r="M81" s="516"/>
      <c r="N81" s="516">
        <v>0</v>
      </c>
      <c r="O81" s="516"/>
      <c r="P81" s="516">
        <v>0</v>
      </c>
      <c r="Q81" s="516"/>
      <c r="R81" s="516"/>
      <c r="S81" s="516"/>
      <c r="T81" s="516"/>
      <c r="U81" s="516"/>
      <c r="V81" s="516">
        <f>+N81+P81</f>
        <v>0</v>
      </c>
      <c r="W81" s="446"/>
      <c r="X81" s="425"/>
    </row>
    <row r="82" spans="1:24" s="426" customFormat="1" x14ac:dyDescent="0.3">
      <c r="A82" s="443"/>
      <c r="B82" s="444" t="s">
        <v>25</v>
      </c>
      <c r="C82" s="516"/>
      <c r="D82" s="516"/>
      <c r="E82" s="516"/>
      <c r="F82" s="516"/>
      <c r="G82" s="516"/>
      <c r="H82" s="516"/>
      <c r="I82" s="516"/>
      <c r="J82" s="516"/>
      <c r="K82" s="516"/>
      <c r="L82" s="516">
        <v>0</v>
      </c>
      <c r="M82" s="516"/>
      <c r="N82" s="516">
        <v>0</v>
      </c>
      <c r="O82" s="516"/>
      <c r="P82" s="516"/>
      <c r="Q82" s="516"/>
      <c r="R82" s="516"/>
      <c r="S82" s="516"/>
      <c r="T82" s="516"/>
      <c r="U82" s="516"/>
      <c r="V82" s="516">
        <v>0</v>
      </c>
      <c r="W82" s="446"/>
      <c r="X82" s="425"/>
    </row>
    <row r="83" spans="1:24" s="426" customFormat="1" x14ac:dyDescent="0.3">
      <c r="A83" s="523"/>
      <c r="B83" s="524" t="s">
        <v>26</v>
      </c>
      <c r="C83" s="525"/>
      <c r="D83" s="525"/>
      <c r="E83" s="525"/>
      <c r="F83" s="525"/>
      <c r="G83" s="525"/>
      <c r="H83" s="525"/>
      <c r="I83" s="525"/>
      <c r="J83" s="525"/>
      <c r="K83" s="525"/>
      <c r="L83" s="525">
        <f>SUM(L70:L82)</f>
        <v>1500190</v>
      </c>
      <c r="M83" s="525"/>
      <c r="N83" s="525">
        <f>SUM(N70:N82)</f>
        <v>800232</v>
      </c>
      <c r="O83" s="525"/>
      <c r="P83" s="525"/>
      <c r="Q83" s="525"/>
      <c r="R83" s="525"/>
      <c r="S83" s="525"/>
      <c r="T83" s="525"/>
      <c r="U83" s="525"/>
      <c r="V83" s="525">
        <f>SUM(V70:V82)</f>
        <v>791041</v>
      </c>
      <c r="W83" s="526"/>
      <c r="X83" s="425"/>
    </row>
    <row r="84" spans="1:24" x14ac:dyDescent="0.3">
      <c r="A84" s="527"/>
      <c r="B84" s="528"/>
      <c r="C84" s="529"/>
      <c r="D84" s="529"/>
      <c r="E84" s="529"/>
      <c r="F84" s="529"/>
      <c r="G84" s="529"/>
      <c r="H84" s="529"/>
      <c r="I84" s="529"/>
      <c r="J84" s="529"/>
      <c r="K84" s="529"/>
      <c r="L84" s="529"/>
      <c r="M84" s="529"/>
      <c r="N84" s="529"/>
      <c r="O84" s="529"/>
      <c r="P84" s="529"/>
      <c r="Q84" s="529"/>
      <c r="R84" s="529"/>
      <c r="S84" s="529"/>
      <c r="T84" s="529"/>
      <c r="U84" s="529"/>
      <c r="V84" s="529"/>
      <c r="W84" s="530"/>
      <c r="X84" s="406"/>
    </row>
    <row r="85" spans="1:24" x14ac:dyDescent="0.3">
      <c r="A85" s="408"/>
      <c r="B85" s="531"/>
      <c r="C85" s="531"/>
      <c r="D85" s="531"/>
      <c r="E85" s="531"/>
      <c r="F85" s="531"/>
      <c r="G85" s="531"/>
      <c r="H85" s="531"/>
      <c r="I85" s="531"/>
      <c r="J85" s="531"/>
      <c r="K85" s="531"/>
      <c r="L85" s="531"/>
      <c r="M85" s="531"/>
      <c r="N85" s="531"/>
      <c r="O85" s="531"/>
      <c r="P85" s="531"/>
      <c r="Q85" s="531"/>
      <c r="R85" s="531"/>
      <c r="S85" s="531"/>
      <c r="T85" s="531"/>
      <c r="U85" s="531"/>
      <c r="V85" s="531"/>
      <c r="W85" s="532"/>
      <c r="X85" s="406"/>
    </row>
    <row r="86" spans="1:24" x14ac:dyDescent="0.3">
      <c r="A86" s="533"/>
      <c r="B86" s="534" t="s">
        <v>27</v>
      </c>
      <c r="C86" s="534"/>
      <c r="D86" s="534"/>
      <c r="E86" s="534"/>
      <c r="F86" s="534"/>
      <c r="G86" s="534"/>
      <c r="H86" s="535"/>
      <c r="I86" s="535"/>
      <c r="J86" s="535"/>
      <c r="K86" s="535"/>
      <c r="L86" s="536" t="s">
        <v>96</v>
      </c>
      <c r="M86" s="535"/>
      <c r="N86" s="537">
        <f>+T198</f>
        <v>43007</v>
      </c>
      <c r="O86" s="535"/>
      <c r="P86" s="535"/>
      <c r="Q86" s="535"/>
      <c r="R86" s="535"/>
      <c r="S86" s="535"/>
      <c r="T86" s="535" t="s">
        <v>109</v>
      </c>
      <c r="U86" s="535"/>
      <c r="V86" s="535" t="s">
        <v>116</v>
      </c>
      <c r="W86" s="538"/>
      <c r="X86" s="406"/>
    </row>
    <row r="87" spans="1:24" s="426" customFormat="1" x14ac:dyDescent="0.3">
      <c r="A87" s="439"/>
      <c r="B87" s="440" t="s">
        <v>28</v>
      </c>
      <c r="C87" s="440"/>
      <c r="D87" s="440"/>
      <c r="E87" s="440"/>
      <c r="F87" s="440"/>
      <c r="G87" s="440"/>
      <c r="H87" s="440"/>
      <c r="I87" s="440"/>
      <c r="J87" s="440"/>
      <c r="K87" s="440"/>
      <c r="L87" s="440"/>
      <c r="M87" s="440"/>
      <c r="N87" s="440"/>
      <c r="O87" s="440"/>
      <c r="P87" s="440"/>
      <c r="Q87" s="440"/>
      <c r="R87" s="440"/>
      <c r="S87" s="440"/>
      <c r="T87" s="539">
        <v>0</v>
      </c>
      <c r="U87" s="440"/>
      <c r="V87" s="540">
        <v>0</v>
      </c>
      <c r="W87" s="442"/>
      <c r="X87" s="425"/>
    </row>
    <row r="88" spans="1:24" s="426" customFormat="1" x14ac:dyDescent="0.3">
      <c r="A88" s="443"/>
      <c r="B88" s="444" t="s">
        <v>29</v>
      </c>
      <c r="C88" s="444"/>
      <c r="D88" s="444"/>
      <c r="E88" s="444"/>
      <c r="F88" s="444"/>
      <c r="G88" s="444"/>
      <c r="H88" s="482"/>
      <c r="I88" s="482"/>
      <c r="J88" s="482"/>
      <c r="K88" s="541"/>
      <c r="L88" s="482"/>
      <c r="M88" s="444"/>
      <c r="N88" s="542"/>
      <c r="O88" s="444"/>
      <c r="P88" s="444"/>
      <c r="Q88" s="444"/>
      <c r="R88" s="444"/>
      <c r="S88" s="444"/>
      <c r="T88" s="516">
        <f>9466-316</f>
        <v>9150</v>
      </c>
      <c r="U88" s="444"/>
      <c r="V88" s="517"/>
      <c r="W88" s="446"/>
      <c r="X88" s="425"/>
    </row>
    <row r="89" spans="1:24" s="426" customFormat="1" x14ac:dyDescent="0.3">
      <c r="A89" s="443"/>
      <c r="B89" s="444" t="s">
        <v>219</v>
      </c>
      <c r="C89" s="444"/>
      <c r="D89" s="444"/>
      <c r="E89" s="444"/>
      <c r="F89" s="444"/>
      <c r="G89" s="444"/>
      <c r="H89" s="482"/>
      <c r="I89" s="482"/>
      <c r="J89" s="482"/>
      <c r="K89" s="541"/>
      <c r="L89" s="482"/>
      <c r="M89" s="444"/>
      <c r="N89" s="542"/>
      <c r="O89" s="444"/>
      <c r="P89" s="444"/>
      <c r="Q89" s="444"/>
      <c r="R89" s="444"/>
      <c r="S89" s="444"/>
      <c r="T89" s="516"/>
      <c r="U89" s="444"/>
      <c r="V89" s="517">
        <f>3474+2577-660-1005</f>
        <v>4386</v>
      </c>
      <c r="W89" s="446"/>
      <c r="X89" s="425"/>
    </row>
    <row r="90" spans="1:24" s="426" customFormat="1" x14ac:dyDescent="0.3">
      <c r="A90" s="443"/>
      <c r="B90" s="444" t="s">
        <v>214</v>
      </c>
      <c r="C90" s="444"/>
      <c r="D90" s="444"/>
      <c r="E90" s="444"/>
      <c r="F90" s="444"/>
      <c r="G90" s="444"/>
      <c r="H90" s="482"/>
      <c r="I90" s="482"/>
      <c r="J90" s="482"/>
      <c r="K90" s="541"/>
      <c r="L90" s="482"/>
      <c r="M90" s="444"/>
      <c r="N90" s="542"/>
      <c r="O90" s="444"/>
      <c r="P90" s="444"/>
      <c r="Q90" s="444"/>
      <c r="R90" s="444"/>
      <c r="S90" s="444"/>
      <c r="T90" s="516"/>
      <c r="U90" s="444"/>
      <c r="V90" s="517">
        <f>129+12</f>
        <v>141</v>
      </c>
      <c r="W90" s="446"/>
      <c r="X90" s="425"/>
    </row>
    <row r="91" spans="1:24" s="426" customFormat="1" x14ac:dyDescent="0.3">
      <c r="A91" s="443"/>
      <c r="B91" s="444" t="s">
        <v>215</v>
      </c>
      <c r="C91" s="444"/>
      <c r="D91" s="444"/>
      <c r="E91" s="444"/>
      <c r="F91" s="444"/>
      <c r="G91" s="444"/>
      <c r="H91" s="482"/>
      <c r="I91" s="482"/>
      <c r="J91" s="482"/>
      <c r="K91" s="541"/>
      <c r="L91" s="482"/>
      <c r="M91" s="444"/>
      <c r="N91" s="542"/>
      <c r="O91" s="444"/>
      <c r="P91" s="444"/>
      <c r="Q91" s="444"/>
      <c r="R91" s="444"/>
      <c r="S91" s="444"/>
      <c r="T91" s="516"/>
      <c r="U91" s="444"/>
      <c r="V91" s="517">
        <v>29</v>
      </c>
      <c r="W91" s="446"/>
      <c r="X91" s="425"/>
    </row>
    <row r="92" spans="1:24" s="426" customFormat="1" x14ac:dyDescent="0.3">
      <c r="A92" s="443"/>
      <c r="B92" s="444" t="s">
        <v>277</v>
      </c>
      <c r="C92" s="444"/>
      <c r="D92" s="444"/>
      <c r="E92" s="444"/>
      <c r="F92" s="444"/>
      <c r="G92" s="444"/>
      <c r="H92" s="482"/>
      <c r="I92" s="482"/>
      <c r="J92" s="482"/>
      <c r="K92" s="541"/>
      <c r="L92" s="482"/>
      <c r="M92" s="444"/>
      <c r="N92" s="542"/>
      <c r="O92" s="444"/>
      <c r="P92" s="444"/>
      <c r="Q92" s="444"/>
      <c r="R92" s="444"/>
      <c r="S92" s="444"/>
      <c r="T92" s="516"/>
      <c r="U92" s="444"/>
      <c r="V92" s="517">
        <v>0</v>
      </c>
      <c r="W92" s="446"/>
      <c r="X92" s="425"/>
    </row>
    <row r="93" spans="1:24" s="426" customFormat="1" x14ac:dyDescent="0.3">
      <c r="A93" s="443"/>
      <c r="B93" s="444" t="s">
        <v>138</v>
      </c>
      <c r="C93" s="444"/>
      <c r="D93" s="444"/>
      <c r="E93" s="444"/>
      <c r="F93" s="444"/>
      <c r="G93" s="444"/>
      <c r="H93" s="444"/>
      <c r="I93" s="444"/>
      <c r="J93" s="444"/>
      <c r="K93" s="444"/>
      <c r="L93" s="444"/>
      <c r="M93" s="444"/>
      <c r="N93" s="444"/>
      <c r="O93" s="444"/>
      <c r="P93" s="444"/>
      <c r="Q93" s="444"/>
      <c r="R93" s="444"/>
      <c r="S93" s="444"/>
      <c r="T93" s="516"/>
      <c r="U93" s="444"/>
      <c r="V93" s="517">
        <v>0</v>
      </c>
      <c r="W93" s="446"/>
      <c r="X93" s="425"/>
    </row>
    <row r="94" spans="1:24" s="426" customFormat="1" x14ac:dyDescent="0.3">
      <c r="A94" s="443"/>
      <c r="B94" s="444" t="s">
        <v>265</v>
      </c>
      <c r="C94" s="444"/>
      <c r="D94" s="444"/>
      <c r="E94" s="444"/>
      <c r="F94" s="444"/>
      <c r="G94" s="444"/>
      <c r="H94" s="444"/>
      <c r="I94" s="444"/>
      <c r="J94" s="444"/>
      <c r="K94" s="444"/>
      <c r="L94" s="444"/>
      <c r="M94" s="444"/>
      <c r="N94" s="444"/>
      <c r="O94" s="444"/>
      <c r="P94" s="444"/>
      <c r="Q94" s="444"/>
      <c r="R94" s="444"/>
      <c r="S94" s="444"/>
      <c r="T94" s="516"/>
      <c r="U94" s="444"/>
      <c r="V94" s="517">
        <v>281</v>
      </c>
      <c r="W94" s="446"/>
      <c r="X94" s="425"/>
    </row>
    <row r="95" spans="1:24" s="426" customFormat="1" x14ac:dyDescent="0.3">
      <c r="A95" s="443"/>
      <c r="B95" s="444" t="s">
        <v>30</v>
      </c>
      <c r="C95" s="444"/>
      <c r="D95" s="444"/>
      <c r="E95" s="444"/>
      <c r="F95" s="444"/>
      <c r="G95" s="444"/>
      <c r="H95" s="444"/>
      <c r="I95" s="444"/>
      <c r="J95" s="444"/>
      <c r="K95" s="444"/>
      <c r="L95" s="444"/>
      <c r="M95" s="444"/>
      <c r="N95" s="444"/>
      <c r="O95" s="444"/>
      <c r="P95" s="444"/>
      <c r="Q95" s="444"/>
      <c r="R95" s="444"/>
      <c r="S95" s="444"/>
      <c r="T95" s="516">
        <f>SUM(T87:T94)</f>
        <v>9150</v>
      </c>
      <c r="U95" s="444"/>
      <c r="V95" s="516">
        <f>SUM(V87:V94)</f>
        <v>4837</v>
      </c>
      <c r="W95" s="446"/>
      <c r="X95" s="425"/>
    </row>
    <row r="96" spans="1:24" s="426" customFormat="1" x14ac:dyDescent="0.3">
      <c r="A96" s="443"/>
      <c r="B96" s="444" t="s">
        <v>164</v>
      </c>
      <c r="C96" s="444"/>
      <c r="D96" s="444"/>
      <c r="E96" s="444"/>
      <c r="F96" s="444"/>
      <c r="G96" s="444"/>
      <c r="H96" s="444"/>
      <c r="I96" s="444"/>
      <c r="J96" s="444"/>
      <c r="K96" s="444"/>
      <c r="L96" s="444"/>
      <c r="M96" s="444"/>
      <c r="N96" s="444"/>
      <c r="O96" s="444"/>
      <c r="P96" s="444"/>
      <c r="Q96" s="444"/>
      <c r="R96" s="444"/>
      <c r="S96" s="444"/>
      <c r="T96" s="516">
        <f>-V96</f>
        <v>0</v>
      </c>
      <c r="U96" s="444"/>
      <c r="V96" s="516">
        <v>0</v>
      </c>
      <c r="W96" s="446"/>
      <c r="X96" s="425"/>
    </row>
    <row r="97" spans="1:26" s="426" customFormat="1" x14ac:dyDescent="0.3">
      <c r="A97" s="443"/>
      <c r="B97" s="444" t="s">
        <v>31</v>
      </c>
      <c r="C97" s="444"/>
      <c r="D97" s="444"/>
      <c r="E97" s="444"/>
      <c r="F97" s="444"/>
      <c r="G97" s="444"/>
      <c r="H97" s="444"/>
      <c r="I97" s="444"/>
      <c r="J97" s="444"/>
      <c r="K97" s="444"/>
      <c r="L97" s="444"/>
      <c r="M97" s="444"/>
      <c r="N97" s="444"/>
      <c r="O97" s="444"/>
      <c r="P97" s="444"/>
      <c r="Q97" s="444"/>
      <c r="R97" s="444"/>
      <c r="S97" s="444"/>
      <c r="T97" s="516">
        <f>-V97</f>
        <v>0</v>
      </c>
      <c r="U97" s="444"/>
      <c r="V97" s="517">
        <v>0</v>
      </c>
      <c r="W97" s="446"/>
      <c r="X97" s="425"/>
    </row>
    <row r="98" spans="1:26" s="426" customFormat="1" x14ac:dyDescent="0.3">
      <c r="A98" s="443"/>
      <c r="B98" s="444" t="s">
        <v>288</v>
      </c>
      <c r="C98" s="444"/>
      <c r="D98" s="444"/>
      <c r="E98" s="444"/>
      <c r="F98" s="444"/>
      <c r="G98" s="444"/>
      <c r="H98" s="444"/>
      <c r="I98" s="444"/>
      <c r="J98" s="444"/>
      <c r="K98" s="444"/>
      <c r="L98" s="444"/>
      <c r="M98" s="444"/>
      <c r="N98" s="444"/>
      <c r="O98" s="444"/>
      <c r="P98" s="444"/>
      <c r="Q98" s="444"/>
      <c r="R98" s="444"/>
      <c r="S98" s="444"/>
      <c r="T98" s="516"/>
      <c r="U98" s="444"/>
      <c r="V98" s="517">
        <v>-146</v>
      </c>
      <c r="W98" s="446"/>
      <c r="X98" s="425"/>
    </row>
    <row r="99" spans="1:26" s="426" customFormat="1" x14ac:dyDescent="0.3">
      <c r="A99" s="443"/>
      <c r="B99" s="444" t="s">
        <v>32</v>
      </c>
      <c r="C99" s="444"/>
      <c r="D99" s="444"/>
      <c r="E99" s="444"/>
      <c r="F99" s="444"/>
      <c r="G99" s="444"/>
      <c r="H99" s="444"/>
      <c r="I99" s="444"/>
      <c r="J99" s="444"/>
      <c r="K99" s="444"/>
      <c r="L99" s="444"/>
      <c r="M99" s="444"/>
      <c r="N99" s="444"/>
      <c r="O99" s="444"/>
      <c r="P99" s="444"/>
      <c r="Q99" s="444"/>
      <c r="R99" s="444"/>
      <c r="S99" s="444"/>
      <c r="T99" s="516">
        <f>T95+T97+T96</f>
        <v>9150</v>
      </c>
      <c r="U99" s="444"/>
      <c r="V99" s="516">
        <f>V95+V97+V96+V98</f>
        <v>4691</v>
      </c>
      <c r="W99" s="446"/>
      <c r="X99" s="425"/>
    </row>
    <row r="100" spans="1:26" x14ac:dyDescent="0.3">
      <c r="A100" s="543"/>
      <c r="B100" s="544" t="s">
        <v>33</v>
      </c>
      <c r="C100" s="465"/>
      <c r="D100" s="465"/>
      <c r="E100" s="465"/>
      <c r="F100" s="465"/>
      <c r="G100" s="465"/>
      <c r="H100" s="465"/>
      <c r="I100" s="465"/>
      <c r="J100" s="465"/>
      <c r="K100" s="465"/>
      <c r="L100" s="465"/>
      <c r="M100" s="465"/>
      <c r="N100" s="465"/>
      <c r="O100" s="465"/>
      <c r="P100" s="465"/>
      <c r="Q100" s="465"/>
      <c r="R100" s="465"/>
      <c r="S100" s="465"/>
      <c r="T100" s="545"/>
      <c r="U100" s="465"/>
      <c r="V100" s="546"/>
      <c r="W100" s="547"/>
      <c r="X100" s="406"/>
    </row>
    <row r="101" spans="1:26" s="426" customFormat="1" x14ac:dyDescent="0.3">
      <c r="A101" s="443">
        <v>1</v>
      </c>
      <c r="B101" s="444" t="s">
        <v>34</v>
      </c>
      <c r="C101" s="444"/>
      <c r="D101" s="444"/>
      <c r="E101" s="444"/>
      <c r="F101" s="444"/>
      <c r="G101" s="444"/>
      <c r="H101" s="444"/>
      <c r="I101" s="444"/>
      <c r="J101" s="444"/>
      <c r="K101" s="444"/>
      <c r="L101" s="444"/>
      <c r="M101" s="444"/>
      <c r="N101" s="444"/>
      <c r="O101" s="444"/>
      <c r="P101" s="444"/>
      <c r="Q101" s="444"/>
      <c r="R101" s="444"/>
      <c r="S101" s="444"/>
      <c r="T101" s="444"/>
      <c r="U101" s="444"/>
      <c r="V101" s="517">
        <v>0</v>
      </c>
      <c r="W101" s="446"/>
      <c r="X101" s="425"/>
    </row>
    <row r="102" spans="1:26" s="426" customFormat="1" x14ac:dyDescent="0.3">
      <c r="A102" s="443">
        <f>+A101+1</f>
        <v>2</v>
      </c>
      <c r="B102" s="444" t="s">
        <v>331</v>
      </c>
      <c r="C102" s="444"/>
      <c r="D102" s="444"/>
      <c r="E102" s="444"/>
      <c r="F102" s="444"/>
      <c r="G102" s="444"/>
      <c r="H102" s="444"/>
      <c r="I102" s="444"/>
      <c r="J102" s="444"/>
      <c r="K102" s="444"/>
      <c r="L102" s="444"/>
      <c r="M102" s="444"/>
      <c r="N102" s="444"/>
      <c r="O102" s="444"/>
      <c r="P102" s="444"/>
      <c r="Q102" s="444"/>
      <c r="R102" s="444"/>
      <c r="S102" s="444"/>
      <c r="T102" s="444"/>
      <c r="U102" s="444"/>
      <c r="V102" s="517">
        <f>-2</f>
        <v>-2</v>
      </c>
      <c r="W102" s="446"/>
      <c r="X102" s="425"/>
    </row>
    <row r="103" spans="1:26" s="426" customFormat="1" x14ac:dyDescent="0.3">
      <c r="A103" s="443">
        <f>+A102+1</f>
        <v>3</v>
      </c>
      <c r="B103" s="548" t="s">
        <v>332</v>
      </c>
      <c r="C103" s="444"/>
      <c r="D103" s="444"/>
      <c r="E103" s="444"/>
      <c r="F103" s="444"/>
      <c r="G103" s="444"/>
      <c r="H103" s="444"/>
      <c r="I103" s="444"/>
      <c r="J103" s="444"/>
      <c r="K103" s="444"/>
      <c r="L103" s="444"/>
      <c r="M103" s="444"/>
      <c r="N103" s="444"/>
      <c r="O103" s="444"/>
      <c r="P103" s="444"/>
      <c r="Q103" s="444"/>
      <c r="R103" s="444"/>
      <c r="S103" s="444"/>
      <c r="T103" s="444"/>
      <c r="U103" s="444"/>
      <c r="V103" s="517">
        <f>-308-202-10</f>
        <v>-520</v>
      </c>
      <c r="W103" s="446"/>
      <c r="X103" s="425"/>
    </row>
    <row r="104" spans="1:26" s="426" customFormat="1" x14ac:dyDescent="0.3">
      <c r="A104" s="443" t="s">
        <v>130</v>
      </c>
      <c r="B104" s="444" t="s">
        <v>119</v>
      </c>
      <c r="C104" s="444"/>
      <c r="D104" s="444"/>
      <c r="E104" s="444"/>
      <c r="F104" s="444"/>
      <c r="G104" s="444"/>
      <c r="H104" s="444"/>
      <c r="I104" s="444"/>
      <c r="J104" s="444"/>
      <c r="K104" s="444"/>
      <c r="L104" s="444"/>
      <c r="M104" s="444"/>
      <c r="N104" s="444"/>
      <c r="O104" s="444"/>
      <c r="P104" s="444"/>
      <c r="Q104" s="444"/>
      <c r="R104" s="444"/>
      <c r="S104" s="444"/>
      <c r="T104" s="444"/>
      <c r="U104" s="444"/>
      <c r="V104" s="517">
        <v>0</v>
      </c>
      <c r="W104" s="446"/>
      <c r="X104" s="425"/>
    </row>
    <row r="105" spans="1:26" s="426" customFormat="1" x14ac:dyDescent="0.3">
      <c r="A105" s="443" t="s">
        <v>131</v>
      </c>
      <c r="B105" s="444" t="s">
        <v>362</v>
      </c>
      <c r="C105" s="444"/>
      <c r="D105" s="444"/>
      <c r="E105" s="444"/>
      <c r="F105" s="444"/>
      <c r="G105" s="444"/>
      <c r="H105" s="444"/>
      <c r="I105" s="444"/>
      <c r="J105" s="444"/>
      <c r="K105" s="444"/>
      <c r="L105" s="444"/>
      <c r="M105" s="444"/>
      <c r="N105" s="444"/>
      <c r="O105" s="444"/>
      <c r="P105" s="444"/>
      <c r="Q105" s="444"/>
      <c r="R105" s="444"/>
      <c r="S105" s="444"/>
      <c r="T105" s="444"/>
      <c r="U105" s="444"/>
      <c r="V105" s="517">
        <v>-578</v>
      </c>
      <c r="W105" s="446"/>
      <c r="X105" s="425"/>
      <c r="Y105" s="549"/>
      <c r="Z105" s="549"/>
    </row>
    <row r="106" spans="1:26" s="426" customFormat="1" x14ac:dyDescent="0.3">
      <c r="A106" s="443" t="s">
        <v>153</v>
      </c>
      <c r="B106" s="444" t="s">
        <v>363</v>
      </c>
      <c r="C106" s="444"/>
      <c r="D106" s="444"/>
      <c r="E106" s="444"/>
      <c r="F106" s="444"/>
      <c r="G106" s="444"/>
      <c r="H106" s="444"/>
      <c r="I106" s="444"/>
      <c r="J106" s="444"/>
      <c r="K106" s="444"/>
      <c r="L106" s="444"/>
      <c r="M106" s="444"/>
      <c r="N106" s="444"/>
      <c r="O106" s="444"/>
      <c r="P106" s="444"/>
      <c r="Q106" s="444"/>
      <c r="R106" s="444"/>
      <c r="S106" s="444"/>
      <c r="T106" s="444"/>
      <c r="U106" s="444"/>
      <c r="V106" s="517">
        <f>-835+578</f>
        <v>-257</v>
      </c>
      <c r="W106" s="446"/>
      <c r="X106" s="425"/>
      <c r="Y106" s="549"/>
    </row>
    <row r="107" spans="1:26" s="426" customFormat="1" x14ac:dyDescent="0.3">
      <c r="A107" s="443" t="s">
        <v>266</v>
      </c>
      <c r="B107" s="444" t="s">
        <v>269</v>
      </c>
      <c r="C107" s="444"/>
      <c r="D107" s="444"/>
      <c r="E107" s="444"/>
      <c r="F107" s="444"/>
      <c r="G107" s="444"/>
      <c r="H107" s="444"/>
      <c r="I107" s="444"/>
      <c r="J107" s="444"/>
      <c r="K107" s="444"/>
      <c r="L107" s="444"/>
      <c r="M107" s="444"/>
      <c r="N107" s="444"/>
      <c r="O107" s="444"/>
      <c r="P107" s="444"/>
      <c r="Q107" s="444"/>
      <c r="R107" s="444"/>
      <c r="S107" s="444"/>
      <c r="T107" s="444"/>
      <c r="U107" s="444"/>
      <c r="V107" s="517">
        <v>0</v>
      </c>
      <c r="W107" s="446"/>
      <c r="X107" s="425"/>
    </row>
    <row r="108" spans="1:26" s="426" customFormat="1" x14ac:dyDescent="0.3">
      <c r="A108" s="443" t="s">
        <v>208</v>
      </c>
      <c r="B108" s="444" t="s">
        <v>188</v>
      </c>
      <c r="C108" s="444"/>
      <c r="D108" s="444"/>
      <c r="E108" s="444"/>
      <c r="F108" s="444"/>
      <c r="G108" s="444"/>
      <c r="H108" s="444"/>
      <c r="I108" s="444"/>
      <c r="J108" s="444"/>
      <c r="K108" s="444"/>
      <c r="L108" s="444"/>
      <c r="M108" s="444"/>
      <c r="N108" s="444"/>
      <c r="O108" s="444"/>
      <c r="P108" s="444"/>
      <c r="Q108" s="444"/>
      <c r="R108" s="444"/>
      <c r="S108" s="444"/>
      <c r="T108" s="444"/>
      <c r="U108" s="444"/>
      <c r="V108" s="517">
        <v>-100</v>
      </c>
      <c r="W108" s="446"/>
      <c r="X108" s="425"/>
      <c r="Y108" s="549"/>
    </row>
    <row r="109" spans="1:26" s="426" customFormat="1" x14ac:dyDescent="0.3">
      <c r="A109" s="443" t="s">
        <v>209</v>
      </c>
      <c r="B109" s="444" t="s">
        <v>189</v>
      </c>
      <c r="C109" s="444"/>
      <c r="D109" s="444"/>
      <c r="E109" s="444"/>
      <c r="F109" s="444"/>
      <c r="G109" s="444"/>
      <c r="H109" s="444"/>
      <c r="I109" s="444"/>
      <c r="J109" s="444"/>
      <c r="K109" s="444"/>
      <c r="L109" s="444"/>
      <c r="M109" s="444"/>
      <c r="N109" s="444"/>
      <c r="O109" s="444"/>
      <c r="P109" s="444"/>
      <c r="Q109" s="444"/>
      <c r="R109" s="444"/>
      <c r="S109" s="444"/>
      <c r="T109" s="444"/>
      <c r="U109" s="444"/>
      <c r="V109" s="517">
        <v>-97</v>
      </c>
      <c r="W109" s="446"/>
      <c r="X109" s="425"/>
      <c r="Y109" s="549"/>
    </row>
    <row r="110" spans="1:26" s="426" customFormat="1" x14ac:dyDescent="0.3">
      <c r="A110" s="443" t="s">
        <v>210</v>
      </c>
      <c r="B110" s="444" t="s">
        <v>199</v>
      </c>
      <c r="C110" s="444"/>
      <c r="D110" s="444"/>
      <c r="E110" s="444"/>
      <c r="F110" s="444"/>
      <c r="G110" s="444"/>
      <c r="H110" s="444"/>
      <c r="I110" s="444"/>
      <c r="J110" s="444"/>
      <c r="K110" s="444"/>
      <c r="L110" s="444"/>
      <c r="M110" s="444"/>
      <c r="N110" s="444"/>
      <c r="O110" s="444"/>
      <c r="P110" s="444"/>
      <c r="Q110" s="444"/>
      <c r="R110" s="444"/>
      <c r="S110" s="444"/>
      <c r="T110" s="444"/>
      <c r="U110" s="444"/>
      <c r="V110" s="517">
        <v>-154</v>
      </c>
      <c r="W110" s="446"/>
      <c r="X110" s="425"/>
      <c r="Y110" s="549"/>
    </row>
    <row r="111" spans="1:26" s="426" customFormat="1" x14ac:dyDescent="0.3">
      <c r="A111" s="443" t="s">
        <v>230</v>
      </c>
      <c r="B111" s="444" t="s">
        <v>229</v>
      </c>
      <c r="C111" s="444"/>
      <c r="D111" s="444"/>
      <c r="E111" s="444"/>
      <c r="F111" s="444"/>
      <c r="G111" s="444"/>
      <c r="H111" s="444"/>
      <c r="I111" s="444"/>
      <c r="J111" s="444"/>
      <c r="K111" s="444"/>
      <c r="L111" s="444"/>
      <c r="M111" s="444"/>
      <c r="N111" s="444"/>
      <c r="O111" s="444"/>
      <c r="P111" s="444"/>
      <c r="Q111" s="444"/>
      <c r="R111" s="444"/>
      <c r="S111" s="444"/>
      <c r="T111" s="444"/>
      <c r="U111" s="444"/>
      <c r="V111" s="517">
        <v>-35</v>
      </c>
      <c r="W111" s="446"/>
      <c r="X111" s="425"/>
      <c r="Y111" s="549"/>
    </row>
    <row r="112" spans="1:26" s="426" customFormat="1" x14ac:dyDescent="0.3">
      <c r="A112" s="550">
        <v>7</v>
      </c>
      <c r="B112" s="548" t="s">
        <v>333</v>
      </c>
      <c r="C112" s="548"/>
      <c r="D112" s="548"/>
      <c r="E112" s="548"/>
      <c r="F112" s="548"/>
      <c r="G112" s="444"/>
      <c r="H112" s="444"/>
      <c r="I112" s="444"/>
      <c r="J112" s="444"/>
      <c r="K112" s="444"/>
      <c r="L112" s="444"/>
      <c r="M112" s="444"/>
      <c r="N112" s="444"/>
      <c r="O112" s="444"/>
      <c r="P112" s="444"/>
      <c r="Q112" s="444"/>
      <c r="R112" s="444"/>
      <c r="S112" s="444"/>
      <c r="T112" s="444"/>
      <c r="U112" s="444"/>
      <c r="V112" s="517">
        <v>0</v>
      </c>
      <c r="W112" s="446"/>
      <c r="X112" s="425"/>
      <c r="Y112" s="549"/>
    </row>
    <row r="113" spans="1:24" s="426" customFormat="1" x14ac:dyDescent="0.3">
      <c r="A113" s="443">
        <f t="shared" ref="A113:A120" si="0">+A112+1</f>
        <v>8</v>
      </c>
      <c r="B113" s="444" t="s">
        <v>35</v>
      </c>
      <c r="C113" s="444"/>
      <c r="D113" s="444"/>
      <c r="E113" s="444"/>
      <c r="F113" s="444"/>
      <c r="G113" s="444"/>
      <c r="H113" s="444"/>
      <c r="I113" s="444"/>
      <c r="J113" s="444"/>
      <c r="K113" s="444"/>
      <c r="L113" s="444"/>
      <c r="M113" s="444"/>
      <c r="N113" s="444"/>
      <c r="O113" s="444"/>
      <c r="P113" s="444"/>
      <c r="Q113" s="444"/>
      <c r="R113" s="444"/>
      <c r="S113" s="444"/>
      <c r="T113" s="444"/>
      <c r="U113" s="444"/>
      <c r="V113" s="517">
        <v>-44</v>
      </c>
      <c r="W113" s="446"/>
      <c r="X113" s="425"/>
    </row>
    <row r="114" spans="1:24" s="426" customFormat="1" x14ac:dyDescent="0.3">
      <c r="A114" s="443">
        <f t="shared" si="0"/>
        <v>9</v>
      </c>
      <c r="B114" s="444" t="s">
        <v>45</v>
      </c>
      <c r="C114" s="444"/>
      <c r="D114" s="444"/>
      <c r="E114" s="444"/>
      <c r="F114" s="444"/>
      <c r="G114" s="444"/>
      <c r="H114" s="444"/>
      <c r="I114" s="444"/>
      <c r="J114" s="444"/>
      <c r="K114" s="444"/>
      <c r="L114" s="444"/>
      <c r="M114" s="444"/>
      <c r="N114" s="444"/>
      <c r="O114" s="444"/>
      <c r="P114" s="444"/>
      <c r="Q114" s="444"/>
      <c r="R114" s="444"/>
      <c r="S114" s="444"/>
      <c r="T114" s="516">
        <f>-V114</f>
        <v>316</v>
      </c>
      <c r="U114" s="444"/>
      <c r="V114" s="517">
        <v>-316</v>
      </c>
      <c r="W114" s="446"/>
      <c r="X114" s="425"/>
    </row>
    <row r="115" spans="1:24" s="426" customFormat="1" x14ac:dyDescent="0.3">
      <c r="A115" s="443">
        <f t="shared" si="0"/>
        <v>10</v>
      </c>
      <c r="B115" s="444" t="s">
        <v>128</v>
      </c>
      <c r="C115" s="444"/>
      <c r="D115" s="444"/>
      <c r="E115" s="444"/>
      <c r="F115" s="444"/>
      <c r="G115" s="444"/>
      <c r="H115" s="444"/>
      <c r="I115" s="444"/>
      <c r="J115" s="444"/>
      <c r="K115" s="444"/>
      <c r="L115" s="444"/>
      <c r="M115" s="444"/>
      <c r="N115" s="444"/>
      <c r="O115" s="444"/>
      <c r="P115" s="444"/>
      <c r="Q115" s="444"/>
      <c r="R115" s="444"/>
      <c r="S115" s="444"/>
      <c r="T115" s="444"/>
      <c r="U115" s="444"/>
      <c r="V115" s="517">
        <v>0</v>
      </c>
      <c r="W115" s="446"/>
      <c r="X115" s="425"/>
    </row>
    <row r="116" spans="1:24" s="426" customFormat="1" x14ac:dyDescent="0.3">
      <c r="A116" s="443">
        <f t="shared" si="0"/>
        <v>11</v>
      </c>
      <c r="B116" s="444" t="s">
        <v>271</v>
      </c>
      <c r="C116" s="444"/>
      <c r="D116" s="444"/>
      <c r="E116" s="444"/>
      <c r="F116" s="444"/>
      <c r="G116" s="444"/>
      <c r="H116" s="444"/>
      <c r="I116" s="444"/>
      <c r="J116" s="444"/>
      <c r="K116" s="444"/>
      <c r="L116" s="444"/>
      <c r="M116" s="444"/>
      <c r="N116" s="444"/>
      <c r="O116" s="444"/>
      <c r="P116" s="444"/>
      <c r="Q116" s="444"/>
      <c r="R116" s="444"/>
      <c r="S116" s="444"/>
      <c r="T116" s="444"/>
      <c r="U116" s="444"/>
      <c r="V116" s="517">
        <v>0</v>
      </c>
      <c r="W116" s="446"/>
      <c r="X116" s="425"/>
    </row>
    <row r="117" spans="1:24" s="426" customFormat="1" x14ac:dyDescent="0.3">
      <c r="A117" s="443">
        <f t="shared" si="0"/>
        <v>12</v>
      </c>
      <c r="B117" s="444" t="s">
        <v>36</v>
      </c>
      <c r="C117" s="444"/>
      <c r="D117" s="444"/>
      <c r="E117" s="444"/>
      <c r="F117" s="444"/>
      <c r="G117" s="444"/>
      <c r="H117" s="444"/>
      <c r="I117" s="444"/>
      <c r="J117" s="444"/>
      <c r="K117" s="444"/>
      <c r="L117" s="444"/>
      <c r="M117" s="444"/>
      <c r="N117" s="444"/>
      <c r="O117" s="444"/>
      <c r="P117" s="444"/>
      <c r="Q117" s="444"/>
      <c r="R117" s="444"/>
      <c r="S117" s="444"/>
      <c r="T117" s="444"/>
      <c r="U117" s="444"/>
      <c r="V117" s="517">
        <v>0</v>
      </c>
      <c r="W117" s="446"/>
      <c r="X117" s="425"/>
    </row>
    <row r="118" spans="1:24" s="426" customFormat="1" x14ac:dyDescent="0.3">
      <c r="A118" s="443">
        <f t="shared" si="0"/>
        <v>13</v>
      </c>
      <c r="B118" s="444" t="s">
        <v>270</v>
      </c>
      <c r="C118" s="444"/>
      <c r="D118" s="444"/>
      <c r="E118" s="444"/>
      <c r="F118" s="444"/>
      <c r="G118" s="444"/>
      <c r="H118" s="444"/>
      <c r="I118" s="444"/>
      <c r="J118" s="444"/>
      <c r="K118" s="444"/>
      <c r="L118" s="444"/>
      <c r="M118" s="444"/>
      <c r="N118" s="444"/>
      <c r="O118" s="444"/>
      <c r="P118" s="444"/>
      <c r="Q118" s="444"/>
      <c r="R118" s="444"/>
      <c r="S118" s="444"/>
      <c r="T118" s="444"/>
      <c r="U118" s="444"/>
      <c r="V118" s="517">
        <v>0</v>
      </c>
      <c r="W118" s="446"/>
      <c r="X118" s="425"/>
    </row>
    <row r="119" spans="1:24" s="426" customFormat="1" x14ac:dyDescent="0.3">
      <c r="A119" s="443">
        <f t="shared" si="0"/>
        <v>14</v>
      </c>
      <c r="B119" s="444" t="s">
        <v>152</v>
      </c>
      <c r="C119" s="444"/>
      <c r="D119" s="444"/>
      <c r="E119" s="444"/>
      <c r="F119" s="444"/>
      <c r="G119" s="444"/>
      <c r="H119" s="444"/>
      <c r="I119" s="444"/>
      <c r="J119" s="444"/>
      <c r="K119" s="444"/>
      <c r="L119" s="444"/>
      <c r="M119" s="444"/>
      <c r="N119" s="444"/>
      <c r="O119" s="444"/>
      <c r="P119" s="444"/>
      <c r="Q119" s="444"/>
      <c r="R119" s="444"/>
      <c r="S119" s="444"/>
      <c r="T119" s="444"/>
      <c r="U119" s="444"/>
      <c r="V119" s="517">
        <v>-308</v>
      </c>
      <c r="W119" s="446"/>
      <c r="X119" s="425"/>
    </row>
    <row r="120" spans="1:24" s="426" customFormat="1" x14ac:dyDescent="0.3">
      <c r="A120" s="443">
        <f t="shared" si="0"/>
        <v>15</v>
      </c>
      <c r="B120" s="444" t="s">
        <v>129</v>
      </c>
      <c r="C120" s="444"/>
      <c r="D120" s="444"/>
      <c r="E120" s="444"/>
      <c r="F120" s="444"/>
      <c r="G120" s="444"/>
      <c r="H120" s="444"/>
      <c r="I120" s="444"/>
      <c r="J120" s="444"/>
      <c r="K120" s="444"/>
      <c r="L120" s="444"/>
      <c r="M120" s="444"/>
      <c r="N120" s="444"/>
      <c r="O120" s="444"/>
      <c r="P120" s="444"/>
      <c r="Q120" s="444"/>
      <c r="R120" s="444"/>
      <c r="S120" s="444"/>
      <c r="T120" s="444"/>
      <c r="U120" s="444"/>
      <c r="V120" s="517">
        <f>-V99-SUM(V101:V119)</f>
        <v>-2280</v>
      </c>
      <c r="W120" s="446"/>
      <c r="X120" s="425"/>
    </row>
    <row r="121" spans="1:24" x14ac:dyDescent="0.3">
      <c r="A121" s="543"/>
      <c r="B121" s="544" t="s">
        <v>37</v>
      </c>
      <c r="C121" s="465"/>
      <c r="D121" s="465"/>
      <c r="E121" s="465"/>
      <c r="F121" s="465"/>
      <c r="G121" s="465"/>
      <c r="H121" s="465"/>
      <c r="I121" s="465"/>
      <c r="J121" s="465"/>
      <c r="K121" s="465"/>
      <c r="L121" s="465"/>
      <c r="M121" s="465"/>
      <c r="N121" s="465"/>
      <c r="O121" s="465"/>
      <c r="P121" s="465"/>
      <c r="Q121" s="465"/>
      <c r="R121" s="465"/>
      <c r="S121" s="465"/>
      <c r="T121" s="465"/>
      <c r="U121" s="465"/>
      <c r="V121" s="551"/>
      <c r="W121" s="547"/>
      <c r="X121" s="406"/>
    </row>
    <row r="122" spans="1:24" s="426" customFormat="1" x14ac:dyDescent="0.3">
      <c r="A122" s="443"/>
      <c r="B122" s="444" t="s">
        <v>176</v>
      </c>
      <c r="C122" s="444"/>
      <c r="D122" s="444"/>
      <c r="E122" s="444"/>
      <c r="F122" s="444"/>
      <c r="G122" s="444"/>
      <c r="H122" s="444"/>
      <c r="I122" s="444"/>
      <c r="J122" s="444"/>
      <c r="K122" s="444"/>
      <c r="L122" s="444"/>
      <c r="M122" s="444"/>
      <c r="N122" s="444"/>
      <c r="O122" s="444"/>
      <c r="P122" s="444"/>
      <c r="Q122" s="444"/>
      <c r="R122" s="444"/>
      <c r="S122" s="444"/>
      <c r="T122" s="516">
        <f>-T182</f>
        <v>-3</v>
      </c>
      <c r="U122" s="516"/>
      <c r="V122" s="517"/>
      <c r="W122" s="446"/>
      <c r="X122" s="425"/>
    </row>
    <row r="123" spans="1:24" s="426" customFormat="1" x14ac:dyDescent="0.3">
      <c r="A123" s="443"/>
      <c r="B123" s="444" t="s">
        <v>177</v>
      </c>
      <c r="C123" s="444"/>
      <c r="D123" s="444"/>
      <c r="E123" s="444"/>
      <c r="F123" s="444"/>
      <c r="G123" s="444"/>
      <c r="H123" s="444"/>
      <c r="I123" s="444"/>
      <c r="J123" s="444"/>
      <c r="K123" s="444"/>
      <c r="L123" s="444"/>
      <c r="M123" s="444"/>
      <c r="N123" s="444"/>
      <c r="O123" s="444"/>
      <c r="P123" s="444"/>
      <c r="Q123" s="444"/>
      <c r="R123" s="444"/>
      <c r="S123" s="444"/>
      <c r="T123" s="516">
        <v>0</v>
      </c>
      <c r="U123" s="516"/>
      <c r="V123" s="517"/>
      <c r="W123" s="446"/>
      <c r="X123" s="425"/>
    </row>
    <row r="124" spans="1:24" s="426" customFormat="1" x14ac:dyDescent="0.3">
      <c r="A124" s="443"/>
      <c r="B124" s="444" t="s">
        <v>38</v>
      </c>
      <c r="C124" s="444"/>
      <c r="D124" s="444"/>
      <c r="E124" s="444"/>
      <c r="F124" s="444"/>
      <c r="G124" s="444"/>
      <c r="H124" s="444"/>
      <c r="I124" s="444"/>
      <c r="J124" s="444"/>
      <c r="K124" s="444"/>
      <c r="L124" s="444"/>
      <c r="M124" s="444"/>
      <c r="N124" s="444"/>
      <c r="O124" s="444"/>
      <c r="P124" s="444"/>
      <c r="Q124" s="444"/>
      <c r="R124" s="444"/>
      <c r="S124" s="444"/>
      <c r="T124" s="516">
        <f>-S182</f>
        <v>-272</v>
      </c>
      <c r="U124" s="516"/>
      <c r="V124" s="517"/>
      <c r="W124" s="446"/>
      <c r="X124" s="425"/>
    </row>
    <row r="125" spans="1:24" s="426" customFormat="1" x14ac:dyDescent="0.3">
      <c r="A125" s="443"/>
      <c r="B125" s="444" t="s">
        <v>386</v>
      </c>
      <c r="C125" s="444"/>
      <c r="D125" s="444"/>
      <c r="E125" s="444"/>
      <c r="F125" s="444"/>
      <c r="G125" s="444"/>
      <c r="H125" s="444"/>
      <c r="I125" s="444"/>
      <c r="J125" s="444"/>
      <c r="K125" s="444"/>
      <c r="L125" s="444"/>
      <c r="M125" s="444"/>
      <c r="N125" s="444"/>
      <c r="O125" s="444"/>
      <c r="P125" s="444"/>
      <c r="Q125" s="444"/>
      <c r="R125" s="444"/>
      <c r="S125" s="444"/>
      <c r="T125" s="516">
        <v>-5554</v>
      </c>
      <c r="U125" s="516"/>
      <c r="V125" s="517"/>
      <c r="W125" s="446"/>
      <c r="X125" s="425"/>
    </row>
    <row r="126" spans="1:24" s="426" customFormat="1" x14ac:dyDescent="0.3">
      <c r="A126" s="443"/>
      <c r="B126" s="444" t="s">
        <v>198</v>
      </c>
      <c r="C126" s="444"/>
      <c r="D126" s="444"/>
      <c r="E126" s="444"/>
      <c r="F126" s="444"/>
      <c r="G126" s="444"/>
      <c r="H126" s="444"/>
      <c r="I126" s="444"/>
      <c r="J126" s="444"/>
      <c r="K126" s="444"/>
      <c r="L126" s="444"/>
      <c r="M126" s="444"/>
      <c r="N126" s="444"/>
      <c r="O126" s="444"/>
      <c r="P126" s="444"/>
      <c r="Q126" s="444"/>
      <c r="R126" s="444"/>
      <c r="S126" s="444"/>
      <c r="T126" s="516">
        <v>-870</v>
      </c>
      <c r="U126" s="516"/>
      <c r="V126" s="517"/>
      <c r="W126" s="446"/>
      <c r="X126" s="425"/>
    </row>
    <row r="127" spans="1:24" s="426" customFormat="1" x14ac:dyDescent="0.3">
      <c r="A127" s="443"/>
      <c r="B127" s="444" t="s">
        <v>197</v>
      </c>
      <c r="C127" s="444"/>
      <c r="D127" s="444"/>
      <c r="E127" s="444"/>
      <c r="F127" s="444"/>
      <c r="G127" s="444"/>
      <c r="H127" s="444"/>
      <c r="I127" s="444"/>
      <c r="J127" s="444"/>
      <c r="K127" s="444"/>
      <c r="L127" s="444"/>
      <c r="M127" s="444"/>
      <c r="N127" s="444"/>
      <c r="O127" s="444"/>
      <c r="P127" s="444"/>
      <c r="Q127" s="444"/>
      <c r="R127" s="444"/>
      <c r="S127" s="444"/>
      <c r="T127" s="516">
        <v>-1471</v>
      </c>
      <c r="U127" s="516"/>
      <c r="V127" s="517"/>
      <c r="W127" s="446"/>
      <c r="X127" s="425"/>
    </row>
    <row r="128" spans="1:24" s="426" customFormat="1" x14ac:dyDescent="0.3">
      <c r="A128" s="443"/>
      <c r="B128" s="444" t="s">
        <v>232</v>
      </c>
      <c r="C128" s="444"/>
      <c r="D128" s="444"/>
      <c r="E128" s="444"/>
      <c r="F128" s="444"/>
      <c r="G128" s="444"/>
      <c r="H128" s="444"/>
      <c r="I128" s="444"/>
      <c r="J128" s="444"/>
      <c r="K128" s="444"/>
      <c r="L128" s="444"/>
      <c r="M128" s="444"/>
      <c r="N128" s="444"/>
      <c r="O128" s="444"/>
      <c r="P128" s="444"/>
      <c r="Q128" s="444"/>
      <c r="R128" s="444"/>
      <c r="S128" s="444"/>
      <c r="T128" s="516">
        <v>-1296</v>
      </c>
      <c r="U128" s="516"/>
      <c r="V128" s="517"/>
      <c r="W128" s="446"/>
      <c r="X128" s="425"/>
    </row>
    <row r="129" spans="1:24" s="426" customFormat="1" x14ac:dyDescent="0.3">
      <c r="A129" s="443"/>
      <c r="B129" s="444" t="s">
        <v>192</v>
      </c>
      <c r="C129" s="444"/>
      <c r="D129" s="444"/>
      <c r="E129" s="444"/>
      <c r="F129" s="444"/>
      <c r="G129" s="444"/>
      <c r="H129" s="444"/>
      <c r="I129" s="444"/>
      <c r="J129" s="444"/>
      <c r="K129" s="444"/>
      <c r="L129" s="444"/>
      <c r="M129" s="444"/>
      <c r="N129" s="444"/>
      <c r="O129" s="444"/>
      <c r="P129" s="444"/>
      <c r="Q129" s="444"/>
      <c r="R129" s="444"/>
      <c r="S129" s="444"/>
      <c r="T129" s="516">
        <v>0</v>
      </c>
      <c r="U129" s="516"/>
      <c r="V129" s="517"/>
      <c r="W129" s="446"/>
      <c r="X129" s="425"/>
    </row>
    <row r="130" spans="1:24" s="426" customFormat="1" x14ac:dyDescent="0.3">
      <c r="A130" s="443"/>
      <c r="B130" s="444" t="s">
        <v>191</v>
      </c>
      <c r="C130" s="444"/>
      <c r="D130" s="444"/>
      <c r="E130" s="444"/>
      <c r="F130" s="444"/>
      <c r="G130" s="444"/>
      <c r="H130" s="444"/>
      <c r="I130" s="444"/>
      <c r="J130" s="444"/>
      <c r="K130" s="444"/>
      <c r="L130" s="444"/>
      <c r="M130" s="444"/>
      <c r="N130" s="444"/>
      <c r="O130" s="444"/>
      <c r="P130" s="444"/>
      <c r="Q130" s="444"/>
      <c r="R130" s="444"/>
      <c r="S130" s="444"/>
      <c r="T130" s="516">
        <v>0</v>
      </c>
      <c r="U130" s="516"/>
      <c r="V130" s="517"/>
      <c r="W130" s="446"/>
      <c r="X130" s="425"/>
    </row>
    <row r="131" spans="1:24" s="426" customFormat="1" x14ac:dyDescent="0.3">
      <c r="A131" s="443"/>
      <c r="B131" s="444" t="s">
        <v>233</v>
      </c>
      <c r="C131" s="444"/>
      <c r="D131" s="444"/>
      <c r="E131" s="444"/>
      <c r="F131" s="444"/>
      <c r="G131" s="444"/>
      <c r="H131" s="444"/>
      <c r="I131" s="444"/>
      <c r="J131" s="444"/>
      <c r="K131" s="444"/>
      <c r="L131" s="444"/>
      <c r="M131" s="444"/>
      <c r="N131" s="444"/>
      <c r="O131" s="444"/>
      <c r="P131" s="444"/>
      <c r="Q131" s="444"/>
      <c r="R131" s="444"/>
      <c r="S131" s="444"/>
      <c r="T131" s="516">
        <v>0</v>
      </c>
      <c r="U131" s="516"/>
      <c r="V131" s="517"/>
      <c r="W131" s="446"/>
      <c r="X131" s="425"/>
    </row>
    <row r="132" spans="1:24" s="426" customFormat="1" x14ac:dyDescent="0.3">
      <c r="A132" s="443"/>
      <c r="B132" s="444" t="s">
        <v>190</v>
      </c>
      <c r="C132" s="444"/>
      <c r="D132" s="444"/>
      <c r="E132" s="444"/>
      <c r="F132" s="444"/>
      <c r="G132" s="444"/>
      <c r="H132" s="444"/>
      <c r="I132" s="444"/>
      <c r="J132" s="444"/>
      <c r="K132" s="444"/>
      <c r="L132" s="444"/>
      <c r="M132" s="444"/>
      <c r="N132" s="444"/>
      <c r="O132" s="444"/>
      <c r="P132" s="444"/>
      <c r="Q132" s="444"/>
      <c r="R132" s="444"/>
      <c r="S132" s="444"/>
      <c r="T132" s="516">
        <v>0</v>
      </c>
      <c r="U132" s="516"/>
      <c r="V132" s="517"/>
      <c r="W132" s="446"/>
      <c r="X132" s="425"/>
    </row>
    <row r="133" spans="1:24" s="426" customFormat="1" x14ac:dyDescent="0.3">
      <c r="A133" s="443"/>
      <c r="B133" s="444" t="s">
        <v>39</v>
      </c>
      <c r="C133" s="444"/>
      <c r="D133" s="444"/>
      <c r="E133" s="444"/>
      <c r="F133" s="444"/>
      <c r="G133" s="444"/>
      <c r="H133" s="444"/>
      <c r="I133" s="444"/>
      <c r="J133" s="444"/>
      <c r="K133" s="444"/>
      <c r="L133" s="444"/>
      <c r="M133" s="444"/>
      <c r="N133" s="444"/>
      <c r="O133" s="444"/>
      <c r="P133" s="444"/>
      <c r="Q133" s="444"/>
      <c r="R133" s="444"/>
      <c r="S133" s="444"/>
      <c r="T133" s="516">
        <f>SUM(T122:T132)</f>
        <v>-9466</v>
      </c>
      <c r="U133" s="516"/>
      <c r="V133" s="516">
        <f>SUM(V100:V130)</f>
        <v>-4691</v>
      </c>
      <c r="W133" s="446"/>
      <c r="X133" s="425"/>
    </row>
    <row r="134" spans="1:24" s="426" customFormat="1" x14ac:dyDescent="0.3">
      <c r="A134" s="443"/>
      <c r="B134" s="444" t="s">
        <v>40</v>
      </c>
      <c r="C134" s="444"/>
      <c r="D134" s="444"/>
      <c r="E134" s="444"/>
      <c r="F134" s="444"/>
      <c r="G134" s="444"/>
      <c r="H134" s="444"/>
      <c r="I134" s="444"/>
      <c r="J134" s="444"/>
      <c r="K134" s="444"/>
      <c r="L134" s="444"/>
      <c r="M134" s="444"/>
      <c r="N134" s="444"/>
      <c r="O134" s="444"/>
      <c r="P134" s="444"/>
      <c r="Q134" s="444"/>
      <c r="R134" s="444"/>
      <c r="S134" s="444"/>
      <c r="T134" s="516">
        <f>T99+T133+T114</f>
        <v>0</v>
      </c>
      <c r="U134" s="516"/>
      <c r="V134" s="516">
        <f>V99+V133</f>
        <v>0</v>
      </c>
      <c r="W134" s="446"/>
      <c r="X134" s="425"/>
    </row>
    <row r="135" spans="1:24" s="426" customFormat="1" x14ac:dyDescent="0.3">
      <c r="A135" s="421"/>
      <c r="B135" s="494"/>
      <c r="C135" s="494"/>
      <c r="D135" s="494"/>
      <c r="E135" s="494"/>
      <c r="F135" s="494"/>
      <c r="G135" s="494"/>
      <c r="H135" s="494"/>
      <c r="I135" s="494"/>
      <c r="J135" s="494"/>
      <c r="K135" s="494"/>
      <c r="L135" s="494"/>
      <c r="M135" s="494"/>
      <c r="N135" s="494"/>
      <c r="O135" s="494"/>
      <c r="P135" s="494"/>
      <c r="Q135" s="494"/>
      <c r="R135" s="494"/>
      <c r="S135" s="494"/>
      <c r="T135" s="552"/>
      <c r="U135" s="552"/>
      <c r="V135" s="552"/>
      <c r="W135" s="424"/>
      <c r="X135" s="425"/>
    </row>
    <row r="136" spans="1:24" s="426" customFormat="1" x14ac:dyDescent="0.3">
      <c r="A136" s="421"/>
      <c r="B136" s="422"/>
      <c r="C136" s="422"/>
      <c r="D136" s="422"/>
      <c r="E136" s="422"/>
      <c r="F136" s="422"/>
      <c r="G136" s="422"/>
      <c r="H136" s="422"/>
      <c r="I136" s="422"/>
      <c r="J136" s="422"/>
      <c r="K136" s="422"/>
      <c r="L136" s="422"/>
      <c r="M136" s="422"/>
      <c r="N136" s="422"/>
      <c r="O136" s="422"/>
      <c r="P136" s="422"/>
      <c r="Q136" s="422"/>
      <c r="R136" s="422"/>
      <c r="S136" s="422"/>
      <c r="T136" s="422"/>
      <c r="U136" s="422"/>
      <c r="V136" s="553"/>
      <c r="W136" s="424"/>
      <c r="X136" s="425"/>
    </row>
    <row r="137" spans="1:24" s="426" customFormat="1" ht="18.600000000000001" thickBot="1" x14ac:dyDescent="0.4">
      <c r="A137" s="500"/>
      <c r="B137" s="501" t="str">
        <f>B63</f>
        <v>PM13 INVESTOR REPORT QUARTER ENDING SEPTEMBER 2017</v>
      </c>
      <c r="C137" s="502"/>
      <c r="D137" s="502"/>
      <c r="E137" s="502"/>
      <c r="F137" s="502"/>
      <c r="G137" s="502"/>
      <c r="H137" s="502"/>
      <c r="I137" s="502"/>
      <c r="J137" s="502"/>
      <c r="K137" s="502"/>
      <c r="L137" s="502"/>
      <c r="M137" s="502"/>
      <c r="N137" s="502"/>
      <c r="O137" s="502"/>
      <c r="P137" s="502"/>
      <c r="Q137" s="502"/>
      <c r="R137" s="502"/>
      <c r="S137" s="502"/>
      <c r="T137" s="502"/>
      <c r="U137" s="502"/>
      <c r="V137" s="554"/>
      <c r="W137" s="555"/>
      <c r="X137" s="425"/>
    </row>
    <row r="138" spans="1:24" x14ac:dyDescent="0.3">
      <c r="A138" s="505"/>
      <c r="B138" s="506" t="s">
        <v>41</v>
      </c>
      <c r="C138" s="507"/>
      <c r="D138" s="507"/>
      <c r="E138" s="507"/>
      <c r="F138" s="507"/>
      <c r="G138" s="507"/>
      <c r="H138" s="507"/>
      <c r="I138" s="507"/>
      <c r="J138" s="507"/>
      <c r="K138" s="507"/>
      <c r="L138" s="507"/>
      <c r="M138" s="507"/>
      <c r="N138" s="507"/>
      <c r="O138" s="507"/>
      <c r="P138" s="507"/>
      <c r="Q138" s="507"/>
      <c r="R138" s="507"/>
      <c r="S138" s="507"/>
      <c r="T138" s="507"/>
      <c r="U138" s="507"/>
      <c r="V138" s="508"/>
      <c r="W138" s="509"/>
      <c r="X138" s="406"/>
    </row>
    <row r="139" spans="1:24" x14ac:dyDescent="0.3">
      <c r="A139" s="408"/>
      <c r="B139" s="556"/>
      <c r="C139" s="410"/>
      <c r="D139" s="410"/>
      <c r="E139" s="410"/>
      <c r="F139" s="410"/>
      <c r="G139" s="410"/>
      <c r="H139" s="410"/>
      <c r="I139" s="410"/>
      <c r="J139" s="410"/>
      <c r="K139" s="410"/>
      <c r="L139" s="410"/>
      <c r="M139" s="410"/>
      <c r="N139" s="410"/>
      <c r="O139" s="410"/>
      <c r="P139" s="410"/>
      <c r="Q139" s="410"/>
      <c r="R139" s="410"/>
      <c r="S139" s="410"/>
      <c r="T139" s="410"/>
      <c r="U139" s="410"/>
      <c r="V139" s="510"/>
      <c r="W139" s="411"/>
      <c r="X139" s="406"/>
    </row>
    <row r="140" spans="1:24" x14ac:dyDescent="0.3">
      <c r="A140" s="408"/>
      <c r="B140" s="557" t="s">
        <v>42</v>
      </c>
      <c r="C140" s="410"/>
      <c r="D140" s="410"/>
      <c r="E140" s="410"/>
      <c r="F140" s="410"/>
      <c r="G140" s="410"/>
      <c r="H140" s="410"/>
      <c r="I140" s="410"/>
      <c r="J140" s="410"/>
      <c r="K140" s="410"/>
      <c r="L140" s="410"/>
      <c r="M140" s="410"/>
      <c r="N140" s="410"/>
      <c r="O140" s="410"/>
      <c r="P140" s="410"/>
      <c r="Q140" s="410"/>
      <c r="R140" s="410"/>
      <c r="S140" s="410"/>
      <c r="T140" s="410"/>
      <c r="U140" s="410"/>
      <c r="V140" s="510"/>
      <c r="W140" s="411"/>
      <c r="X140" s="406"/>
    </row>
    <row r="141" spans="1:24" x14ac:dyDescent="0.3">
      <c r="A141" s="543"/>
      <c r="B141" s="444" t="s">
        <v>43</v>
      </c>
      <c r="C141" s="444"/>
      <c r="D141" s="444"/>
      <c r="E141" s="444"/>
      <c r="F141" s="444"/>
      <c r="G141" s="444"/>
      <c r="H141" s="444"/>
      <c r="I141" s="444"/>
      <c r="J141" s="444"/>
      <c r="K141" s="444"/>
      <c r="L141" s="444"/>
      <c r="M141" s="444"/>
      <c r="N141" s="444"/>
      <c r="O141" s="444"/>
      <c r="P141" s="444"/>
      <c r="Q141" s="444"/>
      <c r="R141" s="444"/>
      <c r="S141" s="444"/>
      <c r="T141" s="444"/>
      <c r="U141" s="444"/>
      <c r="V141" s="517">
        <f>+V34*0.019</f>
        <v>28503.61</v>
      </c>
      <c r="W141" s="558"/>
      <c r="X141" s="406"/>
    </row>
    <row r="142" spans="1:24" x14ac:dyDescent="0.3">
      <c r="A142" s="543"/>
      <c r="B142" s="444" t="s">
        <v>44</v>
      </c>
      <c r="C142" s="444"/>
      <c r="D142" s="444"/>
      <c r="E142" s="444"/>
      <c r="F142" s="444"/>
      <c r="G142" s="444"/>
      <c r="H142" s="444"/>
      <c r="I142" s="444"/>
      <c r="J142" s="444"/>
      <c r="K142" s="444"/>
      <c r="L142" s="444"/>
      <c r="M142" s="444"/>
      <c r="N142" s="444"/>
      <c r="O142" s="444"/>
      <c r="P142" s="444"/>
      <c r="Q142" s="444"/>
      <c r="R142" s="444"/>
      <c r="S142" s="444"/>
      <c r="T142" s="444"/>
      <c r="U142" s="444"/>
      <c r="V142" s="517">
        <v>28504</v>
      </c>
      <c r="W142" s="558"/>
      <c r="X142" s="406"/>
    </row>
    <row r="143" spans="1:24" x14ac:dyDescent="0.3">
      <c r="A143" s="543"/>
      <c r="B143" s="444" t="s">
        <v>139</v>
      </c>
      <c r="C143" s="444"/>
      <c r="D143" s="444"/>
      <c r="E143" s="444"/>
      <c r="F143" s="444"/>
      <c r="G143" s="444"/>
      <c r="H143" s="444"/>
      <c r="I143" s="444"/>
      <c r="J143" s="444"/>
      <c r="K143" s="444"/>
      <c r="L143" s="444"/>
      <c r="M143" s="444"/>
      <c r="N143" s="444"/>
      <c r="O143" s="444"/>
      <c r="P143" s="444"/>
      <c r="Q143" s="444"/>
      <c r="R143" s="444"/>
      <c r="S143" s="444"/>
      <c r="T143" s="444"/>
      <c r="U143" s="444"/>
      <c r="V143" s="517"/>
      <c r="W143" s="558"/>
      <c r="X143" s="406"/>
    </row>
    <row r="144" spans="1:24" x14ac:dyDescent="0.3">
      <c r="A144" s="543"/>
      <c r="B144" s="444" t="s">
        <v>126</v>
      </c>
      <c r="C144" s="444"/>
      <c r="D144" s="444"/>
      <c r="E144" s="444"/>
      <c r="F144" s="444"/>
      <c r="G144" s="444"/>
      <c r="H144" s="444"/>
      <c r="I144" s="444"/>
      <c r="J144" s="444"/>
      <c r="K144" s="444"/>
      <c r="L144" s="444"/>
      <c r="M144" s="444"/>
      <c r="N144" s="444"/>
      <c r="O144" s="444"/>
      <c r="P144" s="444"/>
      <c r="Q144" s="444"/>
      <c r="R144" s="444"/>
      <c r="S144" s="444"/>
      <c r="T144" s="444"/>
      <c r="U144" s="444"/>
      <c r="V144" s="517">
        <v>0</v>
      </c>
      <c r="W144" s="558"/>
      <c r="X144" s="406"/>
    </row>
    <row r="145" spans="1:25" x14ac:dyDescent="0.3">
      <c r="A145" s="543"/>
      <c r="B145" s="444" t="s">
        <v>127</v>
      </c>
      <c r="C145" s="444"/>
      <c r="D145" s="444"/>
      <c r="E145" s="444"/>
      <c r="F145" s="444"/>
      <c r="G145" s="444"/>
      <c r="H145" s="444"/>
      <c r="I145" s="444"/>
      <c r="J145" s="444"/>
      <c r="K145" s="444"/>
      <c r="L145" s="444"/>
      <c r="M145" s="444"/>
      <c r="N145" s="444"/>
      <c r="O145" s="444"/>
      <c r="P145" s="444"/>
      <c r="Q145" s="444"/>
      <c r="R145" s="444"/>
      <c r="S145" s="444"/>
      <c r="T145" s="444"/>
      <c r="U145" s="444"/>
      <c r="V145" s="517">
        <v>0</v>
      </c>
      <c r="W145" s="558"/>
      <c r="X145" s="406"/>
    </row>
    <row r="146" spans="1:25" x14ac:dyDescent="0.3">
      <c r="A146" s="543"/>
      <c r="B146" s="444" t="s">
        <v>178</v>
      </c>
      <c r="C146" s="444"/>
      <c r="D146" s="444"/>
      <c r="E146" s="444"/>
      <c r="F146" s="444"/>
      <c r="G146" s="444"/>
      <c r="H146" s="444"/>
      <c r="I146" s="444"/>
      <c r="J146" s="444"/>
      <c r="K146" s="444"/>
      <c r="L146" s="444"/>
      <c r="M146" s="444"/>
      <c r="N146" s="444"/>
      <c r="O146" s="444"/>
      <c r="P146" s="444"/>
      <c r="Q146" s="444"/>
      <c r="R146" s="444"/>
      <c r="S146" s="444"/>
      <c r="T146" s="444"/>
      <c r="U146" s="444"/>
      <c r="V146" s="517">
        <v>0</v>
      </c>
      <c r="W146" s="558"/>
      <c r="X146" s="406"/>
    </row>
    <row r="147" spans="1:25" x14ac:dyDescent="0.3">
      <c r="A147" s="543"/>
      <c r="B147" s="444" t="s">
        <v>45</v>
      </c>
      <c r="C147" s="444"/>
      <c r="D147" s="444"/>
      <c r="E147" s="444"/>
      <c r="F147" s="444"/>
      <c r="G147" s="444"/>
      <c r="H147" s="444"/>
      <c r="I147" s="444"/>
      <c r="J147" s="444"/>
      <c r="K147" s="444"/>
      <c r="L147" s="444"/>
      <c r="M147" s="444"/>
      <c r="N147" s="444"/>
      <c r="O147" s="444"/>
      <c r="P147" s="444"/>
      <c r="Q147" s="444"/>
      <c r="R147" s="444"/>
      <c r="S147" s="444"/>
      <c r="T147" s="444"/>
      <c r="U147" s="444"/>
      <c r="V147" s="517">
        <v>0</v>
      </c>
      <c r="W147" s="558"/>
      <c r="X147" s="406"/>
    </row>
    <row r="148" spans="1:25" x14ac:dyDescent="0.3">
      <c r="A148" s="543"/>
      <c r="B148" s="444" t="s">
        <v>132</v>
      </c>
      <c r="C148" s="444"/>
      <c r="D148" s="444"/>
      <c r="E148" s="444"/>
      <c r="F148" s="444"/>
      <c r="G148" s="444"/>
      <c r="H148" s="444"/>
      <c r="I148" s="444"/>
      <c r="J148" s="444"/>
      <c r="K148" s="444"/>
      <c r="L148" s="444"/>
      <c r="M148" s="444"/>
      <c r="N148" s="444"/>
      <c r="O148" s="444"/>
      <c r="P148" s="444"/>
      <c r="Q148" s="444"/>
      <c r="R148" s="444"/>
      <c r="S148" s="444"/>
      <c r="T148" s="444"/>
      <c r="U148" s="444"/>
      <c r="V148" s="517">
        <v>0</v>
      </c>
      <c r="W148" s="558"/>
      <c r="X148" s="406"/>
    </row>
    <row r="149" spans="1:25" x14ac:dyDescent="0.3">
      <c r="A149" s="543"/>
      <c r="B149" s="444" t="s">
        <v>267</v>
      </c>
      <c r="C149" s="444"/>
      <c r="D149" s="444"/>
      <c r="E149" s="444"/>
      <c r="F149" s="444"/>
      <c r="G149" s="444"/>
      <c r="H149" s="444"/>
      <c r="I149" s="444"/>
      <c r="J149" s="444"/>
      <c r="K149" s="444"/>
      <c r="L149" s="444"/>
      <c r="M149" s="444"/>
      <c r="N149" s="444"/>
      <c r="O149" s="444"/>
      <c r="P149" s="444"/>
      <c r="Q149" s="444"/>
      <c r="R149" s="444"/>
      <c r="S149" s="444"/>
      <c r="T149" s="444"/>
      <c r="U149" s="444"/>
      <c r="V149" s="517">
        <v>0</v>
      </c>
      <c r="W149" s="558"/>
      <c r="X149" s="406"/>
      <c r="Y149" s="559"/>
    </row>
    <row r="150" spans="1:25" x14ac:dyDescent="0.3">
      <c r="A150" s="543"/>
      <c r="B150" s="444" t="s">
        <v>46</v>
      </c>
      <c r="C150" s="444"/>
      <c r="D150" s="444"/>
      <c r="E150" s="444"/>
      <c r="F150" s="444"/>
      <c r="G150" s="444"/>
      <c r="H150" s="444"/>
      <c r="I150" s="444"/>
      <c r="J150" s="444"/>
      <c r="K150" s="444"/>
      <c r="L150" s="444"/>
      <c r="M150" s="444"/>
      <c r="N150" s="444"/>
      <c r="O150" s="444"/>
      <c r="P150" s="444"/>
      <c r="Q150" s="444"/>
      <c r="R150" s="444"/>
      <c r="S150" s="444"/>
      <c r="T150" s="444"/>
      <c r="U150" s="444"/>
      <c r="V150" s="517">
        <f>SUM(V142:V149)</f>
        <v>28504</v>
      </c>
      <c r="W150" s="558"/>
      <c r="X150" s="406"/>
    </row>
    <row r="151" spans="1:25" x14ac:dyDescent="0.3">
      <c r="A151" s="543"/>
      <c r="B151" s="465"/>
      <c r="C151" s="465"/>
      <c r="D151" s="465"/>
      <c r="E151" s="465"/>
      <c r="F151" s="465"/>
      <c r="G151" s="465"/>
      <c r="H151" s="465"/>
      <c r="I151" s="465"/>
      <c r="J151" s="465"/>
      <c r="K151" s="465"/>
      <c r="L151" s="465"/>
      <c r="M151" s="465"/>
      <c r="N151" s="465"/>
      <c r="O151" s="465"/>
      <c r="P151" s="465"/>
      <c r="Q151" s="465"/>
      <c r="R151" s="465"/>
      <c r="S151" s="465"/>
      <c r="T151" s="465"/>
      <c r="U151" s="465"/>
      <c r="V151" s="546"/>
      <c r="W151" s="547"/>
      <c r="X151" s="406"/>
    </row>
    <row r="152" spans="1:25" x14ac:dyDescent="0.3">
      <c r="A152" s="543"/>
      <c r="B152" s="544" t="s">
        <v>268</v>
      </c>
      <c r="C152" s="465"/>
      <c r="D152" s="465"/>
      <c r="E152" s="465"/>
      <c r="F152" s="465"/>
      <c r="G152" s="465"/>
      <c r="H152" s="465"/>
      <c r="I152" s="465"/>
      <c r="J152" s="465"/>
      <c r="K152" s="465"/>
      <c r="L152" s="465"/>
      <c r="M152" s="465"/>
      <c r="N152" s="465"/>
      <c r="O152" s="465"/>
      <c r="P152" s="465"/>
      <c r="Q152" s="465"/>
      <c r="R152" s="465"/>
      <c r="S152" s="465"/>
      <c r="T152" s="465"/>
      <c r="U152" s="465"/>
      <c r="V152" s="546"/>
      <c r="W152" s="547"/>
      <c r="X152" s="406"/>
    </row>
    <row r="153" spans="1:25" x14ac:dyDescent="0.3">
      <c r="A153" s="543"/>
      <c r="B153" s="444" t="s">
        <v>158</v>
      </c>
      <c r="C153" s="444"/>
      <c r="D153" s="444"/>
      <c r="E153" s="444"/>
      <c r="F153" s="444"/>
      <c r="G153" s="444"/>
      <c r="H153" s="444"/>
      <c r="I153" s="444"/>
      <c r="J153" s="444"/>
      <c r="K153" s="444"/>
      <c r="L153" s="444"/>
      <c r="M153" s="444"/>
      <c r="N153" s="444"/>
      <c r="O153" s="444"/>
      <c r="P153" s="444"/>
      <c r="Q153" s="444"/>
      <c r="R153" s="444"/>
      <c r="S153" s="444"/>
      <c r="T153" s="444"/>
      <c r="U153" s="444"/>
      <c r="V153" s="517">
        <v>15000</v>
      </c>
      <c r="W153" s="558"/>
      <c r="X153" s="406"/>
    </row>
    <row r="154" spans="1:25" x14ac:dyDescent="0.3">
      <c r="A154" s="543"/>
      <c r="B154" s="444" t="s">
        <v>175</v>
      </c>
      <c r="C154" s="444"/>
      <c r="D154" s="444"/>
      <c r="E154" s="444"/>
      <c r="F154" s="444"/>
      <c r="G154" s="444"/>
      <c r="H154" s="444"/>
      <c r="I154" s="444"/>
      <c r="J154" s="444"/>
      <c r="K154" s="444"/>
      <c r="L154" s="444"/>
      <c r="M154" s="444"/>
      <c r="N154" s="444"/>
      <c r="O154" s="444"/>
      <c r="P154" s="444"/>
      <c r="Q154" s="444"/>
      <c r="R154" s="444"/>
      <c r="S154" s="444"/>
      <c r="T154" s="444"/>
      <c r="U154" s="444"/>
      <c r="V154" s="517">
        <v>0</v>
      </c>
      <c r="W154" s="558"/>
      <c r="X154" s="406"/>
    </row>
    <row r="155" spans="1:25" x14ac:dyDescent="0.3">
      <c r="A155" s="543"/>
      <c r="B155" s="444" t="s">
        <v>341</v>
      </c>
      <c r="C155" s="444"/>
      <c r="D155" s="444"/>
      <c r="E155" s="444"/>
      <c r="F155" s="444"/>
      <c r="G155" s="444"/>
      <c r="H155" s="444"/>
      <c r="I155" s="444"/>
      <c r="J155" s="444"/>
      <c r="K155" s="444"/>
      <c r="L155" s="444"/>
      <c r="M155" s="444"/>
      <c r="N155" s="444"/>
      <c r="O155" s="444"/>
      <c r="P155" s="444"/>
      <c r="Q155" s="444"/>
      <c r="R155" s="444"/>
      <c r="S155" s="444"/>
      <c r="T155" s="444"/>
      <c r="U155" s="444"/>
      <c r="V155" s="517">
        <v>0</v>
      </c>
      <c r="W155" s="558"/>
      <c r="X155" s="406"/>
    </row>
    <row r="156" spans="1:25" x14ac:dyDescent="0.3">
      <c r="A156" s="543"/>
      <c r="B156" s="465"/>
      <c r="C156" s="465"/>
      <c r="D156" s="465"/>
      <c r="E156" s="465"/>
      <c r="F156" s="465"/>
      <c r="G156" s="465"/>
      <c r="H156" s="465"/>
      <c r="I156" s="465"/>
      <c r="J156" s="465"/>
      <c r="K156" s="465"/>
      <c r="L156" s="465"/>
      <c r="M156" s="465"/>
      <c r="N156" s="465"/>
      <c r="O156" s="465"/>
      <c r="P156" s="465"/>
      <c r="Q156" s="465"/>
      <c r="R156" s="465"/>
      <c r="S156" s="465"/>
      <c r="T156" s="465"/>
      <c r="U156" s="465"/>
      <c r="V156" s="546"/>
      <c r="W156" s="547"/>
      <c r="X156" s="406"/>
    </row>
    <row r="157" spans="1:25" x14ac:dyDescent="0.3">
      <c r="A157" s="408"/>
      <c r="B157" s="518"/>
      <c r="C157" s="518"/>
      <c r="D157" s="518"/>
      <c r="E157" s="518"/>
      <c r="F157" s="518"/>
      <c r="G157" s="518"/>
      <c r="H157" s="518"/>
      <c r="I157" s="518"/>
      <c r="J157" s="518"/>
      <c r="K157" s="518"/>
      <c r="L157" s="518"/>
      <c r="M157" s="518"/>
      <c r="N157" s="518"/>
      <c r="O157" s="518"/>
      <c r="P157" s="518"/>
      <c r="Q157" s="518"/>
      <c r="R157" s="518"/>
      <c r="S157" s="518"/>
      <c r="T157" s="518"/>
      <c r="U157" s="518"/>
      <c r="V157" s="560"/>
      <c r="W157" s="411"/>
      <c r="X157" s="406"/>
    </row>
    <row r="158" spans="1:25" x14ac:dyDescent="0.3">
      <c r="A158" s="408"/>
      <c r="B158" s="557" t="s">
        <v>24</v>
      </c>
      <c r="C158" s="410"/>
      <c r="D158" s="410"/>
      <c r="E158" s="410"/>
      <c r="F158" s="410"/>
      <c r="G158" s="410"/>
      <c r="H158" s="410"/>
      <c r="I158" s="410"/>
      <c r="J158" s="410"/>
      <c r="K158" s="410"/>
      <c r="L158" s="410"/>
      <c r="M158" s="410"/>
      <c r="N158" s="410"/>
      <c r="O158" s="410"/>
      <c r="P158" s="410"/>
      <c r="Q158" s="410"/>
      <c r="R158" s="410"/>
      <c r="S158" s="410"/>
      <c r="T158" s="410"/>
      <c r="U158" s="410"/>
      <c r="V158" s="510"/>
      <c r="W158" s="411"/>
      <c r="X158" s="406"/>
    </row>
    <row r="159" spans="1:25" x14ac:dyDescent="0.3">
      <c r="A159" s="543"/>
      <c r="B159" s="444" t="s">
        <v>47</v>
      </c>
      <c r="C159" s="444"/>
      <c r="D159" s="444"/>
      <c r="E159" s="444"/>
      <c r="F159" s="444"/>
      <c r="G159" s="444"/>
      <c r="H159" s="444"/>
      <c r="I159" s="444"/>
      <c r="J159" s="444"/>
      <c r="K159" s="444"/>
      <c r="L159" s="444"/>
      <c r="M159" s="444"/>
      <c r="N159" s="444"/>
      <c r="O159" s="444"/>
      <c r="P159" s="444"/>
      <c r="Q159" s="444"/>
      <c r="R159" s="444"/>
      <c r="S159" s="444"/>
      <c r="T159" s="444"/>
      <c r="U159" s="444"/>
      <c r="V159" s="561" t="s">
        <v>121</v>
      </c>
      <c r="W159" s="558"/>
      <c r="X159" s="406"/>
    </row>
    <row r="160" spans="1:25" x14ac:dyDescent="0.3">
      <c r="A160" s="543"/>
      <c r="B160" s="444" t="s">
        <v>48</v>
      </c>
      <c r="C160" s="444"/>
      <c r="D160" s="444"/>
      <c r="E160" s="444"/>
      <c r="F160" s="444"/>
      <c r="G160" s="444"/>
      <c r="H160" s="444"/>
      <c r="I160" s="444"/>
      <c r="J160" s="444"/>
      <c r="K160" s="444"/>
      <c r="L160" s="444"/>
      <c r="M160" s="444"/>
      <c r="N160" s="444"/>
      <c r="O160" s="444"/>
      <c r="P160" s="444"/>
      <c r="Q160" s="444"/>
      <c r="R160" s="444"/>
      <c r="S160" s="444"/>
      <c r="T160" s="444"/>
      <c r="U160" s="444"/>
      <c r="V160" s="561" t="s">
        <v>121</v>
      </c>
      <c r="W160" s="558"/>
      <c r="X160" s="406"/>
    </row>
    <row r="161" spans="1:24" x14ac:dyDescent="0.3">
      <c r="A161" s="543"/>
      <c r="B161" s="444" t="s">
        <v>49</v>
      </c>
      <c r="C161" s="444"/>
      <c r="D161" s="444"/>
      <c r="E161" s="444"/>
      <c r="F161" s="444"/>
      <c r="G161" s="444"/>
      <c r="H161" s="444"/>
      <c r="I161" s="444"/>
      <c r="J161" s="444"/>
      <c r="K161" s="444"/>
      <c r="L161" s="444"/>
      <c r="M161" s="444"/>
      <c r="N161" s="444"/>
      <c r="O161" s="444"/>
      <c r="P161" s="444"/>
      <c r="Q161" s="444"/>
      <c r="R161" s="444"/>
      <c r="S161" s="444"/>
      <c r="T161" s="444"/>
      <c r="U161" s="444"/>
      <c r="V161" s="561" t="s">
        <v>121</v>
      </c>
      <c r="W161" s="558"/>
      <c r="X161" s="406"/>
    </row>
    <row r="162" spans="1:24" x14ac:dyDescent="0.3">
      <c r="A162" s="543"/>
      <c r="B162" s="444" t="s">
        <v>50</v>
      </c>
      <c r="C162" s="444"/>
      <c r="D162" s="444"/>
      <c r="E162" s="444"/>
      <c r="F162" s="444"/>
      <c r="G162" s="444"/>
      <c r="H162" s="444"/>
      <c r="I162" s="444"/>
      <c r="J162" s="444"/>
      <c r="K162" s="444"/>
      <c r="L162" s="444"/>
      <c r="M162" s="444"/>
      <c r="N162" s="444"/>
      <c r="O162" s="444"/>
      <c r="P162" s="444"/>
      <c r="Q162" s="444"/>
      <c r="R162" s="444"/>
      <c r="S162" s="444"/>
      <c r="T162" s="444"/>
      <c r="U162" s="444"/>
      <c r="V162" s="561" t="s">
        <v>121</v>
      </c>
      <c r="W162" s="558"/>
      <c r="X162" s="406"/>
    </row>
    <row r="163" spans="1:24" x14ac:dyDescent="0.3">
      <c r="A163" s="408"/>
      <c r="B163" s="518"/>
      <c r="C163" s="518"/>
      <c r="D163" s="518"/>
      <c r="E163" s="518"/>
      <c r="F163" s="518"/>
      <c r="G163" s="518"/>
      <c r="H163" s="518"/>
      <c r="I163" s="518"/>
      <c r="J163" s="518"/>
      <c r="K163" s="518"/>
      <c r="L163" s="518"/>
      <c r="M163" s="518"/>
      <c r="N163" s="518"/>
      <c r="O163" s="518"/>
      <c r="P163" s="518"/>
      <c r="Q163" s="518"/>
      <c r="R163" s="518"/>
      <c r="S163" s="518"/>
      <c r="T163" s="518"/>
      <c r="U163" s="518"/>
      <c r="V163" s="560"/>
      <c r="W163" s="411"/>
      <c r="X163" s="406"/>
    </row>
    <row r="164" spans="1:24" x14ac:dyDescent="0.3">
      <c r="A164" s="408"/>
      <c r="B164" s="557" t="s">
        <v>51</v>
      </c>
      <c r="C164" s="410"/>
      <c r="D164" s="410"/>
      <c r="E164" s="410"/>
      <c r="F164" s="410"/>
      <c r="G164" s="410"/>
      <c r="H164" s="410"/>
      <c r="I164" s="410"/>
      <c r="J164" s="410"/>
      <c r="K164" s="410"/>
      <c r="L164" s="410"/>
      <c r="M164" s="410"/>
      <c r="N164" s="410"/>
      <c r="O164" s="410"/>
      <c r="P164" s="410"/>
      <c r="Q164" s="410"/>
      <c r="R164" s="410"/>
      <c r="S164" s="410"/>
      <c r="T164" s="410"/>
      <c r="U164" s="410"/>
      <c r="V164" s="562"/>
      <c r="W164" s="411"/>
      <c r="X164" s="406"/>
    </row>
    <row r="165" spans="1:24" x14ac:dyDescent="0.3">
      <c r="A165" s="563"/>
      <c r="B165" s="548" t="s">
        <v>52</v>
      </c>
      <c r="C165" s="548"/>
      <c r="D165" s="548"/>
      <c r="E165" s="548"/>
      <c r="F165" s="548"/>
      <c r="G165" s="548"/>
      <c r="H165" s="548"/>
      <c r="I165" s="548"/>
      <c r="J165" s="548"/>
      <c r="K165" s="548"/>
      <c r="L165" s="548"/>
      <c r="M165" s="548"/>
      <c r="N165" s="548"/>
      <c r="O165" s="548"/>
      <c r="P165" s="548"/>
      <c r="Q165" s="548"/>
      <c r="R165" s="548"/>
      <c r="S165" s="548"/>
      <c r="T165" s="548"/>
      <c r="U165" s="548"/>
      <c r="V165" s="564">
        <v>0</v>
      </c>
      <c r="W165" s="565"/>
      <c r="X165" s="406"/>
    </row>
    <row r="166" spans="1:24" x14ac:dyDescent="0.3">
      <c r="A166" s="563"/>
      <c r="B166" s="548" t="s">
        <v>53</v>
      </c>
      <c r="C166" s="548"/>
      <c r="D166" s="548"/>
      <c r="E166" s="548"/>
      <c r="F166" s="548"/>
      <c r="G166" s="548"/>
      <c r="H166" s="548"/>
      <c r="I166" s="548"/>
      <c r="J166" s="548"/>
      <c r="K166" s="548"/>
      <c r="L166" s="548"/>
      <c r="M166" s="548"/>
      <c r="N166" s="548"/>
      <c r="O166" s="548"/>
      <c r="P166" s="548"/>
      <c r="Q166" s="548"/>
      <c r="R166" s="548"/>
      <c r="S166" s="548"/>
      <c r="T166" s="548"/>
      <c r="U166" s="548"/>
      <c r="V166" s="564">
        <v>316</v>
      </c>
      <c r="W166" s="565"/>
      <c r="X166" s="406"/>
    </row>
    <row r="167" spans="1:24" x14ac:dyDescent="0.3">
      <c r="A167" s="563"/>
      <c r="B167" s="548" t="s">
        <v>54</v>
      </c>
      <c r="C167" s="548"/>
      <c r="D167" s="548"/>
      <c r="E167" s="548"/>
      <c r="F167" s="548"/>
      <c r="G167" s="548"/>
      <c r="H167" s="548"/>
      <c r="I167" s="548"/>
      <c r="J167" s="548"/>
      <c r="K167" s="548"/>
      <c r="L167" s="548"/>
      <c r="M167" s="548"/>
      <c r="N167" s="548"/>
      <c r="O167" s="548"/>
      <c r="P167" s="548"/>
      <c r="Q167" s="548"/>
      <c r="R167" s="548"/>
      <c r="S167" s="548"/>
      <c r="T167" s="548"/>
      <c r="U167" s="548"/>
      <c r="V167" s="564">
        <f>V166+V165</f>
        <v>316</v>
      </c>
      <c r="W167" s="565"/>
      <c r="X167" s="406"/>
    </row>
    <row r="168" spans="1:24" x14ac:dyDescent="0.3">
      <c r="A168" s="563"/>
      <c r="B168" s="444" t="s">
        <v>318</v>
      </c>
      <c r="C168" s="548"/>
      <c r="D168" s="548"/>
      <c r="E168" s="548"/>
      <c r="F168" s="548"/>
      <c r="G168" s="548"/>
      <c r="H168" s="548"/>
      <c r="I168" s="548"/>
      <c r="J168" s="548"/>
      <c r="K168" s="548"/>
      <c r="L168" s="548"/>
      <c r="M168" s="548"/>
      <c r="N168" s="548"/>
      <c r="O168" s="548"/>
      <c r="P168" s="548"/>
      <c r="Q168" s="548"/>
      <c r="R168" s="548"/>
      <c r="S168" s="548"/>
      <c r="T168" s="548"/>
      <c r="U168" s="548"/>
      <c r="V168" s="564">
        <f>V114</f>
        <v>-316</v>
      </c>
      <c r="W168" s="565"/>
      <c r="X168" s="406"/>
    </row>
    <row r="169" spans="1:24" x14ac:dyDescent="0.3">
      <c r="A169" s="563"/>
      <c r="B169" s="548" t="s">
        <v>55</v>
      </c>
      <c r="C169" s="548"/>
      <c r="D169" s="548"/>
      <c r="E169" s="548"/>
      <c r="F169" s="548"/>
      <c r="G169" s="548"/>
      <c r="H169" s="548"/>
      <c r="I169" s="548"/>
      <c r="J169" s="548"/>
      <c r="K169" s="548"/>
      <c r="L169" s="548"/>
      <c r="M169" s="548"/>
      <c r="N169" s="548"/>
      <c r="O169" s="548"/>
      <c r="P169" s="548"/>
      <c r="Q169" s="548"/>
      <c r="R169" s="548"/>
      <c r="S169" s="548"/>
      <c r="T169" s="548"/>
      <c r="U169" s="548"/>
      <c r="V169" s="564">
        <f>V167+V168</f>
        <v>0</v>
      </c>
      <c r="W169" s="565"/>
      <c r="X169" s="406"/>
    </row>
    <row r="170" spans="1:24" x14ac:dyDescent="0.3">
      <c r="A170" s="563"/>
      <c r="B170" s="548" t="s">
        <v>288</v>
      </c>
      <c r="C170" s="548"/>
      <c r="D170" s="548"/>
      <c r="E170" s="548"/>
      <c r="F170" s="548"/>
      <c r="G170" s="548"/>
      <c r="H170" s="548"/>
      <c r="I170" s="548"/>
      <c r="J170" s="548"/>
      <c r="K170" s="548"/>
      <c r="L170" s="548"/>
      <c r="M170" s="548"/>
      <c r="N170" s="548"/>
      <c r="O170" s="548"/>
      <c r="P170" s="548"/>
      <c r="Q170" s="548"/>
      <c r="R170" s="548"/>
      <c r="S170" s="548"/>
      <c r="T170" s="548"/>
      <c r="U170" s="548"/>
      <c r="V170" s="564">
        <f>-V98</f>
        <v>146</v>
      </c>
      <c r="W170" s="565"/>
      <c r="X170" s="406"/>
    </row>
    <row r="171" spans="1:24" ht="16.2" thickBot="1" x14ac:dyDescent="0.35">
      <c r="A171" s="408"/>
      <c r="B171" s="518"/>
      <c r="C171" s="518"/>
      <c r="D171" s="518"/>
      <c r="E171" s="518"/>
      <c r="F171" s="518"/>
      <c r="G171" s="518"/>
      <c r="H171" s="518"/>
      <c r="I171" s="518"/>
      <c r="J171" s="518"/>
      <c r="K171" s="518"/>
      <c r="L171" s="518"/>
      <c r="M171" s="518"/>
      <c r="N171" s="518"/>
      <c r="O171" s="518"/>
      <c r="P171" s="518"/>
      <c r="Q171" s="518"/>
      <c r="R171" s="518"/>
      <c r="S171" s="518"/>
      <c r="T171" s="518"/>
      <c r="U171" s="518"/>
      <c r="V171" s="560"/>
      <c r="W171" s="411"/>
      <c r="X171" s="406"/>
    </row>
    <row r="172" spans="1:24" x14ac:dyDescent="0.3">
      <c r="A172" s="402"/>
      <c r="B172" s="404"/>
      <c r="C172" s="404"/>
      <c r="D172" s="404"/>
      <c r="E172" s="404"/>
      <c r="F172" s="404"/>
      <c r="G172" s="404"/>
      <c r="H172" s="404"/>
      <c r="I172" s="404"/>
      <c r="J172" s="404"/>
      <c r="K172" s="404"/>
      <c r="L172" s="404"/>
      <c r="M172" s="404"/>
      <c r="N172" s="404"/>
      <c r="O172" s="404"/>
      <c r="P172" s="404"/>
      <c r="Q172" s="404"/>
      <c r="R172" s="404"/>
      <c r="S172" s="404"/>
      <c r="T172" s="404"/>
      <c r="U172" s="404"/>
      <c r="V172" s="566"/>
      <c r="W172" s="405"/>
      <c r="X172" s="406"/>
    </row>
    <row r="173" spans="1:24" x14ac:dyDescent="0.3">
      <c r="A173" s="408"/>
      <c r="B173" s="557" t="s">
        <v>56</v>
      </c>
      <c r="C173" s="410"/>
      <c r="D173" s="410"/>
      <c r="E173" s="410"/>
      <c r="F173" s="410"/>
      <c r="G173" s="410"/>
      <c r="H173" s="410"/>
      <c r="I173" s="410"/>
      <c r="J173" s="410"/>
      <c r="K173" s="410"/>
      <c r="L173" s="410"/>
      <c r="M173" s="410"/>
      <c r="N173" s="410"/>
      <c r="O173" s="410"/>
      <c r="P173" s="410"/>
      <c r="Q173" s="410"/>
      <c r="R173" s="410"/>
      <c r="S173" s="410"/>
      <c r="T173" s="410"/>
      <c r="U173" s="410"/>
      <c r="V173" s="510"/>
      <c r="W173" s="411"/>
      <c r="X173" s="406"/>
    </row>
    <row r="174" spans="1:24" x14ac:dyDescent="0.3">
      <c r="A174" s="408"/>
      <c r="B174" s="556"/>
      <c r="C174" s="410"/>
      <c r="D174" s="410"/>
      <c r="E174" s="410"/>
      <c r="F174" s="410"/>
      <c r="G174" s="410"/>
      <c r="H174" s="410"/>
      <c r="I174" s="410"/>
      <c r="J174" s="410"/>
      <c r="K174" s="410"/>
      <c r="L174" s="410"/>
      <c r="M174" s="410"/>
      <c r="N174" s="410"/>
      <c r="O174" s="410"/>
      <c r="P174" s="410"/>
      <c r="Q174" s="410"/>
      <c r="R174" s="410"/>
      <c r="S174" s="410"/>
      <c r="T174" s="410"/>
      <c r="U174" s="410"/>
      <c r="V174" s="510"/>
      <c r="W174" s="411"/>
      <c r="X174" s="406"/>
    </row>
    <row r="175" spans="1:24" x14ac:dyDescent="0.3">
      <c r="A175" s="543"/>
      <c r="B175" s="444" t="s">
        <v>57</v>
      </c>
      <c r="C175" s="444"/>
      <c r="D175" s="444"/>
      <c r="E175" s="444"/>
      <c r="F175" s="444"/>
      <c r="G175" s="444"/>
      <c r="H175" s="444"/>
      <c r="I175" s="444"/>
      <c r="J175" s="444"/>
      <c r="K175" s="444"/>
      <c r="L175" s="444"/>
      <c r="M175" s="444"/>
      <c r="N175" s="444"/>
      <c r="O175" s="444"/>
      <c r="P175" s="444"/>
      <c r="Q175" s="444"/>
      <c r="R175" s="444"/>
      <c r="S175" s="444"/>
      <c r="T175" s="444"/>
      <c r="U175" s="444"/>
      <c r="V175" s="517">
        <f>V70</f>
        <v>791041</v>
      </c>
      <c r="W175" s="558"/>
      <c r="X175" s="406"/>
    </row>
    <row r="176" spans="1:24" x14ac:dyDescent="0.3">
      <c r="A176" s="543"/>
      <c r="B176" s="444" t="s">
        <v>58</v>
      </c>
      <c r="C176" s="444"/>
      <c r="D176" s="444"/>
      <c r="E176" s="444"/>
      <c r="F176" s="444"/>
      <c r="G176" s="444"/>
      <c r="H176" s="444"/>
      <c r="I176" s="444"/>
      <c r="J176" s="444"/>
      <c r="K176" s="444"/>
      <c r="L176" s="444"/>
      <c r="M176" s="444"/>
      <c r="N176" s="444"/>
      <c r="O176" s="444"/>
      <c r="P176" s="444"/>
      <c r="Q176" s="444"/>
      <c r="R176" s="444"/>
      <c r="S176" s="444"/>
      <c r="T176" s="444"/>
      <c r="U176" s="444"/>
      <c r="V176" s="517">
        <f>V83</f>
        <v>791041</v>
      </c>
      <c r="W176" s="558"/>
      <c r="X176" s="406"/>
    </row>
    <row r="177" spans="1:24" ht="16.2" thickBot="1" x14ac:dyDescent="0.35">
      <c r="A177" s="408"/>
      <c r="B177" s="518"/>
      <c r="C177" s="518"/>
      <c r="D177" s="518"/>
      <c r="E177" s="518"/>
      <c r="F177" s="518"/>
      <c r="G177" s="518"/>
      <c r="H177" s="518"/>
      <c r="I177" s="518"/>
      <c r="J177" s="518"/>
      <c r="K177" s="518"/>
      <c r="L177" s="518"/>
      <c r="M177" s="518"/>
      <c r="N177" s="518"/>
      <c r="O177" s="518"/>
      <c r="P177" s="518"/>
      <c r="Q177" s="518"/>
      <c r="R177" s="518"/>
      <c r="S177" s="518"/>
      <c r="T177" s="518"/>
      <c r="U177" s="518"/>
      <c r="V177" s="560"/>
      <c r="W177" s="411"/>
      <c r="X177" s="406"/>
    </row>
    <row r="178" spans="1:24" x14ac:dyDescent="0.3">
      <c r="A178" s="402"/>
      <c r="B178" s="404"/>
      <c r="C178" s="404"/>
      <c r="D178" s="404"/>
      <c r="E178" s="404"/>
      <c r="F178" s="404"/>
      <c r="G178" s="404"/>
      <c r="H178" s="404"/>
      <c r="I178" s="404"/>
      <c r="J178" s="404"/>
      <c r="K178" s="404"/>
      <c r="L178" s="404"/>
      <c r="M178" s="404"/>
      <c r="N178" s="404"/>
      <c r="O178" s="404"/>
      <c r="P178" s="404"/>
      <c r="Q178" s="404"/>
      <c r="R178" s="404"/>
      <c r="S178" s="404"/>
      <c r="T178" s="404"/>
      <c r="U178" s="404"/>
      <c r="V178" s="566"/>
      <c r="W178" s="405"/>
      <c r="X178" s="406"/>
    </row>
    <row r="179" spans="1:24" s="473" customFormat="1" x14ac:dyDescent="0.3">
      <c r="A179" s="511"/>
      <c r="B179" s="557" t="s">
        <v>59</v>
      </c>
      <c r="C179" s="567"/>
      <c r="D179" s="567"/>
      <c r="E179" s="567"/>
      <c r="F179" s="567"/>
      <c r="G179" s="567"/>
      <c r="H179" s="568"/>
      <c r="I179" s="568"/>
      <c r="J179" s="568"/>
      <c r="K179" s="568"/>
      <c r="L179" s="568"/>
      <c r="M179" s="568"/>
      <c r="N179" s="568"/>
      <c r="O179" s="568"/>
      <c r="P179" s="568"/>
      <c r="Q179" s="568"/>
      <c r="R179" s="568"/>
      <c r="S179" s="568" t="s">
        <v>102</v>
      </c>
      <c r="T179" s="568" t="s">
        <v>179</v>
      </c>
      <c r="U179" s="413"/>
      <c r="V179" s="569" t="s">
        <v>117</v>
      </c>
      <c r="W179" s="570"/>
      <c r="X179" s="472"/>
    </row>
    <row r="180" spans="1:24" s="426" customFormat="1" x14ac:dyDescent="0.3">
      <c r="A180" s="443"/>
      <c r="B180" s="444" t="s">
        <v>60</v>
      </c>
      <c r="C180" s="444"/>
      <c r="D180" s="444"/>
      <c r="E180" s="444"/>
      <c r="F180" s="444"/>
      <c r="G180" s="444"/>
      <c r="H180" s="444"/>
      <c r="I180" s="444"/>
      <c r="J180" s="444"/>
      <c r="K180" s="444"/>
      <c r="L180" s="444"/>
      <c r="M180" s="444"/>
      <c r="N180" s="444"/>
      <c r="O180" s="444"/>
      <c r="P180" s="444"/>
      <c r="Q180" s="444"/>
      <c r="R180" s="444"/>
      <c r="S180" s="517">
        <f>+V34*0.16</f>
        <v>240030.4</v>
      </c>
      <c r="T180" s="482"/>
      <c r="U180" s="444"/>
      <c r="V180" s="517"/>
      <c r="W180" s="446"/>
      <c r="X180" s="425"/>
    </row>
    <row r="181" spans="1:24" s="426" customFormat="1" x14ac:dyDescent="0.3">
      <c r="A181" s="443"/>
      <c r="B181" s="444" t="s">
        <v>61</v>
      </c>
      <c r="C181" s="444"/>
      <c r="D181" s="444"/>
      <c r="E181" s="444"/>
      <c r="F181" s="444"/>
      <c r="G181" s="444"/>
      <c r="H181" s="444"/>
      <c r="I181" s="444"/>
      <c r="J181" s="444"/>
      <c r="K181" s="444"/>
      <c r="L181" s="444"/>
      <c r="M181" s="444"/>
      <c r="N181" s="444"/>
      <c r="O181" s="444"/>
      <c r="P181" s="444"/>
      <c r="Q181" s="444"/>
      <c r="R181" s="444"/>
      <c r="S181" s="517">
        <f>+'June 17'!S183</f>
        <v>53460</v>
      </c>
      <c r="T181" s="517">
        <f>+'June 17'!T183</f>
        <v>9757</v>
      </c>
      <c r="U181" s="444"/>
      <c r="V181" s="517">
        <f>S181+T181</f>
        <v>63217</v>
      </c>
      <c r="W181" s="446"/>
      <c r="X181" s="425"/>
    </row>
    <row r="182" spans="1:24" s="426" customFormat="1" x14ac:dyDescent="0.3">
      <c r="A182" s="443"/>
      <c r="B182" s="444" t="s">
        <v>62</v>
      </c>
      <c r="C182" s="444"/>
      <c r="D182" s="444"/>
      <c r="E182" s="444"/>
      <c r="F182" s="444"/>
      <c r="G182" s="444"/>
      <c r="H182" s="444"/>
      <c r="I182" s="444"/>
      <c r="J182" s="444"/>
      <c r="K182" s="444"/>
      <c r="L182" s="444"/>
      <c r="M182" s="444"/>
      <c r="N182" s="444"/>
      <c r="O182" s="444"/>
      <c r="P182" s="444"/>
      <c r="Q182" s="444"/>
      <c r="R182" s="444"/>
      <c r="S182" s="516">
        <v>272</v>
      </c>
      <c r="T182" s="516">
        <v>3</v>
      </c>
      <c r="U182" s="444"/>
      <c r="V182" s="517">
        <f>S182+T182</f>
        <v>275</v>
      </c>
      <c r="W182" s="446"/>
      <c r="X182" s="425"/>
    </row>
    <row r="183" spans="1:24" s="426" customFormat="1" x14ac:dyDescent="0.3">
      <c r="A183" s="443"/>
      <c r="B183" s="444" t="s">
        <v>63</v>
      </c>
      <c r="C183" s="444"/>
      <c r="D183" s="444"/>
      <c r="E183" s="444"/>
      <c r="F183" s="444"/>
      <c r="G183" s="444"/>
      <c r="H183" s="444"/>
      <c r="I183" s="444"/>
      <c r="J183" s="444"/>
      <c r="K183" s="444"/>
      <c r="L183" s="444"/>
      <c r="M183" s="444"/>
      <c r="N183" s="444"/>
      <c r="O183" s="444"/>
      <c r="P183" s="444"/>
      <c r="Q183" s="444"/>
      <c r="R183" s="444"/>
      <c r="S183" s="517">
        <f>+S181+S182</f>
        <v>53732</v>
      </c>
      <c r="T183" s="517">
        <f>T182+T181</f>
        <v>9760</v>
      </c>
      <c r="U183" s="444"/>
      <c r="V183" s="517">
        <f>S183+T183</f>
        <v>63492</v>
      </c>
      <c r="W183" s="446"/>
      <c r="X183" s="425"/>
    </row>
    <row r="184" spans="1:24" s="426" customFormat="1" x14ac:dyDescent="0.3">
      <c r="A184" s="443"/>
      <c r="B184" s="444" t="s">
        <v>64</v>
      </c>
      <c r="C184" s="444"/>
      <c r="D184" s="444"/>
      <c r="E184" s="444"/>
      <c r="F184" s="444"/>
      <c r="G184" s="444"/>
      <c r="H184" s="444"/>
      <c r="I184" s="444"/>
      <c r="J184" s="444"/>
      <c r="K184" s="444"/>
      <c r="L184" s="444"/>
      <c r="M184" s="444"/>
      <c r="N184" s="444"/>
      <c r="O184" s="444"/>
      <c r="P184" s="444"/>
      <c r="Q184" s="444"/>
      <c r="R184" s="444"/>
      <c r="S184" s="517">
        <f>S180-S183-T183</f>
        <v>176538.4</v>
      </c>
      <c r="T184" s="482"/>
      <c r="U184" s="444"/>
      <c r="V184" s="517"/>
      <c r="W184" s="446"/>
      <c r="X184" s="425"/>
    </row>
    <row r="185" spans="1:24" ht="16.2" thickBot="1" x14ac:dyDescent="0.35">
      <c r="A185" s="408"/>
      <c r="B185" s="518"/>
      <c r="C185" s="518"/>
      <c r="D185" s="518"/>
      <c r="E185" s="518"/>
      <c r="F185" s="518"/>
      <c r="G185" s="518"/>
      <c r="H185" s="518"/>
      <c r="I185" s="518"/>
      <c r="J185" s="518"/>
      <c r="K185" s="518"/>
      <c r="L185" s="518"/>
      <c r="M185" s="518"/>
      <c r="N185" s="518"/>
      <c r="O185" s="518"/>
      <c r="P185" s="518"/>
      <c r="Q185" s="518"/>
      <c r="R185" s="518"/>
      <c r="S185" s="518"/>
      <c r="T185" s="518"/>
      <c r="U185" s="518"/>
      <c r="V185" s="560"/>
      <c r="W185" s="411"/>
      <c r="X185" s="406"/>
    </row>
    <row r="186" spans="1:24" x14ac:dyDescent="0.3">
      <c r="A186" s="402"/>
      <c r="B186" s="404"/>
      <c r="C186" s="404"/>
      <c r="D186" s="404"/>
      <c r="E186" s="404"/>
      <c r="F186" s="404"/>
      <c r="G186" s="404"/>
      <c r="H186" s="404"/>
      <c r="I186" s="404"/>
      <c r="J186" s="404"/>
      <c r="K186" s="404"/>
      <c r="L186" s="404"/>
      <c r="M186" s="404"/>
      <c r="N186" s="404"/>
      <c r="O186" s="404"/>
      <c r="P186" s="404"/>
      <c r="Q186" s="404"/>
      <c r="R186" s="404"/>
      <c r="S186" s="404"/>
      <c r="T186" s="404"/>
      <c r="U186" s="404"/>
      <c r="V186" s="566"/>
      <c r="W186" s="405"/>
      <c r="X186" s="406"/>
    </row>
    <row r="187" spans="1:24" x14ac:dyDescent="0.3">
      <c r="A187" s="408"/>
      <c r="B187" s="557" t="s">
        <v>65</v>
      </c>
      <c r="C187" s="410"/>
      <c r="D187" s="410"/>
      <c r="E187" s="410"/>
      <c r="F187" s="410"/>
      <c r="G187" s="410"/>
      <c r="H187" s="410"/>
      <c r="I187" s="410"/>
      <c r="J187" s="410"/>
      <c r="K187" s="410"/>
      <c r="L187" s="410"/>
      <c r="M187" s="410"/>
      <c r="N187" s="410"/>
      <c r="O187" s="410"/>
      <c r="P187" s="410"/>
      <c r="Q187" s="410"/>
      <c r="R187" s="410"/>
      <c r="S187" s="410"/>
      <c r="T187" s="410"/>
      <c r="U187" s="410"/>
      <c r="V187" s="571"/>
      <c r="W187" s="411"/>
      <c r="X187" s="406"/>
    </row>
    <row r="188" spans="1:24" s="426" customFormat="1" x14ac:dyDescent="0.3">
      <c r="A188" s="443"/>
      <c r="B188" s="444" t="s">
        <v>66</v>
      </c>
      <c r="C188" s="444"/>
      <c r="D188" s="444"/>
      <c r="E188" s="444"/>
      <c r="F188" s="444"/>
      <c r="G188" s="444"/>
      <c r="H188" s="444"/>
      <c r="I188" s="444"/>
      <c r="J188" s="444"/>
      <c r="K188" s="444"/>
      <c r="L188" s="444"/>
      <c r="M188" s="444"/>
      <c r="N188" s="444"/>
      <c r="O188" s="444"/>
      <c r="P188" s="444"/>
      <c r="Q188" s="444"/>
      <c r="R188" s="444"/>
      <c r="S188" s="444"/>
      <c r="T188" s="444"/>
      <c r="U188" s="444"/>
      <c r="V188" s="561">
        <f>(V99+V101+V102+V103+V104)/-(V105+V106)</f>
        <v>4.9928143712574853</v>
      </c>
      <c r="W188" s="446" t="s">
        <v>118</v>
      </c>
      <c r="X188" s="425"/>
    </row>
    <row r="189" spans="1:24" s="426" customFormat="1" x14ac:dyDescent="0.3">
      <c r="A189" s="443"/>
      <c r="B189" s="444" t="s">
        <v>67</v>
      </c>
      <c r="C189" s="444"/>
      <c r="D189" s="444"/>
      <c r="E189" s="444"/>
      <c r="F189" s="444"/>
      <c r="G189" s="444"/>
      <c r="H189" s="444"/>
      <c r="I189" s="444"/>
      <c r="J189" s="444"/>
      <c r="K189" s="444"/>
      <c r="L189" s="444"/>
      <c r="M189" s="444"/>
      <c r="N189" s="444"/>
      <c r="O189" s="444"/>
      <c r="P189" s="444"/>
      <c r="Q189" s="444"/>
      <c r="R189" s="444"/>
      <c r="S189" s="444"/>
      <c r="T189" s="444"/>
      <c r="U189" s="444"/>
      <c r="V189" s="572">
        <v>1.89</v>
      </c>
      <c r="W189" s="446" t="s">
        <v>118</v>
      </c>
      <c r="X189" s="425"/>
    </row>
    <row r="190" spans="1:24" s="426" customFormat="1" x14ac:dyDescent="0.3">
      <c r="A190" s="443"/>
      <c r="B190" s="444" t="s">
        <v>68</v>
      </c>
      <c r="C190" s="444"/>
      <c r="D190" s="444"/>
      <c r="E190" s="444"/>
      <c r="F190" s="444"/>
      <c r="G190" s="444"/>
      <c r="H190" s="444"/>
      <c r="I190" s="444"/>
      <c r="J190" s="444"/>
      <c r="K190" s="444"/>
      <c r="L190" s="444"/>
      <c r="M190" s="444"/>
      <c r="N190" s="444"/>
      <c r="O190" s="444"/>
      <c r="P190" s="444"/>
      <c r="Q190" s="444"/>
      <c r="R190" s="444"/>
      <c r="S190" s="444"/>
      <c r="T190" s="444"/>
      <c r="U190" s="444"/>
      <c r="V190" s="561">
        <f>(V99+V101+V102+V103+V104+V105+V106)/-(V108+V109)</f>
        <v>16.923857868020306</v>
      </c>
      <c r="W190" s="446" t="s">
        <v>118</v>
      </c>
      <c r="X190" s="425"/>
    </row>
    <row r="191" spans="1:24" s="426" customFormat="1" x14ac:dyDescent="0.3">
      <c r="A191" s="443"/>
      <c r="B191" s="444" t="s">
        <v>69</v>
      </c>
      <c r="C191" s="444"/>
      <c r="D191" s="444"/>
      <c r="E191" s="444"/>
      <c r="F191" s="444"/>
      <c r="G191" s="444"/>
      <c r="H191" s="444"/>
      <c r="I191" s="444"/>
      <c r="J191" s="444"/>
      <c r="K191" s="444"/>
      <c r="L191" s="444"/>
      <c r="M191" s="444"/>
      <c r="N191" s="444"/>
      <c r="O191" s="444"/>
      <c r="P191" s="444"/>
      <c r="Q191" s="444"/>
      <c r="R191" s="444"/>
      <c r="S191" s="444"/>
      <c r="T191" s="444"/>
      <c r="U191" s="444"/>
      <c r="V191" s="572">
        <v>7.75</v>
      </c>
      <c r="W191" s="446" t="s">
        <v>118</v>
      </c>
      <c r="X191" s="425"/>
    </row>
    <row r="192" spans="1:24" s="426" customFormat="1" x14ac:dyDescent="0.3">
      <c r="A192" s="443"/>
      <c r="B192" s="444" t="s">
        <v>201</v>
      </c>
      <c r="C192" s="444"/>
      <c r="D192" s="444"/>
      <c r="E192" s="444"/>
      <c r="F192" s="444"/>
      <c r="G192" s="444"/>
      <c r="H192" s="444"/>
      <c r="I192" s="444"/>
      <c r="J192" s="444"/>
      <c r="K192" s="444"/>
      <c r="L192" s="444"/>
      <c r="M192" s="444"/>
      <c r="N192" s="444"/>
      <c r="O192" s="444"/>
      <c r="P192" s="444"/>
      <c r="Q192" s="444"/>
      <c r="R192" s="444"/>
      <c r="S192" s="444"/>
      <c r="T192" s="444"/>
      <c r="U192" s="444"/>
      <c r="V192" s="561">
        <f>(V99+V101+V102+V103+V104+V105+V106+V108+V109)/-(V110+V111)</f>
        <v>16.597883597883598</v>
      </c>
      <c r="W192" s="446" t="s">
        <v>118</v>
      </c>
      <c r="X192" s="425"/>
    </row>
    <row r="193" spans="1:24" s="426" customFormat="1" x14ac:dyDescent="0.3">
      <c r="A193" s="443"/>
      <c r="B193" s="444" t="s">
        <v>202</v>
      </c>
      <c r="C193" s="444"/>
      <c r="D193" s="444"/>
      <c r="E193" s="444"/>
      <c r="F193" s="444"/>
      <c r="G193" s="444"/>
      <c r="H193" s="444"/>
      <c r="I193" s="444"/>
      <c r="J193" s="444"/>
      <c r="K193" s="444"/>
      <c r="L193" s="444"/>
      <c r="M193" s="444"/>
      <c r="N193" s="444"/>
      <c r="O193" s="444"/>
      <c r="P193" s="444"/>
      <c r="Q193" s="444"/>
      <c r="R193" s="444"/>
      <c r="S193" s="444"/>
      <c r="T193" s="444"/>
      <c r="U193" s="444"/>
      <c r="V193" s="572">
        <v>9.7200000000000006</v>
      </c>
      <c r="W193" s="446" t="s">
        <v>118</v>
      </c>
      <c r="X193" s="425"/>
    </row>
    <row r="194" spans="1:24" x14ac:dyDescent="0.3">
      <c r="A194" s="543"/>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547"/>
      <c r="X194" s="406"/>
    </row>
    <row r="195" spans="1:24" x14ac:dyDescent="0.3">
      <c r="A195" s="408"/>
      <c r="B195" s="518"/>
      <c r="C195" s="518"/>
      <c r="D195" s="518"/>
      <c r="E195" s="518"/>
      <c r="F195" s="518"/>
      <c r="G195" s="518"/>
      <c r="H195" s="518"/>
      <c r="I195" s="518"/>
      <c r="J195" s="518"/>
      <c r="K195" s="518"/>
      <c r="L195" s="518"/>
      <c r="M195" s="518"/>
      <c r="N195" s="518"/>
      <c r="O195" s="518"/>
      <c r="P195" s="518"/>
      <c r="Q195" s="518"/>
      <c r="R195" s="518"/>
      <c r="S195" s="518"/>
      <c r="T195" s="518"/>
      <c r="U195" s="518"/>
      <c r="V195" s="518"/>
      <c r="W195" s="411"/>
      <c r="X195" s="406"/>
    </row>
    <row r="196" spans="1:24" x14ac:dyDescent="0.3">
      <c r="A196" s="408"/>
      <c r="B196" s="410"/>
      <c r="C196" s="410"/>
      <c r="D196" s="410"/>
      <c r="E196" s="410"/>
      <c r="F196" s="410"/>
      <c r="G196" s="410"/>
      <c r="H196" s="410"/>
      <c r="I196" s="410"/>
      <c r="J196" s="410"/>
      <c r="K196" s="410"/>
      <c r="L196" s="410"/>
      <c r="M196" s="410"/>
      <c r="N196" s="410"/>
      <c r="O196" s="410"/>
      <c r="P196" s="410"/>
      <c r="Q196" s="410"/>
      <c r="R196" s="410"/>
      <c r="S196" s="410"/>
      <c r="T196" s="410"/>
      <c r="U196" s="410"/>
      <c r="V196" s="410"/>
      <c r="W196" s="411"/>
      <c r="X196" s="406"/>
    </row>
    <row r="197" spans="1:24" ht="18.600000000000001" thickBot="1" x14ac:dyDescent="0.4">
      <c r="A197" s="573"/>
      <c r="B197" s="501" t="str">
        <f>B137</f>
        <v>PM13 INVESTOR REPORT QUARTER ENDING SEPTEMBER 2017</v>
      </c>
      <c r="C197" s="574"/>
      <c r="D197" s="574"/>
      <c r="E197" s="574"/>
      <c r="F197" s="574"/>
      <c r="G197" s="574"/>
      <c r="H197" s="574"/>
      <c r="I197" s="574"/>
      <c r="J197" s="574"/>
      <c r="K197" s="574"/>
      <c r="L197" s="574"/>
      <c r="M197" s="574"/>
      <c r="N197" s="574"/>
      <c r="O197" s="574"/>
      <c r="P197" s="574"/>
      <c r="Q197" s="574"/>
      <c r="R197" s="574"/>
      <c r="S197" s="574"/>
      <c r="T197" s="574"/>
      <c r="U197" s="574"/>
      <c r="V197" s="574"/>
      <c r="W197" s="575"/>
      <c r="X197" s="406"/>
    </row>
    <row r="198" spans="1:24" x14ac:dyDescent="0.3">
      <c r="A198" s="505"/>
      <c r="B198" s="506" t="s">
        <v>70</v>
      </c>
      <c r="C198" s="576"/>
      <c r="D198" s="576"/>
      <c r="E198" s="576"/>
      <c r="F198" s="576"/>
      <c r="G198" s="577"/>
      <c r="H198" s="577"/>
      <c r="I198" s="577"/>
      <c r="J198" s="577"/>
      <c r="K198" s="577"/>
      <c r="L198" s="577"/>
      <c r="M198" s="577"/>
      <c r="N198" s="577"/>
      <c r="O198" s="577"/>
      <c r="P198" s="577"/>
      <c r="Q198" s="577"/>
      <c r="R198" s="577"/>
      <c r="S198" s="577"/>
      <c r="T198" s="577">
        <v>43007</v>
      </c>
      <c r="U198" s="507"/>
      <c r="V198" s="507"/>
      <c r="W198" s="509"/>
      <c r="X198" s="406"/>
    </row>
    <row r="199" spans="1:24" x14ac:dyDescent="0.3">
      <c r="A199" s="578"/>
      <c r="B199" s="579"/>
      <c r="C199" s="580"/>
      <c r="D199" s="580"/>
      <c r="E199" s="580"/>
      <c r="F199" s="580"/>
      <c r="G199" s="581"/>
      <c r="H199" s="581"/>
      <c r="I199" s="581"/>
      <c r="J199" s="581"/>
      <c r="K199" s="581"/>
      <c r="L199" s="581"/>
      <c r="M199" s="581"/>
      <c r="N199" s="581"/>
      <c r="O199" s="581"/>
      <c r="P199" s="581"/>
      <c r="Q199" s="581"/>
      <c r="R199" s="581"/>
      <c r="S199" s="581"/>
      <c r="T199" s="581"/>
      <c r="U199" s="410"/>
      <c r="V199" s="410"/>
      <c r="W199" s="411"/>
      <c r="X199" s="406"/>
    </row>
    <row r="200" spans="1:24" s="426" customFormat="1" x14ac:dyDescent="0.3">
      <c r="A200" s="443"/>
      <c r="B200" s="444" t="s">
        <v>71</v>
      </c>
      <c r="C200" s="582"/>
      <c r="D200" s="582"/>
      <c r="E200" s="582"/>
      <c r="F200" s="582"/>
      <c r="G200" s="488"/>
      <c r="H200" s="488"/>
      <c r="I200" s="488"/>
      <c r="J200" s="488"/>
      <c r="K200" s="488"/>
      <c r="L200" s="488"/>
      <c r="M200" s="488"/>
      <c r="N200" s="488"/>
      <c r="O200" s="488"/>
      <c r="P200" s="488"/>
      <c r="Q200" s="488"/>
      <c r="R200" s="488"/>
      <c r="S200" s="488"/>
      <c r="T200" s="479">
        <v>5.4539999999999998E-2</v>
      </c>
      <c r="U200" s="444"/>
      <c r="V200" s="444"/>
      <c r="W200" s="446"/>
      <c r="X200" s="425"/>
    </row>
    <row r="201" spans="1:24" s="426" customFormat="1" x14ac:dyDescent="0.3">
      <c r="A201" s="443"/>
      <c r="B201" s="444" t="s">
        <v>154</v>
      </c>
      <c r="C201" s="582"/>
      <c r="D201" s="582"/>
      <c r="E201" s="582"/>
      <c r="F201" s="582"/>
      <c r="G201" s="488"/>
      <c r="H201" s="488"/>
      <c r="I201" s="488"/>
      <c r="J201" s="488"/>
      <c r="K201" s="488"/>
      <c r="L201" s="488"/>
      <c r="M201" s="488"/>
      <c r="N201" s="488"/>
      <c r="O201" s="488"/>
      <c r="P201" s="488"/>
      <c r="Q201" s="488"/>
      <c r="R201" s="488"/>
      <c r="S201" s="488"/>
      <c r="T201" s="479">
        <f>'Dec 06'!T199</f>
        <v>5.238600504269459E-2</v>
      </c>
      <c r="U201" s="444"/>
      <c r="V201" s="444"/>
      <c r="W201" s="446"/>
      <c r="X201" s="425"/>
    </row>
    <row r="202" spans="1:24" s="426" customFormat="1" x14ac:dyDescent="0.3">
      <c r="A202" s="443"/>
      <c r="B202" s="444" t="s">
        <v>72</v>
      </c>
      <c r="C202" s="582"/>
      <c r="D202" s="582"/>
      <c r="E202" s="582"/>
      <c r="F202" s="582"/>
      <c r="G202" s="488"/>
      <c r="H202" s="488"/>
      <c r="I202" s="488"/>
      <c r="J202" s="488"/>
      <c r="K202" s="488"/>
      <c r="L202" s="488"/>
      <c r="M202" s="488"/>
      <c r="N202" s="488"/>
      <c r="O202" s="488"/>
      <c r="P202" s="488"/>
      <c r="Q202" s="488"/>
      <c r="R202" s="488"/>
      <c r="S202" s="488"/>
      <c r="T202" s="479">
        <f>+T200-T201</f>
        <v>2.1539949573054079E-3</v>
      </c>
      <c r="U202" s="444"/>
      <c r="V202" s="444"/>
      <c r="W202" s="446"/>
      <c r="X202" s="425"/>
    </row>
    <row r="203" spans="1:24" s="426" customFormat="1" x14ac:dyDescent="0.3">
      <c r="A203" s="443"/>
      <c r="B203" s="444" t="s">
        <v>73</v>
      </c>
      <c r="C203" s="582"/>
      <c r="D203" s="582"/>
      <c r="E203" s="582"/>
      <c r="F203" s="582"/>
      <c r="G203" s="488"/>
      <c r="H203" s="488"/>
      <c r="I203" s="488"/>
      <c r="J203" s="488"/>
      <c r="K203" s="488"/>
      <c r="L203" s="488"/>
      <c r="M203" s="488"/>
      <c r="N203" s="488"/>
      <c r="O203" s="488"/>
      <c r="P203" s="488"/>
      <c r="Q203" s="488"/>
      <c r="R203" s="488"/>
      <c r="S203" s="488"/>
      <c r="T203" s="479">
        <v>2.0670000000000001E-2</v>
      </c>
      <c r="U203" s="444"/>
      <c r="V203" s="444"/>
      <c r="W203" s="446"/>
      <c r="X203" s="425"/>
    </row>
    <row r="204" spans="1:24" s="426" customFormat="1" x14ac:dyDescent="0.3">
      <c r="A204" s="443"/>
      <c r="B204" s="444" t="s">
        <v>222</v>
      </c>
      <c r="C204" s="582"/>
      <c r="D204" s="582"/>
      <c r="E204" s="582"/>
      <c r="F204" s="582"/>
      <c r="G204" s="488"/>
      <c r="H204" s="488"/>
      <c r="I204" s="488"/>
      <c r="J204" s="488"/>
      <c r="K204" s="488"/>
      <c r="L204" s="488"/>
      <c r="M204" s="488"/>
      <c r="N204" s="488"/>
      <c r="O204" s="488"/>
      <c r="P204" s="488"/>
      <c r="Q204" s="488"/>
      <c r="R204" s="488"/>
      <c r="S204" s="488"/>
      <c r="T204" s="479">
        <f>V43</f>
        <v>6.1218753088263123E-3</v>
      </c>
      <c r="U204" s="444"/>
      <c r="V204" s="444"/>
      <c r="W204" s="446"/>
      <c r="X204" s="425"/>
    </row>
    <row r="205" spans="1:24" s="426" customFormat="1" x14ac:dyDescent="0.3">
      <c r="A205" s="443"/>
      <c r="B205" s="444" t="s">
        <v>74</v>
      </c>
      <c r="C205" s="582"/>
      <c r="D205" s="582"/>
      <c r="E205" s="582"/>
      <c r="F205" s="582"/>
      <c r="G205" s="488"/>
      <c r="H205" s="488"/>
      <c r="I205" s="488"/>
      <c r="J205" s="488"/>
      <c r="K205" s="488"/>
      <c r="L205" s="488"/>
      <c r="M205" s="488"/>
      <c r="N205" s="488"/>
      <c r="O205" s="488"/>
      <c r="P205" s="488"/>
      <c r="Q205" s="488"/>
      <c r="R205" s="488"/>
      <c r="S205" s="488"/>
      <c r="T205" s="479">
        <f>T203-T204</f>
        <v>1.4548124691173689E-2</v>
      </c>
      <c r="U205" s="444"/>
      <c r="V205" s="444"/>
      <c r="W205" s="446"/>
      <c r="X205" s="425"/>
    </row>
    <row r="206" spans="1:24" s="426" customFormat="1" x14ac:dyDescent="0.3">
      <c r="A206" s="443"/>
      <c r="B206" s="444" t="s">
        <v>274</v>
      </c>
      <c r="C206" s="582"/>
      <c r="D206" s="582"/>
      <c r="E206" s="582"/>
      <c r="F206" s="582"/>
      <c r="G206" s="488"/>
      <c r="H206" s="488"/>
      <c r="I206" s="488"/>
      <c r="J206" s="488"/>
      <c r="K206" s="488"/>
      <c r="L206" s="488"/>
      <c r="M206" s="488"/>
      <c r="N206" s="488"/>
      <c r="O206" s="488"/>
      <c r="P206" s="488"/>
      <c r="Q206" s="488"/>
      <c r="R206" s="488"/>
      <c r="S206" s="488"/>
      <c r="T206" s="479">
        <f>+V99/N70</f>
        <v>5.8620500054984053E-3</v>
      </c>
      <c r="U206" s="444"/>
      <c r="V206" s="444"/>
      <c r="W206" s="446"/>
      <c r="X206" s="425"/>
    </row>
    <row r="207" spans="1:24" s="426" customFormat="1" x14ac:dyDescent="0.3">
      <c r="A207" s="443"/>
      <c r="B207" s="444" t="s">
        <v>211</v>
      </c>
      <c r="C207" s="582"/>
      <c r="D207" s="582"/>
      <c r="E207" s="582"/>
      <c r="F207" s="582"/>
      <c r="G207" s="488"/>
      <c r="H207" s="488"/>
      <c r="I207" s="488"/>
      <c r="J207" s="488"/>
      <c r="K207" s="488"/>
      <c r="L207" s="488"/>
      <c r="M207" s="488"/>
      <c r="N207" s="488"/>
      <c r="O207" s="488"/>
      <c r="P207" s="488"/>
      <c r="Q207" s="488"/>
      <c r="R207" s="488"/>
      <c r="S207" s="488"/>
      <c r="T207" s="583">
        <v>50771</v>
      </c>
      <c r="U207" s="444"/>
      <c r="V207" s="444"/>
      <c r="W207" s="446"/>
      <c r="X207" s="425"/>
    </row>
    <row r="208" spans="1:24" s="426" customFormat="1" x14ac:dyDescent="0.3">
      <c r="A208" s="443"/>
      <c r="B208" s="444" t="s">
        <v>212</v>
      </c>
      <c r="C208" s="582"/>
      <c r="D208" s="582"/>
      <c r="E208" s="582"/>
      <c r="F208" s="582"/>
      <c r="G208" s="488"/>
      <c r="H208" s="488"/>
      <c r="I208" s="488"/>
      <c r="J208" s="488"/>
      <c r="K208" s="488"/>
      <c r="L208" s="488"/>
      <c r="M208" s="488"/>
      <c r="N208" s="488"/>
      <c r="O208" s="488"/>
      <c r="P208" s="488"/>
      <c r="Q208" s="488"/>
      <c r="R208" s="488"/>
      <c r="S208" s="488"/>
      <c r="T208" s="583">
        <v>50771</v>
      </c>
      <c r="U208" s="444"/>
      <c r="V208" s="444"/>
      <c r="W208" s="446"/>
      <c r="X208" s="425"/>
    </row>
    <row r="209" spans="1:24" s="426" customFormat="1" x14ac:dyDescent="0.3">
      <c r="A209" s="443"/>
      <c r="B209" s="444" t="s">
        <v>213</v>
      </c>
      <c r="C209" s="582"/>
      <c r="D209" s="582"/>
      <c r="E209" s="582"/>
      <c r="F209" s="582"/>
      <c r="G209" s="488"/>
      <c r="H209" s="488"/>
      <c r="I209" s="488"/>
      <c r="J209" s="488"/>
      <c r="K209" s="488"/>
      <c r="L209" s="488"/>
      <c r="M209" s="488"/>
      <c r="N209" s="488"/>
      <c r="O209" s="488"/>
      <c r="P209" s="488"/>
      <c r="Q209" s="488"/>
      <c r="R209" s="488"/>
      <c r="S209" s="488"/>
      <c r="T209" s="583">
        <v>50771</v>
      </c>
      <c r="U209" s="444"/>
      <c r="V209" s="444"/>
      <c r="W209" s="446"/>
      <c r="X209" s="425"/>
    </row>
    <row r="210" spans="1:24" s="426" customFormat="1" x14ac:dyDescent="0.3">
      <c r="A210" s="443"/>
      <c r="B210" s="444" t="s">
        <v>75</v>
      </c>
      <c r="C210" s="582"/>
      <c r="D210" s="582"/>
      <c r="E210" s="582"/>
      <c r="F210" s="582"/>
      <c r="G210" s="488"/>
      <c r="H210" s="488"/>
      <c r="I210" s="488"/>
      <c r="J210" s="488"/>
      <c r="K210" s="488"/>
      <c r="L210" s="488"/>
      <c r="M210" s="488"/>
      <c r="N210" s="488"/>
      <c r="O210" s="488"/>
      <c r="P210" s="488"/>
      <c r="Q210" s="488"/>
      <c r="R210" s="488"/>
      <c r="S210" s="488"/>
      <c r="T210" s="484">
        <v>20.66</v>
      </c>
      <c r="U210" s="444" t="s">
        <v>113</v>
      </c>
      <c r="V210" s="444"/>
      <c r="W210" s="446"/>
      <c r="X210" s="425"/>
    </row>
    <row r="211" spans="1:24" s="426" customFormat="1" x14ac:dyDescent="0.3">
      <c r="A211" s="443"/>
      <c r="B211" s="444" t="s">
        <v>76</v>
      </c>
      <c r="C211" s="582"/>
      <c r="D211" s="582"/>
      <c r="E211" s="582"/>
      <c r="F211" s="582"/>
      <c r="G211" s="488"/>
      <c r="H211" s="488"/>
      <c r="I211" s="488"/>
      <c r="J211" s="488"/>
      <c r="K211" s="488"/>
      <c r="L211" s="488"/>
      <c r="M211" s="488"/>
      <c r="N211" s="488"/>
      <c r="O211" s="488"/>
      <c r="P211" s="488"/>
      <c r="Q211" s="488"/>
      <c r="R211" s="488"/>
      <c r="S211" s="488"/>
      <c r="T211" s="484">
        <v>10.67</v>
      </c>
      <c r="U211" s="444" t="s">
        <v>113</v>
      </c>
      <c r="V211" s="444"/>
      <c r="W211" s="446"/>
      <c r="X211" s="425"/>
    </row>
    <row r="212" spans="1:24" s="426" customFormat="1" x14ac:dyDescent="0.3">
      <c r="A212" s="443"/>
      <c r="B212" s="444" t="s">
        <v>77</v>
      </c>
      <c r="C212" s="582"/>
      <c r="D212" s="582"/>
      <c r="E212" s="582"/>
      <c r="F212" s="582"/>
      <c r="G212" s="488"/>
      <c r="H212" s="488"/>
      <c r="I212" s="488"/>
      <c r="J212" s="488"/>
      <c r="K212" s="488"/>
      <c r="L212" s="488"/>
      <c r="M212" s="488"/>
      <c r="N212" s="488"/>
      <c r="O212" s="488"/>
      <c r="P212" s="488"/>
      <c r="Q212" s="488"/>
      <c r="R212" s="488"/>
      <c r="S212" s="488"/>
      <c r="T212" s="479">
        <f>P67/N67</f>
        <v>1.1829069569824751E-2</v>
      </c>
      <c r="U212" s="444"/>
      <c r="V212" s="444"/>
      <c r="W212" s="446"/>
      <c r="X212" s="425"/>
    </row>
    <row r="213" spans="1:24" s="426" customFormat="1" x14ac:dyDescent="0.3">
      <c r="A213" s="443"/>
      <c r="B213" s="444" t="s">
        <v>78</v>
      </c>
      <c r="C213" s="582"/>
      <c r="D213" s="582"/>
      <c r="E213" s="582"/>
      <c r="F213" s="582"/>
      <c r="G213" s="488"/>
      <c r="H213" s="488"/>
      <c r="I213" s="488"/>
      <c r="J213" s="488"/>
      <c r="K213" s="488"/>
      <c r="L213" s="488"/>
      <c r="M213" s="488"/>
      <c r="N213" s="488"/>
      <c r="O213" s="488"/>
      <c r="P213" s="488"/>
      <c r="Q213" s="488"/>
      <c r="R213" s="488"/>
      <c r="S213" s="488"/>
      <c r="T213" s="479">
        <v>6.3500000000000001E-2</v>
      </c>
      <c r="U213" s="444"/>
      <c r="V213" s="444"/>
      <c r="W213" s="446"/>
      <c r="X213" s="425"/>
    </row>
    <row r="214" spans="1:24" s="426" customFormat="1" x14ac:dyDescent="0.3">
      <c r="A214" s="421"/>
      <c r="B214" s="494"/>
      <c r="C214" s="494"/>
      <c r="D214" s="494"/>
      <c r="E214" s="494"/>
      <c r="F214" s="494"/>
      <c r="G214" s="494"/>
      <c r="H214" s="494"/>
      <c r="I214" s="494"/>
      <c r="J214" s="494"/>
      <c r="K214" s="494"/>
      <c r="L214" s="494"/>
      <c r="M214" s="494"/>
      <c r="N214" s="494"/>
      <c r="O214" s="494"/>
      <c r="P214" s="494"/>
      <c r="Q214" s="494"/>
      <c r="R214" s="494"/>
      <c r="S214" s="494"/>
      <c r="T214" s="584"/>
      <c r="U214" s="494"/>
      <c r="V214" s="585"/>
      <c r="W214" s="424"/>
      <c r="X214" s="425"/>
    </row>
    <row r="215" spans="1:24" s="426" customFormat="1" x14ac:dyDescent="0.3">
      <c r="A215" s="586"/>
      <c r="B215" s="420" t="s">
        <v>79</v>
      </c>
      <c r="C215" s="429"/>
      <c r="D215" s="429"/>
      <c r="E215" s="429"/>
      <c r="F215" s="587"/>
      <c r="G215" s="429"/>
      <c r="H215" s="429"/>
      <c r="I215" s="429"/>
      <c r="J215" s="429"/>
      <c r="K215" s="429"/>
      <c r="L215" s="429"/>
      <c r="M215" s="429"/>
      <c r="N215" s="429"/>
      <c r="O215" s="429"/>
      <c r="P215" s="429"/>
      <c r="Q215" s="429"/>
      <c r="R215" s="429"/>
      <c r="S215" s="429" t="s">
        <v>103</v>
      </c>
      <c r="T215" s="587" t="s">
        <v>110</v>
      </c>
      <c r="U215" s="422"/>
      <c r="V215" s="422"/>
      <c r="W215" s="424"/>
      <c r="X215" s="425"/>
    </row>
    <row r="216" spans="1:24" s="426" customFormat="1" x14ac:dyDescent="0.3">
      <c r="A216" s="588"/>
      <c r="B216" s="444" t="s">
        <v>80</v>
      </c>
      <c r="C216" s="516"/>
      <c r="D216" s="516"/>
      <c r="E216" s="516"/>
      <c r="F216" s="444"/>
      <c r="G216" s="444"/>
      <c r="H216" s="450"/>
      <c r="I216" s="450"/>
      <c r="J216" s="450"/>
      <c r="K216" s="450"/>
      <c r="L216" s="450"/>
      <c r="M216" s="450"/>
      <c r="N216" s="450"/>
      <c r="O216" s="450"/>
      <c r="P216" s="450"/>
      <c r="Q216" s="450"/>
      <c r="R216" s="450"/>
      <c r="S216" s="450">
        <v>0</v>
      </c>
      <c r="T216" s="589">
        <v>0</v>
      </c>
      <c r="U216" s="444"/>
      <c r="V216" s="590"/>
      <c r="W216" s="591"/>
      <c r="X216" s="425"/>
    </row>
    <row r="217" spans="1:24" s="426" customFormat="1" x14ac:dyDescent="0.3">
      <c r="A217" s="588"/>
      <c r="B217" s="444" t="s">
        <v>148</v>
      </c>
      <c r="C217" s="516"/>
      <c r="D217" s="516"/>
      <c r="E217" s="516"/>
      <c r="F217" s="444"/>
      <c r="G217" s="444"/>
      <c r="H217" s="450"/>
      <c r="I217" s="450"/>
      <c r="J217" s="450"/>
      <c r="K217" s="450"/>
      <c r="L217" s="450"/>
      <c r="M217" s="450"/>
      <c r="N217" s="450"/>
      <c r="O217" s="450"/>
      <c r="P217" s="450"/>
      <c r="Q217" s="450"/>
      <c r="R217" s="450"/>
      <c r="S217" s="592">
        <f>+R269</f>
        <v>117</v>
      </c>
      <c r="T217" s="589">
        <f>+T269</f>
        <v>18907</v>
      </c>
      <c r="U217" s="444"/>
      <c r="V217" s="590"/>
      <c r="W217" s="591"/>
      <c r="X217" s="425"/>
    </row>
    <row r="218" spans="1:24" s="426" customFormat="1" x14ac:dyDescent="0.3">
      <c r="A218" s="588"/>
      <c r="B218" s="444" t="s">
        <v>81</v>
      </c>
      <c r="C218" s="516"/>
      <c r="D218" s="516"/>
      <c r="E218" s="516"/>
      <c r="F218" s="444"/>
      <c r="G218" s="444"/>
      <c r="H218" s="450"/>
      <c r="I218" s="450"/>
      <c r="J218" s="450"/>
      <c r="K218" s="450"/>
      <c r="L218" s="450"/>
      <c r="M218" s="450"/>
      <c r="N218" s="450"/>
      <c r="O218" s="450"/>
      <c r="P218" s="450"/>
      <c r="Q218" s="450"/>
      <c r="R218" s="450"/>
      <c r="S218" s="592">
        <f>+R281</f>
        <v>1</v>
      </c>
      <c r="T218" s="589">
        <f>+T281</f>
        <v>118</v>
      </c>
      <c r="U218" s="444"/>
      <c r="V218" s="590"/>
      <c r="W218" s="591"/>
      <c r="X218" s="425"/>
    </row>
    <row r="219" spans="1:24" x14ac:dyDescent="0.3">
      <c r="A219" s="593"/>
      <c r="B219" s="594" t="s">
        <v>82</v>
      </c>
      <c r="C219" s="595"/>
      <c r="D219" s="595"/>
      <c r="E219" s="595"/>
      <c r="F219" s="465"/>
      <c r="G219" s="465"/>
      <c r="H219" s="465"/>
      <c r="I219" s="465"/>
      <c r="J219" s="465"/>
      <c r="K219" s="465"/>
      <c r="L219" s="465"/>
      <c r="M219" s="465"/>
      <c r="N219" s="465"/>
      <c r="O219" s="465"/>
      <c r="P219" s="465"/>
      <c r="Q219" s="465"/>
      <c r="R219" s="465"/>
      <c r="S219" s="465"/>
      <c r="T219" s="589">
        <v>0</v>
      </c>
      <c r="U219" s="465"/>
      <c r="V219" s="596"/>
      <c r="W219" s="597"/>
      <c r="X219" s="406"/>
    </row>
    <row r="220" spans="1:24" x14ac:dyDescent="0.3">
      <c r="A220" s="593"/>
      <c r="B220" s="594" t="s">
        <v>275</v>
      </c>
      <c r="C220" s="595"/>
      <c r="D220" s="595"/>
      <c r="E220" s="595"/>
      <c r="F220" s="465"/>
      <c r="G220" s="465"/>
      <c r="H220" s="465"/>
      <c r="I220" s="465"/>
      <c r="J220" s="465"/>
      <c r="K220" s="465"/>
      <c r="L220" s="465"/>
      <c r="M220" s="465"/>
      <c r="N220" s="465"/>
      <c r="O220" s="465"/>
      <c r="P220" s="465"/>
      <c r="Q220" s="465"/>
      <c r="R220" s="465"/>
      <c r="S220" s="465"/>
      <c r="T220" s="589">
        <f>+N80</f>
        <v>0</v>
      </c>
      <c r="U220" s="465"/>
      <c r="V220" s="596"/>
      <c r="W220" s="597"/>
      <c r="X220" s="406"/>
    </row>
    <row r="221" spans="1:24" x14ac:dyDescent="0.3">
      <c r="A221" s="598"/>
      <c r="B221" s="594" t="s">
        <v>83</v>
      </c>
      <c r="C221" s="599"/>
      <c r="D221" s="599"/>
      <c r="E221" s="599"/>
      <c r="F221" s="599"/>
      <c r="G221" s="465"/>
      <c r="H221" s="465"/>
      <c r="I221" s="465"/>
      <c r="J221" s="465"/>
      <c r="K221" s="465"/>
      <c r="L221" s="465"/>
      <c r="M221" s="465"/>
      <c r="N221" s="465"/>
      <c r="O221" s="465"/>
      <c r="P221" s="465"/>
      <c r="Q221" s="465"/>
      <c r="R221" s="465"/>
      <c r="S221" s="465"/>
      <c r="T221" s="600"/>
      <c r="U221" s="465"/>
      <c r="V221" s="596"/>
      <c r="W221" s="601"/>
      <c r="X221" s="406"/>
    </row>
    <row r="222" spans="1:24" s="426" customFormat="1" x14ac:dyDescent="0.3">
      <c r="A222" s="602"/>
      <c r="B222" s="444" t="s">
        <v>84</v>
      </c>
      <c r="C222" s="444"/>
      <c r="D222" s="444"/>
      <c r="E222" s="444"/>
      <c r="F222" s="444"/>
      <c r="G222" s="444"/>
      <c r="H222" s="444"/>
      <c r="I222" s="444"/>
      <c r="J222" s="444"/>
      <c r="K222" s="444"/>
      <c r="L222" s="444"/>
      <c r="M222" s="444"/>
      <c r="N222" s="444"/>
      <c r="O222" s="444"/>
      <c r="P222" s="444"/>
      <c r="Q222" s="444"/>
      <c r="R222" s="444"/>
      <c r="S222" s="450"/>
      <c r="T222" s="589">
        <f>V166</f>
        <v>316</v>
      </c>
      <c r="U222" s="444"/>
      <c r="V222" s="590"/>
      <c r="W222" s="603"/>
      <c r="X222" s="425"/>
    </row>
    <row r="223" spans="1:24" s="426" customFormat="1" x14ac:dyDescent="0.3">
      <c r="A223" s="588"/>
      <c r="B223" s="444" t="s">
        <v>85</v>
      </c>
      <c r="C223" s="516"/>
      <c r="D223" s="516"/>
      <c r="E223" s="516"/>
      <c r="F223" s="516"/>
      <c r="G223" s="444"/>
      <c r="H223" s="444"/>
      <c r="I223" s="444"/>
      <c r="J223" s="444"/>
      <c r="K223" s="444"/>
      <c r="L223" s="444"/>
      <c r="M223" s="444"/>
      <c r="N223" s="444"/>
      <c r="O223" s="444"/>
      <c r="P223" s="444"/>
      <c r="Q223" s="444"/>
      <c r="R223" s="444"/>
      <c r="S223" s="450"/>
      <c r="T223" s="589">
        <f>'June 17'!T223+T222</f>
        <v>9552</v>
      </c>
      <c r="U223" s="444"/>
      <c r="V223" s="590"/>
      <c r="W223" s="603"/>
      <c r="X223" s="425"/>
    </row>
    <row r="224" spans="1:24" x14ac:dyDescent="0.3">
      <c r="A224" s="598"/>
      <c r="B224" s="594" t="s">
        <v>297</v>
      </c>
      <c r="C224" s="599"/>
      <c r="D224" s="599"/>
      <c r="E224" s="599"/>
      <c r="F224" s="599"/>
      <c r="G224" s="465"/>
      <c r="H224" s="465"/>
      <c r="I224" s="465"/>
      <c r="J224" s="465"/>
      <c r="K224" s="465"/>
      <c r="L224" s="465"/>
      <c r="M224" s="465"/>
      <c r="N224" s="465"/>
      <c r="O224" s="465"/>
      <c r="P224" s="465"/>
      <c r="Q224" s="465"/>
      <c r="R224" s="465"/>
      <c r="S224" s="604"/>
      <c r="T224" s="600"/>
      <c r="U224" s="465"/>
      <c r="V224" s="596"/>
      <c r="W224" s="601"/>
      <c r="X224" s="406"/>
    </row>
    <row r="225" spans="1:25" s="426" customFormat="1" x14ac:dyDescent="0.3">
      <c r="A225" s="602"/>
      <c r="B225" s="444" t="s">
        <v>295</v>
      </c>
      <c r="C225" s="444"/>
      <c r="D225" s="444"/>
      <c r="E225" s="444"/>
      <c r="F225" s="444"/>
      <c r="G225" s="444"/>
      <c r="H225" s="444"/>
      <c r="I225" s="444"/>
      <c r="J225" s="444"/>
      <c r="K225" s="444"/>
      <c r="L225" s="444"/>
      <c r="M225" s="444"/>
      <c r="N225" s="444"/>
      <c r="O225" s="444"/>
      <c r="P225" s="444"/>
      <c r="Q225" s="444"/>
      <c r="R225" s="444"/>
      <c r="S225" s="450">
        <v>0</v>
      </c>
      <c r="T225" s="589">
        <v>0</v>
      </c>
      <c r="U225" s="444"/>
      <c r="V225" s="590"/>
      <c r="W225" s="603"/>
      <c r="X225" s="425"/>
    </row>
    <row r="226" spans="1:25" s="426" customFormat="1" x14ac:dyDescent="0.3">
      <c r="A226" s="588"/>
      <c r="B226" s="444" t="s">
        <v>87</v>
      </c>
      <c r="C226" s="482"/>
      <c r="D226" s="482"/>
      <c r="E226" s="482"/>
      <c r="F226" s="605"/>
      <c r="G226" s="444"/>
      <c r="H226" s="444"/>
      <c r="I226" s="444"/>
      <c r="J226" s="444"/>
      <c r="K226" s="444"/>
      <c r="L226" s="444"/>
      <c r="M226" s="444"/>
      <c r="N226" s="444"/>
      <c r="O226" s="444"/>
      <c r="P226" s="444"/>
      <c r="Q226" s="444"/>
      <c r="R226" s="444"/>
      <c r="S226" s="444"/>
      <c r="T226" s="606">
        <v>0</v>
      </c>
      <c r="U226" s="444"/>
      <c r="V226" s="590"/>
      <c r="W226" s="603"/>
      <c r="X226" s="425"/>
    </row>
    <row r="227" spans="1:25" s="426" customFormat="1" x14ac:dyDescent="0.3">
      <c r="A227" s="588"/>
      <c r="B227" s="444" t="s">
        <v>88</v>
      </c>
      <c r="C227" s="482"/>
      <c r="D227" s="482"/>
      <c r="E227" s="482"/>
      <c r="F227" s="605"/>
      <c r="G227" s="444"/>
      <c r="H227" s="444"/>
      <c r="I227" s="444"/>
      <c r="J227" s="444"/>
      <c r="K227" s="444"/>
      <c r="L227" s="444"/>
      <c r="M227" s="444"/>
      <c r="N227" s="444"/>
      <c r="O227" s="444"/>
      <c r="P227" s="444"/>
      <c r="Q227" s="444"/>
      <c r="R227" s="444"/>
      <c r="S227" s="444"/>
      <c r="T227" s="606">
        <v>0</v>
      </c>
      <c r="U227" s="444"/>
      <c r="V227" s="590"/>
      <c r="W227" s="603"/>
      <c r="X227" s="425"/>
    </row>
    <row r="228" spans="1:25" x14ac:dyDescent="0.3">
      <c r="A228" s="593"/>
      <c r="B228" s="594" t="s">
        <v>220</v>
      </c>
      <c r="C228" s="607"/>
      <c r="D228" s="607"/>
      <c r="E228" s="607"/>
      <c r="F228" s="608"/>
      <c r="G228" s="465"/>
      <c r="H228" s="465"/>
      <c r="I228" s="465"/>
      <c r="J228" s="465"/>
      <c r="K228" s="465"/>
      <c r="L228" s="465"/>
      <c r="M228" s="465"/>
      <c r="N228" s="465"/>
      <c r="O228" s="465"/>
      <c r="P228" s="465"/>
      <c r="Q228" s="465"/>
      <c r="R228" s="465"/>
      <c r="S228" s="609"/>
      <c r="T228" s="610"/>
      <c r="U228" s="465"/>
      <c r="V228" s="596"/>
      <c r="W228" s="601"/>
      <c r="X228" s="406"/>
    </row>
    <row r="229" spans="1:25" s="426" customFormat="1" x14ac:dyDescent="0.3">
      <c r="A229" s="588"/>
      <c r="B229" s="444" t="s">
        <v>295</v>
      </c>
      <c r="C229" s="482"/>
      <c r="D229" s="482"/>
      <c r="E229" s="482"/>
      <c r="F229" s="605"/>
      <c r="G229" s="444"/>
      <c r="H229" s="444"/>
      <c r="I229" s="444"/>
      <c r="J229" s="444"/>
      <c r="K229" s="444"/>
      <c r="L229" s="444"/>
      <c r="M229" s="444"/>
      <c r="N229" s="444"/>
      <c r="O229" s="444"/>
      <c r="P229" s="444"/>
      <c r="Q229" s="444"/>
      <c r="R229" s="444"/>
      <c r="S229" s="450">
        <v>5</v>
      </c>
      <c r="T229" s="589">
        <v>526</v>
      </c>
      <c r="U229" s="444"/>
      <c r="V229" s="590"/>
      <c r="W229" s="603"/>
      <c r="X229" s="425"/>
    </row>
    <row r="230" spans="1:25" s="426" customFormat="1" x14ac:dyDescent="0.3">
      <c r="A230" s="588"/>
      <c r="B230" s="444" t="s">
        <v>221</v>
      </c>
      <c r="C230" s="482"/>
      <c r="D230" s="482"/>
      <c r="E230" s="482"/>
      <c r="F230" s="605"/>
      <c r="G230" s="444"/>
      <c r="H230" s="444"/>
      <c r="I230" s="444"/>
      <c r="J230" s="444"/>
      <c r="K230" s="444"/>
      <c r="L230" s="444"/>
      <c r="M230" s="444"/>
      <c r="N230" s="444"/>
      <c r="O230" s="444"/>
      <c r="P230" s="444"/>
      <c r="Q230" s="444"/>
      <c r="R230" s="444"/>
      <c r="S230" s="444"/>
      <c r="T230" s="606">
        <v>5.22</v>
      </c>
      <c r="U230" s="444"/>
      <c r="V230" s="590"/>
      <c r="W230" s="603"/>
      <c r="X230" s="425"/>
    </row>
    <row r="231" spans="1:25" x14ac:dyDescent="0.3">
      <c r="A231" s="593"/>
      <c r="B231" s="599"/>
      <c r="C231" s="607"/>
      <c r="D231" s="607"/>
      <c r="E231" s="607"/>
      <c r="F231" s="608"/>
      <c r="G231" s="465"/>
      <c r="H231" s="465"/>
      <c r="I231" s="465"/>
      <c r="J231" s="465"/>
      <c r="K231" s="465"/>
      <c r="L231" s="465"/>
      <c r="M231" s="465"/>
      <c r="N231" s="465"/>
      <c r="O231" s="465"/>
      <c r="P231" s="465"/>
      <c r="Q231" s="465"/>
      <c r="R231" s="465"/>
      <c r="S231" s="465"/>
      <c r="T231" s="611"/>
      <c r="U231" s="465"/>
      <c r="V231" s="596"/>
      <c r="W231" s="601"/>
      <c r="X231" s="406"/>
    </row>
    <row r="232" spans="1:25" x14ac:dyDescent="0.3">
      <c r="A232" s="593"/>
      <c r="B232" s="599"/>
      <c r="C232" s="607"/>
      <c r="D232" s="607"/>
      <c r="E232" s="607"/>
      <c r="F232" s="608"/>
      <c r="G232" s="465"/>
      <c r="H232" s="465"/>
      <c r="I232" s="465"/>
      <c r="J232" s="465"/>
      <c r="K232" s="465"/>
      <c r="L232" s="465"/>
      <c r="M232" s="465"/>
      <c r="N232" s="465"/>
      <c r="O232" s="465"/>
      <c r="P232" s="465"/>
      <c r="Q232" s="465"/>
      <c r="R232" s="465"/>
      <c r="S232" s="465"/>
      <c r="T232" s="611"/>
      <c r="U232" s="465"/>
      <c r="V232" s="596"/>
      <c r="W232" s="601"/>
      <c r="X232" s="406"/>
    </row>
    <row r="233" spans="1:25" ht="18" x14ac:dyDescent="0.35">
      <c r="A233" s="593"/>
      <c r="B233" s="612" t="s">
        <v>171</v>
      </c>
      <c r="C233" s="607"/>
      <c r="D233" s="607"/>
      <c r="E233" s="607"/>
      <c r="F233" s="608"/>
      <c r="G233" s="465"/>
      <c r="H233" s="465"/>
      <c r="I233" s="465"/>
      <c r="J233" s="465"/>
      <c r="K233" s="465"/>
      <c r="L233" s="465"/>
      <c r="M233" s="465"/>
      <c r="N233" s="465"/>
      <c r="O233" s="465"/>
      <c r="P233" s="613" t="s">
        <v>370</v>
      </c>
      <c r="Q233" s="465"/>
      <c r="R233" s="465"/>
      <c r="S233" s="465"/>
      <c r="T233" s="611"/>
      <c r="U233" s="465"/>
      <c r="V233" s="596"/>
      <c r="W233" s="601"/>
      <c r="X233" s="406"/>
    </row>
    <row r="234" spans="1:25" x14ac:dyDescent="0.3">
      <c r="A234" s="614"/>
      <c r="B234" s="615"/>
      <c r="C234" s="616"/>
      <c r="D234" s="616"/>
      <c r="E234" s="616"/>
      <c r="F234" s="617"/>
      <c r="G234" s="518"/>
      <c r="H234" s="518"/>
      <c r="I234" s="518"/>
      <c r="J234" s="518"/>
      <c r="K234" s="518"/>
      <c r="L234" s="518"/>
      <c r="M234" s="518"/>
      <c r="N234" s="518"/>
      <c r="O234" s="518"/>
      <c r="P234" s="518"/>
      <c r="Q234" s="518"/>
      <c r="R234" s="518"/>
      <c r="S234" s="518"/>
      <c r="T234" s="618"/>
      <c r="U234" s="518"/>
      <c r="V234" s="619"/>
      <c r="W234" s="620"/>
      <c r="X234" s="406"/>
    </row>
    <row r="235" spans="1:25" x14ac:dyDescent="0.3">
      <c r="A235" s="533"/>
      <c r="B235" s="534" t="s">
        <v>310</v>
      </c>
      <c r="C235" s="535"/>
      <c r="D235" s="535"/>
      <c r="E235" s="535"/>
      <c r="F235" s="621"/>
      <c r="G235" s="535"/>
      <c r="H235" s="535"/>
      <c r="I235" s="535"/>
      <c r="J235" s="535"/>
      <c r="K235" s="535"/>
      <c r="L235" s="535"/>
      <c r="M235" s="535"/>
      <c r="N235" s="535"/>
      <c r="O235" s="535"/>
      <c r="P235" s="535"/>
      <c r="Q235" s="535"/>
      <c r="R235" s="621" t="s">
        <v>103</v>
      </c>
      <c r="S235" s="535" t="s">
        <v>104</v>
      </c>
      <c r="T235" s="621" t="s">
        <v>111</v>
      </c>
      <c r="U235" s="535" t="s">
        <v>104</v>
      </c>
      <c r="V235" s="622"/>
      <c r="W235" s="623"/>
      <c r="X235" s="406"/>
    </row>
    <row r="236" spans="1:25" s="426" customFormat="1" x14ac:dyDescent="0.3">
      <c r="A236" s="421"/>
      <c r="B236" s="552" t="s">
        <v>89</v>
      </c>
      <c r="C236" s="624"/>
      <c r="D236" s="624"/>
      <c r="E236" s="624"/>
      <c r="F236" s="494"/>
      <c r="G236" s="624"/>
      <c r="H236" s="624"/>
      <c r="I236" s="624"/>
      <c r="J236" s="624"/>
      <c r="K236" s="624"/>
      <c r="L236" s="624"/>
      <c r="M236" s="624"/>
      <c r="N236" s="624"/>
      <c r="O236" s="624"/>
      <c r="P236" s="624"/>
      <c r="Q236" s="624"/>
      <c r="R236" s="539">
        <f t="shared" ref="R236:R243" si="1">+R248+R260+R272</f>
        <v>6145</v>
      </c>
      <c r="S236" s="625">
        <f t="shared" ref="S236:S243" si="2">R236/$R$245</f>
        <v>0.99449749150347955</v>
      </c>
      <c r="T236" s="540">
        <f t="shared" ref="T236:T243" si="3">+T248+T260+T272</f>
        <v>786835</v>
      </c>
      <c r="U236" s="625">
        <f t="shared" ref="U236:U243" si="4">T236/$T$245</f>
        <v>0.9946829557507133</v>
      </c>
      <c r="V236" s="585"/>
      <c r="W236" s="626"/>
      <c r="X236" s="425"/>
    </row>
    <row r="237" spans="1:25" s="426" customFormat="1" x14ac:dyDescent="0.3">
      <c r="A237" s="443"/>
      <c r="B237" s="516" t="s">
        <v>90</v>
      </c>
      <c r="C237" s="627"/>
      <c r="D237" s="627"/>
      <c r="E237" s="627"/>
      <c r="F237" s="444"/>
      <c r="G237" s="628"/>
      <c r="H237" s="627"/>
      <c r="I237" s="627"/>
      <c r="J237" s="627"/>
      <c r="K237" s="627"/>
      <c r="L237" s="627"/>
      <c r="M237" s="627"/>
      <c r="N237" s="627"/>
      <c r="O237" s="627"/>
      <c r="P237" s="627"/>
      <c r="Q237" s="627"/>
      <c r="R237" s="516">
        <f t="shared" si="1"/>
        <v>6</v>
      </c>
      <c r="S237" s="628">
        <f t="shared" si="2"/>
        <v>9.7103091115067163E-4</v>
      </c>
      <c r="T237" s="517">
        <f t="shared" si="3"/>
        <v>802</v>
      </c>
      <c r="U237" s="628">
        <f t="shared" si="4"/>
        <v>1.0138538963214295E-3</v>
      </c>
      <c r="V237" s="590"/>
      <c r="W237" s="603"/>
      <c r="X237" s="425"/>
      <c r="Y237" s="549"/>
    </row>
    <row r="238" spans="1:25" s="426" customFormat="1" x14ac:dyDescent="0.3">
      <c r="A238" s="443"/>
      <c r="B238" s="516" t="s">
        <v>91</v>
      </c>
      <c r="C238" s="627"/>
      <c r="D238" s="627"/>
      <c r="E238" s="627"/>
      <c r="F238" s="444"/>
      <c r="G238" s="628"/>
      <c r="H238" s="627"/>
      <c r="I238" s="627"/>
      <c r="J238" s="627"/>
      <c r="K238" s="627"/>
      <c r="L238" s="627"/>
      <c r="M238" s="627"/>
      <c r="N238" s="627"/>
      <c r="O238" s="627"/>
      <c r="P238" s="627"/>
      <c r="Q238" s="627"/>
      <c r="R238" s="516">
        <f t="shared" si="1"/>
        <v>2</v>
      </c>
      <c r="S238" s="628">
        <f t="shared" si="2"/>
        <v>3.2367697038355721E-4</v>
      </c>
      <c r="T238" s="517">
        <f t="shared" si="3"/>
        <v>217</v>
      </c>
      <c r="U238" s="628">
        <f t="shared" si="4"/>
        <v>2.7432206421664618E-4</v>
      </c>
      <c r="V238" s="590"/>
      <c r="W238" s="603"/>
      <c r="X238" s="425"/>
    </row>
    <row r="239" spans="1:25" s="426" customFormat="1" x14ac:dyDescent="0.3">
      <c r="A239" s="443"/>
      <c r="B239" s="516" t="s">
        <v>159</v>
      </c>
      <c r="C239" s="627"/>
      <c r="D239" s="627"/>
      <c r="E239" s="627"/>
      <c r="F239" s="444"/>
      <c r="G239" s="628"/>
      <c r="H239" s="627"/>
      <c r="I239" s="627"/>
      <c r="J239" s="627"/>
      <c r="K239" s="627"/>
      <c r="L239" s="627"/>
      <c r="M239" s="627"/>
      <c r="N239" s="627"/>
      <c r="O239" s="627"/>
      <c r="P239" s="627"/>
      <c r="Q239" s="627"/>
      <c r="R239" s="516">
        <f t="shared" si="1"/>
        <v>6</v>
      </c>
      <c r="S239" s="628">
        <f t="shared" si="2"/>
        <v>9.7103091115067163E-4</v>
      </c>
      <c r="T239" s="517">
        <f t="shared" si="3"/>
        <v>481</v>
      </c>
      <c r="U239" s="628">
        <f t="shared" si="4"/>
        <v>6.0805950639726634E-4</v>
      </c>
      <c r="V239" s="590"/>
      <c r="W239" s="603"/>
      <c r="X239" s="425"/>
      <c r="Y239" s="549"/>
    </row>
    <row r="240" spans="1:25" s="426" customFormat="1" x14ac:dyDescent="0.3">
      <c r="A240" s="443"/>
      <c r="B240" s="516" t="s">
        <v>160</v>
      </c>
      <c r="C240" s="627"/>
      <c r="D240" s="627"/>
      <c r="E240" s="627"/>
      <c r="F240" s="444"/>
      <c r="G240" s="628"/>
      <c r="H240" s="627"/>
      <c r="I240" s="627"/>
      <c r="J240" s="627"/>
      <c r="K240" s="627"/>
      <c r="L240" s="627"/>
      <c r="M240" s="627"/>
      <c r="N240" s="627"/>
      <c r="O240" s="627"/>
      <c r="P240" s="627"/>
      <c r="Q240" s="627"/>
      <c r="R240" s="516">
        <f t="shared" si="1"/>
        <v>1</v>
      </c>
      <c r="S240" s="628">
        <f t="shared" si="2"/>
        <v>1.618384851917786E-4</v>
      </c>
      <c r="T240" s="517">
        <f t="shared" si="3"/>
        <v>118</v>
      </c>
      <c r="U240" s="628">
        <f t="shared" si="4"/>
        <v>1.4917052339891358E-4</v>
      </c>
      <c r="V240" s="590"/>
      <c r="W240" s="603"/>
      <c r="X240" s="425"/>
    </row>
    <row r="241" spans="1:25" s="426" customFormat="1" x14ac:dyDescent="0.3">
      <c r="A241" s="443"/>
      <c r="B241" s="516" t="s">
        <v>161</v>
      </c>
      <c r="C241" s="627"/>
      <c r="D241" s="627"/>
      <c r="E241" s="627"/>
      <c r="F241" s="444"/>
      <c r="G241" s="628"/>
      <c r="H241" s="627"/>
      <c r="I241" s="627"/>
      <c r="J241" s="627"/>
      <c r="K241" s="627"/>
      <c r="L241" s="627"/>
      <c r="M241" s="627"/>
      <c r="N241" s="627"/>
      <c r="O241" s="627"/>
      <c r="P241" s="627"/>
      <c r="Q241" s="627"/>
      <c r="R241" s="516">
        <f t="shared" si="1"/>
        <v>2</v>
      </c>
      <c r="S241" s="628">
        <f t="shared" si="2"/>
        <v>3.2367697038355721E-4</v>
      </c>
      <c r="T241" s="517">
        <f t="shared" si="3"/>
        <v>210</v>
      </c>
      <c r="U241" s="628">
        <f t="shared" si="4"/>
        <v>2.6547296537094789E-4</v>
      </c>
      <c r="V241" s="590"/>
      <c r="W241" s="603"/>
      <c r="X241" s="425"/>
      <c r="Y241" s="549"/>
    </row>
    <row r="242" spans="1:25" s="426" customFormat="1" x14ac:dyDescent="0.3">
      <c r="A242" s="443"/>
      <c r="B242" s="516" t="s">
        <v>162</v>
      </c>
      <c r="C242" s="627"/>
      <c r="D242" s="627"/>
      <c r="E242" s="627"/>
      <c r="F242" s="444"/>
      <c r="G242" s="628"/>
      <c r="H242" s="627"/>
      <c r="I242" s="627"/>
      <c r="J242" s="627"/>
      <c r="K242" s="627"/>
      <c r="L242" s="627"/>
      <c r="M242" s="627"/>
      <c r="N242" s="627"/>
      <c r="O242" s="627"/>
      <c r="P242" s="627"/>
      <c r="Q242" s="627"/>
      <c r="R242" s="516">
        <f t="shared" si="1"/>
        <v>0</v>
      </c>
      <c r="S242" s="628">
        <f t="shared" si="2"/>
        <v>0</v>
      </c>
      <c r="T242" s="517">
        <f t="shared" si="3"/>
        <v>0</v>
      </c>
      <c r="U242" s="628">
        <f t="shared" si="4"/>
        <v>0</v>
      </c>
      <c r="V242" s="590"/>
      <c r="W242" s="603"/>
      <c r="X242" s="425"/>
    </row>
    <row r="243" spans="1:25" s="426" customFormat="1" x14ac:dyDescent="0.3">
      <c r="A243" s="443"/>
      <c r="B243" s="516" t="s">
        <v>163</v>
      </c>
      <c r="C243" s="627"/>
      <c r="D243" s="627"/>
      <c r="E243" s="627"/>
      <c r="F243" s="444"/>
      <c r="G243" s="628"/>
      <c r="H243" s="627"/>
      <c r="I243" s="627"/>
      <c r="J243" s="627"/>
      <c r="K243" s="627"/>
      <c r="L243" s="627"/>
      <c r="M243" s="627"/>
      <c r="N243" s="627"/>
      <c r="O243" s="627"/>
      <c r="P243" s="627"/>
      <c r="Q243" s="627"/>
      <c r="R243" s="516">
        <f t="shared" si="1"/>
        <v>17</v>
      </c>
      <c r="S243" s="628">
        <f t="shared" si="2"/>
        <v>2.7512542482602364E-3</v>
      </c>
      <c r="T243" s="517">
        <f t="shared" si="3"/>
        <v>2378</v>
      </c>
      <c r="U243" s="628">
        <f t="shared" si="4"/>
        <v>3.0061652935814958E-3</v>
      </c>
      <c r="V243" s="590"/>
      <c r="W243" s="603"/>
      <c r="X243" s="425"/>
      <c r="Y243" s="549"/>
    </row>
    <row r="244" spans="1:25" s="426" customFormat="1" x14ac:dyDescent="0.3">
      <c r="A244" s="443"/>
      <c r="B244" s="516"/>
      <c r="C244" s="627"/>
      <c r="D244" s="627"/>
      <c r="E244" s="627"/>
      <c r="F244" s="444"/>
      <c r="G244" s="628"/>
      <c r="H244" s="627"/>
      <c r="I244" s="627"/>
      <c r="J244" s="627"/>
      <c r="K244" s="627"/>
      <c r="L244" s="627"/>
      <c r="M244" s="627"/>
      <c r="N244" s="627"/>
      <c r="O244" s="627"/>
      <c r="P244" s="627"/>
      <c r="Q244" s="627"/>
      <c r="R244" s="516"/>
      <c r="S244" s="628"/>
      <c r="T244" s="517"/>
      <c r="U244" s="628"/>
      <c r="V244" s="590"/>
      <c r="W244" s="603"/>
      <c r="X244" s="425"/>
    </row>
    <row r="245" spans="1:25" s="426" customFormat="1" x14ac:dyDescent="0.3">
      <c r="A245" s="443"/>
      <c r="B245" s="444" t="s">
        <v>117</v>
      </c>
      <c r="C245" s="444"/>
      <c r="D245" s="444"/>
      <c r="E245" s="444"/>
      <c r="F245" s="444"/>
      <c r="G245" s="444"/>
      <c r="H245" s="629"/>
      <c r="I245" s="629"/>
      <c r="J245" s="629"/>
      <c r="K245" s="629"/>
      <c r="L245" s="629"/>
      <c r="M245" s="629"/>
      <c r="N245" s="629"/>
      <c r="O245" s="629"/>
      <c r="P245" s="629"/>
      <c r="Q245" s="629"/>
      <c r="R245" s="516">
        <f>SUM(R236:R244)</f>
        <v>6179</v>
      </c>
      <c r="S245" s="628">
        <f>SUM(S236:S244)</f>
        <v>1.0000000000000002</v>
      </c>
      <c r="T245" s="517">
        <f>SUM(T236:T244)</f>
        <v>791041</v>
      </c>
      <c r="U245" s="628">
        <f>SUM(U236:U244)</f>
        <v>1</v>
      </c>
      <c r="V245" s="444"/>
      <c r="W245" s="446"/>
      <c r="X245" s="425"/>
    </row>
    <row r="246" spans="1:25" x14ac:dyDescent="0.3">
      <c r="A246" s="614"/>
      <c r="B246" s="615"/>
      <c r="C246" s="616"/>
      <c r="D246" s="616"/>
      <c r="E246" s="616"/>
      <c r="F246" s="617"/>
      <c r="G246" s="518"/>
      <c r="H246" s="518"/>
      <c r="I246" s="518"/>
      <c r="J246" s="518"/>
      <c r="K246" s="518"/>
      <c r="L246" s="518"/>
      <c r="M246" s="518"/>
      <c r="N246" s="518"/>
      <c r="O246" s="518"/>
      <c r="P246" s="518"/>
      <c r="Q246" s="518"/>
      <c r="R246" s="518"/>
      <c r="S246" s="518"/>
      <c r="T246" s="618"/>
      <c r="U246" s="518"/>
      <c r="V246" s="619"/>
      <c r="W246" s="620"/>
      <c r="X246" s="406"/>
    </row>
    <row r="247" spans="1:25" x14ac:dyDescent="0.3">
      <c r="A247" s="533"/>
      <c r="B247" s="534" t="s">
        <v>165</v>
      </c>
      <c r="C247" s="535"/>
      <c r="D247" s="535"/>
      <c r="E247" s="535"/>
      <c r="F247" s="621"/>
      <c r="G247" s="535"/>
      <c r="H247" s="535"/>
      <c r="I247" s="535"/>
      <c r="J247" s="535"/>
      <c r="K247" s="535"/>
      <c r="L247" s="535"/>
      <c r="M247" s="535"/>
      <c r="N247" s="535"/>
      <c r="O247" s="535"/>
      <c r="P247" s="535"/>
      <c r="Q247" s="535"/>
      <c r="R247" s="621" t="s">
        <v>103</v>
      </c>
      <c r="S247" s="535" t="s">
        <v>104</v>
      </c>
      <c r="T247" s="621" t="s">
        <v>111</v>
      </c>
      <c r="U247" s="535" t="s">
        <v>104</v>
      </c>
      <c r="V247" s="622"/>
      <c r="W247" s="623"/>
      <c r="X247" s="406"/>
    </row>
    <row r="248" spans="1:25" s="426" customFormat="1" x14ac:dyDescent="0.3">
      <c r="A248" s="421"/>
      <c r="B248" s="552" t="s">
        <v>89</v>
      </c>
      <c r="C248" s="624"/>
      <c r="D248" s="624"/>
      <c r="E248" s="624"/>
      <c r="F248" s="494"/>
      <c r="G248" s="624"/>
      <c r="H248" s="624"/>
      <c r="I248" s="624"/>
      <c r="J248" s="624"/>
      <c r="K248" s="624"/>
      <c r="L248" s="624"/>
      <c r="M248" s="624"/>
      <c r="N248" s="624"/>
      <c r="O248" s="624"/>
      <c r="P248" s="624"/>
      <c r="Q248" s="624"/>
      <c r="R248" s="552">
        <v>6057</v>
      </c>
      <c r="S248" s="630">
        <f t="shared" ref="S248:S255" si="5">R248/$R$257</f>
        <v>0.99934004289721168</v>
      </c>
      <c r="T248" s="631">
        <v>771411</v>
      </c>
      <c r="U248" s="630">
        <f t="shared" ref="U248:U255" si="6">T248/$T$257</f>
        <v>0.99921633748523342</v>
      </c>
      <c r="V248" s="585"/>
      <c r="W248" s="626"/>
      <c r="X248" s="425"/>
    </row>
    <row r="249" spans="1:25" s="426" customFormat="1" x14ac:dyDescent="0.3">
      <c r="A249" s="443"/>
      <c r="B249" s="516" t="s">
        <v>90</v>
      </c>
      <c r="C249" s="627"/>
      <c r="D249" s="627"/>
      <c r="E249" s="627"/>
      <c r="F249" s="444"/>
      <c r="G249" s="628"/>
      <c r="H249" s="627"/>
      <c r="I249" s="627"/>
      <c r="J249" s="627"/>
      <c r="K249" s="627"/>
      <c r="L249" s="627"/>
      <c r="M249" s="627"/>
      <c r="N249" s="627"/>
      <c r="O249" s="627"/>
      <c r="P249" s="627"/>
      <c r="Q249" s="627"/>
      <c r="R249" s="516">
        <v>4</v>
      </c>
      <c r="S249" s="628">
        <f t="shared" si="5"/>
        <v>6.5995710278831873E-4</v>
      </c>
      <c r="T249" s="517">
        <v>605</v>
      </c>
      <c r="U249" s="628">
        <f t="shared" si="6"/>
        <v>7.8366251476653329E-4</v>
      </c>
      <c r="V249" s="590"/>
      <c r="W249" s="603"/>
      <c r="X249" s="425"/>
      <c r="Y249" s="549"/>
    </row>
    <row r="250" spans="1:25" s="426" customFormat="1" x14ac:dyDescent="0.3">
      <c r="A250" s="443"/>
      <c r="B250" s="516" t="s">
        <v>91</v>
      </c>
      <c r="C250" s="627"/>
      <c r="D250" s="627"/>
      <c r="E250" s="627"/>
      <c r="F250" s="444"/>
      <c r="G250" s="628"/>
      <c r="H250" s="627"/>
      <c r="I250" s="627"/>
      <c r="J250" s="627"/>
      <c r="K250" s="627"/>
      <c r="L250" s="627"/>
      <c r="M250" s="627"/>
      <c r="N250" s="627"/>
      <c r="O250" s="627"/>
      <c r="P250" s="627"/>
      <c r="Q250" s="627"/>
      <c r="R250" s="516">
        <v>0</v>
      </c>
      <c r="S250" s="628">
        <f t="shared" si="5"/>
        <v>0</v>
      </c>
      <c r="T250" s="517">
        <v>0</v>
      </c>
      <c r="U250" s="628">
        <f t="shared" si="6"/>
        <v>0</v>
      </c>
      <c r="V250" s="590"/>
      <c r="W250" s="603"/>
      <c r="X250" s="425"/>
    </row>
    <row r="251" spans="1:25" s="426" customFormat="1" x14ac:dyDescent="0.3">
      <c r="A251" s="443"/>
      <c r="B251" s="516" t="s">
        <v>159</v>
      </c>
      <c r="C251" s="627"/>
      <c r="D251" s="627"/>
      <c r="E251" s="627"/>
      <c r="F251" s="444"/>
      <c r="G251" s="628"/>
      <c r="H251" s="627"/>
      <c r="I251" s="627"/>
      <c r="J251" s="627"/>
      <c r="K251" s="627"/>
      <c r="L251" s="627"/>
      <c r="M251" s="627"/>
      <c r="N251" s="627"/>
      <c r="O251" s="627"/>
      <c r="P251" s="627"/>
      <c r="Q251" s="627"/>
      <c r="R251" s="516">
        <v>0</v>
      </c>
      <c r="S251" s="628">
        <f t="shared" si="5"/>
        <v>0</v>
      </c>
      <c r="T251" s="517">
        <v>0</v>
      </c>
      <c r="U251" s="628">
        <f t="shared" si="6"/>
        <v>0</v>
      </c>
      <c r="V251" s="590"/>
      <c r="W251" s="603"/>
      <c r="X251" s="425"/>
      <c r="Y251" s="549"/>
    </row>
    <row r="252" spans="1:25" s="426" customFormat="1" x14ac:dyDescent="0.3">
      <c r="A252" s="443"/>
      <c r="B252" s="516" t="s">
        <v>160</v>
      </c>
      <c r="C252" s="627"/>
      <c r="D252" s="627"/>
      <c r="E252" s="627"/>
      <c r="F252" s="444"/>
      <c r="G252" s="628"/>
      <c r="H252" s="627"/>
      <c r="I252" s="627"/>
      <c r="J252" s="627"/>
      <c r="K252" s="627"/>
      <c r="L252" s="627"/>
      <c r="M252" s="627"/>
      <c r="N252" s="627"/>
      <c r="O252" s="627"/>
      <c r="P252" s="627"/>
      <c r="Q252" s="627"/>
      <c r="R252" s="516">
        <v>0</v>
      </c>
      <c r="S252" s="628">
        <f t="shared" si="5"/>
        <v>0</v>
      </c>
      <c r="T252" s="517">
        <v>0</v>
      </c>
      <c r="U252" s="628">
        <f t="shared" si="6"/>
        <v>0</v>
      </c>
      <c r="V252" s="590"/>
      <c r="W252" s="603"/>
      <c r="X252" s="425"/>
    </row>
    <row r="253" spans="1:25" s="426" customFormat="1" x14ac:dyDescent="0.3">
      <c r="A253" s="443"/>
      <c r="B253" s="516" t="s">
        <v>161</v>
      </c>
      <c r="C253" s="627"/>
      <c r="D253" s="627"/>
      <c r="E253" s="627"/>
      <c r="F253" s="444"/>
      <c r="G253" s="628"/>
      <c r="H253" s="627"/>
      <c r="I253" s="627"/>
      <c r="J253" s="627"/>
      <c r="K253" s="627"/>
      <c r="L253" s="627"/>
      <c r="M253" s="627"/>
      <c r="N253" s="627"/>
      <c r="O253" s="627"/>
      <c r="P253" s="627"/>
      <c r="Q253" s="627"/>
      <c r="R253" s="516">
        <v>0</v>
      </c>
      <c r="S253" s="628">
        <f t="shared" si="5"/>
        <v>0</v>
      </c>
      <c r="T253" s="517">
        <v>0</v>
      </c>
      <c r="U253" s="628">
        <f t="shared" si="6"/>
        <v>0</v>
      </c>
      <c r="V253" s="590"/>
      <c r="W253" s="603"/>
      <c r="X253" s="425"/>
      <c r="Y253" s="549"/>
    </row>
    <row r="254" spans="1:25" s="426" customFormat="1" x14ac:dyDescent="0.3">
      <c r="A254" s="443"/>
      <c r="B254" s="516" t="s">
        <v>162</v>
      </c>
      <c r="C254" s="627"/>
      <c r="D254" s="627"/>
      <c r="E254" s="627"/>
      <c r="F254" s="444"/>
      <c r="G254" s="628"/>
      <c r="H254" s="627"/>
      <c r="I254" s="627"/>
      <c r="J254" s="627"/>
      <c r="K254" s="627"/>
      <c r="L254" s="627"/>
      <c r="M254" s="627"/>
      <c r="N254" s="627"/>
      <c r="O254" s="627"/>
      <c r="P254" s="627"/>
      <c r="Q254" s="627"/>
      <c r="R254" s="516">
        <v>0</v>
      </c>
      <c r="S254" s="628">
        <f t="shared" si="5"/>
        <v>0</v>
      </c>
      <c r="T254" s="517">
        <v>0</v>
      </c>
      <c r="U254" s="628">
        <f t="shared" si="6"/>
        <v>0</v>
      </c>
      <c r="V254" s="590"/>
      <c r="W254" s="603"/>
      <c r="X254" s="425"/>
    </row>
    <row r="255" spans="1:25" s="426" customFormat="1" x14ac:dyDescent="0.3">
      <c r="A255" s="443"/>
      <c r="B255" s="516" t="s">
        <v>163</v>
      </c>
      <c r="C255" s="627"/>
      <c r="D255" s="627"/>
      <c r="E255" s="627"/>
      <c r="F255" s="444"/>
      <c r="G255" s="628"/>
      <c r="H255" s="627"/>
      <c r="I255" s="627"/>
      <c r="J255" s="627"/>
      <c r="K255" s="627"/>
      <c r="L255" s="627"/>
      <c r="M255" s="627"/>
      <c r="N255" s="627"/>
      <c r="O255" s="627"/>
      <c r="P255" s="627"/>
      <c r="Q255" s="627"/>
      <c r="R255" s="516">
        <v>0</v>
      </c>
      <c r="S255" s="628">
        <f t="shared" si="5"/>
        <v>0</v>
      </c>
      <c r="T255" s="517">
        <v>0</v>
      </c>
      <c r="U255" s="628">
        <f t="shared" si="6"/>
        <v>0</v>
      </c>
      <c r="V255" s="590"/>
      <c r="W255" s="603"/>
      <c r="X255" s="425"/>
      <c r="Y255" s="549"/>
    </row>
    <row r="256" spans="1:25" s="426" customFormat="1" x14ac:dyDescent="0.3">
      <c r="A256" s="443"/>
      <c r="B256" s="516"/>
      <c r="C256" s="627"/>
      <c r="D256" s="627"/>
      <c r="E256" s="627"/>
      <c r="F256" s="444"/>
      <c r="G256" s="628"/>
      <c r="H256" s="627"/>
      <c r="I256" s="627"/>
      <c r="J256" s="627"/>
      <c r="K256" s="627"/>
      <c r="L256" s="627"/>
      <c r="M256" s="627"/>
      <c r="N256" s="627"/>
      <c r="O256" s="627"/>
      <c r="P256" s="627"/>
      <c r="Q256" s="627"/>
      <c r="R256" s="516"/>
      <c r="S256" s="628"/>
      <c r="T256" s="517"/>
      <c r="U256" s="628"/>
      <c r="V256" s="590"/>
      <c r="W256" s="603"/>
      <c r="X256" s="425"/>
    </row>
    <row r="257" spans="1:24" s="426" customFormat="1" x14ac:dyDescent="0.3">
      <c r="A257" s="443"/>
      <c r="B257" s="444" t="s">
        <v>117</v>
      </c>
      <c r="C257" s="444"/>
      <c r="D257" s="444"/>
      <c r="E257" s="444"/>
      <c r="F257" s="444"/>
      <c r="G257" s="444"/>
      <c r="H257" s="629"/>
      <c r="I257" s="629"/>
      <c r="J257" s="629"/>
      <c r="K257" s="629"/>
      <c r="L257" s="629"/>
      <c r="M257" s="629"/>
      <c r="N257" s="629"/>
      <c r="O257" s="629"/>
      <c r="P257" s="629"/>
      <c r="Q257" s="629"/>
      <c r="R257" s="516">
        <f>SUM(R248:R256)</f>
        <v>6061</v>
      </c>
      <c r="S257" s="628">
        <f>SUM(S248:S256)</f>
        <v>1</v>
      </c>
      <c r="T257" s="517">
        <f>SUM(T248:T256)</f>
        <v>772016</v>
      </c>
      <c r="U257" s="628">
        <f>SUM(U248:U256)</f>
        <v>1</v>
      </c>
      <c r="V257" s="444"/>
      <c r="W257" s="446"/>
      <c r="X257" s="425"/>
    </row>
    <row r="258" spans="1:24" x14ac:dyDescent="0.3">
      <c r="A258" s="408"/>
      <c r="B258" s="518"/>
      <c r="C258" s="518"/>
      <c r="D258" s="518"/>
      <c r="E258" s="518"/>
      <c r="F258" s="518"/>
      <c r="G258" s="518"/>
      <c r="H258" s="632"/>
      <c r="I258" s="632"/>
      <c r="J258" s="632"/>
      <c r="K258" s="632"/>
      <c r="L258" s="632"/>
      <c r="M258" s="632"/>
      <c r="N258" s="632"/>
      <c r="O258" s="632"/>
      <c r="P258" s="632"/>
      <c r="Q258" s="632"/>
      <c r="R258" s="519"/>
      <c r="S258" s="633"/>
      <c r="T258" s="634"/>
      <c r="U258" s="633"/>
      <c r="V258" s="518"/>
      <c r="W258" s="411"/>
      <c r="X258" s="406"/>
    </row>
    <row r="259" spans="1:24" x14ac:dyDescent="0.3">
      <c r="A259" s="533"/>
      <c r="B259" s="534" t="s">
        <v>279</v>
      </c>
      <c r="C259" s="535"/>
      <c r="D259" s="535"/>
      <c r="E259" s="535"/>
      <c r="F259" s="621"/>
      <c r="G259" s="535"/>
      <c r="H259" s="535"/>
      <c r="I259" s="535"/>
      <c r="J259" s="535"/>
      <c r="K259" s="535"/>
      <c r="L259" s="535"/>
      <c r="M259" s="535"/>
      <c r="N259" s="535"/>
      <c r="O259" s="535"/>
      <c r="P259" s="535"/>
      <c r="Q259" s="535"/>
      <c r="R259" s="621" t="s">
        <v>103</v>
      </c>
      <c r="S259" s="535" t="s">
        <v>104</v>
      </c>
      <c r="T259" s="621" t="s">
        <v>111</v>
      </c>
      <c r="U259" s="535" t="s">
        <v>104</v>
      </c>
      <c r="V259" s="622"/>
      <c r="W259" s="538"/>
      <c r="X259" s="406"/>
    </row>
    <row r="260" spans="1:24" s="426" customFormat="1" x14ac:dyDescent="0.3">
      <c r="A260" s="421"/>
      <c r="B260" s="552" t="s">
        <v>89</v>
      </c>
      <c r="C260" s="624"/>
      <c r="D260" s="624"/>
      <c r="E260" s="624"/>
      <c r="F260" s="494"/>
      <c r="G260" s="624"/>
      <c r="H260" s="624"/>
      <c r="I260" s="624"/>
      <c r="J260" s="624"/>
      <c r="K260" s="624"/>
      <c r="L260" s="624"/>
      <c r="M260" s="624"/>
      <c r="N260" s="624"/>
      <c r="O260" s="624"/>
      <c r="P260" s="624"/>
      <c r="Q260" s="624"/>
      <c r="R260" s="552">
        <v>88</v>
      </c>
      <c r="S260" s="630">
        <f>R260/$R$269</f>
        <v>0.75213675213675213</v>
      </c>
      <c r="T260" s="631">
        <v>15424</v>
      </c>
      <c r="U260" s="630">
        <f t="shared" ref="U260:U267" si="7">T260/$T$269</f>
        <v>0.81578251441265137</v>
      </c>
      <c r="V260" s="494"/>
      <c r="W260" s="424"/>
      <c r="X260" s="425"/>
    </row>
    <row r="261" spans="1:24" s="426" customFormat="1" x14ac:dyDescent="0.3">
      <c r="A261" s="443"/>
      <c r="B261" s="516" t="s">
        <v>90</v>
      </c>
      <c r="C261" s="627"/>
      <c r="D261" s="627"/>
      <c r="E261" s="627"/>
      <c r="F261" s="444"/>
      <c r="G261" s="628"/>
      <c r="H261" s="627"/>
      <c r="I261" s="627"/>
      <c r="J261" s="627"/>
      <c r="K261" s="627"/>
      <c r="L261" s="627"/>
      <c r="M261" s="627"/>
      <c r="N261" s="627"/>
      <c r="O261" s="627"/>
      <c r="P261" s="627"/>
      <c r="Q261" s="627"/>
      <c r="R261" s="516">
        <v>2</v>
      </c>
      <c r="S261" s="628">
        <f t="shared" ref="S261:S265" si="8">R261/$R$269</f>
        <v>1.7094017094017096E-2</v>
      </c>
      <c r="T261" s="517">
        <v>197</v>
      </c>
      <c r="U261" s="628">
        <f t="shared" si="7"/>
        <v>1.0419421378325487E-2</v>
      </c>
      <c r="V261" s="444"/>
      <c r="W261" s="446"/>
      <c r="X261" s="425"/>
    </row>
    <row r="262" spans="1:24" s="426" customFormat="1" x14ac:dyDescent="0.3">
      <c r="A262" s="443"/>
      <c r="B262" s="516" t="s">
        <v>91</v>
      </c>
      <c r="C262" s="627"/>
      <c r="D262" s="627"/>
      <c r="E262" s="627"/>
      <c r="F262" s="444"/>
      <c r="G262" s="628"/>
      <c r="H262" s="627"/>
      <c r="I262" s="627"/>
      <c r="J262" s="627"/>
      <c r="K262" s="627"/>
      <c r="L262" s="627"/>
      <c r="M262" s="627"/>
      <c r="N262" s="627"/>
      <c r="O262" s="627"/>
      <c r="P262" s="627"/>
      <c r="Q262" s="627"/>
      <c r="R262" s="516">
        <v>2</v>
      </c>
      <c r="S262" s="628">
        <f t="shared" si="8"/>
        <v>1.7094017094017096E-2</v>
      </c>
      <c r="T262" s="517">
        <v>217</v>
      </c>
      <c r="U262" s="628">
        <f t="shared" si="7"/>
        <v>1.1477230655312847E-2</v>
      </c>
      <c r="V262" s="444"/>
      <c r="W262" s="446"/>
      <c r="X262" s="425"/>
    </row>
    <row r="263" spans="1:24" s="426" customFormat="1" x14ac:dyDescent="0.3">
      <c r="A263" s="443"/>
      <c r="B263" s="516" t="s">
        <v>159</v>
      </c>
      <c r="C263" s="627"/>
      <c r="D263" s="627"/>
      <c r="E263" s="627"/>
      <c r="F263" s="444"/>
      <c r="G263" s="628"/>
      <c r="H263" s="627"/>
      <c r="I263" s="627"/>
      <c r="J263" s="627"/>
      <c r="K263" s="627"/>
      <c r="L263" s="627"/>
      <c r="M263" s="627"/>
      <c r="N263" s="627"/>
      <c r="O263" s="627"/>
      <c r="P263" s="627"/>
      <c r="Q263" s="627"/>
      <c r="R263" s="516">
        <v>6</v>
      </c>
      <c r="S263" s="628">
        <f t="shared" si="8"/>
        <v>5.128205128205128E-2</v>
      </c>
      <c r="T263" s="517">
        <v>481</v>
      </c>
      <c r="U263" s="628">
        <f t="shared" si="7"/>
        <v>2.5440313111545987E-2</v>
      </c>
      <c r="V263" s="444"/>
      <c r="W263" s="446"/>
      <c r="X263" s="425"/>
    </row>
    <row r="264" spans="1:24" s="426" customFormat="1" x14ac:dyDescent="0.3">
      <c r="A264" s="443"/>
      <c r="B264" s="516" t="s">
        <v>160</v>
      </c>
      <c r="C264" s="627"/>
      <c r="D264" s="627"/>
      <c r="E264" s="627"/>
      <c r="F264" s="444"/>
      <c r="G264" s="628"/>
      <c r="H264" s="627"/>
      <c r="I264" s="627"/>
      <c r="J264" s="627"/>
      <c r="K264" s="627"/>
      <c r="L264" s="627"/>
      <c r="M264" s="627"/>
      <c r="N264" s="627"/>
      <c r="O264" s="627"/>
      <c r="P264" s="627"/>
      <c r="Q264" s="627"/>
      <c r="R264" s="516">
        <v>0</v>
      </c>
      <c r="S264" s="628">
        <f t="shared" si="8"/>
        <v>0</v>
      </c>
      <c r="T264" s="517">
        <v>0</v>
      </c>
      <c r="U264" s="628">
        <f t="shared" si="7"/>
        <v>0</v>
      </c>
      <c r="V264" s="444"/>
      <c r="W264" s="446"/>
      <c r="X264" s="425"/>
    </row>
    <row r="265" spans="1:24" s="426" customFormat="1" x14ac:dyDescent="0.3">
      <c r="A265" s="443"/>
      <c r="B265" s="516" t="s">
        <v>161</v>
      </c>
      <c r="C265" s="627"/>
      <c r="D265" s="627"/>
      <c r="E265" s="627"/>
      <c r="F265" s="444"/>
      <c r="G265" s="628"/>
      <c r="H265" s="627"/>
      <c r="I265" s="627"/>
      <c r="J265" s="627"/>
      <c r="K265" s="627"/>
      <c r="L265" s="627"/>
      <c r="M265" s="627"/>
      <c r="N265" s="627"/>
      <c r="O265" s="627"/>
      <c r="P265" s="627"/>
      <c r="Q265" s="627"/>
      <c r="R265" s="516">
        <v>2</v>
      </c>
      <c r="S265" s="628">
        <f t="shared" si="8"/>
        <v>1.7094017094017096E-2</v>
      </c>
      <c r="T265" s="517">
        <v>210</v>
      </c>
      <c r="U265" s="628">
        <f t="shared" si="7"/>
        <v>1.1106997408367271E-2</v>
      </c>
      <c r="V265" s="444"/>
      <c r="W265" s="446"/>
      <c r="X265" s="425"/>
    </row>
    <row r="266" spans="1:24" s="426" customFormat="1" x14ac:dyDescent="0.3">
      <c r="A266" s="443"/>
      <c r="B266" s="516" t="s">
        <v>162</v>
      </c>
      <c r="C266" s="627"/>
      <c r="D266" s="627"/>
      <c r="E266" s="627"/>
      <c r="F266" s="444"/>
      <c r="G266" s="628"/>
      <c r="H266" s="627"/>
      <c r="I266" s="627"/>
      <c r="J266" s="627"/>
      <c r="K266" s="627"/>
      <c r="L266" s="627"/>
      <c r="M266" s="627"/>
      <c r="N266" s="627"/>
      <c r="O266" s="627"/>
      <c r="P266" s="627"/>
      <c r="Q266" s="627"/>
      <c r="R266" s="516">
        <v>0</v>
      </c>
      <c r="S266" s="628">
        <f>R266/$R$269</f>
        <v>0</v>
      </c>
      <c r="T266" s="517">
        <v>0</v>
      </c>
      <c r="U266" s="628">
        <f t="shared" si="7"/>
        <v>0</v>
      </c>
      <c r="V266" s="444"/>
      <c r="W266" s="446"/>
      <c r="X266" s="425"/>
    </row>
    <row r="267" spans="1:24" s="426" customFormat="1" x14ac:dyDescent="0.3">
      <c r="A267" s="443"/>
      <c r="B267" s="516" t="s">
        <v>163</v>
      </c>
      <c r="C267" s="627"/>
      <c r="D267" s="627"/>
      <c r="E267" s="627"/>
      <c r="F267" s="444"/>
      <c r="G267" s="628"/>
      <c r="H267" s="627"/>
      <c r="I267" s="627"/>
      <c r="J267" s="627"/>
      <c r="K267" s="627"/>
      <c r="L267" s="627"/>
      <c r="M267" s="627"/>
      <c r="N267" s="627"/>
      <c r="O267" s="627"/>
      <c r="P267" s="627"/>
      <c r="Q267" s="627"/>
      <c r="R267" s="516">
        <v>17</v>
      </c>
      <c r="S267" s="628">
        <f>R267/$R$269</f>
        <v>0.14529914529914531</v>
      </c>
      <c r="T267" s="517">
        <v>2378</v>
      </c>
      <c r="U267" s="628">
        <f t="shared" si="7"/>
        <v>0.12577352303379702</v>
      </c>
      <c r="V267" s="444"/>
      <c r="W267" s="446"/>
      <c r="X267" s="425"/>
    </row>
    <row r="268" spans="1:24" s="426" customFormat="1" x14ac:dyDescent="0.3">
      <c r="A268" s="443"/>
      <c r="B268" s="516"/>
      <c r="C268" s="627"/>
      <c r="D268" s="627"/>
      <c r="E268" s="627"/>
      <c r="F268" s="444"/>
      <c r="G268" s="628"/>
      <c r="H268" s="627"/>
      <c r="I268" s="627"/>
      <c r="J268" s="627"/>
      <c r="K268" s="627"/>
      <c r="L268" s="627"/>
      <c r="M268" s="627"/>
      <c r="N268" s="627"/>
      <c r="O268" s="627"/>
      <c r="P268" s="627"/>
      <c r="Q268" s="627"/>
      <c r="R268" s="516"/>
      <c r="S268" s="628"/>
      <c r="T268" s="517"/>
      <c r="U268" s="628"/>
      <c r="V268" s="444"/>
      <c r="W268" s="446"/>
      <c r="X268" s="425"/>
    </row>
    <row r="269" spans="1:24" s="426" customFormat="1" x14ac:dyDescent="0.3">
      <c r="A269" s="443"/>
      <c r="B269" s="444" t="s">
        <v>117</v>
      </c>
      <c r="C269" s="444"/>
      <c r="D269" s="444"/>
      <c r="E269" s="444"/>
      <c r="F269" s="444"/>
      <c r="G269" s="444"/>
      <c r="H269" s="629"/>
      <c r="I269" s="629"/>
      <c r="J269" s="629"/>
      <c r="K269" s="629"/>
      <c r="L269" s="629"/>
      <c r="M269" s="629"/>
      <c r="N269" s="629"/>
      <c r="O269" s="629"/>
      <c r="P269" s="629"/>
      <c r="Q269" s="629"/>
      <c r="R269" s="516">
        <f>SUM(R260:R268)</f>
        <v>117</v>
      </c>
      <c r="S269" s="628">
        <f>SUM(S260:S268)</f>
        <v>1.0000000000000002</v>
      </c>
      <c r="T269" s="517">
        <f>SUM(T260:T268)</f>
        <v>18907</v>
      </c>
      <c r="U269" s="628">
        <f>SUM(U260:U268)</f>
        <v>1</v>
      </c>
      <c r="V269" s="444"/>
      <c r="W269" s="446"/>
      <c r="X269" s="425"/>
    </row>
    <row r="270" spans="1:24" x14ac:dyDescent="0.3">
      <c r="A270" s="408"/>
      <c r="B270" s="518"/>
      <c r="C270" s="518"/>
      <c r="D270" s="518"/>
      <c r="E270" s="518"/>
      <c r="F270" s="518"/>
      <c r="G270" s="518"/>
      <c r="H270" s="632"/>
      <c r="I270" s="632"/>
      <c r="J270" s="632"/>
      <c r="K270" s="632"/>
      <c r="L270" s="632"/>
      <c r="M270" s="632"/>
      <c r="N270" s="632"/>
      <c r="O270" s="632"/>
      <c r="P270" s="632"/>
      <c r="Q270" s="632"/>
      <c r="R270" s="519"/>
      <c r="S270" s="633"/>
      <c r="T270" s="634"/>
      <c r="U270" s="633"/>
      <c r="V270" s="518"/>
      <c r="W270" s="411"/>
      <c r="X270" s="406"/>
    </row>
    <row r="271" spans="1:24" x14ac:dyDescent="0.3">
      <c r="A271" s="533"/>
      <c r="B271" s="534" t="s">
        <v>166</v>
      </c>
      <c r="C271" s="622"/>
      <c r="D271" s="622"/>
      <c r="E271" s="622"/>
      <c r="F271" s="622"/>
      <c r="G271" s="622"/>
      <c r="H271" s="635"/>
      <c r="I271" s="635"/>
      <c r="J271" s="635"/>
      <c r="K271" s="635"/>
      <c r="L271" s="635"/>
      <c r="M271" s="635"/>
      <c r="N271" s="635"/>
      <c r="O271" s="635"/>
      <c r="P271" s="635"/>
      <c r="Q271" s="635"/>
      <c r="R271" s="621" t="s">
        <v>103</v>
      </c>
      <c r="S271" s="535" t="s">
        <v>104</v>
      </c>
      <c r="T271" s="621" t="s">
        <v>111</v>
      </c>
      <c r="U271" s="535" t="s">
        <v>104</v>
      </c>
      <c r="V271" s="622"/>
      <c r="W271" s="538"/>
      <c r="X271" s="406"/>
    </row>
    <row r="272" spans="1:24" s="426" customFormat="1" x14ac:dyDescent="0.3">
      <c r="A272" s="421"/>
      <c r="B272" s="552" t="s">
        <v>89</v>
      </c>
      <c r="C272" s="494"/>
      <c r="D272" s="494"/>
      <c r="E272" s="494"/>
      <c r="F272" s="494"/>
      <c r="G272" s="494"/>
      <c r="H272" s="636"/>
      <c r="I272" s="636"/>
      <c r="J272" s="636"/>
      <c r="K272" s="636"/>
      <c r="L272" s="636"/>
      <c r="M272" s="636"/>
      <c r="N272" s="636"/>
      <c r="O272" s="636"/>
      <c r="P272" s="636"/>
      <c r="Q272" s="636"/>
      <c r="R272" s="552">
        <v>0</v>
      </c>
      <c r="S272" s="630">
        <f>R272/R281</f>
        <v>0</v>
      </c>
      <c r="T272" s="631">
        <v>0</v>
      </c>
      <c r="U272" s="630">
        <v>0</v>
      </c>
      <c r="V272" s="494"/>
      <c r="W272" s="424"/>
      <c r="X272" s="425"/>
    </row>
    <row r="273" spans="1:24" s="426" customFormat="1" x14ac:dyDescent="0.3">
      <c r="A273" s="443"/>
      <c r="B273" s="516" t="s">
        <v>90</v>
      </c>
      <c r="C273" s="444"/>
      <c r="D273" s="444"/>
      <c r="E273" s="444"/>
      <c r="F273" s="444"/>
      <c r="G273" s="444"/>
      <c r="H273" s="629"/>
      <c r="I273" s="629"/>
      <c r="J273" s="629"/>
      <c r="K273" s="629"/>
      <c r="L273" s="629"/>
      <c r="M273" s="629"/>
      <c r="N273" s="629"/>
      <c r="O273" s="629"/>
      <c r="P273" s="629"/>
      <c r="Q273" s="629"/>
      <c r="R273" s="516">
        <v>0</v>
      </c>
      <c r="S273" s="628">
        <v>0</v>
      </c>
      <c r="T273" s="517">
        <v>0</v>
      </c>
      <c r="U273" s="628">
        <v>0</v>
      </c>
      <c r="V273" s="444"/>
      <c r="W273" s="446"/>
      <c r="X273" s="425"/>
    </row>
    <row r="274" spans="1:24" s="426" customFormat="1" x14ac:dyDescent="0.3">
      <c r="A274" s="443"/>
      <c r="B274" s="516" t="s">
        <v>91</v>
      </c>
      <c r="C274" s="444"/>
      <c r="D274" s="444"/>
      <c r="E274" s="444"/>
      <c r="F274" s="444"/>
      <c r="G274" s="444"/>
      <c r="H274" s="629"/>
      <c r="I274" s="629"/>
      <c r="J274" s="629"/>
      <c r="K274" s="629"/>
      <c r="L274" s="629"/>
      <c r="M274" s="629"/>
      <c r="N274" s="629"/>
      <c r="O274" s="629"/>
      <c r="P274" s="629"/>
      <c r="Q274" s="629"/>
      <c r="R274" s="516">
        <v>0</v>
      </c>
      <c r="S274" s="628">
        <v>0</v>
      </c>
      <c r="T274" s="517">
        <v>0</v>
      </c>
      <c r="U274" s="628">
        <v>0</v>
      </c>
      <c r="V274" s="444"/>
      <c r="W274" s="446"/>
      <c r="X274" s="425"/>
    </row>
    <row r="275" spans="1:24" s="426" customFormat="1" x14ac:dyDescent="0.3">
      <c r="A275" s="443"/>
      <c r="B275" s="516" t="s">
        <v>159</v>
      </c>
      <c r="C275" s="444"/>
      <c r="D275" s="444"/>
      <c r="E275" s="444"/>
      <c r="F275" s="444"/>
      <c r="G275" s="444"/>
      <c r="H275" s="629"/>
      <c r="I275" s="629"/>
      <c r="J275" s="629"/>
      <c r="K275" s="629"/>
      <c r="L275" s="629"/>
      <c r="M275" s="629"/>
      <c r="N275" s="629"/>
      <c r="O275" s="629"/>
      <c r="P275" s="629"/>
      <c r="Q275" s="629"/>
      <c r="R275" s="516">
        <v>0</v>
      </c>
      <c r="S275" s="628">
        <v>0</v>
      </c>
      <c r="T275" s="517">
        <v>0</v>
      </c>
      <c r="U275" s="628">
        <v>0</v>
      </c>
      <c r="V275" s="444"/>
      <c r="W275" s="446"/>
      <c r="X275" s="425"/>
    </row>
    <row r="276" spans="1:24" s="426" customFormat="1" x14ac:dyDescent="0.3">
      <c r="A276" s="443"/>
      <c r="B276" s="516" t="s">
        <v>160</v>
      </c>
      <c r="C276" s="444"/>
      <c r="D276" s="444"/>
      <c r="E276" s="444"/>
      <c r="F276" s="444"/>
      <c r="G276" s="444"/>
      <c r="H276" s="629"/>
      <c r="I276" s="629"/>
      <c r="J276" s="629"/>
      <c r="K276" s="629"/>
      <c r="L276" s="629"/>
      <c r="M276" s="629"/>
      <c r="N276" s="629"/>
      <c r="O276" s="629"/>
      <c r="P276" s="629"/>
      <c r="Q276" s="629"/>
      <c r="R276" s="516">
        <v>1</v>
      </c>
      <c r="S276" s="628">
        <v>1</v>
      </c>
      <c r="T276" s="517">
        <v>118</v>
      </c>
      <c r="U276" s="628">
        <v>1</v>
      </c>
      <c r="V276" s="444"/>
      <c r="W276" s="446"/>
      <c r="X276" s="425"/>
    </row>
    <row r="277" spans="1:24" s="426" customFormat="1" x14ac:dyDescent="0.3">
      <c r="A277" s="443"/>
      <c r="B277" s="516" t="s">
        <v>161</v>
      </c>
      <c r="C277" s="444"/>
      <c r="D277" s="444"/>
      <c r="E277" s="444"/>
      <c r="F277" s="444"/>
      <c r="G277" s="444"/>
      <c r="H277" s="629"/>
      <c r="I277" s="629"/>
      <c r="J277" s="629"/>
      <c r="K277" s="629"/>
      <c r="L277" s="629"/>
      <c r="M277" s="629"/>
      <c r="N277" s="629"/>
      <c r="O277" s="629"/>
      <c r="P277" s="629"/>
      <c r="Q277" s="629"/>
      <c r="R277" s="516">
        <v>0</v>
      </c>
      <c r="S277" s="628">
        <v>0</v>
      </c>
      <c r="T277" s="517">
        <v>0</v>
      </c>
      <c r="U277" s="628">
        <v>0</v>
      </c>
      <c r="V277" s="444"/>
      <c r="W277" s="446"/>
      <c r="X277" s="425"/>
    </row>
    <row r="278" spans="1:24" s="426" customFormat="1" x14ac:dyDescent="0.3">
      <c r="A278" s="443"/>
      <c r="B278" s="516" t="s">
        <v>162</v>
      </c>
      <c r="C278" s="444"/>
      <c r="D278" s="444"/>
      <c r="E278" s="444"/>
      <c r="F278" s="444"/>
      <c r="G278" s="444"/>
      <c r="H278" s="629"/>
      <c r="I278" s="629"/>
      <c r="J278" s="629"/>
      <c r="K278" s="629"/>
      <c r="L278" s="629"/>
      <c r="M278" s="629"/>
      <c r="N278" s="629"/>
      <c r="O278" s="629"/>
      <c r="P278" s="629"/>
      <c r="Q278" s="629"/>
      <c r="R278" s="516">
        <v>0</v>
      </c>
      <c r="S278" s="628">
        <v>0</v>
      </c>
      <c r="T278" s="517">
        <v>0</v>
      </c>
      <c r="U278" s="628">
        <v>0</v>
      </c>
      <c r="V278" s="444"/>
      <c r="W278" s="446"/>
      <c r="X278" s="425"/>
    </row>
    <row r="279" spans="1:24" s="426" customFormat="1" x14ac:dyDescent="0.3">
      <c r="A279" s="443"/>
      <c r="B279" s="516" t="s">
        <v>163</v>
      </c>
      <c r="C279" s="444"/>
      <c r="D279" s="444"/>
      <c r="E279" s="444"/>
      <c r="F279" s="444"/>
      <c r="G279" s="444"/>
      <c r="H279" s="629"/>
      <c r="I279" s="629"/>
      <c r="J279" s="629"/>
      <c r="K279" s="629"/>
      <c r="L279" s="629"/>
      <c r="M279" s="629"/>
      <c r="N279" s="629"/>
      <c r="O279" s="629"/>
      <c r="P279" s="629"/>
      <c r="Q279" s="629"/>
      <c r="R279" s="516">
        <v>0</v>
      </c>
      <c r="S279" s="628">
        <v>0</v>
      </c>
      <c r="T279" s="517">
        <v>0</v>
      </c>
      <c r="U279" s="628">
        <v>0</v>
      </c>
      <c r="V279" s="444"/>
      <c r="W279" s="446"/>
      <c r="X279" s="425"/>
    </row>
    <row r="280" spans="1:24" s="426" customFormat="1" x14ac:dyDescent="0.3">
      <c r="A280" s="443"/>
      <c r="B280" s="516"/>
      <c r="C280" s="444"/>
      <c r="D280" s="444"/>
      <c r="E280" s="444"/>
      <c r="F280" s="444"/>
      <c r="G280" s="444"/>
      <c r="H280" s="629"/>
      <c r="I280" s="629"/>
      <c r="J280" s="629"/>
      <c r="K280" s="629"/>
      <c r="L280" s="629"/>
      <c r="M280" s="629"/>
      <c r="N280" s="629"/>
      <c r="O280" s="629"/>
      <c r="P280" s="629"/>
      <c r="Q280" s="629"/>
      <c r="R280" s="516"/>
      <c r="S280" s="628"/>
      <c r="T280" s="517"/>
      <c r="U280" s="628"/>
      <c r="V280" s="444"/>
      <c r="W280" s="446"/>
      <c r="X280" s="425"/>
    </row>
    <row r="281" spans="1:24" s="426" customFormat="1" x14ac:dyDescent="0.3">
      <c r="A281" s="443"/>
      <c r="B281" s="444" t="s">
        <v>117</v>
      </c>
      <c r="C281" s="444"/>
      <c r="D281" s="444"/>
      <c r="E281" s="444"/>
      <c r="F281" s="444"/>
      <c r="G281" s="444"/>
      <c r="H281" s="629"/>
      <c r="I281" s="629"/>
      <c r="J281" s="629"/>
      <c r="K281" s="629"/>
      <c r="L281" s="629"/>
      <c r="M281" s="629"/>
      <c r="N281" s="629"/>
      <c r="O281" s="629"/>
      <c r="P281" s="629"/>
      <c r="Q281" s="629"/>
      <c r="R281" s="516">
        <f>SUM(R272:R279)</f>
        <v>1</v>
      </c>
      <c r="S281" s="628">
        <f>SUM(S272:S279)</f>
        <v>1</v>
      </c>
      <c r="T281" s="517">
        <f>SUM(T272:T279)</f>
        <v>118</v>
      </c>
      <c r="U281" s="628">
        <f>SUM(U272:U279)</f>
        <v>1</v>
      </c>
      <c r="V281" s="444"/>
      <c r="W281" s="446"/>
      <c r="X281" s="425"/>
    </row>
    <row r="282" spans="1:24" s="426" customFormat="1" x14ac:dyDescent="0.3">
      <c r="A282" s="443"/>
      <c r="B282" s="444"/>
      <c r="C282" s="444"/>
      <c r="D282" s="444"/>
      <c r="E282" s="444"/>
      <c r="F282" s="444"/>
      <c r="G282" s="444"/>
      <c r="H282" s="629"/>
      <c r="I282" s="629"/>
      <c r="J282" s="629"/>
      <c r="K282" s="629"/>
      <c r="L282" s="629"/>
      <c r="M282" s="629"/>
      <c r="N282" s="629"/>
      <c r="O282" s="629"/>
      <c r="P282" s="629"/>
      <c r="Q282" s="629"/>
      <c r="R282" s="516"/>
      <c r="S282" s="628"/>
      <c r="T282" s="517"/>
      <c r="U282" s="628"/>
      <c r="V282" s="444"/>
      <c r="W282" s="446"/>
      <c r="X282" s="425"/>
    </row>
    <row r="283" spans="1:24" s="426" customFormat="1" x14ac:dyDescent="0.3">
      <c r="A283" s="443"/>
      <c r="B283" s="449" t="s">
        <v>167</v>
      </c>
      <c r="C283" s="444"/>
      <c r="D283" s="444"/>
      <c r="E283" s="444"/>
      <c r="F283" s="444"/>
      <c r="G283" s="444"/>
      <c r="H283" s="629"/>
      <c r="I283" s="629"/>
      <c r="J283" s="629"/>
      <c r="K283" s="629"/>
      <c r="L283" s="629"/>
      <c r="M283" s="629"/>
      <c r="N283" s="629"/>
      <c r="O283" s="629"/>
      <c r="P283" s="629"/>
      <c r="Q283" s="629"/>
      <c r="R283" s="637">
        <f>R281+R269+R257</f>
        <v>6179</v>
      </c>
      <c r="S283" s="628"/>
      <c r="T283" s="638">
        <f>+T281+T269+T257</f>
        <v>791041</v>
      </c>
      <c r="U283" s="628"/>
      <c r="V283" s="444"/>
      <c r="W283" s="446"/>
      <c r="X283" s="425"/>
    </row>
    <row r="284" spans="1:24" s="426" customFormat="1" x14ac:dyDescent="0.3">
      <c r="A284" s="421"/>
      <c r="B284" s="494"/>
      <c r="C284" s="494"/>
      <c r="D284" s="494"/>
      <c r="E284" s="494"/>
      <c r="F284" s="494"/>
      <c r="G284" s="494"/>
      <c r="H284" s="636"/>
      <c r="I284" s="636"/>
      <c r="J284" s="636"/>
      <c r="K284" s="636"/>
      <c r="L284" s="636"/>
      <c r="M284" s="636"/>
      <c r="N284" s="636"/>
      <c r="O284" s="636"/>
      <c r="P284" s="636"/>
      <c r="Q284" s="636"/>
      <c r="R284" s="636"/>
      <c r="S284" s="636"/>
      <c r="T284" s="631"/>
      <c r="U284" s="636"/>
      <c r="V284" s="494"/>
      <c r="W284" s="424"/>
      <c r="X284" s="425"/>
    </row>
    <row r="285" spans="1:24" s="426" customFormat="1" x14ac:dyDescent="0.3">
      <c r="A285" s="421"/>
      <c r="B285" s="422"/>
      <c r="C285" s="422"/>
      <c r="D285" s="422"/>
      <c r="E285" s="422"/>
      <c r="F285" s="422"/>
      <c r="G285" s="422"/>
      <c r="H285" s="639"/>
      <c r="I285" s="639"/>
      <c r="J285" s="639"/>
      <c r="K285" s="639"/>
      <c r="L285" s="639"/>
      <c r="M285" s="639"/>
      <c r="N285" s="639"/>
      <c r="O285" s="639"/>
      <c r="P285" s="639"/>
      <c r="Q285" s="639"/>
      <c r="R285" s="639"/>
      <c r="S285" s="639"/>
      <c r="T285" s="640"/>
      <c r="U285" s="639"/>
      <c r="V285" s="422"/>
      <c r="W285" s="424"/>
      <c r="X285" s="425"/>
    </row>
    <row r="286" spans="1:24" s="426" customFormat="1" x14ac:dyDescent="0.3">
      <c r="A286" s="421"/>
      <c r="B286" s="420" t="s">
        <v>92</v>
      </c>
      <c r="C286" s="422"/>
      <c r="D286" s="422"/>
      <c r="E286" s="422"/>
      <c r="F286" s="429" t="s">
        <v>98</v>
      </c>
      <c r="G286" s="422"/>
      <c r="H286" s="420" t="s">
        <v>100</v>
      </c>
      <c r="I286" s="420"/>
      <c r="J286" s="420"/>
      <c r="K286" s="422"/>
      <c r="L286" s="422"/>
      <c r="M286" s="422"/>
      <c r="N286" s="422"/>
      <c r="O286" s="422"/>
      <c r="P286" s="422"/>
      <c r="Q286" s="422"/>
      <c r="R286" s="422"/>
      <c r="S286" s="422"/>
      <c r="T286" s="422"/>
      <c r="U286" s="422"/>
      <c r="V286" s="422"/>
      <c r="W286" s="424"/>
      <c r="X286" s="425"/>
    </row>
    <row r="287" spans="1:24" s="426" customFormat="1" x14ac:dyDescent="0.3">
      <c r="A287" s="421"/>
      <c r="B287" s="420" t="s">
        <v>336</v>
      </c>
      <c r="C287" s="420"/>
      <c r="D287" s="420"/>
      <c r="E287" s="420"/>
      <c r="F287" s="641" t="s">
        <v>282</v>
      </c>
      <c r="G287" s="420"/>
      <c r="H287" s="420" t="s">
        <v>371</v>
      </c>
      <c r="I287" s="422"/>
      <c r="J287" s="420"/>
      <c r="K287" s="422"/>
      <c r="L287" s="422"/>
      <c r="M287" s="422"/>
      <c r="N287" s="422"/>
      <c r="O287" s="422"/>
      <c r="P287" s="422"/>
      <c r="Q287" s="422"/>
      <c r="R287" s="422"/>
      <c r="S287" s="422"/>
      <c r="T287" s="422"/>
      <c r="U287" s="422"/>
      <c r="V287" s="422"/>
      <c r="W287" s="424"/>
      <c r="X287" s="425"/>
    </row>
    <row r="288" spans="1:24" s="426" customFormat="1" x14ac:dyDescent="0.3">
      <c r="A288" s="421"/>
      <c r="B288" s="420" t="s">
        <v>337</v>
      </c>
      <c r="C288" s="420"/>
      <c r="D288" s="420"/>
      <c r="E288" s="420"/>
      <c r="F288" s="641" t="s">
        <v>150</v>
      </c>
      <c r="G288" s="420"/>
      <c r="H288" s="420" t="s">
        <v>372</v>
      </c>
      <c r="I288" s="420"/>
      <c r="J288" s="420"/>
      <c r="K288" s="422"/>
      <c r="L288" s="422"/>
      <c r="M288" s="422"/>
      <c r="N288" s="422"/>
      <c r="O288" s="422"/>
      <c r="P288" s="422"/>
      <c r="Q288" s="422"/>
      <c r="R288" s="422"/>
      <c r="S288" s="422"/>
      <c r="T288" s="422"/>
      <c r="U288" s="422"/>
      <c r="V288" s="422"/>
      <c r="W288" s="424"/>
      <c r="X288" s="425"/>
    </row>
    <row r="289" spans="1:24" s="426" customFormat="1" x14ac:dyDescent="0.3">
      <c r="A289" s="421"/>
      <c r="B289" s="420"/>
      <c r="C289" s="420"/>
      <c r="D289" s="420"/>
      <c r="E289" s="420"/>
      <c r="F289" s="641"/>
      <c r="G289" s="420"/>
      <c r="H289" s="420"/>
      <c r="I289" s="420"/>
      <c r="J289" s="420"/>
      <c r="K289" s="422"/>
      <c r="L289" s="422"/>
      <c r="M289" s="422"/>
      <c r="N289" s="422"/>
      <c r="O289" s="422"/>
      <c r="P289" s="422"/>
      <c r="Q289" s="422"/>
      <c r="R289" s="422"/>
      <c r="S289" s="422"/>
      <c r="T289" s="422"/>
      <c r="U289" s="422"/>
      <c r="V289" s="422"/>
      <c r="W289" s="424"/>
      <c r="X289" s="425"/>
    </row>
    <row r="290" spans="1:24" s="426" customFormat="1" x14ac:dyDescent="0.3">
      <c r="A290" s="421"/>
      <c r="B290" s="494" t="s">
        <v>367</v>
      </c>
      <c r="C290" s="420"/>
      <c r="D290" s="420"/>
      <c r="E290" s="420"/>
      <c r="F290" s="641"/>
      <c r="G290" s="420"/>
      <c r="H290" s="420"/>
      <c r="I290" s="420"/>
      <c r="J290" s="420"/>
      <c r="K290" s="422"/>
      <c r="L290" s="422"/>
      <c r="M290" s="422"/>
      <c r="N290" s="422"/>
      <c r="O290" s="422"/>
      <c r="P290" s="422"/>
      <c r="Q290" s="422"/>
      <c r="R290" s="422"/>
      <c r="S290" s="422"/>
      <c r="T290" s="422"/>
      <c r="U290" s="422"/>
      <c r="V290" s="422"/>
      <c r="W290" s="424"/>
      <c r="X290" s="425"/>
    </row>
    <row r="291" spans="1:24" s="426" customFormat="1" x14ac:dyDescent="0.3">
      <c r="A291" s="421"/>
      <c r="B291" s="494" t="s">
        <v>373</v>
      </c>
      <c r="C291" s="420"/>
      <c r="D291" s="420"/>
      <c r="E291" s="420"/>
      <c r="F291" s="641"/>
      <c r="G291" s="420"/>
      <c r="H291" s="420"/>
      <c r="I291" s="420"/>
      <c r="J291" s="420"/>
      <c r="K291" s="422"/>
      <c r="L291" s="422"/>
      <c r="M291" s="422"/>
      <c r="N291" s="422"/>
      <c r="O291" s="422"/>
      <c r="P291" s="422"/>
      <c r="Q291" s="422"/>
      <c r="R291" s="422"/>
      <c r="S291" s="422"/>
      <c r="T291" s="422"/>
      <c r="U291" s="422"/>
      <c r="V291" s="422"/>
      <c r="W291" s="424"/>
      <c r="X291" s="425"/>
    </row>
    <row r="292" spans="1:24" s="426" customFormat="1" x14ac:dyDescent="0.3">
      <c r="A292" s="421"/>
      <c r="B292" s="494" t="s">
        <v>365</v>
      </c>
      <c r="C292" s="420"/>
      <c r="D292" s="420"/>
      <c r="E292" s="420"/>
      <c r="F292" s="641"/>
      <c r="G292" s="420"/>
      <c r="H292" s="420"/>
      <c r="I292" s="420"/>
      <c r="J292" s="420"/>
      <c r="K292" s="422"/>
      <c r="L292" s="422"/>
      <c r="M292" s="422"/>
      <c r="N292" s="422"/>
      <c r="O292" s="422"/>
      <c r="P292" s="422"/>
      <c r="Q292" s="422"/>
      <c r="R292" s="422"/>
      <c r="S292" s="422"/>
      <c r="T292" s="422"/>
      <c r="U292" s="422"/>
      <c r="V292" s="422"/>
      <c r="W292" s="424"/>
      <c r="X292" s="425"/>
    </row>
    <row r="293" spans="1:24" s="426" customFormat="1" x14ac:dyDescent="0.3">
      <c r="A293" s="421"/>
      <c r="B293" s="494" t="s">
        <v>366</v>
      </c>
      <c r="C293" s="420"/>
      <c r="D293" s="420"/>
      <c r="E293" s="420"/>
      <c r="F293" s="641"/>
      <c r="G293" s="420"/>
      <c r="H293" s="420"/>
      <c r="I293" s="420"/>
      <c r="J293" s="420"/>
      <c r="K293" s="422"/>
      <c r="L293" s="422"/>
      <c r="M293" s="422"/>
      <c r="N293" s="422"/>
      <c r="O293" s="422"/>
      <c r="P293" s="422"/>
      <c r="Q293" s="422"/>
      <c r="R293" s="422"/>
      <c r="S293" s="422"/>
      <c r="T293" s="422"/>
      <c r="U293" s="422"/>
      <c r="V293" s="422"/>
      <c r="W293" s="424"/>
      <c r="X293" s="425"/>
    </row>
    <row r="294" spans="1:24" x14ac:dyDescent="0.3">
      <c r="A294" s="408"/>
      <c r="B294" s="642"/>
      <c r="C294" s="642"/>
      <c r="D294" s="642"/>
      <c r="E294" s="642"/>
      <c r="F294" s="643"/>
      <c r="G294" s="642"/>
      <c r="H294" s="642"/>
      <c r="I294" s="642"/>
      <c r="J294" s="642"/>
      <c r="K294" s="531"/>
      <c r="L294" s="531"/>
      <c r="M294" s="531"/>
      <c r="N294" s="531"/>
      <c r="O294" s="531"/>
      <c r="P294" s="531"/>
      <c r="Q294" s="531"/>
      <c r="R294" s="531"/>
      <c r="S294" s="531"/>
      <c r="T294" s="531"/>
      <c r="U294" s="531"/>
      <c r="V294" s="531"/>
      <c r="W294" s="532"/>
      <c r="X294" s="406"/>
    </row>
    <row r="295" spans="1:24" ht="18" x14ac:dyDescent="0.35">
      <c r="A295" s="408"/>
      <c r="B295" s="644" t="s">
        <v>368</v>
      </c>
      <c r="C295" s="642"/>
      <c r="D295" s="642"/>
      <c r="E295" s="642"/>
      <c r="F295" s="642"/>
      <c r="G295" s="642"/>
      <c r="H295" s="531"/>
      <c r="I295" s="531"/>
      <c r="J295" s="531"/>
      <c r="K295" s="531"/>
      <c r="L295" s="410"/>
      <c r="M295" s="410"/>
      <c r="N295" s="645"/>
      <c r="O295" s="410"/>
      <c r="P295" s="646" t="s">
        <v>370</v>
      </c>
      <c r="Q295" s="531"/>
      <c r="R295" s="531"/>
      <c r="S295" s="531"/>
      <c r="T295" s="531"/>
      <c r="U295" s="531"/>
      <c r="V295" s="531"/>
      <c r="W295" s="532"/>
      <c r="X295" s="406"/>
    </row>
    <row r="296" spans="1:24" x14ac:dyDescent="0.3">
      <c r="A296" s="408"/>
      <c r="B296" s="642"/>
      <c r="C296" s="642"/>
      <c r="D296" s="642"/>
      <c r="E296" s="642"/>
      <c r="F296" s="642"/>
      <c r="G296" s="642"/>
      <c r="H296" s="531"/>
      <c r="I296" s="531"/>
      <c r="J296" s="531"/>
      <c r="K296" s="531"/>
      <c r="L296" s="531"/>
      <c r="M296" s="531"/>
      <c r="N296" s="531"/>
      <c r="O296" s="531"/>
      <c r="P296" s="531"/>
      <c r="Q296" s="531"/>
      <c r="R296" s="531"/>
      <c r="S296" s="531"/>
      <c r="T296" s="531"/>
      <c r="U296" s="531"/>
      <c r="V296" s="531"/>
      <c r="W296" s="532"/>
      <c r="X296" s="406"/>
    </row>
    <row r="297" spans="1:24" ht="18.600000000000001" thickBot="1" x14ac:dyDescent="0.4">
      <c r="A297" s="408"/>
      <c r="B297" s="647" t="str">
        <f>B197</f>
        <v>PM13 INVESTOR REPORT QUARTER ENDING SEPTEMBER 2017</v>
      </c>
      <c r="C297" s="642"/>
      <c r="D297" s="642"/>
      <c r="E297" s="642"/>
      <c r="F297" s="642"/>
      <c r="G297" s="642"/>
      <c r="H297" s="531"/>
      <c r="I297" s="531"/>
      <c r="J297" s="531"/>
      <c r="K297" s="531"/>
      <c r="L297" s="531"/>
      <c r="M297" s="531"/>
      <c r="N297" s="531"/>
      <c r="O297" s="531"/>
      <c r="P297" s="531"/>
      <c r="Q297" s="531"/>
      <c r="R297" s="531"/>
      <c r="S297" s="531"/>
      <c r="T297" s="531"/>
      <c r="U297" s="531"/>
      <c r="V297" s="531"/>
      <c r="W297" s="648"/>
      <c r="X297" s="406"/>
    </row>
    <row r="298" spans="1:24" x14ac:dyDescent="0.3">
      <c r="A298" s="649"/>
      <c r="B298" s="649"/>
      <c r="C298" s="649"/>
      <c r="D298" s="649"/>
      <c r="E298" s="649"/>
      <c r="F298" s="649"/>
      <c r="G298" s="649"/>
      <c r="H298" s="649"/>
      <c r="I298" s="649"/>
      <c r="J298" s="649"/>
      <c r="K298" s="649"/>
      <c r="L298" s="649"/>
      <c r="M298" s="649"/>
      <c r="N298" s="649"/>
      <c r="O298" s="649"/>
      <c r="P298" s="649"/>
      <c r="Q298" s="649"/>
      <c r="R298" s="649"/>
      <c r="S298" s="649"/>
      <c r="T298" s="649"/>
      <c r="U298" s="649"/>
      <c r="V298" s="649"/>
      <c r="W298" s="649"/>
    </row>
  </sheetData>
  <hyperlinks>
    <hyperlink ref="P233" r:id="rId1" display="http://www.paragon-group.co.uk" xr:uid="{00000000-0004-0000-2B00-000000000000}"/>
    <hyperlink ref="I9" r:id="rId2" display="http://www.paragon-group.co.uk" xr:uid="{00000000-0004-0000-2B00-000001000000}"/>
    <hyperlink ref="P295" r:id="rId3" display="http://www.paragon-group.co.uk" xr:uid="{00000000-0004-0000-2B00-000002000000}"/>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37" max="22" man="1"/>
    <brk id="197" max="22" man="1"/>
  </rowBreaks>
  <drawing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89CB31"/>
  </sheetPr>
  <dimension ref="A1:Z298"/>
  <sheetViews>
    <sheetView showGridLines="0" showOutlineSymbols="0" zoomScale="70" zoomScaleNormal="70" workbookViewId="0"/>
  </sheetViews>
  <sheetFormatPr defaultColWidth="9.81640625" defaultRowHeight="15.6" x14ac:dyDescent="0.3"/>
  <cols>
    <col min="1" max="1" width="4" style="407" customWidth="1"/>
    <col min="2" max="2" width="71.08984375" style="407" customWidth="1"/>
    <col min="3" max="3" width="2.08984375" style="407" customWidth="1"/>
    <col min="4" max="4" width="19.1796875" style="407" customWidth="1"/>
    <col min="5" max="5" width="2.08984375" style="407" customWidth="1"/>
    <col min="6" max="6" width="25.08984375" style="407" customWidth="1"/>
    <col min="7" max="7" width="2.08984375" style="407" customWidth="1"/>
    <col min="8" max="8" width="16.08984375" style="407" customWidth="1"/>
    <col min="9" max="9" width="2.81640625" style="407" customWidth="1"/>
    <col min="10" max="10" width="16.08984375" style="407" customWidth="1"/>
    <col min="11" max="11" width="2.08984375" style="407" customWidth="1"/>
    <col min="12" max="12" width="17.81640625" style="407" customWidth="1"/>
    <col min="13" max="13" width="2.1796875" style="407" customWidth="1"/>
    <col min="14" max="14" width="14.81640625" style="407" customWidth="1"/>
    <col min="15" max="15" width="2.1796875" style="407" customWidth="1"/>
    <col min="16" max="16" width="15.54296875" style="407" customWidth="1"/>
    <col min="17" max="17" width="2.08984375" style="407" customWidth="1"/>
    <col min="18" max="18" width="15.54296875" style="407" customWidth="1"/>
    <col min="19" max="20" width="12.81640625" style="407" customWidth="1"/>
    <col min="21" max="21" width="7.81640625" style="407" customWidth="1"/>
    <col min="22" max="22" width="14.81640625" style="407" customWidth="1"/>
    <col min="23" max="23" width="11.81640625" style="407" customWidth="1"/>
    <col min="24" max="16384" width="9.81640625" style="407"/>
  </cols>
  <sheetData>
    <row r="1" spans="1:24" ht="21" x14ac:dyDescent="0.4">
      <c r="A1" s="402"/>
      <c r="B1" s="403" t="s">
        <v>238</v>
      </c>
      <c r="C1" s="404"/>
      <c r="D1" s="404"/>
      <c r="E1" s="404"/>
      <c r="F1" s="404"/>
      <c r="G1" s="404"/>
      <c r="H1" s="404"/>
      <c r="I1" s="404"/>
      <c r="J1" s="404"/>
      <c r="K1" s="404"/>
      <c r="L1" s="404"/>
      <c r="M1" s="404"/>
      <c r="N1" s="404"/>
      <c r="O1" s="404"/>
      <c r="P1" s="404"/>
      <c r="Q1" s="404"/>
      <c r="R1" s="404"/>
      <c r="S1" s="404"/>
      <c r="T1" s="404"/>
      <c r="U1" s="404"/>
      <c r="V1" s="404"/>
      <c r="W1" s="405"/>
      <c r="X1" s="406"/>
    </row>
    <row r="2" spans="1:24" x14ac:dyDescent="0.3">
      <c r="A2" s="408"/>
      <c r="B2" s="409"/>
      <c r="C2" s="410"/>
      <c r="D2" s="410"/>
      <c r="E2" s="410"/>
      <c r="F2" s="410"/>
      <c r="G2" s="410"/>
      <c r="H2" s="410"/>
      <c r="I2" s="410"/>
      <c r="J2" s="410"/>
      <c r="K2" s="410"/>
      <c r="L2" s="410"/>
      <c r="M2" s="410"/>
      <c r="N2" s="410"/>
      <c r="O2" s="410"/>
      <c r="P2" s="410"/>
      <c r="Q2" s="410"/>
      <c r="R2" s="410"/>
      <c r="S2" s="410"/>
      <c r="T2" s="410"/>
      <c r="U2" s="410"/>
      <c r="V2" s="410"/>
      <c r="W2" s="411"/>
      <c r="X2" s="406"/>
    </row>
    <row r="3" spans="1:24" x14ac:dyDescent="0.3">
      <c r="A3" s="412"/>
      <c r="B3" s="413" t="s">
        <v>239</v>
      </c>
      <c r="C3" s="410"/>
      <c r="D3" s="410"/>
      <c r="E3" s="410"/>
      <c r="F3" s="410"/>
      <c r="G3" s="410"/>
      <c r="H3" s="410"/>
      <c r="I3" s="410"/>
      <c r="J3" s="410"/>
      <c r="K3" s="410"/>
      <c r="L3" s="410"/>
      <c r="M3" s="410"/>
      <c r="N3" s="410"/>
      <c r="O3" s="410"/>
      <c r="P3" s="410"/>
      <c r="Q3" s="410"/>
      <c r="R3" s="410"/>
      <c r="S3" s="410"/>
      <c r="T3" s="410"/>
      <c r="U3" s="410"/>
      <c r="V3" s="410"/>
      <c r="W3" s="411"/>
      <c r="X3" s="406"/>
    </row>
    <row r="4" spans="1:24" x14ac:dyDescent="0.3">
      <c r="A4" s="408"/>
      <c r="B4" s="409"/>
      <c r="C4" s="410"/>
      <c r="D4" s="410"/>
      <c r="E4" s="410"/>
      <c r="F4" s="410"/>
      <c r="G4" s="410"/>
      <c r="H4" s="410"/>
      <c r="I4" s="410"/>
      <c r="J4" s="410"/>
      <c r="K4" s="410"/>
      <c r="L4" s="410"/>
      <c r="M4" s="410"/>
      <c r="N4" s="410"/>
      <c r="O4" s="410"/>
      <c r="P4" s="410"/>
      <c r="Q4" s="410"/>
      <c r="R4" s="410"/>
      <c r="S4" s="410"/>
      <c r="T4" s="410"/>
      <c r="U4" s="410"/>
      <c r="V4" s="410"/>
      <c r="W4" s="411"/>
      <c r="X4" s="406"/>
    </row>
    <row r="5" spans="1:24" x14ac:dyDescent="0.3">
      <c r="A5" s="408"/>
      <c r="B5" s="414" t="s">
        <v>140</v>
      </c>
      <c r="C5" s="410"/>
      <c r="D5" s="410"/>
      <c r="E5" s="410"/>
      <c r="F5" s="410"/>
      <c r="G5" s="410"/>
      <c r="H5" s="410"/>
      <c r="I5" s="410"/>
      <c r="J5" s="410"/>
      <c r="K5" s="410"/>
      <c r="L5" s="410"/>
      <c r="M5" s="410"/>
      <c r="N5" s="410"/>
      <c r="O5" s="410"/>
      <c r="P5" s="410"/>
      <c r="Q5" s="410"/>
      <c r="R5" s="410"/>
      <c r="S5" s="410"/>
      <c r="T5" s="410"/>
      <c r="U5" s="410"/>
      <c r="V5" s="410"/>
      <c r="W5" s="411"/>
      <c r="X5" s="406"/>
    </row>
    <row r="6" spans="1:24" x14ac:dyDescent="0.3">
      <c r="A6" s="408"/>
      <c r="B6" s="414" t="s">
        <v>142</v>
      </c>
      <c r="C6" s="410"/>
      <c r="D6" s="410"/>
      <c r="E6" s="410"/>
      <c r="F6" s="410"/>
      <c r="G6" s="410"/>
      <c r="H6" s="410"/>
      <c r="I6" s="410"/>
      <c r="J6" s="410"/>
      <c r="K6" s="410"/>
      <c r="L6" s="410"/>
      <c r="M6" s="410"/>
      <c r="N6" s="410"/>
      <c r="O6" s="410"/>
      <c r="P6" s="410"/>
      <c r="Q6" s="410"/>
      <c r="R6" s="410"/>
      <c r="S6" s="410"/>
      <c r="T6" s="410"/>
      <c r="U6" s="410"/>
      <c r="V6" s="410"/>
      <c r="W6" s="411"/>
      <c r="X6" s="406"/>
    </row>
    <row r="7" spans="1:24" x14ac:dyDescent="0.3">
      <c r="A7" s="408"/>
      <c r="B7" s="414" t="s">
        <v>141</v>
      </c>
      <c r="C7" s="410"/>
      <c r="D7" s="410"/>
      <c r="E7" s="410"/>
      <c r="F7" s="410"/>
      <c r="G7" s="410"/>
      <c r="H7" s="410"/>
      <c r="I7" s="410"/>
      <c r="J7" s="410"/>
      <c r="K7" s="410"/>
      <c r="L7" s="410"/>
      <c r="M7" s="410"/>
      <c r="N7" s="410"/>
      <c r="O7" s="410"/>
      <c r="P7" s="410"/>
      <c r="Q7" s="410"/>
      <c r="R7" s="410"/>
      <c r="S7" s="410"/>
      <c r="T7" s="410"/>
      <c r="U7" s="410"/>
      <c r="V7" s="410"/>
      <c r="W7" s="411"/>
      <c r="X7" s="406"/>
    </row>
    <row r="8" spans="1:24" x14ac:dyDescent="0.3">
      <c r="A8" s="408"/>
      <c r="B8" s="415"/>
      <c r="C8" s="410"/>
      <c r="D8" s="410"/>
      <c r="E8" s="410"/>
      <c r="F8" s="410"/>
      <c r="G8" s="410"/>
      <c r="H8" s="410"/>
      <c r="I8" s="410"/>
      <c r="J8" s="410"/>
      <c r="K8" s="410"/>
      <c r="L8" s="410"/>
      <c r="M8" s="410"/>
      <c r="N8" s="410"/>
      <c r="O8" s="410"/>
      <c r="P8" s="410"/>
      <c r="Q8" s="410"/>
      <c r="R8" s="410"/>
      <c r="S8" s="410"/>
      <c r="T8" s="410"/>
      <c r="U8" s="410"/>
      <c r="V8" s="410"/>
      <c r="W8" s="411"/>
      <c r="X8" s="406"/>
    </row>
    <row r="9" spans="1:24" ht="18" x14ac:dyDescent="0.35">
      <c r="A9" s="408"/>
      <c r="B9" s="413" t="s">
        <v>169</v>
      </c>
      <c r="C9" s="410"/>
      <c r="D9" s="410"/>
      <c r="E9" s="410"/>
      <c r="F9" s="410"/>
      <c r="G9" s="410"/>
      <c r="H9" s="410"/>
      <c r="I9" s="416" t="s">
        <v>370</v>
      </c>
      <c r="J9" s="410"/>
      <c r="K9" s="410"/>
      <c r="L9" s="417"/>
      <c r="M9" s="410"/>
      <c r="N9" s="418"/>
      <c r="O9" s="410"/>
      <c r="P9" s="410"/>
      <c r="Q9" s="410"/>
      <c r="R9" s="410"/>
      <c r="S9" s="410"/>
      <c r="T9" s="410"/>
      <c r="U9" s="410"/>
      <c r="V9" s="410"/>
      <c r="W9" s="411"/>
      <c r="X9" s="406"/>
    </row>
    <row r="10" spans="1:24" x14ac:dyDescent="0.3">
      <c r="A10" s="408"/>
      <c r="B10" s="415"/>
      <c r="C10" s="419"/>
      <c r="D10" s="419"/>
      <c r="E10" s="419"/>
      <c r="F10" s="410"/>
      <c r="G10" s="410"/>
      <c r="H10" s="410"/>
      <c r="I10" s="410"/>
      <c r="J10" s="410"/>
      <c r="K10" s="410"/>
      <c r="L10" s="410"/>
      <c r="M10" s="410"/>
      <c r="N10" s="410"/>
      <c r="O10" s="410"/>
      <c r="P10" s="410"/>
      <c r="Q10" s="410"/>
      <c r="R10" s="410"/>
      <c r="S10" s="410"/>
      <c r="T10" s="410"/>
      <c r="U10" s="410"/>
      <c r="V10" s="410"/>
      <c r="W10" s="411"/>
      <c r="X10" s="406"/>
    </row>
    <row r="11" spans="1:24" x14ac:dyDescent="0.3">
      <c r="A11" s="408"/>
      <c r="B11" s="420" t="s">
        <v>0</v>
      </c>
      <c r="C11" s="410"/>
      <c r="D11" s="410"/>
      <c r="E11" s="410"/>
      <c r="F11" s="410"/>
      <c r="G11" s="410"/>
      <c r="H11" s="410"/>
      <c r="I11" s="410"/>
      <c r="J11" s="410"/>
      <c r="K11" s="410"/>
      <c r="L11" s="410"/>
      <c r="M11" s="410"/>
      <c r="N11" s="410"/>
      <c r="O11" s="410"/>
      <c r="P11" s="410"/>
      <c r="Q11" s="410"/>
      <c r="R11" s="410"/>
      <c r="S11" s="410"/>
      <c r="T11" s="410"/>
      <c r="U11" s="410"/>
      <c r="V11" s="410"/>
      <c r="W11" s="411"/>
      <c r="X11" s="406"/>
    </row>
    <row r="12" spans="1:24" ht="16.2" thickBot="1" x14ac:dyDescent="0.35">
      <c r="A12" s="408"/>
      <c r="B12" s="419"/>
      <c r="C12" s="410"/>
      <c r="D12" s="410"/>
      <c r="E12" s="410"/>
      <c r="F12" s="410"/>
      <c r="G12" s="410"/>
      <c r="H12" s="410"/>
      <c r="I12" s="410"/>
      <c r="J12" s="410"/>
      <c r="K12" s="410"/>
      <c r="L12" s="410"/>
      <c r="M12" s="410"/>
      <c r="N12" s="410"/>
      <c r="O12" s="410"/>
      <c r="P12" s="410"/>
      <c r="Q12" s="410"/>
      <c r="R12" s="410"/>
      <c r="S12" s="410"/>
      <c r="T12" s="410"/>
      <c r="U12" s="410"/>
      <c r="V12" s="410"/>
      <c r="W12" s="411"/>
      <c r="X12" s="406"/>
    </row>
    <row r="13" spans="1:24" x14ac:dyDescent="0.3">
      <c r="A13" s="402"/>
      <c r="B13" s="404"/>
      <c r="C13" s="404"/>
      <c r="D13" s="404"/>
      <c r="E13" s="404"/>
      <c r="F13" s="404"/>
      <c r="G13" s="404"/>
      <c r="H13" s="404"/>
      <c r="I13" s="404"/>
      <c r="J13" s="404"/>
      <c r="K13" s="404"/>
      <c r="L13" s="404"/>
      <c r="M13" s="404"/>
      <c r="N13" s="404"/>
      <c r="O13" s="404"/>
      <c r="P13" s="404"/>
      <c r="Q13" s="404"/>
      <c r="R13" s="404"/>
      <c r="S13" s="404"/>
      <c r="T13" s="404"/>
      <c r="U13" s="404"/>
      <c r="V13" s="404"/>
      <c r="W13" s="405"/>
      <c r="X13" s="406"/>
    </row>
    <row r="14" spans="1:24" s="426" customFormat="1" x14ac:dyDescent="0.3">
      <c r="A14" s="421"/>
      <c r="B14" s="420" t="s">
        <v>1</v>
      </c>
      <c r="C14" s="422"/>
      <c r="D14" s="422"/>
      <c r="E14" s="422"/>
      <c r="F14" s="422"/>
      <c r="G14" s="422"/>
      <c r="H14" s="422"/>
      <c r="I14" s="422"/>
      <c r="J14" s="422"/>
      <c r="K14" s="422"/>
      <c r="L14" s="422"/>
      <c r="M14" s="422"/>
      <c r="N14" s="422"/>
      <c r="O14" s="422"/>
      <c r="P14" s="422"/>
      <c r="Q14" s="422"/>
      <c r="R14" s="422"/>
      <c r="S14" s="422"/>
      <c r="T14" s="422"/>
      <c r="U14" s="422"/>
      <c r="V14" s="423" t="s">
        <v>240</v>
      </c>
      <c r="W14" s="424"/>
      <c r="X14" s="425"/>
    </row>
    <row r="15" spans="1:24" s="426" customFormat="1" x14ac:dyDescent="0.3">
      <c r="A15" s="421"/>
      <c r="B15" s="420" t="s">
        <v>2</v>
      </c>
      <c r="C15" s="422"/>
      <c r="D15" s="422"/>
      <c r="E15" s="422"/>
      <c r="F15" s="422"/>
      <c r="G15" s="422"/>
      <c r="H15" s="427"/>
      <c r="I15" s="427"/>
      <c r="J15" s="427"/>
      <c r="K15" s="427"/>
      <c r="L15" s="427"/>
      <c r="M15" s="427"/>
      <c r="N15" s="427"/>
      <c r="O15" s="427"/>
      <c r="P15" s="427"/>
      <c r="Q15" s="427"/>
      <c r="R15" s="427" t="s">
        <v>105</v>
      </c>
      <c r="S15" s="428">
        <v>0.57609999999999995</v>
      </c>
      <c r="T15" s="429" t="s">
        <v>143</v>
      </c>
      <c r="U15" s="428">
        <v>0.4239</v>
      </c>
      <c r="V15" s="423"/>
      <c r="W15" s="424"/>
      <c r="X15" s="425"/>
    </row>
    <row r="16" spans="1:24" s="426" customFormat="1" x14ac:dyDescent="0.3">
      <c r="A16" s="421"/>
      <c r="B16" s="420" t="s">
        <v>3</v>
      </c>
      <c r="C16" s="422"/>
      <c r="D16" s="422"/>
      <c r="E16" s="422"/>
      <c r="F16" s="422"/>
      <c r="G16" s="422"/>
      <c r="H16" s="427"/>
      <c r="I16" s="427"/>
      <c r="J16" s="427"/>
      <c r="K16" s="427"/>
      <c r="L16" s="427"/>
      <c r="M16" s="427"/>
      <c r="N16" s="427"/>
      <c r="O16" s="427"/>
      <c r="P16" s="427"/>
      <c r="Q16" s="427"/>
      <c r="R16" s="427" t="s">
        <v>105</v>
      </c>
      <c r="S16" s="428">
        <v>0.67</v>
      </c>
      <c r="T16" s="429" t="s">
        <v>143</v>
      </c>
      <c r="U16" s="428">
        <v>0.33</v>
      </c>
      <c r="V16" s="423"/>
      <c r="W16" s="424"/>
      <c r="X16" s="425"/>
    </row>
    <row r="17" spans="1:24" s="426" customFormat="1" x14ac:dyDescent="0.3">
      <c r="A17" s="421"/>
      <c r="B17" s="420" t="s">
        <v>4</v>
      </c>
      <c r="C17" s="422"/>
      <c r="D17" s="422"/>
      <c r="E17" s="422"/>
      <c r="F17" s="422"/>
      <c r="G17" s="422"/>
      <c r="H17" s="422"/>
      <c r="I17" s="422"/>
      <c r="J17" s="422"/>
      <c r="K17" s="422"/>
      <c r="L17" s="422"/>
      <c r="M17" s="422"/>
      <c r="N17" s="422"/>
      <c r="O17" s="422"/>
      <c r="P17" s="422"/>
      <c r="Q17" s="422"/>
      <c r="R17" s="422"/>
      <c r="S17" s="422"/>
      <c r="T17" s="422"/>
      <c r="U17" s="422"/>
      <c r="V17" s="430">
        <v>39016</v>
      </c>
      <c r="W17" s="424"/>
      <c r="X17" s="425"/>
    </row>
    <row r="18" spans="1:24" s="426" customFormat="1" x14ac:dyDescent="0.3">
      <c r="A18" s="421"/>
      <c r="B18" s="420" t="s">
        <v>5</v>
      </c>
      <c r="C18" s="422"/>
      <c r="D18" s="422"/>
      <c r="E18" s="422"/>
      <c r="F18" s="422"/>
      <c r="G18" s="422"/>
      <c r="H18" s="422"/>
      <c r="I18" s="422"/>
      <c r="J18" s="422"/>
      <c r="K18" s="422"/>
      <c r="L18" s="422"/>
      <c r="M18" s="422"/>
      <c r="N18" s="422"/>
      <c r="O18" s="422"/>
      <c r="P18" s="422"/>
      <c r="Q18" s="422"/>
      <c r="R18" s="422"/>
      <c r="S18" s="422"/>
      <c r="T18" s="422"/>
      <c r="U18" s="422"/>
      <c r="V18" s="430">
        <v>43123</v>
      </c>
      <c r="W18" s="424"/>
      <c r="X18" s="425"/>
    </row>
    <row r="19" spans="1:24" s="426" customFormat="1" x14ac:dyDescent="0.3">
      <c r="A19" s="421"/>
      <c r="B19" s="422"/>
      <c r="C19" s="422"/>
      <c r="D19" s="422"/>
      <c r="E19" s="422"/>
      <c r="F19" s="422"/>
      <c r="G19" s="422"/>
      <c r="H19" s="422"/>
      <c r="I19" s="422"/>
      <c r="J19" s="422"/>
      <c r="K19" s="422"/>
      <c r="L19" s="422"/>
      <c r="M19" s="422"/>
      <c r="N19" s="422"/>
      <c r="O19" s="422"/>
      <c r="P19" s="422"/>
      <c r="Q19" s="422"/>
      <c r="R19" s="422"/>
      <c r="S19" s="422"/>
      <c r="T19" s="422"/>
      <c r="U19" s="422"/>
      <c r="V19" s="431"/>
      <c r="W19" s="424"/>
      <c r="X19" s="425"/>
    </row>
    <row r="20" spans="1:24" s="426" customFormat="1" x14ac:dyDescent="0.3">
      <c r="A20" s="421"/>
      <c r="B20" s="432" t="s">
        <v>6</v>
      </c>
      <c r="C20" s="422"/>
      <c r="D20" s="422"/>
      <c r="E20" s="422"/>
      <c r="F20" s="422"/>
      <c r="G20" s="422"/>
      <c r="H20" s="422"/>
      <c r="I20" s="422"/>
      <c r="J20" s="422"/>
      <c r="K20" s="422"/>
      <c r="L20" s="422"/>
      <c r="M20" s="422"/>
      <c r="N20" s="422"/>
      <c r="O20" s="422"/>
      <c r="P20" s="422"/>
      <c r="Q20" s="422"/>
      <c r="R20" s="422"/>
      <c r="S20" s="422"/>
      <c r="T20" s="431" t="s">
        <v>106</v>
      </c>
      <c r="U20" s="422"/>
      <c r="V20" s="422"/>
      <c r="W20" s="424"/>
      <c r="X20" s="425"/>
    </row>
    <row r="21" spans="1:24" x14ac:dyDescent="0.3">
      <c r="A21" s="408"/>
      <c r="B21" s="410"/>
      <c r="C21" s="410"/>
      <c r="D21" s="410"/>
      <c r="E21" s="410"/>
      <c r="F21" s="410"/>
      <c r="G21" s="410"/>
      <c r="H21" s="410"/>
      <c r="I21" s="410"/>
      <c r="J21" s="410"/>
      <c r="K21" s="410"/>
      <c r="L21" s="410"/>
      <c r="M21" s="410"/>
      <c r="N21" s="410"/>
      <c r="O21" s="410"/>
      <c r="P21" s="410"/>
      <c r="Q21" s="410"/>
      <c r="R21" s="410"/>
      <c r="S21" s="410"/>
      <c r="T21" s="410"/>
      <c r="U21" s="410"/>
      <c r="V21" s="433"/>
      <c r="W21" s="411"/>
      <c r="X21" s="406"/>
    </row>
    <row r="22" spans="1:24" x14ac:dyDescent="0.3">
      <c r="A22" s="434"/>
      <c r="B22" s="435"/>
      <c r="C22" s="436"/>
      <c r="D22" s="436" t="s">
        <v>180</v>
      </c>
      <c r="E22" s="436"/>
      <c r="F22" s="436" t="s">
        <v>181</v>
      </c>
      <c r="G22" s="436"/>
      <c r="H22" s="436" t="s">
        <v>182</v>
      </c>
      <c r="I22" s="436"/>
      <c r="J22" s="436" t="s">
        <v>223</v>
      </c>
      <c r="K22" s="436"/>
      <c r="L22" s="436" t="s">
        <v>183</v>
      </c>
      <c r="M22" s="436"/>
      <c r="N22" s="436" t="s">
        <v>184</v>
      </c>
      <c r="O22" s="436"/>
      <c r="P22" s="436" t="s">
        <v>224</v>
      </c>
      <c r="Q22" s="436"/>
      <c r="R22" s="436" t="s">
        <v>185</v>
      </c>
      <c r="S22" s="437"/>
      <c r="T22" s="437"/>
      <c r="U22" s="435"/>
      <c r="V22" s="435"/>
      <c r="W22" s="438"/>
      <c r="X22" s="406"/>
    </row>
    <row r="23" spans="1:24" s="426" customFormat="1" x14ac:dyDescent="0.3">
      <c r="A23" s="439"/>
      <c r="B23" s="440" t="s">
        <v>7</v>
      </c>
      <c r="C23" s="441"/>
      <c r="D23" s="441" t="s">
        <v>216</v>
      </c>
      <c r="E23" s="441"/>
      <c r="F23" s="441" t="s">
        <v>144</v>
      </c>
      <c r="G23" s="441"/>
      <c r="H23" s="441" t="s">
        <v>144</v>
      </c>
      <c r="I23" s="441"/>
      <c r="J23" s="441" t="s">
        <v>144</v>
      </c>
      <c r="K23" s="441"/>
      <c r="L23" s="441" t="s">
        <v>186</v>
      </c>
      <c r="M23" s="441"/>
      <c r="N23" s="441" t="s">
        <v>186</v>
      </c>
      <c r="O23" s="441"/>
      <c r="P23" s="441" t="s">
        <v>145</v>
      </c>
      <c r="Q23" s="441"/>
      <c r="R23" s="441" t="s">
        <v>145</v>
      </c>
      <c r="S23" s="441"/>
      <c r="T23" s="441"/>
      <c r="U23" s="440"/>
      <c r="V23" s="440"/>
      <c r="W23" s="442"/>
      <c r="X23" s="425"/>
    </row>
    <row r="24" spans="1:24" s="426" customFormat="1" x14ac:dyDescent="0.3">
      <c r="A24" s="443"/>
      <c r="B24" s="444" t="s">
        <v>8</v>
      </c>
      <c r="C24" s="445"/>
      <c r="D24" s="445" t="s">
        <v>217</v>
      </c>
      <c r="E24" s="445"/>
      <c r="F24" s="445" t="s">
        <v>146</v>
      </c>
      <c r="G24" s="445"/>
      <c r="H24" s="445" t="s">
        <v>146</v>
      </c>
      <c r="I24" s="445"/>
      <c r="J24" s="445" t="s">
        <v>146</v>
      </c>
      <c r="K24" s="445"/>
      <c r="L24" s="445" t="s">
        <v>168</v>
      </c>
      <c r="M24" s="445"/>
      <c r="N24" s="445" t="s">
        <v>168</v>
      </c>
      <c r="O24" s="445"/>
      <c r="P24" s="445" t="s">
        <v>147</v>
      </c>
      <c r="Q24" s="445"/>
      <c r="R24" s="445" t="s">
        <v>147</v>
      </c>
      <c r="S24" s="445"/>
      <c r="T24" s="445"/>
      <c r="U24" s="444"/>
      <c r="V24" s="444"/>
      <c r="W24" s="446"/>
      <c r="X24" s="425"/>
    </row>
    <row r="25" spans="1:24" s="426" customFormat="1" x14ac:dyDescent="0.3">
      <c r="A25" s="447"/>
      <c r="B25" s="444" t="s">
        <v>193</v>
      </c>
      <c r="C25" s="448"/>
      <c r="D25" s="445" t="s">
        <v>218</v>
      </c>
      <c r="E25" s="445"/>
      <c r="F25" s="445" t="s">
        <v>146</v>
      </c>
      <c r="G25" s="445"/>
      <c r="H25" s="445" t="s">
        <v>146</v>
      </c>
      <c r="I25" s="445"/>
      <c r="J25" s="445" t="s">
        <v>146</v>
      </c>
      <c r="K25" s="445"/>
      <c r="L25" s="445" t="s">
        <v>168</v>
      </c>
      <c r="M25" s="445"/>
      <c r="N25" s="445" t="s">
        <v>168</v>
      </c>
      <c r="O25" s="445"/>
      <c r="P25" s="445" t="s">
        <v>147</v>
      </c>
      <c r="Q25" s="445"/>
      <c r="R25" s="445" t="s">
        <v>147</v>
      </c>
      <c r="S25" s="448"/>
      <c r="T25" s="445"/>
      <c r="U25" s="444"/>
      <c r="V25" s="444"/>
      <c r="W25" s="446"/>
      <c r="X25" s="425"/>
    </row>
    <row r="26" spans="1:24" s="426" customFormat="1" x14ac:dyDescent="0.3">
      <c r="A26" s="447"/>
      <c r="B26" s="449" t="s">
        <v>9</v>
      </c>
      <c r="C26" s="448"/>
      <c r="D26" s="448" t="s">
        <v>144</v>
      </c>
      <c r="E26" s="448"/>
      <c r="F26" s="448" t="s">
        <v>144</v>
      </c>
      <c r="G26" s="448"/>
      <c r="H26" s="448" t="s">
        <v>144</v>
      </c>
      <c r="I26" s="448"/>
      <c r="J26" s="448" t="s">
        <v>144</v>
      </c>
      <c r="K26" s="448"/>
      <c r="L26" s="448" t="s">
        <v>186</v>
      </c>
      <c r="M26" s="448"/>
      <c r="N26" s="448" t="s">
        <v>186</v>
      </c>
      <c r="O26" s="448"/>
      <c r="P26" s="448" t="s">
        <v>145</v>
      </c>
      <c r="Q26" s="448"/>
      <c r="R26" s="448" t="s">
        <v>145</v>
      </c>
      <c r="S26" s="448"/>
      <c r="T26" s="445"/>
      <c r="U26" s="444"/>
      <c r="V26" s="444"/>
      <c r="W26" s="446"/>
      <c r="X26" s="425"/>
    </row>
    <row r="27" spans="1:24" s="426" customFormat="1" x14ac:dyDescent="0.3">
      <c r="A27" s="443"/>
      <c r="B27" s="449" t="s">
        <v>194</v>
      </c>
      <c r="C27" s="445"/>
      <c r="D27" s="448" t="s">
        <v>168</v>
      </c>
      <c r="E27" s="448"/>
      <c r="F27" s="448" t="s">
        <v>168</v>
      </c>
      <c r="G27" s="448"/>
      <c r="H27" s="448" t="s">
        <v>168</v>
      </c>
      <c r="I27" s="448"/>
      <c r="J27" s="448" t="s">
        <v>168</v>
      </c>
      <c r="K27" s="448"/>
      <c r="L27" s="448" t="s">
        <v>360</v>
      </c>
      <c r="M27" s="448"/>
      <c r="N27" s="448" t="s">
        <v>360</v>
      </c>
      <c r="O27" s="448"/>
      <c r="P27" s="448" t="s">
        <v>147</v>
      </c>
      <c r="Q27" s="448"/>
      <c r="R27" s="448" t="s">
        <v>147</v>
      </c>
      <c r="S27" s="445"/>
      <c r="T27" s="450"/>
      <c r="U27" s="444"/>
      <c r="V27" s="444"/>
      <c r="W27" s="446"/>
      <c r="X27" s="425"/>
    </row>
    <row r="28" spans="1:24" s="426" customFormat="1" x14ac:dyDescent="0.3">
      <c r="A28" s="443"/>
      <c r="B28" s="449" t="s">
        <v>195</v>
      </c>
      <c r="C28" s="445"/>
      <c r="D28" s="448" t="s">
        <v>146</v>
      </c>
      <c r="E28" s="448"/>
      <c r="F28" s="448" t="s">
        <v>146</v>
      </c>
      <c r="G28" s="448"/>
      <c r="H28" s="448" t="s">
        <v>146</v>
      </c>
      <c r="I28" s="448"/>
      <c r="J28" s="448" t="s">
        <v>146</v>
      </c>
      <c r="K28" s="448"/>
      <c r="L28" s="448" t="s">
        <v>146</v>
      </c>
      <c r="M28" s="448"/>
      <c r="N28" s="448" t="s">
        <v>146</v>
      </c>
      <c r="O28" s="448"/>
      <c r="P28" s="448" t="s">
        <v>147</v>
      </c>
      <c r="Q28" s="448"/>
      <c r="R28" s="448" t="s">
        <v>147</v>
      </c>
      <c r="S28" s="445"/>
      <c r="T28" s="450"/>
      <c r="U28" s="444"/>
      <c r="V28" s="444"/>
      <c r="W28" s="446"/>
      <c r="X28" s="425"/>
    </row>
    <row r="29" spans="1:24" s="426" customFormat="1" x14ac:dyDescent="0.3">
      <c r="A29" s="443"/>
      <c r="B29" s="444" t="s">
        <v>10</v>
      </c>
      <c r="C29" s="451"/>
      <c r="D29" s="445" t="s">
        <v>348</v>
      </c>
      <c r="E29" s="445"/>
      <c r="F29" s="450" t="s">
        <v>242</v>
      </c>
      <c r="G29" s="445"/>
      <c r="H29" s="445" t="s">
        <v>243</v>
      </c>
      <c r="I29" s="445"/>
      <c r="J29" s="445" t="s">
        <v>245</v>
      </c>
      <c r="K29" s="445"/>
      <c r="L29" s="445" t="s">
        <v>246</v>
      </c>
      <c r="M29" s="445"/>
      <c r="N29" s="445" t="s">
        <v>247</v>
      </c>
      <c r="O29" s="445"/>
      <c r="P29" s="445" t="s">
        <v>248</v>
      </c>
      <c r="Q29" s="445"/>
      <c r="R29" s="445" t="s">
        <v>249</v>
      </c>
      <c r="S29" s="452"/>
      <c r="T29" s="452"/>
      <c r="U29" s="451"/>
      <c r="V29" s="452"/>
      <c r="W29" s="453"/>
      <c r="X29" s="425"/>
    </row>
    <row r="30" spans="1:24" s="426" customFormat="1" x14ac:dyDescent="0.3">
      <c r="A30" s="443"/>
      <c r="B30" s="444" t="s">
        <v>10</v>
      </c>
      <c r="C30" s="451"/>
      <c r="D30" s="445" t="s">
        <v>241</v>
      </c>
      <c r="E30" s="445"/>
      <c r="F30" s="450" t="s">
        <v>121</v>
      </c>
      <c r="G30" s="445"/>
      <c r="H30" s="445" t="s">
        <v>121</v>
      </c>
      <c r="I30" s="445"/>
      <c r="J30" s="445" t="s">
        <v>244</v>
      </c>
      <c r="K30" s="445"/>
      <c r="L30" s="445" t="s">
        <v>121</v>
      </c>
      <c r="M30" s="445"/>
      <c r="N30" s="445" t="s">
        <v>121</v>
      </c>
      <c r="O30" s="445"/>
      <c r="P30" s="445" t="s">
        <v>121</v>
      </c>
      <c r="Q30" s="445"/>
      <c r="R30" s="445" t="s">
        <v>121</v>
      </c>
      <c r="S30" s="452"/>
      <c r="T30" s="452"/>
      <c r="U30" s="451"/>
      <c r="V30" s="452"/>
      <c r="W30" s="453"/>
      <c r="X30" s="425"/>
    </row>
    <row r="31" spans="1:24" s="426" customFormat="1" x14ac:dyDescent="0.3">
      <c r="A31" s="447"/>
      <c r="B31" s="444" t="s">
        <v>136</v>
      </c>
      <c r="C31" s="454"/>
      <c r="D31" s="455">
        <v>1500000</v>
      </c>
      <c r="E31" s="451"/>
      <c r="F31" s="452">
        <v>125000</v>
      </c>
      <c r="G31" s="452"/>
      <c r="H31" s="456">
        <v>315000</v>
      </c>
      <c r="I31" s="456"/>
      <c r="J31" s="455">
        <v>350000</v>
      </c>
      <c r="K31" s="452"/>
      <c r="L31" s="452">
        <v>56000</v>
      </c>
      <c r="M31" s="452"/>
      <c r="N31" s="456">
        <v>84000</v>
      </c>
      <c r="O31" s="452"/>
      <c r="P31" s="452">
        <v>13000</v>
      </c>
      <c r="Q31" s="452"/>
      <c r="R31" s="456">
        <v>81000</v>
      </c>
      <c r="S31" s="457"/>
      <c r="T31" s="457"/>
      <c r="U31" s="454"/>
      <c r="V31" s="457"/>
      <c r="W31" s="453"/>
      <c r="X31" s="425"/>
    </row>
    <row r="32" spans="1:24" s="426" customFormat="1" x14ac:dyDescent="0.3">
      <c r="A32" s="443"/>
      <c r="B32" s="444" t="s">
        <v>135</v>
      </c>
      <c r="C32" s="451"/>
      <c r="D32" s="458">
        <f>D34*D38</f>
        <v>369373.64559199999</v>
      </c>
      <c r="E32" s="451"/>
      <c r="F32" s="452">
        <f>F31*F38</f>
        <v>57868.799999999996</v>
      </c>
      <c r="G32" s="452"/>
      <c r="H32" s="456">
        <f>H31*H38</f>
        <v>145829.37599999999</v>
      </c>
      <c r="I32" s="456"/>
      <c r="J32" s="455">
        <f>J31*J38</f>
        <v>162031.80000000002</v>
      </c>
      <c r="K32" s="452"/>
      <c r="L32" s="452">
        <f>L31*L38</f>
        <v>56000</v>
      </c>
      <c r="M32" s="452"/>
      <c r="N32" s="456">
        <f>N31*N38</f>
        <v>84000</v>
      </c>
      <c r="O32" s="452"/>
      <c r="P32" s="452">
        <f>P31*P38</f>
        <v>13000</v>
      </c>
      <c r="Q32" s="452"/>
      <c r="R32" s="456">
        <f>R31*R38</f>
        <v>81000</v>
      </c>
      <c r="S32" s="452"/>
      <c r="T32" s="452"/>
      <c r="U32" s="451"/>
      <c r="V32" s="452"/>
      <c r="W32" s="453"/>
      <c r="X32" s="425"/>
    </row>
    <row r="33" spans="1:24" s="426" customFormat="1" x14ac:dyDescent="0.3">
      <c r="A33" s="443"/>
      <c r="B33" s="449" t="s">
        <v>137</v>
      </c>
      <c r="C33" s="451"/>
      <c r="D33" s="459">
        <f>D34*D37</f>
        <v>363922.0255776</v>
      </c>
      <c r="E33" s="454"/>
      <c r="F33" s="457">
        <f>F37*F31</f>
        <v>57014.700000000004</v>
      </c>
      <c r="G33" s="457"/>
      <c r="H33" s="460">
        <f>H31*H37</f>
        <v>143677.04399999999</v>
      </c>
      <c r="I33" s="460"/>
      <c r="J33" s="461">
        <f>J37*J31</f>
        <v>159640.32000000001</v>
      </c>
      <c r="K33" s="457"/>
      <c r="L33" s="457">
        <f>L31*L37</f>
        <v>56000</v>
      </c>
      <c r="M33" s="457"/>
      <c r="N33" s="460">
        <f>N31*N37</f>
        <v>84000</v>
      </c>
      <c r="O33" s="457"/>
      <c r="P33" s="457">
        <f>P31*P37</f>
        <v>13000</v>
      </c>
      <c r="Q33" s="457"/>
      <c r="R33" s="460">
        <f>R31*R37</f>
        <v>81000</v>
      </c>
      <c r="S33" s="452"/>
      <c r="T33" s="452"/>
      <c r="U33" s="451"/>
      <c r="V33" s="452"/>
      <c r="W33" s="453"/>
      <c r="X33" s="425"/>
    </row>
    <row r="34" spans="1:24" s="426" customFormat="1" x14ac:dyDescent="0.3">
      <c r="A34" s="447"/>
      <c r="B34" s="444" t="s">
        <v>298</v>
      </c>
      <c r="C34" s="454"/>
      <c r="D34" s="452">
        <v>797872</v>
      </c>
      <c r="E34" s="451"/>
      <c r="F34" s="452">
        <v>125000</v>
      </c>
      <c r="G34" s="452"/>
      <c r="H34" s="452">
        <v>211409</v>
      </c>
      <c r="I34" s="452"/>
      <c r="J34" s="452">
        <v>186170</v>
      </c>
      <c r="K34" s="452"/>
      <c r="L34" s="452">
        <v>56000</v>
      </c>
      <c r="M34" s="452"/>
      <c r="N34" s="452">
        <v>56376</v>
      </c>
      <c r="O34" s="452"/>
      <c r="P34" s="452">
        <v>13000</v>
      </c>
      <c r="Q34" s="452"/>
      <c r="R34" s="452">
        <v>54363</v>
      </c>
      <c r="S34" s="457"/>
      <c r="T34" s="457"/>
      <c r="U34" s="454"/>
      <c r="V34" s="452">
        <f>SUM(C34:R34)</f>
        <v>1500190</v>
      </c>
      <c r="W34" s="453"/>
      <c r="X34" s="425"/>
    </row>
    <row r="35" spans="1:24" s="426" customFormat="1" x14ac:dyDescent="0.3">
      <c r="A35" s="447"/>
      <c r="B35" s="444" t="s">
        <v>299</v>
      </c>
      <c r="C35" s="454"/>
      <c r="D35" s="452">
        <f>D34*D38</f>
        <v>369373.64559199999</v>
      </c>
      <c r="E35" s="451"/>
      <c r="F35" s="452">
        <f>F34*F38</f>
        <v>57868.799999999996</v>
      </c>
      <c r="G35" s="452"/>
      <c r="H35" s="452">
        <f>H34*H38</f>
        <v>97871.8811136</v>
      </c>
      <c r="I35" s="452"/>
      <c r="J35" s="452">
        <f>J34*J38</f>
        <v>86187.029160000006</v>
      </c>
      <c r="K35" s="452"/>
      <c r="L35" s="452">
        <f>L34*L38</f>
        <v>56000</v>
      </c>
      <c r="M35" s="452"/>
      <c r="N35" s="452">
        <f>N34*N38</f>
        <v>56376</v>
      </c>
      <c r="O35" s="452"/>
      <c r="P35" s="452">
        <f>P34*P38</f>
        <v>13000</v>
      </c>
      <c r="Q35" s="452"/>
      <c r="R35" s="452">
        <f>R34*R38</f>
        <v>54363</v>
      </c>
      <c r="S35" s="452"/>
      <c r="T35" s="452"/>
      <c r="U35" s="451"/>
      <c r="V35" s="452">
        <f>SUM(C35:R35)+1</f>
        <v>791041.35586560005</v>
      </c>
      <c r="W35" s="453"/>
      <c r="X35" s="425"/>
    </row>
    <row r="36" spans="1:24" s="426" customFormat="1" x14ac:dyDescent="0.3">
      <c r="A36" s="447"/>
      <c r="B36" s="449" t="s">
        <v>304</v>
      </c>
      <c r="C36" s="454"/>
      <c r="D36" s="457">
        <f>D34*D37</f>
        <v>363922.0255776</v>
      </c>
      <c r="E36" s="454"/>
      <c r="F36" s="457">
        <f>F34*F37</f>
        <v>57014.700000000004</v>
      </c>
      <c r="G36" s="457"/>
      <c r="H36" s="457">
        <f>H34*H37</f>
        <v>96427.365698399997</v>
      </c>
      <c r="I36" s="457"/>
      <c r="J36" s="457">
        <f>J34*J37</f>
        <v>84914.966784000004</v>
      </c>
      <c r="K36" s="457"/>
      <c r="L36" s="457">
        <v>56000</v>
      </c>
      <c r="M36" s="457"/>
      <c r="N36" s="457">
        <v>56376</v>
      </c>
      <c r="O36" s="457"/>
      <c r="P36" s="457">
        <v>13000</v>
      </c>
      <c r="Q36" s="457"/>
      <c r="R36" s="457">
        <v>54363</v>
      </c>
      <c r="S36" s="462"/>
      <c r="T36" s="462"/>
      <c r="U36" s="451"/>
      <c r="V36" s="457">
        <f>SUM(C36:R36)+1</f>
        <v>782019.05806000007</v>
      </c>
      <c r="W36" s="453"/>
      <c r="X36" s="425"/>
    </row>
    <row r="37" spans="1:24" s="473" customFormat="1" x14ac:dyDescent="0.3">
      <c r="A37" s="463"/>
      <c r="B37" s="464" t="s">
        <v>133</v>
      </c>
      <c r="C37" s="465"/>
      <c r="D37" s="466">
        <v>0.45611580000000002</v>
      </c>
      <c r="E37" s="467"/>
      <c r="F37" s="466">
        <v>0.45611760000000001</v>
      </c>
      <c r="G37" s="468"/>
      <c r="H37" s="466">
        <v>0.45611760000000001</v>
      </c>
      <c r="I37" s="468"/>
      <c r="J37" s="466">
        <v>0.4561152</v>
      </c>
      <c r="K37" s="468"/>
      <c r="L37" s="466">
        <v>1</v>
      </c>
      <c r="M37" s="468"/>
      <c r="N37" s="466">
        <v>1</v>
      </c>
      <c r="O37" s="468"/>
      <c r="P37" s="466">
        <v>1</v>
      </c>
      <c r="Q37" s="468"/>
      <c r="R37" s="466">
        <v>1</v>
      </c>
      <c r="S37" s="469"/>
      <c r="T37" s="469"/>
      <c r="U37" s="470"/>
      <c r="V37" s="470"/>
      <c r="W37" s="471"/>
      <c r="X37" s="472"/>
    </row>
    <row r="38" spans="1:24" s="473" customFormat="1" x14ac:dyDescent="0.3">
      <c r="A38" s="463"/>
      <c r="B38" s="465" t="s">
        <v>134</v>
      </c>
      <c r="C38" s="465"/>
      <c r="D38" s="474">
        <v>0.46294849999999999</v>
      </c>
      <c r="E38" s="475"/>
      <c r="F38" s="474">
        <v>0.46295039999999998</v>
      </c>
      <c r="G38" s="476"/>
      <c r="H38" s="474">
        <v>0.46295039999999998</v>
      </c>
      <c r="I38" s="476"/>
      <c r="J38" s="474">
        <v>0.46294800000000003</v>
      </c>
      <c r="K38" s="476"/>
      <c r="L38" s="474">
        <v>1</v>
      </c>
      <c r="M38" s="476"/>
      <c r="N38" s="474">
        <v>1</v>
      </c>
      <c r="O38" s="476"/>
      <c r="P38" s="474">
        <v>1</v>
      </c>
      <c r="Q38" s="476"/>
      <c r="R38" s="474">
        <v>1</v>
      </c>
      <c r="S38" s="477"/>
      <c r="T38" s="478"/>
      <c r="U38" s="470"/>
      <c r="V38" s="477"/>
      <c r="W38" s="471"/>
      <c r="X38" s="472"/>
    </row>
    <row r="39" spans="1:24" s="426" customFormat="1" x14ac:dyDescent="0.3">
      <c r="A39" s="443"/>
      <c r="B39" s="444" t="s">
        <v>11</v>
      </c>
      <c r="C39" s="444"/>
      <c r="D39" s="450" t="s">
        <v>226</v>
      </c>
      <c r="E39" s="444"/>
      <c r="F39" s="450" t="s">
        <v>226</v>
      </c>
      <c r="G39" s="450"/>
      <c r="H39" s="450" t="s">
        <v>226</v>
      </c>
      <c r="I39" s="450"/>
      <c r="J39" s="450" t="s">
        <v>256</v>
      </c>
      <c r="K39" s="450"/>
      <c r="L39" s="450" t="s">
        <v>254</v>
      </c>
      <c r="M39" s="450"/>
      <c r="N39" s="450" t="s">
        <v>257</v>
      </c>
      <c r="O39" s="450"/>
      <c r="P39" s="450" t="s">
        <v>258</v>
      </c>
      <c r="Q39" s="450"/>
      <c r="R39" s="450" t="s">
        <v>259</v>
      </c>
      <c r="S39" s="479"/>
      <c r="T39" s="480"/>
      <c r="U39" s="444"/>
      <c r="V39" s="444"/>
      <c r="W39" s="446"/>
      <c r="X39" s="425"/>
    </row>
    <row r="40" spans="1:24" s="426" customFormat="1" x14ac:dyDescent="0.3">
      <c r="A40" s="443"/>
      <c r="B40" s="444" t="s">
        <v>12</v>
      </c>
      <c r="C40" s="444"/>
      <c r="D40" s="480">
        <v>6.1875000000000003E-3</v>
      </c>
      <c r="E40" s="444"/>
      <c r="F40" s="480">
        <v>6.1875000000000003E-3</v>
      </c>
      <c r="G40" s="479"/>
      <c r="H40" s="480">
        <v>0</v>
      </c>
      <c r="I40" s="480"/>
      <c r="J40" s="480">
        <v>1.5391699999999999E-2</v>
      </c>
      <c r="K40" s="479"/>
      <c r="L40" s="480">
        <v>7.7875000000000002E-3</v>
      </c>
      <c r="M40" s="479"/>
      <c r="N40" s="480">
        <v>5.1000000000000004E-4</v>
      </c>
      <c r="O40" s="479"/>
      <c r="P40" s="480">
        <v>1.1787499999999999E-2</v>
      </c>
      <c r="Q40" s="479"/>
      <c r="R40" s="480">
        <v>4.5100000000000001E-3</v>
      </c>
      <c r="S40" s="479"/>
      <c r="T40" s="480"/>
      <c r="U40" s="444"/>
      <c r="V40" s="450"/>
      <c r="W40" s="446"/>
      <c r="X40" s="425"/>
    </row>
    <row r="41" spans="1:24" s="426" customFormat="1" x14ac:dyDescent="0.3">
      <c r="A41" s="443"/>
      <c r="B41" s="444" t="s">
        <v>13</v>
      </c>
      <c r="C41" s="444"/>
      <c r="D41" s="480">
        <v>5.3468999999999999E-3</v>
      </c>
      <c r="E41" s="444"/>
      <c r="F41" s="480">
        <v>5.3468999999999999E-3</v>
      </c>
      <c r="G41" s="479"/>
      <c r="H41" s="480">
        <v>0</v>
      </c>
      <c r="I41" s="480"/>
      <c r="J41" s="480">
        <v>1.48361E-2</v>
      </c>
      <c r="K41" s="479"/>
      <c r="L41" s="480">
        <v>6.9468999999999998E-3</v>
      </c>
      <c r="M41" s="479"/>
      <c r="N41" s="480">
        <v>4.8999999999999998E-4</v>
      </c>
      <c r="O41" s="479"/>
      <c r="P41" s="480">
        <v>1.0946900000000001E-2</v>
      </c>
      <c r="Q41" s="479"/>
      <c r="R41" s="480">
        <v>4.4900000000000001E-3</v>
      </c>
      <c r="S41" s="479"/>
      <c r="T41" s="480"/>
      <c r="U41" s="444"/>
      <c r="V41" s="479" t="s">
        <v>196</v>
      </c>
      <c r="W41" s="446"/>
      <c r="X41" s="425"/>
    </row>
    <row r="42" spans="1:24" s="426" customFormat="1" x14ac:dyDescent="0.3">
      <c r="A42" s="443"/>
      <c r="B42" s="444" t="s">
        <v>300</v>
      </c>
      <c r="C42" s="444"/>
      <c r="D42" s="450" t="s">
        <v>226</v>
      </c>
      <c r="E42" s="444"/>
      <c r="F42" s="450" t="s">
        <v>226</v>
      </c>
      <c r="G42" s="450"/>
      <c r="H42" s="450" t="s">
        <v>227</v>
      </c>
      <c r="I42" s="450"/>
      <c r="J42" s="450" t="s">
        <v>237</v>
      </c>
      <c r="K42" s="450"/>
      <c r="L42" s="450" t="s">
        <v>254</v>
      </c>
      <c r="M42" s="450"/>
      <c r="N42" s="450" t="s">
        <v>260</v>
      </c>
      <c r="O42" s="450"/>
      <c r="P42" s="450" t="s">
        <v>258</v>
      </c>
      <c r="Q42" s="450"/>
      <c r="R42" s="450" t="s">
        <v>261</v>
      </c>
      <c r="S42" s="479"/>
      <c r="T42" s="480"/>
      <c r="U42" s="444"/>
      <c r="V42" s="444"/>
      <c r="W42" s="446"/>
      <c r="X42" s="425"/>
    </row>
    <row r="43" spans="1:24" s="426" customFormat="1" x14ac:dyDescent="0.3">
      <c r="A43" s="443"/>
      <c r="B43" s="444" t="s">
        <v>301</v>
      </c>
      <c r="C43" s="481"/>
      <c r="D43" s="480">
        <f>+D40</f>
        <v>6.1875000000000003E-3</v>
      </c>
      <c r="E43" s="480"/>
      <c r="F43" s="480">
        <f>+F40</f>
        <v>6.1875000000000003E-3</v>
      </c>
      <c r="G43" s="480"/>
      <c r="H43" s="480">
        <v>6.4314999999999997E-3</v>
      </c>
      <c r="I43" s="480"/>
      <c r="J43" s="480">
        <v>6.2674999999999996E-3</v>
      </c>
      <c r="K43" s="480"/>
      <c r="L43" s="480">
        <f>+L40</f>
        <v>7.7875000000000002E-3</v>
      </c>
      <c r="M43" s="480"/>
      <c r="N43" s="480">
        <v>7.9675000000000006E-3</v>
      </c>
      <c r="O43" s="480"/>
      <c r="P43" s="480">
        <f>+P40</f>
        <v>1.1787499999999999E-2</v>
      </c>
      <c r="Q43" s="479"/>
      <c r="R43" s="480">
        <v>1.21875E-2</v>
      </c>
      <c r="S43" s="450"/>
      <c r="T43" s="450"/>
      <c r="U43" s="444"/>
      <c r="V43" s="479">
        <f>SUMPRODUCT(D43:R43,D35:R35)/V35</f>
        <v>6.9708936737054835E-3</v>
      </c>
      <c r="W43" s="446"/>
      <c r="X43" s="425"/>
    </row>
    <row r="44" spans="1:24" s="426" customFormat="1" x14ac:dyDescent="0.3">
      <c r="A44" s="443"/>
      <c r="B44" s="444" t="s">
        <v>302</v>
      </c>
      <c r="C44" s="481"/>
      <c r="D44" s="480">
        <f>+D41</f>
        <v>5.3468999999999999E-3</v>
      </c>
      <c r="E44" s="480"/>
      <c r="F44" s="480">
        <f>+F41</f>
        <v>5.3468999999999999E-3</v>
      </c>
      <c r="G44" s="480"/>
      <c r="H44" s="480">
        <v>5.5909000000000002E-3</v>
      </c>
      <c r="I44" s="480"/>
      <c r="J44" s="480">
        <v>5.4269000000000001E-3</v>
      </c>
      <c r="K44" s="480"/>
      <c r="L44" s="480">
        <f>+L41</f>
        <v>6.9468999999999998E-3</v>
      </c>
      <c r="M44" s="480"/>
      <c r="N44" s="480">
        <v>7.1269000000000002E-3</v>
      </c>
      <c r="O44" s="480"/>
      <c r="P44" s="480">
        <f>+P41</f>
        <v>1.0946900000000001E-2</v>
      </c>
      <c r="Q44" s="479"/>
      <c r="R44" s="480">
        <v>1.13469E-2</v>
      </c>
      <c r="S44" s="450"/>
      <c r="T44" s="450"/>
      <c r="U44" s="444"/>
      <c r="V44" s="444"/>
      <c r="W44" s="446"/>
      <c r="X44" s="425"/>
    </row>
    <row r="45" spans="1:24" s="426" customFormat="1" x14ac:dyDescent="0.3">
      <c r="A45" s="443"/>
      <c r="B45" s="444" t="s">
        <v>14</v>
      </c>
      <c r="C45" s="444"/>
      <c r="D45" s="481">
        <v>40466</v>
      </c>
      <c r="E45" s="481"/>
      <c r="F45" s="481">
        <v>40466</v>
      </c>
      <c r="G45" s="481"/>
      <c r="H45" s="481">
        <v>40466</v>
      </c>
      <c r="I45" s="481"/>
      <c r="J45" s="481">
        <v>40466</v>
      </c>
      <c r="K45" s="481"/>
      <c r="L45" s="481">
        <v>40466</v>
      </c>
      <c r="M45" s="481"/>
      <c r="N45" s="481">
        <v>40466</v>
      </c>
      <c r="O45" s="481"/>
      <c r="P45" s="481">
        <v>40466</v>
      </c>
      <c r="Q45" s="481"/>
      <c r="R45" s="481">
        <v>40466</v>
      </c>
      <c r="S45" s="450"/>
      <c r="T45" s="450"/>
      <c r="U45" s="444"/>
      <c r="V45" s="444"/>
      <c r="W45" s="446"/>
      <c r="X45" s="425"/>
    </row>
    <row r="46" spans="1:24" s="426" customFormat="1" x14ac:dyDescent="0.3">
      <c r="A46" s="443"/>
      <c r="B46" s="444" t="s">
        <v>15</v>
      </c>
      <c r="C46" s="444"/>
      <c r="D46" s="481">
        <v>41105</v>
      </c>
      <c r="E46" s="481"/>
      <c r="F46" s="481">
        <v>40831</v>
      </c>
      <c r="G46" s="481"/>
      <c r="H46" s="481">
        <v>40831</v>
      </c>
      <c r="I46" s="481"/>
      <c r="J46" s="481">
        <v>40831</v>
      </c>
      <c r="K46" s="450"/>
      <c r="L46" s="481">
        <v>40831</v>
      </c>
      <c r="M46" s="450"/>
      <c r="N46" s="481">
        <v>40831</v>
      </c>
      <c r="O46" s="450"/>
      <c r="P46" s="481">
        <v>40831</v>
      </c>
      <c r="Q46" s="450"/>
      <c r="R46" s="481">
        <v>40831</v>
      </c>
      <c r="S46" s="450"/>
      <c r="T46" s="450"/>
      <c r="U46" s="444"/>
      <c r="V46" s="444"/>
      <c r="W46" s="446"/>
      <c r="X46" s="425"/>
    </row>
    <row r="47" spans="1:24" s="426" customFormat="1" x14ac:dyDescent="0.3">
      <c r="A47" s="443"/>
      <c r="B47" s="444" t="s">
        <v>122</v>
      </c>
      <c r="C47" s="444"/>
      <c r="D47" s="450" t="s">
        <v>226</v>
      </c>
      <c r="E47" s="444"/>
      <c r="F47" s="450" t="s">
        <v>226</v>
      </c>
      <c r="G47" s="450"/>
      <c r="H47" s="450" t="s">
        <v>226</v>
      </c>
      <c r="I47" s="450"/>
      <c r="J47" s="450" t="s">
        <v>256</v>
      </c>
      <c r="K47" s="450"/>
      <c r="L47" s="450" t="s">
        <v>254</v>
      </c>
      <c r="M47" s="450"/>
      <c r="N47" s="450" t="s">
        <v>257</v>
      </c>
      <c r="O47" s="450"/>
      <c r="P47" s="450" t="s">
        <v>258</v>
      </c>
      <c r="Q47" s="450"/>
      <c r="R47" s="450" t="s">
        <v>259</v>
      </c>
      <c r="S47" s="482"/>
      <c r="T47" s="482"/>
      <c r="U47" s="482"/>
      <c r="V47" s="482"/>
      <c r="W47" s="446"/>
      <c r="X47" s="425"/>
    </row>
    <row r="48" spans="1:24" s="426" customFormat="1" x14ac:dyDescent="0.3">
      <c r="A48" s="443"/>
      <c r="B48" s="444" t="s">
        <v>303</v>
      </c>
      <c r="C48" s="444"/>
      <c r="D48" s="450" t="s">
        <v>226</v>
      </c>
      <c r="E48" s="444"/>
      <c r="F48" s="450" t="s">
        <v>226</v>
      </c>
      <c r="G48" s="450"/>
      <c r="H48" s="450" t="s">
        <v>227</v>
      </c>
      <c r="I48" s="450"/>
      <c r="J48" s="450" t="s">
        <v>237</v>
      </c>
      <c r="K48" s="450"/>
      <c r="L48" s="450" t="s">
        <v>254</v>
      </c>
      <c r="M48" s="450"/>
      <c r="N48" s="450" t="s">
        <v>260</v>
      </c>
      <c r="O48" s="450"/>
      <c r="P48" s="450" t="s">
        <v>258</v>
      </c>
      <c r="Q48" s="450"/>
      <c r="R48" s="450" t="s">
        <v>261</v>
      </c>
      <c r="S48" s="444"/>
      <c r="T48" s="444"/>
      <c r="U48" s="444"/>
      <c r="V48" s="479"/>
      <c r="W48" s="446"/>
      <c r="X48" s="425"/>
    </row>
    <row r="49" spans="1:25" s="426" customFormat="1" x14ac:dyDescent="0.3">
      <c r="A49" s="443"/>
      <c r="B49" s="444"/>
      <c r="C49" s="444"/>
      <c r="D49" s="450"/>
      <c r="E49" s="444"/>
      <c r="F49" s="450"/>
      <c r="G49" s="450"/>
      <c r="H49" s="450"/>
      <c r="I49" s="450"/>
      <c r="J49" s="450"/>
      <c r="K49" s="450"/>
      <c r="L49" s="450"/>
      <c r="M49" s="450"/>
      <c r="N49" s="450"/>
      <c r="O49" s="450"/>
      <c r="P49" s="450"/>
      <c r="Q49" s="450"/>
      <c r="R49" s="450"/>
      <c r="S49" s="444"/>
      <c r="T49" s="444"/>
      <c r="U49" s="444"/>
      <c r="V49" s="479" t="s">
        <v>196</v>
      </c>
      <c r="W49" s="446"/>
      <c r="X49" s="425"/>
    </row>
    <row r="50" spans="1:25" s="426" customFormat="1" x14ac:dyDescent="0.3">
      <c r="A50" s="443"/>
      <c r="B50" s="444" t="s">
        <v>172</v>
      </c>
      <c r="C50" s="444"/>
      <c r="D50" s="450"/>
      <c r="E50" s="444"/>
      <c r="F50" s="450"/>
      <c r="G50" s="450"/>
      <c r="H50" s="450"/>
      <c r="I50" s="450"/>
      <c r="J50" s="450"/>
      <c r="K50" s="450"/>
      <c r="L50" s="450"/>
      <c r="M50" s="450"/>
      <c r="N50" s="450"/>
      <c r="O50" s="450"/>
      <c r="P50" s="450"/>
      <c r="Q50" s="450"/>
      <c r="R50" s="450"/>
      <c r="S50" s="444"/>
      <c r="T50" s="444"/>
      <c r="U50" s="444"/>
      <c r="V50" s="479">
        <f>SUM(L34:R34)/SUM(D34:J34)</f>
        <v>0.13611940162868597</v>
      </c>
      <c r="W50" s="446"/>
      <c r="X50" s="425"/>
    </row>
    <row r="51" spans="1:25" s="426" customFormat="1" x14ac:dyDescent="0.3">
      <c r="A51" s="443"/>
      <c r="B51" s="444" t="s">
        <v>173</v>
      </c>
      <c r="C51" s="444"/>
      <c r="D51" s="444"/>
      <c r="E51" s="444"/>
      <c r="F51" s="483"/>
      <c r="G51" s="444"/>
      <c r="H51" s="444"/>
      <c r="I51" s="444"/>
      <c r="J51" s="444"/>
      <c r="K51" s="444"/>
      <c r="L51" s="444"/>
      <c r="M51" s="444"/>
      <c r="N51" s="444"/>
      <c r="O51" s="444"/>
      <c r="P51" s="444"/>
      <c r="Q51" s="444"/>
      <c r="R51" s="444"/>
      <c r="S51" s="444"/>
      <c r="T51" s="444"/>
      <c r="U51" s="444"/>
      <c r="V51" s="479">
        <f>SUM(L36:R36)/SUM(D36:J36)</f>
        <v>0.29843142907700787</v>
      </c>
      <c r="W51" s="446"/>
      <c r="X51" s="425"/>
    </row>
    <row r="52" spans="1:25" s="426" customFormat="1" x14ac:dyDescent="0.3">
      <c r="A52" s="443"/>
      <c r="B52" s="444" t="s">
        <v>174</v>
      </c>
      <c r="C52" s="444"/>
      <c r="D52" s="444"/>
      <c r="E52" s="444"/>
      <c r="F52" s="444"/>
      <c r="G52" s="444"/>
      <c r="H52" s="444"/>
      <c r="I52" s="444"/>
      <c r="J52" s="444"/>
      <c r="K52" s="444"/>
      <c r="L52" s="444"/>
      <c r="M52" s="444"/>
      <c r="N52" s="444"/>
      <c r="O52" s="444"/>
      <c r="P52" s="444"/>
      <c r="Q52" s="444"/>
      <c r="R52" s="444"/>
      <c r="S52" s="444"/>
      <c r="T52" s="450" t="s">
        <v>107</v>
      </c>
      <c r="U52" s="450" t="s">
        <v>112</v>
      </c>
      <c r="V52" s="452">
        <f>+V34/2-SUM(L34:R34)</f>
        <v>570356</v>
      </c>
      <c r="W52" s="446"/>
      <c r="X52" s="425"/>
    </row>
    <row r="53" spans="1:25" s="426" customFormat="1" x14ac:dyDescent="0.3">
      <c r="A53" s="443"/>
      <c r="B53" s="444"/>
      <c r="C53" s="444"/>
      <c r="D53" s="444"/>
      <c r="E53" s="444"/>
      <c r="F53" s="444"/>
      <c r="G53" s="444"/>
      <c r="H53" s="444"/>
      <c r="I53" s="444"/>
      <c r="J53" s="444"/>
      <c r="K53" s="444"/>
      <c r="L53" s="444"/>
      <c r="M53" s="444"/>
      <c r="N53" s="444"/>
      <c r="O53" s="444"/>
      <c r="P53" s="444"/>
      <c r="Q53" s="444"/>
      <c r="R53" s="444"/>
      <c r="S53" s="444"/>
      <c r="T53" s="444"/>
      <c r="U53" s="444"/>
      <c r="V53" s="484"/>
      <c r="W53" s="446"/>
      <c r="X53" s="425"/>
    </row>
    <row r="54" spans="1:25" s="426" customFormat="1" x14ac:dyDescent="0.3">
      <c r="A54" s="443"/>
      <c r="B54" s="444" t="s">
        <v>358</v>
      </c>
      <c r="C54" s="444"/>
      <c r="D54" s="444"/>
      <c r="E54" s="444"/>
      <c r="F54" s="444"/>
      <c r="G54" s="444"/>
      <c r="H54" s="444"/>
      <c r="I54" s="444"/>
      <c r="J54" s="444"/>
      <c r="K54" s="444"/>
      <c r="L54" s="444"/>
      <c r="M54" s="444"/>
      <c r="N54" s="444"/>
      <c r="O54" s="444"/>
      <c r="P54" s="444"/>
      <c r="Q54" s="444"/>
      <c r="R54" s="444"/>
      <c r="S54" s="444"/>
      <c r="T54" s="450"/>
      <c r="U54" s="450"/>
      <c r="V54" s="485" t="s">
        <v>114</v>
      </c>
      <c r="W54" s="486"/>
      <c r="X54" s="487"/>
    </row>
    <row r="55" spans="1:25" s="426" customFormat="1" x14ac:dyDescent="0.3">
      <c r="A55" s="443"/>
      <c r="B55" s="449" t="s">
        <v>204</v>
      </c>
      <c r="C55" s="449"/>
      <c r="D55" s="449"/>
      <c r="E55" s="449"/>
      <c r="F55" s="449"/>
      <c r="G55" s="449"/>
      <c r="H55" s="449"/>
      <c r="I55" s="449"/>
      <c r="J55" s="449"/>
      <c r="K55" s="449"/>
      <c r="L55" s="449"/>
      <c r="M55" s="449"/>
      <c r="N55" s="449"/>
      <c r="O55" s="449"/>
      <c r="P55" s="449"/>
      <c r="Q55" s="449"/>
      <c r="R55" s="449"/>
      <c r="S55" s="449"/>
      <c r="T55" s="488"/>
      <c r="U55" s="488"/>
      <c r="V55" s="489">
        <v>43116</v>
      </c>
      <c r="W55" s="486"/>
      <c r="X55" s="487"/>
    </row>
    <row r="56" spans="1:25" s="426" customFormat="1" x14ac:dyDescent="0.3">
      <c r="A56" s="443"/>
      <c r="B56" s="444" t="s">
        <v>124</v>
      </c>
      <c r="C56" s="444"/>
      <c r="D56" s="444"/>
      <c r="E56" s="444"/>
      <c r="F56" s="444"/>
      <c r="G56" s="444"/>
      <c r="H56" s="490"/>
      <c r="I56" s="490"/>
      <c r="J56" s="490"/>
      <c r="K56" s="490"/>
      <c r="L56" s="490"/>
      <c r="M56" s="490"/>
      <c r="N56" s="490"/>
      <c r="O56" s="490"/>
      <c r="P56" s="490"/>
      <c r="Q56" s="490"/>
      <c r="R56" s="444">
        <f>+V56-T56+1</f>
        <v>91</v>
      </c>
      <c r="S56" s="490"/>
      <c r="T56" s="491">
        <v>42933</v>
      </c>
      <c r="U56" s="492"/>
      <c r="V56" s="491">
        <v>43023</v>
      </c>
      <c r="W56" s="486"/>
      <c r="X56" s="487"/>
    </row>
    <row r="57" spans="1:25" s="426" customFormat="1" x14ac:dyDescent="0.3">
      <c r="A57" s="443"/>
      <c r="B57" s="444" t="s">
        <v>125</v>
      </c>
      <c r="C57" s="444"/>
      <c r="D57" s="444"/>
      <c r="E57" s="444"/>
      <c r="F57" s="444"/>
      <c r="G57" s="444"/>
      <c r="H57" s="444"/>
      <c r="I57" s="444"/>
      <c r="J57" s="444"/>
      <c r="K57" s="444"/>
      <c r="L57" s="444"/>
      <c r="M57" s="444"/>
      <c r="N57" s="444"/>
      <c r="O57" s="444"/>
      <c r="P57" s="444"/>
      <c r="Q57" s="444"/>
      <c r="R57" s="444">
        <f>+V57-T57+1</f>
        <v>92</v>
      </c>
      <c r="S57" s="444"/>
      <c r="T57" s="491">
        <v>43024</v>
      </c>
      <c r="U57" s="492"/>
      <c r="V57" s="491">
        <v>43115</v>
      </c>
      <c r="W57" s="486"/>
      <c r="X57" s="487"/>
    </row>
    <row r="58" spans="1:25" s="426" customFormat="1" x14ac:dyDescent="0.3">
      <c r="A58" s="443"/>
      <c r="B58" s="444" t="s">
        <v>357</v>
      </c>
      <c r="C58" s="444"/>
      <c r="D58" s="444"/>
      <c r="E58" s="444"/>
      <c r="F58" s="444"/>
      <c r="G58" s="444"/>
      <c r="H58" s="444"/>
      <c r="I58" s="444"/>
      <c r="J58" s="444"/>
      <c r="K58" s="444"/>
      <c r="L58" s="444"/>
      <c r="M58" s="444"/>
      <c r="N58" s="444"/>
      <c r="O58" s="444"/>
      <c r="P58" s="444"/>
      <c r="Q58" s="444"/>
      <c r="R58" s="444"/>
      <c r="S58" s="444"/>
      <c r="T58" s="491"/>
      <c r="U58" s="492"/>
      <c r="V58" s="491" t="s">
        <v>123</v>
      </c>
      <c r="W58" s="486"/>
      <c r="X58" s="487"/>
    </row>
    <row r="59" spans="1:25" s="426" customFormat="1" x14ac:dyDescent="0.3">
      <c r="A59" s="443"/>
      <c r="B59" s="444" t="s">
        <v>356</v>
      </c>
      <c r="C59" s="444"/>
      <c r="D59" s="444"/>
      <c r="E59" s="444"/>
      <c r="F59" s="444"/>
      <c r="G59" s="444"/>
      <c r="H59" s="444"/>
      <c r="I59" s="444"/>
      <c r="J59" s="444"/>
      <c r="K59" s="444"/>
      <c r="L59" s="444"/>
      <c r="M59" s="444"/>
      <c r="N59" s="444"/>
      <c r="O59" s="444"/>
      <c r="P59" s="444"/>
      <c r="Q59" s="444"/>
      <c r="R59" s="444"/>
      <c r="S59" s="444"/>
      <c r="T59" s="491"/>
      <c r="U59" s="492"/>
      <c r="V59" s="491" t="s">
        <v>157</v>
      </c>
      <c r="W59" s="486"/>
      <c r="X59" s="487"/>
      <c r="Y59" s="493"/>
    </row>
    <row r="60" spans="1:25" s="426" customFormat="1" x14ac:dyDescent="0.3">
      <c r="A60" s="443"/>
      <c r="B60" s="444" t="s">
        <v>16</v>
      </c>
      <c r="C60" s="444"/>
      <c r="D60" s="444"/>
      <c r="E60" s="444"/>
      <c r="F60" s="444"/>
      <c r="G60" s="444"/>
      <c r="H60" s="444"/>
      <c r="I60" s="444"/>
      <c r="J60" s="444"/>
      <c r="K60" s="444"/>
      <c r="L60" s="444"/>
      <c r="M60" s="444"/>
      <c r="N60" s="444"/>
      <c r="O60" s="444"/>
      <c r="P60" s="444"/>
      <c r="Q60" s="444"/>
      <c r="R60" s="444"/>
      <c r="S60" s="444"/>
      <c r="T60" s="491"/>
      <c r="U60" s="492"/>
      <c r="V60" s="491">
        <v>43102</v>
      </c>
      <c r="W60" s="486"/>
      <c r="X60" s="487"/>
    </row>
    <row r="61" spans="1:25" s="426" customFormat="1" x14ac:dyDescent="0.3">
      <c r="A61" s="421"/>
      <c r="B61" s="494"/>
      <c r="C61" s="494"/>
      <c r="D61" s="494"/>
      <c r="E61" s="494"/>
      <c r="F61" s="494"/>
      <c r="G61" s="494"/>
      <c r="H61" s="494"/>
      <c r="I61" s="494"/>
      <c r="J61" s="494"/>
      <c r="K61" s="494"/>
      <c r="L61" s="494"/>
      <c r="M61" s="494"/>
      <c r="N61" s="494"/>
      <c r="O61" s="494"/>
      <c r="P61" s="494"/>
      <c r="Q61" s="494"/>
      <c r="R61" s="494"/>
      <c r="S61" s="494"/>
      <c r="T61" s="495"/>
      <c r="U61" s="496"/>
      <c r="V61" s="495"/>
      <c r="W61" s="497"/>
      <c r="X61" s="487"/>
    </row>
    <row r="62" spans="1:25" s="426" customFormat="1" x14ac:dyDescent="0.3">
      <c r="A62" s="421"/>
      <c r="B62" s="422"/>
      <c r="C62" s="422"/>
      <c r="D62" s="422"/>
      <c r="E62" s="422"/>
      <c r="F62" s="422"/>
      <c r="G62" s="422"/>
      <c r="H62" s="422"/>
      <c r="I62" s="422"/>
      <c r="J62" s="422"/>
      <c r="K62" s="422"/>
      <c r="L62" s="422"/>
      <c r="M62" s="422"/>
      <c r="N62" s="422"/>
      <c r="O62" s="422"/>
      <c r="P62" s="422"/>
      <c r="Q62" s="422"/>
      <c r="R62" s="422"/>
      <c r="S62" s="422"/>
      <c r="T62" s="498"/>
      <c r="U62" s="499"/>
      <c r="V62" s="498"/>
      <c r="W62" s="497"/>
      <c r="X62" s="487"/>
    </row>
    <row r="63" spans="1:25" s="426" customFormat="1" ht="18.600000000000001" thickBot="1" x14ac:dyDescent="0.4">
      <c r="A63" s="500"/>
      <c r="B63" s="501" t="s">
        <v>374</v>
      </c>
      <c r="C63" s="502"/>
      <c r="D63" s="502"/>
      <c r="E63" s="502"/>
      <c r="F63" s="502"/>
      <c r="G63" s="502"/>
      <c r="H63" s="502"/>
      <c r="I63" s="502"/>
      <c r="J63" s="502"/>
      <c r="K63" s="502"/>
      <c r="L63" s="502"/>
      <c r="M63" s="502"/>
      <c r="N63" s="502"/>
      <c r="O63" s="502"/>
      <c r="P63" s="502"/>
      <c r="Q63" s="502"/>
      <c r="R63" s="502"/>
      <c r="S63" s="502"/>
      <c r="T63" s="502"/>
      <c r="U63" s="502"/>
      <c r="V63" s="503"/>
      <c r="W63" s="504"/>
      <c r="X63" s="487"/>
    </row>
    <row r="64" spans="1:25" x14ac:dyDescent="0.3">
      <c r="A64" s="505"/>
      <c r="B64" s="506" t="s">
        <v>17</v>
      </c>
      <c r="C64" s="507"/>
      <c r="D64" s="507"/>
      <c r="E64" s="507"/>
      <c r="F64" s="507"/>
      <c r="G64" s="507"/>
      <c r="H64" s="507"/>
      <c r="I64" s="507"/>
      <c r="J64" s="507"/>
      <c r="K64" s="507"/>
      <c r="L64" s="507"/>
      <c r="M64" s="507"/>
      <c r="N64" s="507"/>
      <c r="O64" s="507"/>
      <c r="P64" s="507"/>
      <c r="Q64" s="507"/>
      <c r="R64" s="507"/>
      <c r="S64" s="507"/>
      <c r="T64" s="507"/>
      <c r="U64" s="507"/>
      <c r="V64" s="508"/>
      <c r="W64" s="509"/>
      <c r="X64" s="406"/>
    </row>
    <row r="65" spans="1:24" x14ac:dyDescent="0.3">
      <c r="A65" s="408"/>
      <c r="B65" s="419"/>
      <c r="C65" s="410"/>
      <c r="D65" s="410"/>
      <c r="E65" s="410"/>
      <c r="F65" s="410"/>
      <c r="G65" s="410"/>
      <c r="H65" s="410"/>
      <c r="I65" s="410"/>
      <c r="J65" s="410"/>
      <c r="K65" s="410"/>
      <c r="L65" s="410"/>
      <c r="M65" s="410"/>
      <c r="N65" s="410"/>
      <c r="O65" s="410"/>
      <c r="P65" s="410"/>
      <c r="Q65" s="410"/>
      <c r="R65" s="410"/>
      <c r="S65" s="410"/>
      <c r="T65" s="410"/>
      <c r="U65" s="410"/>
      <c r="V65" s="510"/>
      <c r="W65" s="411"/>
      <c r="X65" s="406"/>
    </row>
    <row r="66" spans="1:24" s="473" customFormat="1" ht="46.8" x14ac:dyDescent="0.3">
      <c r="A66" s="511"/>
      <c r="B66" s="512" t="s">
        <v>18</v>
      </c>
      <c r="C66" s="513"/>
      <c r="D66" s="513"/>
      <c r="E66" s="513"/>
      <c r="F66" s="513"/>
      <c r="G66" s="513"/>
      <c r="H66" s="513"/>
      <c r="I66" s="513"/>
      <c r="J66" s="513"/>
      <c r="K66" s="513"/>
      <c r="L66" s="513" t="s">
        <v>95</v>
      </c>
      <c r="M66" s="513"/>
      <c r="N66" s="513" t="s">
        <v>97</v>
      </c>
      <c r="O66" s="513"/>
      <c r="P66" s="513" t="s">
        <v>99</v>
      </c>
      <c r="Q66" s="513"/>
      <c r="R66" s="513" t="s">
        <v>101</v>
      </c>
      <c r="S66" s="513"/>
      <c r="T66" s="513" t="s">
        <v>108</v>
      </c>
      <c r="U66" s="513"/>
      <c r="V66" s="514" t="s">
        <v>115</v>
      </c>
      <c r="W66" s="515"/>
      <c r="X66" s="472"/>
    </row>
    <row r="67" spans="1:24" s="426" customFormat="1" x14ac:dyDescent="0.3">
      <c r="A67" s="443"/>
      <c r="B67" s="444" t="s">
        <v>19</v>
      </c>
      <c r="C67" s="516"/>
      <c r="D67" s="516"/>
      <c r="E67" s="516"/>
      <c r="F67" s="516"/>
      <c r="G67" s="516"/>
      <c r="H67" s="516"/>
      <c r="I67" s="516"/>
      <c r="J67" s="516"/>
      <c r="K67" s="516"/>
      <c r="L67" s="516">
        <f>1085286</f>
        <v>1085286</v>
      </c>
      <c r="M67" s="516"/>
      <c r="N67" s="517">
        <v>791041</v>
      </c>
      <c r="O67" s="516"/>
      <c r="P67" s="516">
        <f>9022+1085</f>
        <v>10107</v>
      </c>
      <c r="Q67" s="516"/>
      <c r="R67" s="516">
        <v>1085</v>
      </c>
      <c r="S67" s="516"/>
      <c r="T67" s="516">
        <v>0</v>
      </c>
      <c r="U67" s="516"/>
      <c r="V67" s="517">
        <f>+N67-P67+R67-T67</f>
        <v>782019</v>
      </c>
      <c r="W67" s="446"/>
      <c r="X67" s="425"/>
    </row>
    <row r="68" spans="1:24" s="426" customFormat="1" x14ac:dyDescent="0.3">
      <c r="A68" s="443"/>
      <c r="B68" s="444" t="s">
        <v>20</v>
      </c>
      <c r="C68" s="516"/>
      <c r="D68" s="516"/>
      <c r="E68" s="516"/>
      <c r="F68" s="516"/>
      <c r="G68" s="516"/>
      <c r="H68" s="516"/>
      <c r="I68" s="516"/>
      <c r="J68" s="516"/>
      <c r="K68" s="516"/>
      <c r="L68" s="516">
        <v>35</v>
      </c>
      <c r="M68" s="516"/>
      <c r="N68" s="517">
        <v>0</v>
      </c>
      <c r="O68" s="516"/>
      <c r="P68" s="516">
        <v>0</v>
      </c>
      <c r="Q68" s="516"/>
      <c r="R68" s="516">
        <v>0</v>
      </c>
      <c r="S68" s="516"/>
      <c r="T68" s="516">
        <v>0</v>
      </c>
      <c r="U68" s="516"/>
      <c r="V68" s="517">
        <f>+N68-P68</f>
        <v>0</v>
      </c>
      <c r="W68" s="446"/>
      <c r="X68" s="425"/>
    </row>
    <row r="69" spans="1:24" s="426" customFormat="1" x14ac:dyDescent="0.3">
      <c r="A69" s="443"/>
      <c r="B69" s="444"/>
      <c r="C69" s="516"/>
      <c r="D69" s="516"/>
      <c r="E69" s="516"/>
      <c r="F69" s="516"/>
      <c r="G69" s="516"/>
      <c r="H69" s="516"/>
      <c r="I69" s="516"/>
      <c r="J69" s="516"/>
      <c r="K69" s="516"/>
      <c r="L69" s="516"/>
      <c r="M69" s="516"/>
      <c r="N69" s="517"/>
      <c r="O69" s="516"/>
      <c r="P69" s="516"/>
      <c r="Q69" s="516"/>
      <c r="R69" s="516"/>
      <c r="S69" s="516"/>
      <c r="T69" s="516"/>
      <c r="U69" s="516"/>
      <c r="V69" s="517"/>
      <c r="W69" s="446"/>
      <c r="X69" s="425"/>
    </row>
    <row r="70" spans="1:24" s="426" customFormat="1" x14ac:dyDescent="0.3">
      <c r="A70" s="443"/>
      <c r="B70" s="444" t="s">
        <v>21</v>
      </c>
      <c r="C70" s="516"/>
      <c r="D70" s="516"/>
      <c r="E70" s="516"/>
      <c r="F70" s="516"/>
      <c r="G70" s="516"/>
      <c r="H70" s="516"/>
      <c r="I70" s="516"/>
      <c r="J70" s="516"/>
      <c r="K70" s="516"/>
      <c r="L70" s="516">
        <f>SUM(L67:L69)</f>
        <v>1085321</v>
      </c>
      <c r="M70" s="516"/>
      <c r="N70" s="516">
        <f>N67+N68</f>
        <v>791041</v>
      </c>
      <c r="O70" s="516"/>
      <c r="P70" s="516">
        <f>SUM(P67:P69)</f>
        <v>10107</v>
      </c>
      <c r="Q70" s="516"/>
      <c r="R70" s="516">
        <f>SUM(R67:R69)</f>
        <v>1085</v>
      </c>
      <c r="S70" s="516"/>
      <c r="T70" s="516">
        <f>SUM(T67:T69)</f>
        <v>0</v>
      </c>
      <c r="U70" s="516"/>
      <c r="V70" s="516">
        <f>SUM(V67:V69)</f>
        <v>782019</v>
      </c>
      <c r="W70" s="446"/>
      <c r="X70" s="425"/>
    </row>
    <row r="71" spans="1:24" x14ac:dyDescent="0.3">
      <c r="A71" s="408"/>
      <c r="B71" s="518"/>
      <c r="C71" s="519"/>
      <c r="D71" s="519"/>
      <c r="E71" s="519"/>
      <c r="F71" s="519"/>
      <c r="G71" s="519"/>
      <c r="H71" s="519"/>
      <c r="I71" s="519"/>
      <c r="J71" s="519"/>
      <c r="K71" s="519"/>
      <c r="L71" s="519"/>
      <c r="M71" s="519"/>
      <c r="N71" s="519"/>
      <c r="O71" s="519"/>
      <c r="P71" s="519"/>
      <c r="Q71" s="519"/>
      <c r="R71" s="519"/>
      <c r="S71" s="519"/>
      <c r="T71" s="519"/>
      <c r="U71" s="519"/>
      <c r="V71" s="520"/>
      <c r="W71" s="411"/>
      <c r="X71" s="406"/>
    </row>
    <row r="72" spans="1:24" x14ac:dyDescent="0.3">
      <c r="A72" s="408"/>
      <c r="B72" s="413" t="s">
        <v>22</v>
      </c>
      <c r="C72" s="521"/>
      <c r="D72" s="521"/>
      <c r="E72" s="521"/>
      <c r="F72" s="521"/>
      <c r="G72" s="521"/>
      <c r="H72" s="521"/>
      <c r="I72" s="521"/>
      <c r="J72" s="521"/>
      <c r="K72" s="521"/>
      <c r="L72" s="521"/>
      <c r="M72" s="521"/>
      <c r="N72" s="521"/>
      <c r="O72" s="521"/>
      <c r="P72" s="521"/>
      <c r="Q72" s="521"/>
      <c r="R72" s="521"/>
      <c r="S72" s="521"/>
      <c r="T72" s="521"/>
      <c r="U72" s="521"/>
      <c r="V72" s="522"/>
      <c r="W72" s="411"/>
      <c r="X72" s="406"/>
    </row>
    <row r="73" spans="1:24" x14ac:dyDescent="0.3">
      <c r="A73" s="408"/>
      <c r="B73" s="410"/>
      <c r="C73" s="521"/>
      <c r="D73" s="521"/>
      <c r="E73" s="521"/>
      <c r="F73" s="521"/>
      <c r="G73" s="521"/>
      <c r="H73" s="521"/>
      <c r="I73" s="521"/>
      <c r="J73" s="521"/>
      <c r="K73" s="521"/>
      <c r="L73" s="521"/>
      <c r="M73" s="521"/>
      <c r="N73" s="521"/>
      <c r="O73" s="521"/>
      <c r="P73" s="521"/>
      <c r="Q73" s="521"/>
      <c r="R73" s="521"/>
      <c r="S73" s="521"/>
      <c r="T73" s="521"/>
      <c r="U73" s="521"/>
      <c r="V73" s="522"/>
      <c r="W73" s="411"/>
      <c r="X73" s="406"/>
    </row>
    <row r="74" spans="1:24" s="426" customFormat="1" x14ac:dyDescent="0.3">
      <c r="A74" s="443"/>
      <c r="B74" s="444" t="s">
        <v>19</v>
      </c>
      <c r="C74" s="516"/>
      <c r="D74" s="516"/>
      <c r="E74" s="516"/>
      <c r="F74" s="516"/>
      <c r="G74" s="516"/>
      <c r="H74" s="516"/>
      <c r="I74" s="516"/>
      <c r="J74" s="516"/>
      <c r="K74" s="516"/>
      <c r="L74" s="516"/>
      <c r="M74" s="516"/>
      <c r="N74" s="516"/>
      <c r="O74" s="516"/>
      <c r="P74" s="516"/>
      <c r="Q74" s="516"/>
      <c r="R74" s="516"/>
      <c r="S74" s="516"/>
      <c r="T74" s="516"/>
      <c r="U74" s="516"/>
      <c r="V74" s="516"/>
      <c r="W74" s="446"/>
      <c r="X74" s="425"/>
    </row>
    <row r="75" spans="1:24" s="426" customFormat="1" x14ac:dyDescent="0.3">
      <c r="A75" s="443"/>
      <c r="B75" s="444" t="s">
        <v>20</v>
      </c>
      <c r="C75" s="516"/>
      <c r="D75" s="516"/>
      <c r="E75" s="516"/>
      <c r="F75" s="516"/>
      <c r="G75" s="516"/>
      <c r="H75" s="516"/>
      <c r="I75" s="516"/>
      <c r="J75" s="516"/>
      <c r="K75" s="516"/>
      <c r="L75" s="516"/>
      <c r="M75" s="516"/>
      <c r="N75" s="516"/>
      <c r="O75" s="516"/>
      <c r="P75" s="516"/>
      <c r="Q75" s="516"/>
      <c r="R75" s="516"/>
      <c r="S75" s="516"/>
      <c r="T75" s="516"/>
      <c r="U75" s="516"/>
      <c r="V75" s="516"/>
      <c r="W75" s="446"/>
      <c r="X75" s="425"/>
    </row>
    <row r="76" spans="1:24" s="426" customFormat="1" x14ac:dyDescent="0.3">
      <c r="A76" s="443"/>
      <c r="B76" s="444"/>
      <c r="C76" s="516"/>
      <c r="D76" s="516"/>
      <c r="E76" s="516"/>
      <c r="F76" s="516"/>
      <c r="G76" s="516"/>
      <c r="H76" s="516"/>
      <c r="I76" s="516"/>
      <c r="J76" s="516"/>
      <c r="K76" s="516"/>
      <c r="L76" s="516"/>
      <c r="M76" s="516"/>
      <c r="N76" s="516"/>
      <c r="O76" s="516"/>
      <c r="P76" s="516"/>
      <c r="Q76" s="516"/>
      <c r="R76" s="516"/>
      <c r="S76" s="516"/>
      <c r="T76" s="516"/>
      <c r="U76" s="516"/>
      <c r="V76" s="516"/>
      <c r="W76" s="446"/>
      <c r="X76" s="425"/>
    </row>
    <row r="77" spans="1:24" s="426" customFormat="1" x14ac:dyDescent="0.3">
      <c r="A77" s="443"/>
      <c r="B77" s="444" t="s">
        <v>21</v>
      </c>
      <c r="C77" s="516"/>
      <c r="D77" s="516"/>
      <c r="E77" s="516"/>
      <c r="F77" s="516"/>
      <c r="G77" s="516"/>
      <c r="H77" s="516"/>
      <c r="I77" s="516"/>
      <c r="J77" s="516"/>
      <c r="K77" s="516"/>
      <c r="L77" s="516"/>
      <c r="M77" s="516"/>
      <c r="N77" s="516"/>
      <c r="O77" s="516"/>
      <c r="P77" s="516"/>
      <c r="Q77" s="516"/>
      <c r="R77" s="516"/>
      <c r="S77" s="516"/>
      <c r="T77" s="516"/>
      <c r="U77" s="516"/>
      <c r="V77" s="516"/>
      <c r="W77" s="446"/>
      <c r="X77" s="425"/>
    </row>
    <row r="78" spans="1:24" s="426" customFormat="1" x14ac:dyDescent="0.3">
      <c r="A78" s="443"/>
      <c r="B78" s="444"/>
      <c r="C78" s="516"/>
      <c r="D78" s="516"/>
      <c r="E78" s="516"/>
      <c r="F78" s="516"/>
      <c r="G78" s="516"/>
      <c r="H78" s="516"/>
      <c r="I78" s="516"/>
      <c r="J78" s="516"/>
      <c r="K78" s="516"/>
      <c r="L78" s="516"/>
      <c r="M78" s="516"/>
      <c r="N78" s="516"/>
      <c r="O78" s="516"/>
      <c r="P78" s="516"/>
      <c r="Q78" s="516"/>
      <c r="R78" s="516"/>
      <c r="S78" s="516"/>
      <c r="T78" s="516"/>
      <c r="U78" s="516"/>
      <c r="V78" s="516"/>
      <c r="W78" s="446"/>
      <c r="X78" s="425"/>
    </row>
    <row r="79" spans="1:24" s="426" customFormat="1" x14ac:dyDescent="0.3">
      <c r="A79" s="443"/>
      <c r="B79" s="444" t="s">
        <v>23</v>
      </c>
      <c r="C79" s="516"/>
      <c r="D79" s="516"/>
      <c r="E79" s="516"/>
      <c r="F79" s="516"/>
      <c r="G79" s="516"/>
      <c r="H79" s="516"/>
      <c r="I79" s="516"/>
      <c r="J79" s="516"/>
      <c r="K79" s="516"/>
      <c r="L79" s="516">
        <v>0</v>
      </c>
      <c r="M79" s="516"/>
      <c r="N79" s="516">
        <v>0</v>
      </c>
      <c r="O79" s="516"/>
      <c r="P79" s="516"/>
      <c r="Q79" s="516"/>
      <c r="R79" s="516"/>
      <c r="S79" s="516"/>
      <c r="T79" s="516"/>
      <c r="U79" s="516"/>
      <c r="V79" s="517">
        <v>0</v>
      </c>
      <c r="W79" s="446"/>
      <c r="X79" s="425"/>
    </row>
    <row r="80" spans="1:24" s="426" customFormat="1" x14ac:dyDescent="0.3">
      <c r="A80" s="443"/>
      <c r="B80" s="444" t="s">
        <v>120</v>
      </c>
      <c r="C80" s="516"/>
      <c r="D80" s="516"/>
      <c r="E80" s="516"/>
      <c r="F80" s="516"/>
      <c r="G80" s="516"/>
      <c r="H80" s="516"/>
      <c r="I80" s="516"/>
      <c r="J80" s="516"/>
      <c r="K80" s="516"/>
      <c r="L80" s="516">
        <f>414862+7</f>
        <v>414869</v>
      </c>
      <c r="M80" s="516"/>
      <c r="N80" s="516">
        <v>0</v>
      </c>
      <c r="O80" s="516"/>
      <c r="P80" s="516">
        <v>0</v>
      </c>
      <c r="Q80" s="516"/>
      <c r="R80" s="516"/>
      <c r="S80" s="516"/>
      <c r="T80" s="516"/>
      <c r="U80" s="516"/>
      <c r="V80" s="516">
        <f>SUM(N80:R80)</f>
        <v>0</v>
      </c>
      <c r="W80" s="446"/>
      <c r="X80" s="425"/>
    </row>
    <row r="81" spans="1:24" s="426" customFormat="1" x14ac:dyDescent="0.3">
      <c r="A81" s="443"/>
      <c r="B81" s="444" t="s">
        <v>149</v>
      </c>
      <c r="C81" s="516"/>
      <c r="D81" s="516"/>
      <c r="E81" s="516"/>
      <c r="F81" s="516"/>
      <c r="G81" s="516"/>
      <c r="H81" s="516"/>
      <c r="I81" s="516"/>
      <c r="J81" s="516"/>
      <c r="K81" s="516"/>
      <c r="L81" s="516">
        <v>0</v>
      </c>
      <c r="M81" s="516"/>
      <c r="N81" s="516">
        <v>0</v>
      </c>
      <c r="O81" s="516"/>
      <c r="P81" s="516">
        <v>0</v>
      </c>
      <c r="Q81" s="516"/>
      <c r="R81" s="516"/>
      <c r="S81" s="516"/>
      <c r="T81" s="516"/>
      <c r="U81" s="516"/>
      <c r="V81" s="516">
        <f>+N81+P81</f>
        <v>0</v>
      </c>
      <c r="W81" s="446"/>
      <c r="X81" s="425"/>
    </row>
    <row r="82" spans="1:24" s="426" customFormat="1" x14ac:dyDescent="0.3">
      <c r="A82" s="443"/>
      <c r="B82" s="444" t="s">
        <v>25</v>
      </c>
      <c r="C82" s="516"/>
      <c r="D82" s="516"/>
      <c r="E82" s="516"/>
      <c r="F82" s="516"/>
      <c r="G82" s="516"/>
      <c r="H82" s="516"/>
      <c r="I82" s="516"/>
      <c r="J82" s="516"/>
      <c r="K82" s="516"/>
      <c r="L82" s="516">
        <v>0</v>
      </c>
      <c r="M82" s="516"/>
      <c r="N82" s="516">
        <v>0</v>
      </c>
      <c r="O82" s="516"/>
      <c r="P82" s="516"/>
      <c r="Q82" s="516"/>
      <c r="R82" s="516"/>
      <c r="S82" s="516"/>
      <c r="T82" s="516"/>
      <c r="U82" s="516"/>
      <c r="V82" s="516">
        <v>0</v>
      </c>
      <c r="W82" s="446"/>
      <c r="X82" s="425"/>
    </row>
    <row r="83" spans="1:24" s="426" customFormat="1" x14ac:dyDescent="0.3">
      <c r="A83" s="523"/>
      <c r="B83" s="524" t="s">
        <v>26</v>
      </c>
      <c r="C83" s="525"/>
      <c r="D83" s="525"/>
      <c r="E83" s="525"/>
      <c r="F83" s="525"/>
      <c r="G83" s="525"/>
      <c r="H83" s="525"/>
      <c r="I83" s="525"/>
      <c r="J83" s="525"/>
      <c r="K83" s="525"/>
      <c r="L83" s="525">
        <f>SUM(L70:L82)</f>
        <v>1500190</v>
      </c>
      <c r="M83" s="525"/>
      <c r="N83" s="525">
        <f>SUM(N70:N82)</f>
        <v>791041</v>
      </c>
      <c r="O83" s="525"/>
      <c r="P83" s="525"/>
      <c r="Q83" s="525"/>
      <c r="R83" s="525"/>
      <c r="S83" s="525"/>
      <c r="T83" s="525"/>
      <c r="U83" s="525"/>
      <c r="V83" s="525">
        <f>SUM(V70:V82)</f>
        <v>782019</v>
      </c>
      <c r="W83" s="526"/>
      <c r="X83" s="425"/>
    </row>
    <row r="84" spans="1:24" x14ac:dyDescent="0.3">
      <c r="A84" s="527"/>
      <c r="B84" s="528"/>
      <c r="C84" s="529"/>
      <c r="D84" s="529"/>
      <c r="E84" s="529"/>
      <c r="F84" s="529"/>
      <c r="G84" s="529"/>
      <c r="H84" s="529"/>
      <c r="I84" s="529"/>
      <c r="J84" s="529"/>
      <c r="K84" s="529"/>
      <c r="L84" s="529"/>
      <c r="M84" s="529"/>
      <c r="N84" s="529"/>
      <c r="O84" s="529"/>
      <c r="P84" s="529"/>
      <c r="Q84" s="529"/>
      <c r="R84" s="529"/>
      <c r="S84" s="529"/>
      <c r="T84" s="529"/>
      <c r="U84" s="529"/>
      <c r="V84" s="529"/>
      <c r="W84" s="530"/>
      <c r="X84" s="406"/>
    </row>
    <row r="85" spans="1:24" x14ac:dyDescent="0.3">
      <c r="A85" s="408"/>
      <c r="B85" s="531"/>
      <c r="C85" s="531"/>
      <c r="D85" s="531"/>
      <c r="E85" s="531"/>
      <c r="F85" s="531"/>
      <c r="G85" s="531"/>
      <c r="H85" s="531"/>
      <c r="I85" s="531"/>
      <c r="J85" s="531"/>
      <c r="K85" s="531"/>
      <c r="L85" s="531"/>
      <c r="M85" s="531"/>
      <c r="N85" s="531"/>
      <c r="O85" s="531"/>
      <c r="P85" s="531"/>
      <c r="Q85" s="531"/>
      <c r="R85" s="531"/>
      <c r="S85" s="531"/>
      <c r="T85" s="531"/>
      <c r="U85" s="531"/>
      <c r="V85" s="531"/>
      <c r="W85" s="532"/>
      <c r="X85" s="406"/>
    </row>
    <row r="86" spans="1:24" x14ac:dyDescent="0.3">
      <c r="A86" s="533"/>
      <c r="B86" s="534" t="s">
        <v>27</v>
      </c>
      <c r="C86" s="534"/>
      <c r="D86" s="534"/>
      <c r="E86" s="534"/>
      <c r="F86" s="534"/>
      <c r="G86" s="534"/>
      <c r="H86" s="535"/>
      <c r="I86" s="535"/>
      <c r="J86" s="535"/>
      <c r="K86" s="535"/>
      <c r="L86" s="536" t="s">
        <v>96</v>
      </c>
      <c r="M86" s="535"/>
      <c r="N86" s="537">
        <f>+T198</f>
        <v>43098</v>
      </c>
      <c r="O86" s="535"/>
      <c r="P86" s="535"/>
      <c r="Q86" s="535"/>
      <c r="R86" s="535"/>
      <c r="S86" s="535"/>
      <c r="T86" s="535" t="s">
        <v>109</v>
      </c>
      <c r="U86" s="535"/>
      <c r="V86" s="535" t="s">
        <v>116</v>
      </c>
      <c r="W86" s="538"/>
      <c r="X86" s="406"/>
    </row>
    <row r="87" spans="1:24" s="426" customFormat="1" x14ac:dyDescent="0.3">
      <c r="A87" s="439"/>
      <c r="B87" s="440" t="s">
        <v>28</v>
      </c>
      <c r="C87" s="440"/>
      <c r="D87" s="440"/>
      <c r="E87" s="440"/>
      <c r="F87" s="440"/>
      <c r="G87" s="440"/>
      <c r="H87" s="440"/>
      <c r="I87" s="440"/>
      <c r="J87" s="440"/>
      <c r="K87" s="440"/>
      <c r="L87" s="440"/>
      <c r="M87" s="440"/>
      <c r="N87" s="440"/>
      <c r="O87" s="440"/>
      <c r="P87" s="440"/>
      <c r="Q87" s="440"/>
      <c r="R87" s="440"/>
      <c r="S87" s="440"/>
      <c r="T87" s="539">
        <v>0</v>
      </c>
      <c r="U87" s="440"/>
      <c r="V87" s="540">
        <v>0</v>
      </c>
      <c r="W87" s="442"/>
      <c r="X87" s="425"/>
    </row>
    <row r="88" spans="1:24" s="426" customFormat="1" x14ac:dyDescent="0.3">
      <c r="A88" s="443"/>
      <c r="B88" s="444" t="s">
        <v>29</v>
      </c>
      <c r="C88" s="444"/>
      <c r="D88" s="444"/>
      <c r="E88" s="444"/>
      <c r="F88" s="444"/>
      <c r="G88" s="444"/>
      <c r="H88" s="482"/>
      <c r="I88" s="482"/>
      <c r="J88" s="482"/>
      <c r="K88" s="541"/>
      <c r="L88" s="482"/>
      <c r="M88" s="444"/>
      <c r="N88" s="542"/>
      <c r="O88" s="444"/>
      <c r="P88" s="444"/>
      <c r="Q88" s="444"/>
      <c r="R88" s="444"/>
      <c r="S88" s="444"/>
      <c r="T88" s="516">
        <f>10107-489</f>
        <v>9618</v>
      </c>
      <c r="U88" s="444"/>
      <c r="V88" s="517"/>
      <c r="W88" s="446"/>
      <c r="X88" s="425"/>
    </row>
    <row r="89" spans="1:24" s="426" customFormat="1" x14ac:dyDescent="0.3">
      <c r="A89" s="443"/>
      <c r="B89" s="444" t="s">
        <v>219</v>
      </c>
      <c r="C89" s="444"/>
      <c r="D89" s="444"/>
      <c r="E89" s="444"/>
      <c r="F89" s="444"/>
      <c r="G89" s="444"/>
      <c r="H89" s="482"/>
      <c r="I89" s="482"/>
      <c r="J89" s="482"/>
      <c r="K89" s="541"/>
      <c r="L89" s="482"/>
      <c r="M89" s="444"/>
      <c r="N89" s="542"/>
      <c r="O89" s="444"/>
      <c r="P89" s="444"/>
      <c r="Q89" s="444"/>
      <c r="R89" s="444"/>
      <c r="S89" s="444"/>
      <c r="T89" s="516"/>
      <c r="U89" s="444"/>
      <c r="V89" s="517">
        <f>3891+2711-735-1248</f>
        <v>4619</v>
      </c>
      <c r="W89" s="446"/>
      <c r="X89" s="425"/>
    </row>
    <row r="90" spans="1:24" s="426" customFormat="1" x14ac:dyDescent="0.3">
      <c r="A90" s="443"/>
      <c r="B90" s="444" t="s">
        <v>214</v>
      </c>
      <c r="C90" s="444"/>
      <c r="D90" s="444"/>
      <c r="E90" s="444"/>
      <c r="F90" s="444"/>
      <c r="G90" s="444"/>
      <c r="H90" s="482"/>
      <c r="I90" s="482"/>
      <c r="J90" s="482"/>
      <c r="K90" s="541"/>
      <c r="L90" s="482"/>
      <c r="M90" s="444"/>
      <c r="N90" s="542"/>
      <c r="O90" s="444"/>
      <c r="P90" s="444"/>
      <c r="Q90" s="444"/>
      <c r="R90" s="444"/>
      <c r="S90" s="444"/>
      <c r="T90" s="516"/>
      <c r="U90" s="444"/>
      <c r="V90" s="517">
        <f>163+39</f>
        <v>202</v>
      </c>
      <c r="W90" s="446"/>
      <c r="X90" s="425"/>
    </row>
    <row r="91" spans="1:24" s="426" customFormat="1" x14ac:dyDescent="0.3">
      <c r="A91" s="443"/>
      <c r="B91" s="444" t="s">
        <v>215</v>
      </c>
      <c r="C91" s="444"/>
      <c r="D91" s="444"/>
      <c r="E91" s="444"/>
      <c r="F91" s="444"/>
      <c r="G91" s="444"/>
      <c r="H91" s="482"/>
      <c r="I91" s="482"/>
      <c r="J91" s="482"/>
      <c r="K91" s="541"/>
      <c r="L91" s="482"/>
      <c r="M91" s="444"/>
      <c r="N91" s="542"/>
      <c r="O91" s="444"/>
      <c r="P91" s="444"/>
      <c r="Q91" s="444"/>
      <c r="R91" s="444"/>
      <c r="S91" s="444"/>
      <c r="T91" s="516"/>
      <c r="U91" s="444"/>
      <c r="V91" s="517">
        <v>28</v>
      </c>
      <c r="W91" s="446"/>
      <c r="X91" s="425"/>
    </row>
    <row r="92" spans="1:24" s="426" customFormat="1" x14ac:dyDescent="0.3">
      <c r="A92" s="443"/>
      <c r="B92" s="444" t="s">
        <v>277</v>
      </c>
      <c r="C92" s="444"/>
      <c r="D92" s="444"/>
      <c r="E92" s="444"/>
      <c r="F92" s="444"/>
      <c r="G92" s="444"/>
      <c r="H92" s="482"/>
      <c r="I92" s="482"/>
      <c r="J92" s="482"/>
      <c r="K92" s="541"/>
      <c r="L92" s="482"/>
      <c r="M92" s="444"/>
      <c r="N92" s="542"/>
      <c r="O92" s="444"/>
      <c r="P92" s="444"/>
      <c r="Q92" s="444"/>
      <c r="R92" s="444"/>
      <c r="S92" s="444"/>
      <c r="T92" s="516"/>
      <c r="U92" s="444"/>
      <c r="V92" s="517">
        <v>0</v>
      </c>
      <c r="W92" s="446"/>
      <c r="X92" s="425"/>
    </row>
    <row r="93" spans="1:24" s="426" customFormat="1" x14ac:dyDescent="0.3">
      <c r="A93" s="443"/>
      <c r="B93" s="444" t="s">
        <v>138</v>
      </c>
      <c r="C93" s="444"/>
      <c r="D93" s="444"/>
      <c r="E93" s="444"/>
      <c r="F93" s="444"/>
      <c r="G93" s="444"/>
      <c r="H93" s="444"/>
      <c r="I93" s="444"/>
      <c r="J93" s="444"/>
      <c r="K93" s="444"/>
      <c r="L93" s="444"/>
      <c r="M93" s="444"/>
      <c r="N93" s="444"/>
      <c r="O93" s="444"/>
      <c r="P93" s="444"/>
      <c r="Q93" s="444"/>
      <c r="R93" s="444"/>
      <c r="S93" s="444"/>
      <c r="T93" s="516"/>
      <c r="U93" s="444"/>
      <c r="V93" s="517">
        <v>0</v>
      </c>
      <c r="W93" s="446"/>
      <c r="X93" s="425"/>
    </row>
    <row r="94" spans="1:24" s="426" customFormat="1" x14ac:dyDescent="0.3">
      <c r="A94" s="443"/>
      <c r="B94" s="444" t="s">
        <v>265</v>
      </c>
      <c r="C94" s="444"/>
      <c r="D94" s="444"/>
      <c r="E94" s="444"/>
      <c r="F94" s="444"/>
      <c r="G94" s="444"/>
      <c r="H94" s="444"/>
      <c r="I94" s="444"/>
      <c r="J94" s="444"/>
      <c r="K94" s="444"/>
      <c r="L94" s="444"/>
      <c r="M94" s="444"/>
      <c r="N94" s="444"/>
      <c r="O94" s="444"/>
      <c r="P94" s="444"/>
      <c r="Q94" s="444"/>
      <c r="R94" s="444"/>
      <c r="S94" s="444"/>
      <c r="T94" s="516"/>
      <c r="U94" s="444"/>
      <c r="V94" s="517">
        <v>300</v>
      </c>
      <c r="W94" s="446"/>
      <c r="X94" s="425"/>
    </row>
    <row r="95" spans="1:24" s="426" customFormat="1" x14ac:dyDescent="0.3">
      <c r="A95" s="443"/>
      <c r="B95" s="444" t="s">
        <v>30</v>
      </c>
      <c r="C95" s="444"/>
      <c r="D95" s="444"/>
      <c r="E95" s="444"/>
      <c r="F95" s="444"/>
      <c r="G95" s="444"/>
      <c r="H95" s="444"/>
      <c r="I95" s="444"/>
      <c r="J95" s="444"/>
      <c r="K95" s="444"/>
      <c r="L95" s="444"/>
      <c r="M95" s="444"/>
      <c r="N95" s="444"/>
      <c r="O95" s="444"/>
      <c r="P95" s="444"/>
      <c r="Q95" s="444"/>
      <c r="R95" s="444"/>
      <c r="S95" s="444"/>
      <c r="T95" s="516">
        <f>SUM(T87:T94)</f>
        <v>9618</v>
      </c>
      <c r="U95" s="444"/>
      <c r="V95" s="516">
        <f>SUM(V87:V94)</f>
        <v>5149</v>
      </c>
      <c r="W95" s="446"/>
      <c r="X95" s="425"/>
    </row>
    <row r="96" spans="1:24" s="426" customFormat="1" x14ac:dyDescent="0.3">
      <c r="A96" s="443"/>
      <c r="B96" s="444" t="s">
        <v>164</v>
      </c>
      <c r="C96" s="444"/>
      <c r="D96" s="444"/>
      <c r="E96" s="444"/>
      <c r="F96" s="444"/>
      <c r="G96" s="444"/>
      <c r="H96" s="444"/>
      <c r="I96" s="444"/>
      <c r="J96" s="444"/>
      <c r="K96" s="444"/>
      <c r="L96" s="444"/>
      <c r="M96" s="444"/>
      <c r="N96" s="444"/>
      <c r="O96" s="444"/>
      <c r="P96" s="444"/>
      <c r="Q96" s="444"/>
      <c r="R96" s="444"/>
      <c r="S96" s="444"/>
      <c r="T96" s="516">
        <f>-V96</f>
        <v>0</v>
      </c>
      <c r="U96" s="444"/>
      <c r="V96" s="516">
        <v>0</v>
      </c>
      <c r="W96" s="446"/>
      <c r="X96" s="425"/>
    </row>
    <row r="97" spans="1:26" s="426" customFormat="1" x14ac:dyDescent="0.3">
      <c r="A97" s="443"/>
      <c r="B97" s="444" t="s">
        <v>31</v>
      </c>
      <c r="C97" s="444"/>
      <c r="D97" s="444"/>
      <c r="E97" s="444"/>
      <c r="F97" s="444"/>
      <c r="G97" s="444"/>
      <c r="H97" s="444"/>
      <c r="I97" s="444"/>
      <c r="J97" s="444"/>
      <c r="K97" s="444"/>
      <c r="L97" s="444"/>
      <c r="M97" s="444"/>
      <c r="N97" s="444"/>
      <c r="O97" s="444"/>
      <c r="P97" s="444"/>
      <c r="Q97" s="444"/>
      <c r="R97" s="444"/>
      <c r="S97" s="444"/>
      <c r="T97" s="516">
        <f>-V97</f>
        <v>0</v>
      </c>
      <c r="U97" s="444"/>
      <c r="V97" s="517">
        <v>0</v>
      </c>
      <c r="W97" s="446"/>
      <c r="X97" s="425"/>
    </row>
    <row r="98" spans="1:26" s="426" customFormat="1" x14ac:dyDescent="0.3">
      <c r="A98" s="443"/>
      <c r="B98" s="444" t="s">
        <v>288</v>
      </c>
      <c r="C98" s="444"/>
      <c r="D98" s="444"/>
      <c r="E98" s="444"/>
      <c r="F98" s="444"/>
      <c r="G98" s="444"/>
      <c r="H98" s="444"/>
      <c r="I98" s="444"/>
      <c r="J98" s="444"/>
      <c r="K98" s="444"/>
      <c r="L98" s="444"/>
      <c r="M98" s="444"/>
      <c r="N98" s="444"/>
      <c r="O98" s="444"/>
      <c r="P98" s="444"/>
      <c r="Q98" s="444"/>
      <c r="R98" s="444"/>
      <c r="S98" s="444"/>
      <c r="T98" s="516"/>
      <c r="U98" s="444"/>
      <c r="V98" s="517">
        <v>-98</v>
      </c>
      <c r="W98" s="446"/>
      <c r="X98" s="425"/>
    </row>
    <row r="99" spans="1:26" s="426" customFormat="1" x14ac:dyDescent="0.3">
      <c r="A99" s="443"/>
      <c r="B99" s="444" t="s">
        <v>32</v>
      </c>
      <c r="C99" s="444"/>
      <c r="D99" s="444"/>
      <c r="E99" s="444"/>
      <c r="F99" s="444"/>
      <c r="G99" s="444"/>
      <c r="H99" s="444"/>
      <c r="I99" s="444"/>
      <c r="J99" s="444"/>
      <c r="K99" s="444"/>
      <c r="L99" s="444"/>
      <c r="M99" s="444"/>
      <c r="N99" s="444"/>
      <c r="O99" s="444"/>
      <c r="P99" s="444"/>
      <c r="Q99" s="444"/>
      <c r="R99" s="444"/>
      <c r="S99" s="444"/>
      <c r="T99" s="516">
        <f>T95+T97+T96</f>
        <v>9618</v>
      </c>
      <c r="U99" s="444"/>
      <c r="V99" s="516">
        <f>V95+V97+V96+V98</f>
        <v>5051</v>
      </c>
      <c r="W99" s="446"/>
      <c r="X99" s="425"/>
    </row>
    <row r="100" spans="1:26" x14ac:dyDescent="0.3">
      <c r="A100" s="543"/>
      <c r="B100" s="544" t="s">
        <v>33</v>
      </c>
      <c r="C100" s="465"/>
      <c r="D100" s="465"/>
      <c r="E100" s="465"/>
      <c r="F100" s="465"/>
      <c r="G100" s="465"/>
      <c r="H100" s="465"/>
      <c r="I100" s="465"/>
      <c r="J100" s="465"/>
      <c r="K100" s="465"/>
      <c r="L100" s="465"/>
      <c r="M100" s="465"/>
      <c r="N100" s="465"/>
      <c r="O100" s="465"/>
      <c r="P100" s="465"/>
      <c r="Q100" s="465"/>
      <c r="R100" s="465"/>
      <c r="S100" s="465"/>
      <c r="T100" s="545"/>
      <c r="U100" s="465"/>
      <c r="V100" s="546"/>
      <c r="W100" s="547"/>
      <c r="X100" s="406"/>
    </row>
    <row r="101" spans="1:26" s="426" customFormat="1" x14ac:dyDescent="0.3">
      <c r="A101" s="443">
        <v>1</v>
      </c>
      <c r="B101" s="444" t="s">
        <v>34</v>
      </c>
      <c r="C101" s="444"/>
      <c r="D101" s="444"/>
      <c r="E101" s="444"/>
      <c r="F101" s="444"/>
      <c r="G101" s="444"/>
      <c r="H101" s="444"/>
      <c r="I101" s="444"/>
      <c r="J101" s="444"/>
      <c r="K101" s="444"/>
      <c r="L101" s="444"/>
      <c r="M101" s="444"/>
      <c r="N101" s="444"/>
      <c r="O101" s="444"/>
      <c r="P101" s="444"/>
      <c r="Q101" s="444"/>
      <c r="R101" s="444"/>
      <c r="S101" s="444"/>
      <c r="T101" s="444"/>
      <c r="U101" s="444"/>
      <c r="V101" s="517">
        <v>0</v>
      </c>
      <c r="W101" s="446"/>
      <c r="X101" s="425"/>
    </row>
    <row r="102" spans="1:26" s="426" customFormat="1" x14ac:dyDescent="0.3">
      <c r="A102" s="443">
        <f>+A101+1</f>
        <v>2</v>
      </c>
      <c r="B102" s="444" t="s">
        <v>331</v>
      </c>
      <c r="C102" s="444"/>
      <c r="D102" s="444"/>
      <c r="E102" s="444"/>
      <c r="F102" s="444"/>
      <c r="G102" s="444"/>
      <c r="H102" s="444"/>
      <c r="I102" s="444"/>
      <c r="J102" s="444"/>
      <c r="K102" s="444"/>
      <c r="L102" s="444"/>
      <c r="M102" s="444"/>
      <c r="N102" s="444"/>
      <c r="O102" s="444"/>
      <c r="P102" s="444"/>
      <c r="Q102" s="444"/>
      <c r="R102" s="444"/>
      <c r="S102" s="444"/>
      <c r="T102" s="444"/>
      <c r="U102" s="444"/>
      <c r="V102" s="517">
        <f>-2</f>
        <v>-2</v>
      </c>
      <c r="W102" s="446"/>
      <c r="X102" s="425"/>
    </row>
    <row r="103" spans="1:26" s="426" customFormat="1" x14ac:dyDescent="0.3">
      <c r="A103" s="443">
        <f>+A102+1</f>
        <v>3</v>
      </c>
      <c r="B103" s="548" t="s">
        <v>332</v>
      </c>
      <c r="C103" s="444"/>
      <c r="D103" s="444"/>
      <c r="E103" s="444"/>
      <c r="F103" s="444"/>
      <c r="G103" s="444"/>
      <c r="H103" s="444"/>
      <c r="I103" s="444"/>
      <c r="J103" s="444"/>
      <c r="K103" s="444"/>
      <c r="L103" s="444"/>
      <c r="M103" s="444"/>
      <c r="N103" s="444"/>
      <c r="O103" s="444"/>
      <c r="P103" s="444"/>
      <c r="Q103" s="444"/>
      <c r="R103" s="444"/>
      <c r="S103" s="444"/>
      <c r="T103" s="444"/>
      <c r="U103" s="444"/>
      <c r="V103" s="517">
        <f>-304-160-10</f>
        <v>-474</v>
      </c>
      <c r="W103" s="446"/>
      <c r="X103" s="425"/>
    </row>
    <row r="104" spans="1:26" s="426" customFormat="1" x14ac:dyDescent="0.3">
      <c r="A104" s="443" t="s">
        <v>130</v>
      </c>
      <c r="B104" s="444" t="s">
        <v>119</v>
      </c>
      <c r="C104" s="444"/>
      <c r="D104" s="444"/>
      <c r="E104" s="444"/>
      <c r="F104" s="444"/>
      <c r="G104" s="444"/>
      <c r="H104" s="444"/>
      <c r="I104" s="444"/>
      <c r="J104" s="444"/>
      <c r="K104" s="444"/>
      <c r="L104" s="444"/>
      <c r="M104" s="444"/>
      <c r="N104" s="444"/>
      <c r="O104" s="444"/>
      <c r="P104" s="444"/>
      <c r="Q104" s="444"/>
      <c r="R104" s="444"/>
      <c r="S104" s="444"/>
      <c r="T104" s="444"/>
      <c r="U104" s="444"/>
      <c r="V104" s="517">
        <v>0</v>
      </c>
      <c r="W104" s="446"/>
      <c r="X104" s="425"/>
    </row>
    <row r="105" spans="1:26" s="426" customFormat="1" x14ac:dyDescent="0.3">
      <c r="A105" s="443" t="s">
        <v>131</v>
      </c>
      <c r="B105" s="444" t="s">
        <v>362</v>
      </c>
      <c r="C105" s="444"/>
      <c r="D105" s="444"/>
      <c r="E105" s="444"/>
      <c r="F105" s="444"/>
      <c r="G105" s="444"/>
      <c r="H105" s="444"/>
      <c r="I105" s="444"/>
      <c r="J105" s="444"/>
      <c r="K105" s="444"/>
      <c r="L105" s="444"/>
      <c r="M105" s="444"/>
      <c r="N105" s="444"/>
      <c r="O105" s="444"/>
      <c r="P105" s="444"/>
      <c r="Q105" s="444"/>
      <c r="R105" s="444"/>
      <c r="S105" s="444"/>
      <c r="T105" s="444"/>
      <c r="U105" s="444"/>
      <c r="V105" s="517">
        <f>-576-90</f>
        <v>-666</v>
      </c>
      <c r="W105" s="446"/>
      <c r="X105" s="425"/>
      <c r="Y105" s="549"/>
      <c r="Z105" s="549"/>
    </row>
    <row r="106" spans="1:26" s="426" customFormat="1" x14ac:dyDescent="0.3">
      <c r="A106" s="443" t="s">
        <v>153</v>
      </c>
      <c r="B106" s="444" t="s">
        <v>363</v>
      </c>
      <c r="C106" s="444"/>
      <c r="D106" s="444"/>
      <c r="E106" s="444"/>
      <c r="F106" s="444"/>
      <c r="G106" s="444"/>
      <c r="H106" s="444"/>
      <c r="I106" s="444"/>
      <c r="J106" s="444"/>
      <c r="K106" s="444"/>
      <c r="L106" s="444"/>
      <c r="M106" s="444"/>
      <c r="N106" s="444"/>
      <c r="O106" s="444"/>
      <c r="P106" s="444"/>
      <c r="Q106" s="444"/>
      <c r="R106" s="444"/>
      <c r="S106" s="444"/>
      <c r="T106" s="444"/>
      <c r="U106" s="444"/>
      <c r="V106" s="517">
        <f>-961+666</f>
        <v>-295</v>
      </c>
      <c r="W106" s="446"/>
      <c r="X106" s="425"/>
      <c r="Y106" s="549"/>
    </row>
    <row r="107" spans="1:26" s="426" customFormat="1" x14ac:dyDescent="0.3">
      <c r="A107" s="443" t="s">
        <v>266</v>
      </c>
      <c r="B107" s="444" t="s">
        <v>269</v>
      </c>
      <c r="C107" s="444"/>
      <c r="D107" s="444"/>
      <c r="E107" s="444"/>
      <c r="F107" s="444"/>
      <c r="G107" s="444"/>
      <c r="H107" s="444"/>
      <c r="I107" s="444"/>
      <c r="J107" s="444"/>
      <c r="K107" s="444"/>
      <c r="L107" s="444"/>
      <c r="M107" s="444"/>
      <c r="N107" s="444"/>
      <c r="O107" s="444"/>
      <c r="P107" s="444"/>
      <c r="Q107" s="444"/>
      <c r="R107" s="444"/>
      <c r="S107" s="444"/>
      <c r="T107" s="444"/>
      <c r="U107" s="444"/>
      <c r="V107" s="517">
        <v>0</v>
      </c>
      <c r="W107" s="446"/>
      <c r="X107" s="425"/>
    </row>
    <row r="108" spans="1:26" s="426" customFormat="1" x14ac:dyDescent="0.3">
      <c r="A108" s="443" t="s">
        <v>208</v>
      </c>
      <c r="B108" s="444" t="s">
        <v>188</v>
      </c>
      <c r="C108" s="444"/>
      <c r="D108" s="444"/>
      <c r="E108" s="444"/>
      <c r="F108" s="444"/>
      <c r="G108" s="444"/>
      <c r="H108" s="444"/>
      <c r="I108" s="444"/>
      <c r="J108" s="444"/>
      <c r="K108" s="444"/>
      <c r="L108" s="444"/>
      <c r="M108" s="444"/>
      <c r="N108" s="444"/>
      <c r="O108" s="444"/>
      <c r="P108" s="444"/>
      <c r="Q108" s="444"/>
      <c r="R108" s="444"/>
      <c r="S108" s="444"/>
      <c r="T108" s="444"/>
      <c r="U108" s="444"/>
      <c r="V108" s="517">
        <v>-113</v>
      </c>
      <c r="W108" s="446"/>
      <c r="X108" s="425"/>
      <c r="Y108" s="549"/>
    </row>
    <row r="109" spans="1:26" s="426" customFormat="1" x14ac:dyDescent="0.3">
      <c r="A109" s="443" t="s">
        <v>209</v>
      </c>
      <c r="B109" s="444" t="s">
        <v>189</v>
      </c>
      <c r="C109" s="444"/>
      <c r="D109" s="444"/>
      <c r="E109" s="444"/>
      <c r="F109" s="444"/>
      <c r="G109" s="444"/>
      <c r="H109" s="444"/>
      <c r="I109" s="444"/>
      <c r="J109" s="444"/>
      <c r="K109" s="444"/>
      <c r="L109" s="444"/>
      <c r="M109" s="444"/>
      <c r="N109" s="444"/>
      <c r="O109" s="444"/>
      <c r="P109" s="444"/>
      <c r="Q109" s="444"/>
      <c r="R109" s="444"/>
      <c r="S109" s="444"/>
      <c r="T109" s="444"/>
      <c r="U109" s="444"/>
      <c r="V109" s="517">
        <v>-110</v>
      </c>
      <c r="W109" s="446"/>
      <c r="X109" s="425"/>
      <c r="Y109" s="549"/>
    </row>
    <row r="110" spans="1:26" s="426" customFormat="1" x14ac:dyDescent="0.3">
      <c r="A110" s="443" t="s">
        <v>210</v>
      </c>
      <c r="B110" s="444" t="s">
        <v>199</v>
      </c>
      <c r="C110" s="444"/>
      <c r="D110" s="444"/>
      <c r="E110" s="444"/>
      <c r="F110" s="444"/>
      <c r="G110" s="444"/>
      <c r="H110" s="444"/>
      <c r="I110" s="444"/>
      <c r="J110" s="444"/>
      <c r="K110" s="444"/>
      <c r="L110" s="444"/>
      <c r="M110" s="444"/>
      <c r="N110" s="444"/>
      <c r="O110" s="444"/>
      <c r="P110" s="444"/>
      <c r="Q110" s="444"/>
      <c r="R110" s="444"/>
      <c r="S110" s="444"/>
      <c r="T110" s="444"/>
      <c r="U110" s="444"/>
      <c r="V110" s="517">
        <v>-167</v>
      </c>
      <c r="W110" s="446"/>
      <c r="X110" s="425"/>
      <c r="Y110" s="549"/>
    </row>
    <row r="111" spans="1:26" s="426" customFormat="1" x14ac:dyDescent="0.3">
      <c r="A111" s="443" t="s">
        <v>230</v>
      </c>
      <c r="B111" s="444" t="s">
        <v>229</v>
      </c>
      <c r="C111" s="444"/>
      <c r="D111" s="444"/>
      <c r="E111" s="444"/>
      <c r="F111" s="444"/>
      <c r="G111" s="444"/>
      <c r="H111" s="444"/>
      <c r="I111" s="444"/>
      <c r="J111" s="444"/>
      <c r="K111" s="444"/>
      <c r="L111" s="444"/>
      <c r="M111" s="444"/>
      <c r="N111" s="444"/>
      <c r="O111" s="444"/>
      <c r="P111" s="444"/>
      <c r="Q111" s="444"/>
      <c r="R111" s="444"/>
      <c r="S111" s="444"/>
      <c r="T111" s="444"/>
      <c r="U111" s="444"/>
      <c r="V111" s="517">
        <v>-39</v>
      </c>
      <c r="W111" s="446"/>
      <c r="X111" s="425"/>
      <c r="Y111" s="549"/>
    </row>
    <row r="112" spans="1:26" s="426" customFormat="1" x14ac:dyDescent="0.3">
      <c r="A112" s="550">
        <v>7</v>
      </c>
      <c r="B112" s="548" t="s">
        <v>333</v>
      </c>
      <c r="C112" s="548"/>
      <c r="D112" s="548"/>
      <c r="E112" s="548"/>
      <c r="F112" s="548"/>
      <c r="G112" s="444"/>
      <c r="H112" s="444"/>
      <c r="I112" s="444"/>
      <c r="J112" s="444"/>
      <c r="K112" s="444"/>
      <c r="L112" s="444"/>
      <c r="M112" s="444"/>
      <c r="N112" s="444"/>
      <c r="O112" s="444"/>
      <c r="P112" s="444"/>
      <c r="Q112" s="444"/>
      <c r="R112" s="444"/>
      <c r="S112" s="444"/>
      <c r="T112" s="444"/>
      <c r="U112" s="444"/>
      <c r="V112" s="517">
        <v>0</v>
      </c>
      <c r="W112" s="446"/>
      <c r="X112" s="425"/>
      <c r="Y112" s="549"/>
    </row>
    <row r="113" spans="1:24" s="426" customFormat="1" x14ac:dyDescent="0.3">
      <c r="A113" s="443">
        <f t="shared" ref="A113:A120" si="0">+A112+1</f>
        <v>8</v>
      </c>
      <c r="B113" s="444" t="s">
        <v>35</v>
      </c>
      <c r="C113" s="444"/>
      <c r="D113" s="444"/>
      <c r="E113" s="444"/>
      <c r="F113" s="444"/>
      <c r="G113" s="444"/>
      <c r="H113" s="444"/>
      <c r="I113" s="444"/>
      <c r="J113" s="444"/>
      <c r="K113" s="444"/>
      <c r="L113" s="444"/>
      <c r="M113" s="444"/>
      <c r="N113" s="444"/>
      <c r="O113" s="444"/>
      <c r="P113" s="444"/>
      <c r="Q113" s="444"/>
      <c r="R113" s="444"/>
      <c r="S113" s="444"/>
      <c r="T113" s="444"/>
      <c r="U113" s="444"/>
      <c r="V113" s="517">
        <v>-43</v>
      </c>
      <c r="W113" s="446"/>
      <c r="X113" s="425"/>
    </row>
    <row r="114" spans="1:24" s="426" customFormat="1" x14ac:dyDescent="0.3">
      <c r="A114" s="443">
        <f t="shared" si="0"/>
        <v>9</v>
      </c>
      <c r="B114" s="444" t="s">
        <v>45</v>
      </c>
      <c r="C114" s="444"/>
      <c r="D114" s="444"/>
      <c r="E114" s="444"/>
      <c r="F114" s="444"/>
      <c r="G114" s="444"/>
      <c r="H114" s="444"/>
      <c r="I114" s="444"/>
      <c r="J114" s="444"/>
      <c r="K114" s="444"/>
      <c r="L114" s="444"/>
      <c r="M114" s="444"/>
      <c r="N114" s="444"/>
      <c r="O114" s="444"/>
      <c r="P114" s="444"/>
      <c r="Q114" s="444"/>
      <c r="R114" s="444"/>
      <c r="S114" s="444"/>
      <c r="T114" s="516">
        <f>-V114</f>
        <v>489</v>
      </c>
      <c r="U114" s="444"/>
      <c r="V114" s="517">
        <v>-489</v>
      </c>
      <c r="W114" s="446"/>
      <c r="X114" s="425"/>
    </row>
    <row r="115" spans="1:24" s="426" customFormat="1" x14ac:dyDescent="0.3">
      <c r="A115" s="443">
        <f t="shared" si="0"/>
        <v>10</v>
      </c>
      <c r="B115" s="444" t="s">
        <v>128</v>
      </c>
      <c r="C115" s="444"/>
      <c r="D115" s="444"/>
      <c r="E115" s="444"/>
      <c r="F115" s="444"/>
      <c r="G115" s="444"/>
      <c r="H115" s="444"/>
      <c r="I115" s="444"/>
      <c r="J115" s="444"/>
      <c r="K115" s="444"/>
      <c r="L115" s="444"/>
      <c r="M115" s="444"/>
      <c r="N115" s="444"/>
      <c r="O115" s="444"/>
      <c r="P115" s="444"/>
      <c r="Q115" s="444"/>
      <c r="R115" s="444"/>
      <c r="S115" s="444"/>
      <c r="T115" s="444"/>
      <c r="U115" s="444"/>
      <c r="V115" s="517">
        <v>0</v>
      </c>
      <c r="W115" s="446"/>
      <c r="X115" s="425"/>
    </row>
    <row r="116" spans="1:24" s="426" customFormat="1" x14ac:dyDescent="0.3">
      <c r="A116" s="443">
        <f t="shared" si="0"/>
        <v>11</v>
      </c>
      <c r="B116" s="444" t="s">
        <v>271</v>
      </c>
      <c r="C116" s="444"/>
      <c r="D116" s="444"/>
      <c r="E116" s="444"/>
      <c r="F116" s="444"/>
      <c r="G116" s="444"/>
      <c r="H116" s="444"/>
      <c r="I116" s="444"/>
      <c r="J116" s="444"/>
      <c r="K116" s="444"/>
      <c r="L116" s="444"/>
      <c r="M116" s="444"/>
      <c r="N116" s="444"/>
      <c r="O116" s="444"/>
      <c r="P116" s="444"/>
      <c r="Q116" s="444"/>
      <c r="R116" s="444"/>
      <c r="S116" s="444"/>
      <c r="T116" s="444"/>
      <c r="U116" s="444"/>
      <c r="V116" s="517">
        <v>0</v>
      </c>
      <c r="W116" s="446"/>
      <c r="X116" s="425"/>
    </row>
    <row r="117" spans="1:24" s="426" customFormat="1" x14ac:dyDescent="0.3">
      <c r="A117" s="443">
        <f t="shared" si="0"/>
        <v>12</v>
      </c>
      <c r="B117" s="444" t="s">
        <v>36</v>
      </c>
      <c r="C117" s="444"/>
      <c r="D117" s="444"/>
      <c r="E117" s="444"/>
      <c r="F117" s="444"/>
      <c r="G117" s="444"/>
      <c r="H117" s="444"/>
      <c r="I117" s="444"/>
      <c r="J117" s="444"/>
      <c r="K117" s="444"/>
      <c r="L117" s="444"/>
      <c r="M117" s="444"/>
      <c r="N117" s="444"/>
      <c r="O117" s="444"/>
      <c r="P117" s="444"/>
      <c r="Q117" s="444"/>
      <c r="R117" s="444"/>
      <c r="S117" s="444"/>
      <c r="T117" s="444"/>
      <c r="U117" s="444"/>
      <c r="V117" s="517">
        <v>0</v>
      </c>
      <c r="W117" s="446"/>
      <c r="X117" s="425"/>
    </row>
    <row r="118" spans="1:24" s="426" customFormat="1" x14ac:dyDescent="0.3">
      <c r="A118" s="443">
        <f t="shared" si="0"/>
        <v>13</v>
      </c>
      <c r="B118" s="444" t="s">
        <v>270</v>
      </c>
      <c r="C118" s="444"/>
      <c r="D118" s="444"/>
      <c r="E118" s="444"/>
      <c r="F118" s="444"/>
      <c r="G118" s="444"/>
      <c r="H118" s="444"/>
      <c r="I118" s="444"/>
      <c r="J118" s="444"/>
      <c r="K118" s="444"/>
      <c r="L118" s="444"/>
      <c r="M118" s="444"/>
      <c r="N118" s="444"/>
      <c r="O118" s="444"/>
      <c r="P118" s="444"/>
      <c r="Q118" s="444"/>
      <c r="R118" s="444"/>
      <c r="S118" s="444"/>
      <c r="T118" s="444"/>
      <c r="U118" s="444"/>
      <c r="V118" s="517">
        <v>0</v>
      </c>
      <c r="W118" s="446"/>
      <c r="X118" s="425"/>
    </row>
    <row r="119" spans="1:24" s="426" customFormat="1" x14ac:dyDescent="0.3">
      <c r="A119" s="443">
        <f t="shared" si="0"/>
        <v>14</v>
      </c>
      <c r="B119" s="444" t="s">
        <v>152</v>
      </c>
      <c r="C119" s="444"/>
      <c r="D119" s="444"/>
      <c r="E119" s="444"/>
      <c r="F119" s="444"/>
      <c r="G119" s="444"/>
      <c r="H119" s="444"/>
      <c r="I119" s="444"/>
      <c r="J119" s="444"/>
      <c r="K119" s="444"/>
      <c r="L119" s="444"/>
      <c r="M119" s="444"/>
      <c r="N119" s="444"/>
      <c r="O119" s="444"/>
      <c r="P119" s="444"/>
      <c r="Q119" s="444"/>
      <c r="R119" s="444"/>
      <c r="S119" s="444"/>
      <c r="T119" s="444"/>
      <c r="U119" s="444"/>
      <c r="V119" s="517">
        <v>-304</v>
      </c>
      <c r="W119" s="446"/>
      <c r="X119" s="425"/>
    </row>
    <row r="120" spans="1:24" s="426" customFormat="1" x14ac:dyDescent="0.3">
      <c r="A120" s="443">
        <f t="shared" si="0"/>
        <v>15</v>
      </c>
      <c r="B120" s="444" t="s">
        <v>129</v>
      </c>
      <c r="C120" s="444"/>
      <c r="D120" s="444"/>
      <c r="E120" s="444"/>
      <c r="F120" s="444"/>
      <c r="G120" s="444"/>
      <c r="H120" s="444"/>
      <c r="I120" s="444"/>
      <c r="J120" s="444"/>
      <c r="K120" s="444"/>
      <c r="L120" s="444"/>
      <c r="M120" s="444"/>
      <c r="N120" s="444"/>
      <c r="O120" s="444"/>
      <c r="P120" s="444"/>
      <c r="Q120" s="444"/>
      <c r="R120" s="444"/>
      <c r="S120" s="444"/>
      <c r="T120" s="444"/>
      <c r="U120" s="444"/>
      <c r="V120" s="517">
        <f>-V99-SUM(V101:V119)</f>
        <v>-2349</v>
      </c>
      <c r="W120" s="446"/>
      <c r="X120" s="425"/>
    </row>
    <row r="121" spans="1:24" x14ac:dyDescent="0.3">
      <c r="A121" s="543"/>
      <c r="B121" s="544" t="s">
        <v>37</v>
      </c>
      <c r="C121" s="465"/>
      <c r="D121" s="465"/>
      <c r="E121" s="465"/>
      <c r="F121" s="465"/>
      <c r="G121" s="465"/>
      <c r="H121" s="465"/>
      <c r="I121" s="465"/>
      <c r="J121" s="465"/>
      <c r="K121" s="465"/>
      <c r="L121" s="465"/>
      <c r="M121" s="465"/>
      <c r="N121" s="465"/>
      <c r="O121" s="465"/>
      <c r="P121" s="465"/>
      <c r="Q121" s="465"/>
      <c r="R121" s="465"/>
      <c r="S121" s="465"/>
      <c r="T121" s="465"/>
      <c r="U121" s="465"/>
      <c r="V121" s="551"/>
      <c r="W121" s="547"/>
      <c r="X121" s="406"/>
    </row>
    <row r="122" spans="1:24" s="426" customFormat="1" x14ac:dyDescent="0.3">
      <c r="A122" s="443"/>
      <c r="B122" s="444" t="s">
        <v>176</v>
      </c>
      <c r="C122" s="444"/>
      <c r="D122" s="444"/>
      <c r="E122" s="444"/>
      <c r="F122" s="444"/>
      <c r="G122" s="444"/>
      <c r="H122" s="444"/>
      <c r="I122" s="444"/>
      <c r="J122" s="444"/>
      <c r="K122" s="444"/>
      <c r="L122" s="444"/>
      <c r="M122" s="444"/>
      <c r="N122" s="444"/>
      <c r="O122" s="444"/>
      <c r="P122" s="444"/>
      <c r="Q122" s="444"/>
      <c r="R122" s="444"/>
      <c r="S122" s="444"/>
      <c r="T122" s="516">
        <f>-T182</f>
        <v>0</v>
      </c>
      <c r="U122" s="516"/>
      <c r="V122" s="517"/>
      <c r="W122" s="446"/>
      <c r="X122" s="425"/>
    </row>
    <row r="123" spans="1:24" s="426" customFormat="1" x14ac:dyDescent="0.3">
      <c r="A123" s="443"/>
      <c r="B123" s="444" t="s">
        <v>177</v>
      </c>
      <c r="C123" s="444"/>
      <c r="D123" s="444"/>
      <c r="E123" s="444"/>
      <c r="F123" s="444"/>
      <c r="G123" s="444"/>
      <c r="H123" s="444"/>
      <c r="I123" s="444"/>
      <c r="J123" s="444"/>
      <c r="K123" s="444"/>
      <c r="L123" s="444"/>
      <c r="M123" s="444"/>
      <c r="N123" s="444"/>
      <c r="O123" s="444"/>
      <c r="P123" s="444"/>
      <c r="Q123" s="444"/>
      <c r="R123" s="444"/>
      <c r="S123" s="444"/>
      <c r="T123" s="516">
        <v>0</v>
      </c>
      <c r="U123" s="516"/>
      <c r="V123" s="517"/>
      <c r="W123" s="446"/>
      <c r="X123" s="425"/>
    </row>
    <row r="124" spans="1:24" s="426" customFormat="1" x14ac:dyDescent="0.3">
      <c r="A124" s="443"/>
      <c r="B124" s="444" t="s">
        <v>38</v>
      </c>
      <c r="C124" s="444"/>
      <c r="D124" s="444"/>
      <c r="E124" s="444"/>
      <c r="F124" s="444"/>
      <c r="G124" s="444"/>
      <c r="H124" s="444"/>
      <c r="I124" s="444"/>
      <c r="J124" s="444"/>
      <c r="K124" s="444"/>
      <c r="L124" s="444"/>
      <c r="M124" s="444"/>
      <c r="N124" s="444"/>
      <c r="O124" s="444"/>
      <c r="P124" s="444"/>
      <c r="Q124" s="444"/>
      <c r="R124" s="444"/>
      <c r="S124" s="444"/>
      <c r="T124" s="516">
        <f>-S182</f>
        <v>-1085</v>
      </c>
      <c r="U124" s="516"/>
      <c r="V124" s="517"/>
      <c r="W124" s="446"/>
      <c r="X124" s="425"/>
    </row>
    <row r="125" spans="1:24" s="426" customFormat="1" x14ac:dyDescent="0.3">
      <c r="A125" s="443"/>
      <c r="B125" s="444" t="s">
        <v>386</v>
      </c>
      <c r="C125" s="444"/>
      <c r="D125" s="444"/>
      <c r="E125" s="444"/>
      <c r="F125" s="444"/>
      <c r="G125" s="444"/>
      <c r="H125" s="444"/>
      <c r="I125" s="444"/>
      <c r="J125" s="444"/>
      <c r="K125" s="444"/>
      <c r="L125" s="444"/>
      <c r="M125" s="444"/>
      <c r="N125" s="444"/>
      <c r="O125" s="444"/>
      <c r="P125" s="444"/>
      <c r="Q125" s="444"/>
      <c r="R125" s="444"/>
      <c r="S125" s="444"/>
      <c r="T125" s="516">
        <v>-5452</v>
      </c>
      <c r="U125" s="516"/>
      <c r="V125" s="517"/>
      <c r="W125" s="446"/>
      <c r="X125" s="425"/>
    </row>
    <row r="126" spans="1:24" s="426" customFormat="1" x14ac:dyDescent="0.3">
      <c r="A126" s="443"/>
      <c r="B126" s="444" t="s">
        <v>198</v>
      </c>
      <c r="C126" s="444"/>
      <c r="D126" s="444"/>
      <c r="E126" s="444"/>
      <c r="F126" s="444"/>
      <c r="G126" s="444"/>
      <c r="H126" s="444"/>
      <c r="I126" s="444"/>
      <c r="J126" s="444"/>
      <c r="K126" s="444"/>
      <c r="L126" s="444"/>
      <c r="M126" s="444"/>
      <c r="N126" s="444"/>
      <c r="O126" s="444"/>
      <c r="P126" s="444"/>
      <c r="Q126" s="444"/>
      <c r="R126" s="444"/>
      <c r="S126" s="444"/>
      <c r="T126" s="516">
        <v>-854</v>
      </c>
      <c r="U126" s="516"/>
      <c r="V126" s="517"/>
      <c r="W126" s="446"/>
      <c r="X126" s="425"/>
    </row>
    <row r="127" spans="1:24" s="426" customFormat="1" x14ac:dyDescent="0.3">
      <c r="A127" s="443"/>
      <c r="B127" s="444" t="s">
        <v>197</v>
      </c>
      <c r="C127" s="444"/>
      <c r="D127" s="444"/>
      <c r="E127" s="444"/>
      <c r="F127" s="444"/>
      <c r="G127" s="444"/>
      <c r="H127" s="444"/>
      <c r="I127" s="444"/>
      <c r="J127" s="444"/>
      <c r="K127" s="444"/>
      <c r="L127" s="444"/>
      <c r="M127" s="444"/>
      <c r="N127" s="444"/>
      <c r="O127" s="444"/>
      <c r="P127" s="444"/>
      <c r="Q127" s="444"/>
      <c r="R127" s="444"/>
      <c r="S127" s="444"/>
      <c r="T127" s="516">
        <v>-1444</v>
      </c>
      <c r="U127" s="516"/>
      <c r="V127" s="517"/>
      <c r="W127" s="446"/>
      <c r="X127" s="425"/>
    </row>
    <row r="128" spans="1:24" s="426" customFormat="1" x14ac:dyDescent="0.3">
      <c r="A128" s="443"/>
      <c r="B128" s="444" t="s">
        <v>232</v>
      </c>
      <c r="C128" s="444"/>
      <c r="D128" s="444"/>
      <c r="E128" s="444"/>
      <c r="F128" s="444"/>
      <c r="G128" s="444"/>
      <c r="H128" s="444"/>
      <c r="I128" s="444"/>
      <c r="J128" s="444"/>
      <c r="K128" s="444"/>
      <c r="L128" s="444"/>
      <c r="M128" s="444"/>
      <c r="N128" s="444"/>
      <c r="O128" s="444"/>
      <c r="P128" s="444"/>
      <c r="Q128" s="444"/>
      <c r="R128" s="444"/>
      <c r="S128" s="444"/>
      <c r="T128" s="516">
        <v>-1272</v>
      </c>
      <c r="U128" s="516"/>
      <c r="V128" s="517"/>
      <c r="W128" s="446"/>
      <c r="X128" s="425"/>
    </row>
    <row r="129" spans="1:24" s="426" customFormat="1" x14ac:dyDescent="0.3">
      <c r="A129" s="443"/>
      <c r="B129" s="444" t="s">
        <v>192</v>
      </c>
      <c r="C129" s="444"/>
      <c r="D129" s="444"/>
      <c r="E129" s="444"/>
      <c r="F129" s="444"/>
      <c r="G129" s="444"/>
      <c r="H129" s="444"/>
      <c r="I129" s="444"/>
      <c r="J129" s="444"/>
      <c r="K129" s="444"/>
      <c r="L129" s="444"/>
      <c r="M129" s="444"/>
      <c r="N129" s="444"/>
      <c r="O129" s="444"/>
      <c r="P129" s="444"/>
      <c r="Q129" s="444"/>
      <c r="R129" s="444"/>
      <c r="S129" s="444"/>
      <c r="T129" s="516">
        <v>0</v>
      </c>
      <c r="U129" s="516"/>
      <c r="V129" s="517"/>
      <c r="W129" s="446"/>
      <c r="X129" s="425"/>
    </row>
    <row r="130" spans="1:24" s="426" customFormat="1" x14ac:dyDescent="0.3">
      <c r="A130" s="443"/>
      <c r="B130" s="444" t="s">
        <v>191</v>
      </c>
      <c r="C130" s="444"/>
      <c r="D130" s="444"/>
      <c r="E130" s="444"/>
      <c r="F130" s="444"/>
      <c r="G130" s="444"/>
      <c r="H130" s="444"/>
      <c r="I130" s="444"/>
      <c r="J130" s="444"/>
      <c r="K130" s="444"/>
      <c r="L130" s="444"/>
      <c r="M130" s="444"/>
      <c r="N130" s="444"/>
      <c r="O130" s="444"/>
      <c r="P130" s="444"/>
      <c r="Q130" s="444"/>
      <c r="R130" s="444"/>
      <c r="S130" s="444"/>
      <c r="T130" s="516">
        <v>0</v>
      </c>
      <c r="U130" s="516"/>
      <c r="V130" s="517"/>
      <c r="W130" s="446"/>
      <c r="X130" s="425"/>
    </row>
    <row r="131" spans="1:24" s="426" customFormat="1" x14ac:dyDescent="0.3">
      <c r="A131" s="443"/>
      <c r="B131" s="444" t="s">
        <v>233</v>
      </c>
      <c r="C131" s="444"/>
      <c r="D131" s="444"/>
      <c r="E131" s="444"/>
      <c r="F131" s="444"/>
      <c r="G131" s="444"/>
      <c r="H131" s="444"/>
      <c r="I131" s="444"/>
      <c r="J131" s="444"/>
      <c r="K131" s="444"/>
      <c r="L131" s="444"/>
      <c r="M131" s="444"/>
      <c r="N131" s="444"/>
      <c r="O131" s="444"/>
      <c r="P131" s="444"/>
      <c r="Q131" s="444"/>
      <c r="R131" s="444"/>
      <c r="S131" s="444"/>
      <c r="T131" s="516">
        <v>0</v>
      </c>
      <c r="U131" s="516"/>
      <c r="V131" s="517"/>
      <c r="W131" s="446"/>
      <c r="X131" s="425"/>
    </row>
    <row r="132" spans="1:24" s="426" customFormat="1" x14ac:dyDescent="0.3">
      <c r="A132" s="443"/>
      <c r="B132" s="444" t="s">
        <v>190</v>
      </c>
      <c r="C132" s="444"/>
      <c r="D132" s="444"/>
      <c r="E132" s="444"/>
      <c r="F132" s="444"/>
      <c r="G132" s="444"/>
      <c r="H132" s="444"/>
      <c r="I132" s="444"/>
      <c r="J132" s="444"/>
      <c r="K132" s="444"/>
      <c r="L132" s="444"/>
      <c r="M132" s="444"/>
      <c r="N132" s="444"/>
      <c r="O132" s="444"/>
      <c r="P132" s="444"/>
      <c r="Q132" s="444"/>
      <c r="R132" s="444"/>
      <c r="S132" s="444"/>
      <c r="T132" s="516">
        <v>0</v>
      </c>
      <c r="U132" s="516"/>
      <c r="V132" s="517"/>
      <c r="W132" s="446"/>
      <c r="X132" s="425"/>
    </row>
    <row r="133" spans="1:24" s="426" customFormat="1" x14ac:dyDescent="0.3">
      <c r="A133" s="443"/>
      <c r="B133" s="444" t="s">
        <v>39</v>
      </c>
      <c r="C133" s="444"/>
      <c r="D133" s="444"/>
      <c r="E133" s="444"/>
      <c r="F133" s="444"/>
      <c r="G133" s="444"/>
      <c r="H133" s="444"/>
      <c r="I133" s="444"/>
      <c r="J133" s="444"/>
      <c r="K133" s="444"/>
      <c r="L133" s="444"/>
      <c r="M133" s="444"/>
      <c r="N133" s="444"/>
      <c r="O133" s="444"/>
      <c r="P133" s="444"/>
      <c r="Q133" s="444"/>
      <c r="R133" s="444"/>
      <c r="S133" s="444"/>
      <c r="T133" s="516">
        <f>SUM(T122:T132)</f>
        <v>-10107</v>
      </c>
      <c r="U133" s="516"/>
      <c r="V133" s="516">
        <f>SUM(V100:V130)</f>
        <v>-5051</v>
      </c>
      <c r="W133" s="446"/>
      <c r="X133" s="425"/>
    </row>
    <row r="134" spans="1:24" s="426" customFormat="1" x14ac:dyDescent="0.3">
      <c r="A134" s="443"/>
      <c r="B134" s="444" t="s">
        <v>40</v>
      </c>
      <c r="C134" s="444"/>
      <c r="D134" s="444"/>
      <c r="E134" s="444"/>
      <c r="F134" s="444"/>
      <c r="G134" s="444"/>
      <c r="H134" s="444"/>
      <c r="I134" s="444"/>
      <c r="J134" s="444"/>
      <c r="K134" s="444"/>
      <c r="L134" s="444"/>
      <c r="M134" s="444"/>
      <c r="N134" s="444"/>
      <c r="O134" s="444"/>
      <c r="P134" s="444"/>
      <c r="Q134" s="444"/>
      <c r="R134" s="444"/>
      <c r="S134" s="444"/>
      <c r="T134" s="516">
        <f>T99+T133+T114</f>
        <v>0</v>
      </c>
      <c r="U134" s="516"/>
      <c r="V134" s="516">
        <f>V99+V133</f>
        <v>0</v>
      </c>
      <c r="W134" s="446"/>
      <c r="X134" s="425"/>
    </row>
    <row r="135" spans="1:24" s="426" customFormat="1" x14ac:dyDescent="0.3">
      <c r="A135" s="421"/>
      <c r="B135" s="494"/>
      <c r="C135" s="494"/>
      <c r="D135" s="494"/>
      <c r="E135" s="494"/>
      <c r="F135" s="494"/>
      <c r="G135" s="494"/>
      <c r="H135" s="494"/>
      <c r="I135" s="494"/>
      <c r="J135" s="494"/>
      <c r="K135" s="494"/>
      <c r="L135" s="494"/>
      <c r="M135" s="494"/>
      <c r="N135" s="494"/>
      <c r="O135" s="494"/>
      <c r="P135" s="494"/>
      <c r="Q135" s="494"/>
      <c r="R135" s="494"/>
      <c r="S135" s="494"/>
      <c r="T135" s="552"/>
      <c r="U135" s="552"/>
      <c r="V135" s="552"/>
      <c r="W135" s="424"/>
      <c r="X135" s="425"/>
    </row>
    <row r="136" spans="1:24" s="426" customFormat="1" x14ac:dyDescent="0.3">
      <c r="A136" s="421"/>
      <c r="B136" s="422"/>
      <c r="C136" s="422"/>
      <c r="D136" s="422"/>
      <c r="E136" s="422"/>
      <c r="F136" s="422"/>
      <c r="G136" s="422"/>
      <c r="H136" s="422"/>
      <c r="I136" s="422"/>
      <c r="J136" s="422"/>
      <c r="K136" s="422"/>
      <c r="L136" s="422"/>
      <c r="M136" s="422"/>
      <c r="N136" s="422"/>
      <c r="O136" s="422"/>
      <c r="P136" s="422"/>
      <c r="Q136" s="422"/>
      <c r="R136" s="422"/>
      <c r="S136" s="422"/>
      <c r="T136" s="422"/>
      <c r="U136" s="422"/>
      <c r="V136" s="553"/>
      <c r="W136" s="424"/>
      <c r="X136" s="425"/>
    </row>
    <row r="137" spans="1:24" s="426" customFormat="1" ht="18.600000000000001" thickBot="1" x14ac:dyDescent="0.4">
      <c r="A137" s="500"/>
      <c r="B137" s="501" t="str">
        <f>B63</f>
        <v>PM13 INVESTOR REPORT QUARTER ENDING DECEMBER 2017</v>
      </c>
      <c r="C137" s="502"/>
      <c r="D137" s="502"/>
      <c r="E137" s="502"/>
      <c r="F137" s="502"/>
      <c r="G137" s="502"/>
      <c r="H137" s="502"/>
      <c r="I137" s="502"/>
      <c r="J137" s="502"/>
      <c r="K137" s="502"/>
      <c r="L137" s="502"/>
      <c r="M137" s="502"/>
      <c r="N137" s="502"/>
      <c r="O137" s="502"/>
      <c r="P137" s="502"/>
      <c r="Q137" s="502"/>
      <c r="R137" s="502"/>
      <c r="S137" s="502"/>
      <c r="T137" s="502"/>
      <c r="U137" s="502"/>
      <c r="V137" s="554"/>
      <c r="W137" s="555"/>
      <c r="X137" s="425"/>
    </row>
    <row r="138" spans="1:24" x14ac:dyDescent="0.3">
      <c r="A138" s="505"/>
      <c r="B138" s="506" t="s">
        <v>41</v>
      </c>
      <c r="C138" s="507"/>
      <c r="D138" s="507"/>
      <c r="E138" s="507"/>
      <c r="F138" s="507"/>
      <c r="G138" s="507"/>
      <c r="H138" s="507"/>
      <c r="I138" s="507"/>
      <c r="J138" s="507"/>
      <c r="K138" s="507"/>
      <c r="L138" s="507"/>
      <c r="M138" s="507"/>
      <c r="N138" s="507"/>
      <c r="O138" s="507"/>
      <c r="P138" s="507"/>
      <c r="Q138" s="507"/>
      <c r="R138" s="507"/>
      <c r="S138" s="507"/>
      <c r="T138" s="507"/>
      <c r="U138" s="507"/>
      <c r="V138" s="508"/>
      <c r="W138" s="509"/>
      <c r="X138" s="406"/>
    </row>
    <row r="139" spans="1:24" x14ac:dyDescent="0.3">
      <c r="A139" s="408"/>
      <c r="B139" s="556"/>
      <c r="C139" s="410"/>
      <c r="D139" s="410"/>
      <c r="E139" s="410"/>
      <c r="F139" s="410"/>
      <c r="G139" s="410"/>
      <c r="H139" s="410"/>
      <c r="I139" s="410"/>
      <c r="J139" s="410"/>
      <c r="K139" s="410"/>
      <c r="L139" s="410"/>
      <c r="M139" s="410"/>
      <c r="N139" s="410"/>
      <c r="O139" s="410"/>
      <c r="P139" s="410"/>
      <c r="Q139" s="410"/>
      <c r="R139" s="410"/>
      <c r="S139" s="410"/>
      <c r="T139" s="410"/>
      <c r="U139" s="410"/>
      <c r="V139" s="510"/>
      <c r="W139" s="411"/>
      <c r="X139" s="406"/>
    </row>
    <row r="140" spans="1:24" x14ac:dyDescent="0.3">
      <c r="A140" s="408"/>
      <c r="B140" s="557" t="s">
        <v>42</v>
      </c>
      <c r="C140" s="410"/>
      <c r="D140" s="410"/>
      <c r="E140" s="410"/>
      <c r="F140" s="410"/>
      <c r="G140" s="410"/>
      <c r="H140" s="410"/>
      <c r="I140" s="410"/>
      <c r="J140" s="410"/>
      <c r="K140" s="410"/>
      <c r="L140" s="410"/>
      <c r="M140" s="410"/>
      <c r="N140" s="410"/>
      <c r="O140" s="410"/>
      <c r="P140" s="410"/>
      <c r="Q140" s="410"/>
      <c r="R140" s="410"/>
      <c r="S140" s="410"/>
      <c r="T140" s="410"/>
      <c r="U140" s="410"/>
      <c r="V140" s="510"/>
      <c r="W140" s="411"/>
      <c r="X140" s="406"/>
    </row>
    <row r="141" spans="1:24" x14ac:dyDescent="0.3">
      <c r="A141" s="543"/>
      <c r="B141" s="444" t="s">
        <v>43</v>
      </c>
      <c r="C141" s="444"/>
      <c r="D141" s="444"/>
      <c r="E141" s="444"/>
      <c r="F141" s="444"/>
      <c r="G141" s="444"/>
      <c r="H141" s="444"/>
      <c r="I141" s="444"/>
      <c r="J141" s="444"/>
      <c r="K141" s="444"/>
      <c r="L141" s="444"/>
      <c r="M141" s="444"/>
      <c r="N141" s="444"/>
      <c r="O141" s="444"/>
      <c r="P141" s="444"/>
      <c r="Q141" s="444"/>
      <c r="R141" s="444"/>
      <c r="S141" s="444"/>
      <c r="T141" s="444"/>
      <c r="U141" s="444"/>
      <c r="V141" s="517">
        <f>+V34*0.019</f>
        <v>28503.61</v>
      </c>
      <c r="W141" s="558"/>
      <c r="X141" s="406"/>
    </row>
    <row r="142" spans="1:24" x14ac:dyDescent="0.3">
      <c r="A142" s="543"/>
      <c r="B142" s="444" t="s">
        <v>44</v>
      </c>
      <c r="C142" s="444"/>
      <c r="D142" s="444"/>
      <c r="E142" s="444"/>
      <c r="F142" s="444"/>
      <c r="G142" s="444"/>
      <c r="H142" s="444"/>
      <c r="I142" s="444"/>
      <c r="J142" s="444"/>
      <c r="K142" s="444"/>
      <c r="L142" s="444"/>
      <c r="M142" s="444"/>
      <c r="N142" s="444"/>
      <c r="O142" s="444"/>
      <c r="P142" s="444"/>
      <c r="Q142" s="444"/>
      <c r="R142" s="444"/>
      <c r="S142" s="444"/>
      <c r="T142" s="444"/>
      <c r="U142" s="444"/>
      <c r="V142" s="517">
        <v>28504</v>
      </c>
      <c r="W142" s="558"/>
      <c r="X142" s="406"/>
    </row>
    <row r="143" spans="1:24" x14ac:dyDescent="0.3">
      <c r="A143" s="543"/>
      <c r="B143" s="444" t="s">
        <v>139</v>
      </c>
      <c r="C143" s="444"/>
      <c r="D143" s="444"/>
      <c r="E143" s="444"/>
      <c r="F143" s="444"/>
      <c r="G143" s="444"/>
      <c r="H143" s="444"/>
      <c r="I143" s="444"/>
      <c r="J143" s="444"/>
      <c r="K143" s="444"/>
      <c r="L143" s="444"/>
      <c r="M143" s="444"/>
      <c r="N143" s="444"/>
      <c r="O143" s="444"/>
      <c r="P143" s="444"/>
      <c r="Q143" s="444"/>
      <c r="R143" s="444"/>
      <c r="S143" s="444"/>
      <c r="T143" s="444"/>
      <c r="U143" s="444"/>
      <c r="V143" s="517"/>
      <c r="W143" s="558"/>
      <c r="X143" s="406"/>
    </row>
    <row r="144" spans="1:24" x14ac:dyDescent="0.3">
      <c r="A144" s="543"/>
      <c r="B144" s="444" t="s">
        <v>126</v>
      </c>
      <c r="C144" s="444"/>
      <c r="D144" s="444"/>
      <c r="E144" s="444"/>
      <c r="F144" s="444"/>
      <c r="G144" s="444"/>
      <c r="H144" s="444"/>
      <c r="I144" s="444"/>
      <c r="J144" s="444"/>
      <c r="K144" s="444"/>
      <c r="L144" s="444"/>
      <c r="M144" s="444"/>
      <c r="N144" s="444"/>
      <c r="O144" s="444"/>
      <c r="P144" s="444"/>
      <c r="Q144" s="444"/>
      <c r="R144" s="444"/>
      <c r="S144" s="444"/>
      <c r="T144" s="444"/>
      <c r="U144" s="444"/>
      <c r="V144" s="517">
        <v>0</v>
      </c>
      <c r="W144" s="558"/>
      <c r="X144" s="406"/>
    </row>
    <row r="145" spans="1:25" x14ac:dyDescent="0.3">
      <c r="A145" s="543"/>
      <c r="B145" s="444" t="s">
        <v>127</v>
      </c>
      <c r="C145" s="444"/>
      <c r="D145" s="444"/>
      <c r="E145" s="444"/>
      <c r="F145" s="444"/>
      <c r="G145" s="444"/>
      <c r="H145" s="444"/>
      <c r="I145" s="444"/>
      <c r="J145" s="444"/>
      <c r="K145" s="444"/>
      <c r="L145" s="444"/>
      <c r="M145" s="444"/>
      <c r="N145" s="444"/>
      <c r="O145" s="444"/>
      <c r="P145" s="444"/>
      <c r="Q145" s="444"/>
      <c r="R145" s="444"/>
      <c r="S145" s="444"/>
      <c r="T145" s="444"/>
      <c r="U145" s="444"/>
      <c r="V145" s="517">
        <v>0</v>
      </c>
      <c r="W145" s="558"/>
      <c r="X145" s="406"/>
    </row>
    <row r="146" spans="1:25" x14ac:dyDescent="0.3">
      <c r="A146" s="543"/>
      <c r="B146" s="444" t="s">
        <v>178</v>
      </c>
      <c r="C146" s="444"/>
      <c r="D146" s="444"/>
      <c r="E146" s="444"/>
      <c r="F146" s="444"/>
      <c r="G146" s="444"/>
      <c r="H146" s="444"/>
      <c r="I146" s="444"/>
      <c r="J146" s="444"/>
      <c r="K146" s="444"/>
      <c r="L146" s="444"/>
      <c r="M146" s="444"/>
      <c r="N146" s="444"/>
      <c r="O146" s="444"/>
      <c r="P146" s="444"/>
      <c r="Q146" s="444"/>
      <c r="R146" s="444"/>
      <c r="S146" s="444"/>
      <c r="T146" s="444"/>
      <c r="U146" s="444"/>
      <c r="V146" s="517">
        <v>0</v>
      </c>
      <c r="W146" s="558"/>
      <c r="X146" s="406"/>
    </row>
    <row r="147" spans="1:25" x14ac:dyDescent="0.3">
      <c r="A147" s="543"/>
      <c r="B147" s="444" t="s">
        <v>45</v>
      </c>
      <c r="C147" s="444"/>
      <c r="D147" s="444"/>
      <c r="E147" s="444"/>
      <c r="F147" s="444"/>
      <c r="G147" s="444"/>
      <c r="H147" s="444"/>
      <c r="I147" s="444"/>
      <c r="J147" s="444"/>
      <c r="K147" s="444"/>
      <c r="L147" s="444"/>
      <c r="M147" s="444"/>
      <c r="N147" s="444"/>
      <c r="O147" s="444"/>
      <c r="P147" s="444"/>
      <c r="Q147" s="444"/>
      <c r="R147" s="444"/>
      <c r="S147" s="444"/>
      <c r="T147" s="444"/>
      <c r="U147" s="444"/>
      <c r="V147" s="517">
        <v>0</v>
      </c>
      <c r="W147" s="558"/>
      <c r="X147" s="406"/>
    </row>
    <row r="148" spans="1:25" x14ac:dyDescent="0.3">
      <c r="A148" s="543"/>
      <c r="B148" s="444" t="s">
        <v>132</v>
      </c>
      <c r="C148" s="444"/>
      <c r="D148" s="444"/>
      <c r="E148" s="444"/>
      <c r="F148" s="444"/>
      <c r="G148" s="444"/>
      <c r="H148" s="444"/>
      <c r="I148" s="444"/>
      <c r="J148" s="444"/>
      <c r="K148" s="444"/>
      <c r="L148" s="444"/>
      <c r="M148" s="444"/>
      <c r="N148" s="444"/>
      <c r="O148" s="444"/>
      <c r="P148" s="444"/>
      <c r="Q148" s="444"/>
      <c r="R148" s="444"/>
      <c r="S148" s="444"/>
      <c r="T148" s="444"/>
      <c r="U148" s="444"/>
      <c r="V148" s="517">
        <v>0</v>
      </c>
      <c r="W148" s="558"/>
      <c r="X148" s="406"/>
    </row>
    <row r="149" spans="1:25" x14ac:dyDescent="0.3">
      <c r="A149" s="543"/>
      <c r="B149" s="444" t="s">
        <v>267</v>
      </c>
      <c r="C149" s="444"/>
      <c r="D149" s="444"/>
      <c r="E149" s="444"/>
      <c r="F149" s="444"/>
      <c r="G149" s="444"/>
      <c r="H149" s="444"/>
      <c r="I149" s="444"/>
      <c r="J149" s="444"/>
      <c r="K149" s="444"/>
      <c r="L149" s="444"/>
      <c r="M149" s="444"/>
      <c r="N149" s="444"/>
      <c r="O149" s="444"/>
      <c r="P149" s="444"/>
      <c r="Q149" s="444"/>
      <c r="R149" s="444"/>
      <c r="S149" s="444"/>
      <c r="T149" s="444"/>
      <c r="U149" s="444"/>
      <c r="V149" s="517">
        <v>0</v>
      </c>
      <c r="W149" s="558"/>
      <c r="X149" s="406"/>
      <c r="Y149" s="559"/>
    </row>
    <row r="150" spans="1:25" x14ac:dyDescent="0.3">
      <c r="A150" s="543"/>
      <c r="B150" s="444" t="s">
        <v>46</v>
      </c>
      <c r="C150" s="444"/>
      <c r="D150" s="444"/>
      <c r="E150" s="444"/>
      <c r="F150" s="444"/>
      <c r="G150" s="444"/>
      <c r="H150" s="444"/>
      <c r="I150" s="444"/>
      <c r="J150" s="444"/>
      <c r="K150" s="444"/>
      <c r="L150" s="444"/>
      <c r="M150" s="444"/>
      <c r="N150" s="444"/>
      <c r="O150" s="444"/>
      <c r="P150" s="444"/>
      <c r="Q150" s="444"/>
      <c r="R150" s="444"/>
      <c r="S150" s="444"/>
      <c r="T150" s="444"/>
      <c r="U150" s="444"/>
      <c r="V150" s="517">
        <f>SUM(V142:V149)</f>
        <v>28504</v>
      </c>
      <c r="W150" s="558"/>
      <c r="X150" s="406"/>
    </row>
    <row r="151" spans="1:25" x14ac:dyDescent="0.3">
      <c r="A151" s="543"/>
      <c r="B151" s="465"/>
      <c r="C151" s="465"/>
      <c r="D151" s="465"/>
      <c r="E151" s="465"/>
      <c r="F151" s="465"/>
      <c r="G151" s="465"/>
      <c r="H151" s="465"/>
      <c r="I151" s="465"/>
      <c r="J151" s="465"/>
      <c r="K151" s="465"/>
      <c r="L151" s="465"/>
      <c r="M151" s="465"/>
      <c r="N151" s="465"/>
      <c r="O151" s="465"/>
      <c r="P151" s="465"/>
      <c r="Q151" s="465"/>
      <c r="R151" s="465"/>
      <c r="S151" s="465"/>
      <c r="T151" s="465"/>
      <c r="U151" s="465"/>
      <c r="V151" s="546"/>
      <c r="W151" s="547"/>
      <c r="X151" s="406"/>
    </row>
    <row r="152" spans="1:25" x14ac:dyDescent="0.3">
      <c r="A152" s="543"/>
      <c r="B152" s="544" t="s">
        <v>268</v>
      </c>
      <c r="C152" s="465"/>
      <c r="D152" s="465"/>
      <c r="E152" s="465"/>
      <c r="F152" s="465"/>
      <c r="G152" s="465"/>
      <c r="H152" s="465"/>
      <c r="I152" s="465"/>
      <c r="J152" s="465"/>
      <c r="K152" s="465"/>
      <c r="L152" s="465"/>
      <c r="M152" s="465"/>
      <c r="N152" s="465"/>
      <c r="O152" s="465"/>
      <c r="P152" s="465"/>
      <c r="Q152" s="465"/>
      <c r="R152" s="465"/>
      <c r="S152" s="465"/>
      <c r="T152" s="465"/>
      <c r="U152" s="465"/>
      <c r="V152" s="546"/>
      <c r="W152" s="547"/>
      <c r="X152" s="406"/>
    </row>
    <row r="153" spans="1:25" x14ac:dyDescent="0.3">
      <c r="A153" s="543"/>
      <c r="B153" s="444" t="s">
        <v>158</v>
      </c>
      <c r="C153" s="444"/>
      <c r="D153" s="444"/>
      <c r="E153" s="444"/>
      <c r="F153" s="444"/>
      <c r="G153" s="444"/>
      <c r="H153" s="444"/>
      <c r="I153" s="444"/>
      <c r="J153" s="444"/>
      <c r="K153" s="444"/>
      <c r="L153" s="444"/>
      <c r="M153" s="444"/>
      <c r="N153" s="444"/>
      <c r="O153" s="444"/>
      <c r="P153" s="444"/>
      <c r="Q153" s="444"/>
      <c r="R153" s="444"/>
      <c r="S153" s="444"/>
      <c r="T153" s="444"/>
      <c r="U153" s="444"/>
      <c r="V153" s="517">
        <v>15000</v>
      </c>
      <c r="W153" s="558"/>
      <c r="X153" s="406"/>
    </row>
    <row r="154" spans="1:25" x14ac:dyDescent="0.3">
      <c r="A154" s="543"/>
      <c r="B154" s="444" t="s">
        <v>175</v>
      </c>
      <c r="C154" s="444"/>
      <c r="D154" s="444"/>
      <c r="E154" s="444"/>
      <c r="F154" s="444"/>
      <c r="G154" s="444"/>
      <c r="H154" s="444"/>
      <c r="I154" s="444"/>
      <c r="J154" s="444"/>
      <c r="K154" s="444"/>
      <c r="L154" s="444"/>
      <c r="M154" s="444"/>
      <c r="N154" s="444"/>
      <c r="O154" s="444"/>
      <c r="P154" s="444"/>
      <c r="Q154" s="444"/>
      <c r="R154" s="444"/>
      <c r="S154" s="444"/>
      <c r="T154" s="444"/>
      <c r="U154" s="444"/>
      <c r="V154" s="517">
        <v>0</v>
      </c>
      <c r="W154" s="558"/>
      <c r="X154" s="406"/>
    </row>
    <row r="155" spans="1:25" x14ac:dyDescent="0.3">
      <c r="A155" s="543"/>
      <c r="B155" s="444" t="s">
        <v>341</v>
      </c>
      <c r="C155" s="444"/>
      <c r="D155" s="444"/>
      <c r="E155" s="444"/>
      <c r="F155" s="444"/>
      <c r="G155" s="444"/>
      <c r="H155" s="444"/>
      <c r="I155" s="444"/>
      <c r="J155" s="444"/>
      <c r="K155" s="444"/>
      <c r="L155" s="444"/>
      <c r="M155" s="444"/>
      <c r="N155" s="444"/>
      <c r="O155" s="444"/>
      <c r="P155" s="444"/>
      <c r="Q155" s="444"/>
      <c r="R155" s="444"/>
      <c r="S155" s="444"/>
      <c r="T155" s="444"/>
      <c r="U155" s="444"/>
      <c r="V155" s="517">
        <v>0</v>
      </c>
      <c r="W155" s="558"/>
      <c r="X155" s="406"/>
    </row>
    <row r="156" spans="1:25" x14ac:dyDescent="0.3">
      <c r="A156" s="543"/>
      <c r="B156" s="465"/>
      <c r="C156" s="465"/>
      <c r="D156" s="465"/>
      <c r="E156" s="465"/>
      <c r="F156" s="465"/>
      <c r="G156" s="465"/>
      <c r="H156" s="465"/>
      <c r="I156" s="465"/>
      <c r="J156" s="465"/>
      <c r="K156" s="465"/>
      <c r="L156" s="465"/>
      <c r="M156" s="465"/>
      <c r="N156" s="465"/>
      <c r="O156" s="465"/>
      <c r="P156" s="465"/>
      <c r="Q156" s="465"/>
      <c r="R156" s="465"/>
      <c r="S156" s="465"/>
      <c r="T156" s="465"/>
      <c r="U156" s="465"/>
      <c r="V156" s="546"/>
      <c r="W156" s="547"/>
      <c r="X156" s="406"/>
    </row>
    <row r="157" spans="1:25" x14ac:dyDescent="0.3">
      <c r="A157" s="408"/>
      <c r="B157" s="518"/>
      <c r="C157" s="518"/>
      <c r="D157" s="518"/>
      <c r="E157" s="518"/>
      <c r="F157" s="518"/>
      <c r="G157" s="518"/>
      <c r="H157" s="518"/>
      <c r="I157" s="518"/>
      <c r="J157" s="518"/>
      <c r="K157" s="518"/>
      <c r="L157" s="518"/>
      <c r="M157" s="518"/>
      <c r="N157" s="518"/>
      <c r="O157" s="518"/>
      <c r="P157" s="518"/>
      <c r="Q157" s="518"/>
      <c r="R157" s="518"/>
      <c r="S157" s="518"/>
      <c r="T157" s="518"/>
      <c r="U157" s="518"/>
      <c r="V157" s="560"/>
      <c r="W157" s="411"/>
      <c r="X157" s="406"/>
    </row>
    <row r="158" spans="1:25" x14ac:dyDescent="0.3">
      <c r="A158" s="408"/>
      <c r="B158" s="557" t="s">
        <v>24</v>
      </c>
      <c r="C158" s="410"/>
      <c r="D158" s="410"/>
      <c r="E158" s="410"/>
      <c r="F158" s="410"/>
      <c r="G158" s="410"/>
      <c r="H158" s="410"/>
      <c r="I158" s="410"/>
      <c r="J158" s="410"/>
      <c r="K158" s="410"/>
      <c r="L158" s="410"/>
      <c r="M158" s="410"/>
      <c r="N158" s="410"/>
      <c r="O158" s="410"/>
      <c r="P158" s="410"/>
      <c r="Q158" s="410"/>
      <c r="R158" s="410"/>
      <c r="S158" s="410"/>
      <c r="T158" s="410"/>
      <c r="U158" s="410"/>
      <c r="V158" s="510"/>
      <c r="W158" s="411"/>
      <c r="X158" s="406"/>
    </row>
    <row r="159" spans="1:25" x14ac:dyDescent="0.3">
      <c r="A159" s="543"/>
      <c r="B159" s="444" t="s">
        <v>47</v>
      </c>
      <c r="C159" s="444"/>
      <c r="D159" s="444"/>
      <c r="E159" s="444"/>
      <c r="F159" s="444"/>
      <c r="G159" s="444"/>
      <c r="H159" s="444"/>
      <c r="I159" s="444"/>
      <c r="J159" s="444"/>
      <c r="K159" s="444"/>
      <c r="L159" s="444"/>
      <c r="M159" s="444"/>
      <c r="N159" s="444"/>
      <c r="O159" s="444"/>
      <c r="P159" s="444"/>
      <c r="Q159" s="444"/>
      <c r="R159" s="444"/>
      <c r="S159" s="444"/>
      <c r="T159" s="444"/>
      <c r="U159" s="444"/>
      <c r="V159" s="561" t="s">
        <v>121</v>
      </c>
      <c r="W159" s="558"/>
      <c r="X159" s="406"/>
    </row>
    <row r="160" spans="1:25" x14ac:dyDescent="0.3">
      <c r="A160" s="543"/>
      <c r="B160" s="444" t="s">
        <v>48</v>
      </c>
      <c r="C160" s="444"/>
      <c r="D160" s="444"/>
      <c r="E160" s="444"/>
      <c r="F160" s="444"/>
      <c r="G160" s="444"/>
      <c r="H160" s="444"/>
      <c r="I160" s="444"/>
      <c r="J160" s="444"/>
      <c r="K160" s="444"/>
      <c r="L160" s="444"/>
      <c r="M160" s="444"/>
      <c r="N160" s="444"/>
      <c r="O160" s="444"/>
      <c r="P160" s="444"/>
      <c r="Q160" s="444"/>
      <c r="R160" s="444"/>
      <c r="S160" s="444"/>
      <c r="T160" s="444"/>
      <c r="U160" s="444"/>
      <c r="V160" s="561" t="s">
        <v>121</v>
      </c>
      <c r="W160" s="558"/>
      <c r="X160" s="406"/>
    </row>
    <row r="161" spans="1:24" x14ac:dyDescent="0.3">
      <c r="A161" s="543"/>
      <c r="B161" s="444" t="s">
        <v>49</v>
      </c>
      <c r="C161" s="444"/>
      <c r="D161" s="444"/>
      <c r="E161" s="444"/>
      <c r="F161" s="444"/>
      <c r="G161" s="444"/>
      <c r="H161" s="444"/>
      <c r="I161" s="444"/>
      <c r="J161" s="444"/>
      <c r="K161" s="444"/>
      <c r="L161" s="444"/>
      <c r="M161" s="444"/>
      <c r="N161" s="444"/>
      <c r="O161" s="444"/>
      <c r="P161" s="444"/>
      <c r="Q161" s="444"/>
      <c r="R161" s="444"/>
      <c r="S161" s="444"/>
      <c r="T161" s="444"/>
      <c r="U161" s="444"/>
      <c r="V161" s="561" t="s">
        <v>121</v>
      </c>
      <c r="W161" s="558"/>
      <c r="X161" s="406"/>
    </row>
    <row r="162" spans="1:24" x14ac:dyDescent="0.3">
      <c r="A162" s="543"/>
      <c r="B162" s="444" t="s">
        <v>50</v>
      </c>
      <c r="C162" s="444"/>
      <c r="D162" s="444"/>
      <c r="E162" s="444"/>
      <c r="F162" s="444"/>
      <c r="G162" s="444"/>
      <c r="H162" s="444"/>
      <c r="I162" s="444"/>
      <c r="J162" s="444"/>
      <c r="K162" s="444"/>
      <c r="L162" s="444"/>
      <c r="M162" s="444"/>
      <c r="N162" s="444"/>
      <c r="O162" s="444"/>
      <c r="P162" s="444"/>
      <c r="Q162" s="444"/>
      <c r="R162" s="444"/>
      <c r="S162" s="444"/>
      <c r="T162" s="444"/>
      <c r="U162" s="444"/>
      <c r="V162" s="561" t="s">
        <v>121</v>
      </c>
      <c r="W162" s="558"/>
      <c r="X162" s="406"/>
    </row>
    <row r="163" spans="1:24" x14ac:dyDescent="0.3">
      <c r="A163" s="408"/>
      <c r="B163" s="518"/>
      <c r="C163" s="518"/>
      <c r="D163" s="518"/>
      <c r="E163" s="518"/>
      <c r="F163" s="518"/>
      <c r="G163" s="518"/>
      <c r="H163" s="518"/>
      <c r="I163" s="518"/>
      <c r="J163" s="518"/>
      <c r="K163" s="518"/>
      <c r="L163" s="518"/>
      <c r="M163" s="518"/>
      <c r="N163" s="518"/>
      <c r="O163" s="518"/>
      <c r="P163" s="518"/>
      <c r="Q163" s="518"/>
      <c r="R163" s="518"/>
      <c r="S163" s="518"/>
      <c r="T163" s="518"/>
      <c r="U163" s="518"/>
      <c r="V163" s="560"/>
      <c r="W163" s="411"/>
      <c r="X163" s="406"/>
    </row>
    <row r="164" spans="1:24" x14ac:dyDescent="0.3">
      <c r="A164" s="408"/>
      <c r="B164" s="557" t="s">
        <v>51</v>
      </c>
      <c r="C164" s="410"/>
      <c r="D164" s="410"/>
      <c r="E164" s="410"/>
      <c r="F164" s="410"/>
      <c r="G164" s="410"/>
      <c r="H164" s="410"/>
      <c r="I164" s="410"/>
      <c r="J164" s="410"/>
      <c r="K164" s="410"/>
      <c r="L164" s="410"/>
      <c r="M164" s="410"/>
      <c r="N164" s="410"/>
      <c r="O164" s="410"/>
      <c r="P164" s="410"/>
      <c r="Q164" s="410"/>
      <c r="R164" s="410"/>
      <c r="S164" s="410"/>
      <c r="T164" s="410"/>
      <c r="U164" s="410"/>
      <c r="V164" s="562"/>
      <c r="W164" s="411"/>
      <c r="X164" s="406"/>
    </row>
    <row r="165" spans="1:24" x14ac:dyDescent="0.3">
      <c r="A165" s="563"/>
      <c r="B165" s="548" t="s">
        <v>52</v>
      </c>
      <c r="C165" s="548"/>
      <c r="D165" s="548"/>
      <c r="E165" s="548"/>
      <c r="F165" s="548"/>
      <c r="G165" s="548"/>
      <c r="H165" s="548"/>
      <c r="I165" s="548"/>
      <c r="J165" s="548"/>
      <c r="K165" s="548"/>
      <c r="L165" s="548"/>
      <c r="M165" s="548"/>
      <c r="N165" s="548"/>
      <c r="O165" s="548"/>
      <c r="P165" s="548"/>
      <c r="Q165" s="548"/>
      <c r="R165" s="548"/>
      <c r="S165" s="548"/>
      <c r="T165" s="548"/>
      <c r="U165" s="548"/>
      <c r="V165" s="564">
        <v>0</v>
      </c>
      <c r="W165" s="565"/>
      <c r="X165" s="406"/>
    </row>
    <row r="166" spans="1:24" x14ac:dyDescent="0.3">
      <c r="A166" s="563"/>
      <c r="B166" s="548" t="s">
        <v>53</v>
      </c>
      <c r="C166" s="548"/>
      <c r="D166" s="548"/>
      <c r="E166" s="548"/>
      <c r="F166" s="548"/>
      <c r="G166" s="548"/>
      <c r="H166" s="548"/>
      <c r="I166" s="548"/>
      <c r="J166" s="548"/>
      <c r="K166" s="548"/>
      <c r="L166" s="548"/>
      <c r="M166" s="548"/>
      <c r="N166" s="548"/>
      <c r="O166" s="548"/>
      <c r="P166" s="548"/>
      <c r="Q166" s="548"/>
      <c r="R166" s="548"/>
      <c r="S166" s="548"/>
      <c r="T166" s="548"/>
      <c r="U166" s="548"/>
      <c r="V166" s="564">
        <v>489</v>
      </c>
      <c r="W166" s="565"/>
      <c r="X166" s="406"/>
    </row>
    <row r="167" spans="1:24" x14ac:dyDescent="0.3">
      <c r="A167" s="563"/>
      <c r="B167" s="548" t="s">
        <v>54</v>
      </c>
      <c r="C167" s="548"/>
      <c r="D167" s="548"/>
      <c r="E167" s="548"/>
      <c r="F167" s="548"/>
      <c r="G167" s="548"/>
      <c r="H167" s="548"/>
      <c r="I167" s="548"/>
      <c r="J167" s="548"/>
      <c r="K167" s="548"/>
      <c r="L167" s="548"/>
      <c r="M167" s="548"/>
      <c r="N167" s="548"/>
      <c r="O167" s="548"/>
      <c r="P167" s="548"/>
      <c r="Q167" s="548"/>
      <c r="R167" s="548"/>
      <c r="S167" s="548"/>
      <c r="T167" s="548"/>
      <c r="U167" s="548"/>
      <c r="V167" s="564">
        <f>V166+V165</f>
        <v>489</v>
      </c>
      <c r="W167" s="565"/>
      <c r="X167" s="406"/>
    </row>
    <row r="168" spans="1:24" x14ac:dyDescent="0.3">
      <c r="A168" s="563"/>
      <c r="B168" s="444" t="s">
        <v>318</v>
      </c>
      <c r="C168" s="548"/>
      <c r="D168" s="548"/>
      <c r="E168" s="548"/>
      <c r="F168" s="548"/>
      <c r="G168" s="548"/>
      <c r="H168" s="548"/>
      <c r="I168" s="548"/>
      <c r="J168" s="548"/>
      <c r="K168" s="548"/>
      <c r="L168" s="548"/>
      <c r="M168" s="548"/>
      <c r="N168" s="548"/>
      <c r="O168" s="548"/>
      <c r="P168" s="548"/>
      <c r="Q168" s="548"/>
      <c r="R168" s="548"/>
      <c r="S168" s="548"/>
      <c r="T168" s="548"/>
      <c r="U168" s="548"/>
      <c r="V168" s="564">
        <f>V114</f>
        <v>-489</v>
      </c>
      <c r="W168" s="565"/>
      <c r="X168" s="406"/>
    </row>
    <row r="169" spans="1:24" x14ac:dyDescent="0.3">
      <c r="A169" s="563"/>
      <c r="B169" s="548" t="s">
        <v>55</v>
      </c>
      <c r="C169" s="548"/>
      <c r="D169" s="548"/>
      <c r="E169" s="548"/>
      <c r="F169" s="548"/>
      <c r="G169" s="548"/>
      <c r="H169" s="548"/>
      <c r="I169" s="548"/>
      <c r="J169" s="548"/>
      <c r="K169" s="548"/>
      <c r="L169" s="548"/>
      <c r="M169" s="548"/>
      <c r="N169" s="548"/>
      <c r="O169" s="548"/>
      <c r="P169" s="548"/>
      <c r="Q169" s="548"/>
      <c r="R169" s="548"/>
      <c r="S169" s="548"/>
      <c r="T169" s="548"/>
      <c r="U169" s="548"/>
      <c r="V169" s="564">
        <f>V167+V168</f>
        <v>0</v>
      </c>
      <c r="W169" s="565"/>
      <c r="X169" s="406"/>
    </row>
    <row r="170" spans="1:24" x14ac:dyDescent="0.3">
      <c r="A170" s="563"/>
      <c r="B170" s="548" t="s">
        <v>288</v>
      </c>
      <c r="C170" s="548"/>
      <c r="D170" s="548"/>
      <c r="E170" s="548"/>
      <c r="F170" s="548"/>
      <c r="G170" s="548"/>
      <c r="H170" s="548"/>
      <c r="I170" s="548"/>
      <c r="J170" s="548"/>
      <c r="K170" s="548"/>
      <c r="L170" s="548"/>
      <c r="M170" s="548"/>
      <c r="N170" s="548"/>
      <c r="O170" s="548"/>
      <c r="P170" s="548"/>
      <c r="Q170" s="548"/>
      <c r="R170" s="548"/>
      <c r="S170" s="548"/>
      <c r="T170" s="548"/>
      <c r="U170" s="548"/>
      <c r="V170" s="564">
        <f>-V98</f>
        <v>98</v>
      </c>
      <c r="W170" s="565"/>
      <c r="X170" s="406"/>
    </row>
    <row r="171" spans="1:24" ht="16.2" thickBot="1" x14ac:dyDescent="0.35">
      <c r="A171" s="408"/>
      <c r="B171" s="518"/>
      <c r="C171" s="518"/>
      <c r="D171" s="518"/>
      <c r="E171" s="518"/>
      <c r="F171" s="518"/>
      <c r="G171" s="518"/>
      <c r="H171" s="518"/>
      <c r="I171" s="518"/>
      <c r="J171" s="518"/>
      <c r="K171" s="518"/>
      <c r="L171" s="518"/>
      <c r="M171" s="518"/>
      <c r="N171" s="518"/>
      <c r="O171" s="518"/>
      <c r="P171" s="518"/>
      <c r="Q171" s="518"/>
      <c r="R171" s="518"/>
      <c r="S171" s="518"/>
      <c r="T171" s="518"/>
      <c r="U171" s="518"/>
      <c r="V171" s="560"/>
      <c r="W171" s="411"/>
      <c r="X171" s="406"/>
    </row>
    <row r="172" spans="1:24" x14ac:dyDescent="0.3">
      <c r="A172" s="402"/>
      <c r="B172" s="404"/>
      <c r="C172" s="404"/>
      <c r="D172" s="404"/>
      <c r="E172" s="404"/>
      <c r="F172" s="404"/>
      <c r="G172" s="404"/>
      <c r="H172" s="404"/>
      <c r="I172" s="404"/>
      <c r="J172" s="404"/>
      <c r="K172" s="404"/>
      <c r="L172" s="404"/>
      <c r="M172" s="404"/>
      <c r="N172" s="404"/>
      <c r="O172" s="404"/>
      <c r="P172" s="404"/>
      <c r="Q172" s="404"/>
      <c r="R172" s="404"/>
      <c r="S172" s="404"/>
      <c r="T172" s="404"/>
      <c r="U172" s="404"/>
      <c r="V172" s="566"/>
      <c r="W172" s="405"/>
      <c r="X172" s="406"/>
    </row>
    <row r="173" spans="1:24" x14ac:dyDescent="0.3">
      <c r="A173" s="408"/>
      <c r="B173" s="557" t="s">
        <v>56</v>
      </c>
      <c r="C173" s="410"/>
      <c r="D173" s="410"/>
      <c r="E173" s="410"/>
      <c r="F173" s="410"/>
      <c r="G173" s="410"/>
      <c r="H173" s="410"/>
      <c r="I173" s="410"/>
      <c r="J173" s="410"/>
      <c r="K173" s="410"/>
      <c r="L173" s="410"/>
      <c r="M173" s="410"/>
      <c r="N173" s="410"/>
      <c r="O173" s="410"/>
      <c r="P173" s="410"/>
      <c r="Q173" s="410"/>
      <c r="R173" s="410"/>
      <c r="S173" s="410"/>
      <c r="T173" s="410"/>
      <c r="U173" s="410"/>
      <c r="V173" s="510"/>
      <c r="W173" s="411"/>
      <c r="X173" s="406"/>
    </row>
    <row r="174" spans="1:24" x14ac:dyDescent="0.3">
      <c r="A174" s="408"/>
      <c r="B174" s="556"/>
      <c r="C174" s="410"/>
      <c r="D174" s="410"/>
      <c r="E174" s="410"/>
      <c r="F174" s="410"/>
      <c r="G174" s="410"/>
      <c r="H174" s="410"/>
      <c r="I174" s="410"/>
      <c r="J174" s="410"/>
      <c r="K174" s="410"/>
      <c r="L174" s="410"/>
      <c r="M174" s="410"/>
      <c r="N174" s="410"/>
      <c r="O174" s="410"/>
      <c r="P174" s="410"/>
      <c r="Q174" s="410"/>
      <c r="R174" s="410"/>
      <c r="S174" s="410"/>
      <c r="T174" s="410"/>
      <c r="U174" s="410"/>
      <c r="V174" s="510"/>
      <c r="W174" s="411"/>
      <c r="X174" s="406"/>
    </row>
    <row r="175" spans="1:24" x14ac:dyDescent="0.3">
      <c r="A175" s="543"/>
      <c r="B175" s="444" t="s">
        <v>57</v>
      </c>
      <c r="C175" s="444"/>
      <c r="D175" s="444"/>
      <c r="E175" s="444"/>
      <c r="F175" s="444"/>
      <c r="G175" s="444"/>
      <c r="H175" s="444"/>
      <c r="I175" s="444"/>
      <c r="J175" s="444"/>
      <c r="K175" s="444"/>
      <c r="L175" s="444"/>
      <c r="M175" s="444"/>
      <c r="N175" s="444"/>
      <c r="O175" s="444"/>
      <c r="P175" s="444"/>
      <c r="Q175" s="444"/>
      <c r="R175" s="444"/>
      <c r="S175" s="444"/>
      <c r="T175" s="444"/>
      <c r="U175" s="444"/>
      <c r="V175" s="517">
        <f>V70</f>
        <v>782019</v>
      </c>
      <c r="W175" s="558"/>
      <c r="X175" s="406"/>
    </row>
    <row r="176" spans="1:24" x14ac:dyDescent="0.3">
      <c r="A176" s="543"/>
      <c r="B176" s="444" t="s">
        <v>58</v>
      </c>
      <c r="C176" s="444"/>
      <c r="D176" s="444"/>
      <c r="E176" s="444"/>
      <c r="F176" s="444"/>
      <c r="G176" s="444"/>
      <c r="H176" s="444"/>
      <c r="I176" s="444"/>
      <c r="J176" s="444"/>
      <c r="K176" s="444"/>
      <c r="L176" s="444"/>
      <c r="M176" s="444"/>
      <c r="N176" s="444"/>
      <c r="O176" s="444"/>
      <c r="P176" s="444"/>
      <c r="Q176" s="444"/>
      <c r="R176" s="444"/>
      <c r="S176" s="444"/>
      <c r="T176" s="444"/>
      <c r="U176" s="444"/>
      <c r="V176" s="517">
        <f>V83</f>
        <v>782019</v>
      </c>
      <c r="W176" s="558"/>
      <c r="X176" s="406"/>
    </row>
    <row r="177" spans="1:24" ht="16.2" thickBot="1" x14ac:dyDescent="0.35">
      <c r="A177" s="408"/>
      <c r="B177" s="518"/>
      <c r="C177" s="518"/>
      <c r="D177" s="518"/>
      <c r="E177" s="518"/>
      <c r="F177" s="518"/>
      <c r="G177" s="518"/>
      <c r="H177" s="518"/>
      <c r="I177" s="518"/>
      <c r="J177" s="518"/>
      <c r="K177" s="518"/>
      <c r="L177" s="518"/>
      <c r="M177" s="518"/>
      <c r="N177" s="518"/>
      <c r="O177" s="518"/>
      <c r="P177" s="518"/>
      <c r="Q177" s="518"/>
      <c r="R177" s="518"/>
      <c r="S177" s="518"/>
      <c r="T177" s="518"/>
      <c r="U177" s="518"/>
      <c r="V177" s="560"/>
      <c r="W177" s="411"/>
      <c r="X177" s="406"/>
    </row>
    <row r="178" spans="1:24" x14ac:dyDescent="0.3">
      <c r="A178" s="402"/>
      <c r="B178" s="404"/>
      <c r="C178" s="404"/>
      <c r="D178" s="404"/>
      <c r="E178" s="404"/>
      <c r="F178" s="404"/>
      <c r="G178" s="404"/>
      <c r="H178" s="404"/>
      <c r="I178" s="404"/>
      <c r="J178" s="404"/>
      <c r="K178" s="404"/>
      <c r="L178" s="404"/>
      <c r="M178" s="404"/>
      <c r="N178" s="404"/>
      <c r="O178" s="404"/>
      <c r="P178" s="404"/>
      <c r="Q178" s="404"/>
      <c r="R178" s="404"/>
      <c r="S178" s="404"/>
      <c r="T178" s="404"/>
      <c r="U178" s="404"/>
      <c r="V178" s="566"/>
      <c r="W178" s="405"/>
      <c r="X178" s="406"/>
    </row>
    <row r="179" spans="1:24" s="473" customFormat="1" x14ac:dyDescent="0.3">
      <c r="A179" s="511"/>
      <c r="B179" s="557" t="s">
        <v>59</v>
      </c>
      <c r="C179" s="567"/>
      <c r="D179" s="567"/>
      <c r="E179" s="567"/>
      <c r="F179" s="567"/>
      <c r="G179" s="567"/>
      <c r="H179" s="568"/>
      <c r="I179" s="568"/>
      <c r="J179" s="568"/>
      <c r="K179" s="568"/>
      <c r="L179" s="568"/>
      <c r="M179" s="568"/>
      <c r="N179" s="568"/>
      <c r="O179" s="568"/>
      <c r="P179" s="568"/>
      <c r="Q179" s="568"/>
      <c r="R179" s="568"/>
      <c r="S179" s="568" t="s">
        <v>102</v>
      </c>
      <c r="T179" s="568" t="s">
        <v>179</v>
      </c>
      <c r="U179" s="413"/>
      <c r="V179" s="569" t="s">
        <v>117</v>
      </c>
      <c r="W179" s="570"/>
      <c r="X179" s="472"/>
    </row>
    <row r="180" spans="1:24" s="426" customFormat="1" x14ac:dyDescent="0.3">
      <c r="A180" s="443"/>
      <c r="B180" s="444" t="s">
        <v>60</v>
      </c>
      <c r="C180" s="444"/>
      <c r="D180" s="444"/>
      <c r="E180" s="444"/>
      <c r="F180" s="444"/>
      <c r="G180" s="444"/>
      <c r="H180" s="444"/>
      <c r="I180" s="444"/>
      <c r="J180" s="444"/>
      <c r="K180" s="444"/>
      <c r="L180" s="444"/>
      <c r="M180" s="444"/>
      <c r="N180" s="444"/>
      <c r="O180" s="444"/>
      <c r="P180" s="444"/>
      <c r="Q180" s="444"/>
      <c r="R180" s="444"/>
      <c r="S180" s="517">
        <f>+V34*0.16</f>
        <v>240030.4</v>
      </c>
      <c r="T180" s="482"/>
      <c r="U180" s="444"/>
      <c r="V180" s="517"/>
      <c r="W180" s="446"/>
      <c r="X180" s="425"/>
    </row>
    <row r="181" spans="1:24" s="426" customFormat="1" x14ac:dyDescent="0.3">
      <c r="A181" s="443"/>
      <c r="B181" s="444" t="s">
        <v>61</v>
      </c>
      <c r="C181" s="444"/>
      <c r="D181" s="444"/>
      <c r="E181" s="444"/>
      <c r="F181" s="444"/>
      <c r="G181" s="444"/>
      <c r="H181" s="444"/>
      <c r="I181" s="444"/>
      <c r="J181" s="444"/>
      <c r="K181" s="444"/>
      <c r="L181" s="444"/>
      <c r="M181" s="444"/>
      <c r="N181" s="444"/>
      <c r="O181" s="444"/>
      <c r="P181" s="444"/>
      <c r="Q181" s="444"/>
      <c r="R181" s="444"/>
      <c r="S181" s="517">
        <f>+'Sept 17'!S183</f>
        <v>53732</v>
      </c>
      <c r="T181" s="517">
        <f>+'Sept 17'!T183</f>
        <v>9760</v>
      </c>
      <c r="U181" s="444"/>
      <c r="V181" s="517">
        <f>S181+T181</f>
        <v>63492</v>
      </c>
      <c r="W181" s="446"/>
      <c r="X181" s="425"/>
    </row>
    <row r="182" spans="1:24" s="426" customFormat="1" x14ac:dyDescent="0.3">
      <c r="A182" s="443"/>
      <c r="B182" s="444" t="s">
        <v>62</v>
      </c>
      <c r="C182" s="444"/>
      <c r="D182" s="444"/>
      <c r="E182" s="444"/>
      <c r="F182" s="444"/>
      <c r="G182" s="444"/>
      <c r="H182" s="444"/>
      <c r="I182" s="444"/>
      <c r="J182" s="444"/>
      <c r="K182" s="444"/>
      <c r="L182" s="444"/>
      <c r="M182" s="444"/>
      <c r="N182" s="444"/>
      <c r="O182" s="444"/>
      <c r="P182" s="444"/>
      <c r="Q182" s="444"/>
      <c r="R182" s="444"/>
      <c r="S182" s="516">
        <v>1085</v>
      </c>
      <c r="T182" s="516">
        <v>0</v>
      </c>
      <c r="U182" s="444"/>
      <c r="V182" s="517">
        <f>S182+T182</f>
        <v>1085</v>
      </c>
      <c r="W182" s="446"/>
      <c r="X182" s="425"/>
    </row>
    <row r="183" spans="1:24" s="426" customFormat="1" x14ac:dyDescent="0.3">
      <c r="A183" s="443"/>
      <c r="B183" s="444" t="s">
        <v>63</v>
      </c>
      <c r="C183" s="444"/>
      <c r="D183" s="444"/>
      <c r="E183" s="444"/>
      <c r="F183" s="444"/>
      <c r="G183" s="444"/>
      <c r="H183" s="444"/>
      <c r="I183" s="444"/>
      <c r="J183" s="444"/>
      <c r="K183" s="444"/>
      <c r="L183" s="444"/>
      <c r="M183" s="444"/>
      <c r="N183" s="444"/>
      <c r="O183" s="444"/>
      <c r="P183" s="444"/>
      <c r="Q183" s="444"/>
      <c r="R183" s="444"/>
      <c r="S183" s="517">
        <f>+S181+S182</f>
        <v>54817</v>
      </c>
      <c r="T183" s="517">
        <f>T182+T181</f>
        <v>9760</v>
      </c>
      <c r="U183" s="444"/>
      <c r="V183" s="517">
        <f>S183+T183</f>
        <v>64577</v>
      </c>
      <c r="W183" s="446"/>
      <c r="X183" s="425"/>
    </row>
    <row r="184" spans="1:24" s="426" customFormat="1" x14ac:dyDescent="0.3">
      <c r="A184" s="443"/>
      <c r="B184" s="444" t="s">
        <v>64</v>
      </c>
      <c r="C184" s="444"/>
      <c r="D184" s="444"/>
      <c r="E184" s="444"/>
      <c r="F184" s="444"/>
      <c r="G184" s="444"/>
      <c r="H184" s="444"/>
      <c r="I184" s="444"/>
      <c r="J184" s="444"/>
      <c r="K184" s="444"/>
      <c r="L184" s="444"/>
      <c r="M184" s="444"/>
      <c r="N184" s="444"/>
      <c r="O184" s="444"/>
      <c r="P184" s="444"/>
      <c r="Q184" s="444"/>
      <c r="R184" s="444"/>
      <c r="S184" s="517">
        <f>S180-S183-T183</f>
        <v>175453.4</v>
      </c>
      <c r="T184" s="482"/>
      <c r="U184" s="444"/>
      <c r="V184" s="517"/>
      <c r="W184" s="446"/>
      <c r="X184" s="425"/>
    </row>
    <row r="185" spans="1:24" ht="16.2" thickBot="1" x14ac:dyDescent="0.35">
      <c r="A185" s="408"/>
      <c r="B185" s="518"/>
      <c r="C185" s="518"/>
      <c r="D185" s="518"/>
      <c r="E185" s="518"/>
      <c r="F185" s="518"/>
      <c r="G185" s="518"/>
      <c r="H185" s="518"/>
      <c r="I185" s="518"/>
      <c r="J185" s="518"/>
      <c r="K185" s="518"/>
      <c r="L185" s="518"/>
      <c r="M185" s="518"/>
      <c r="N185" s="518"/>
      <c r="O185" s="518"/>
      <c r="P185" s="518"/>
      <c r="Q185" s="518"/>
      <c r="R185" s="518"/>
      <c r="S185" s="518"/>
      <c r="T185" s="518"/>
      <c r="U185" s="518"/>
      <c r="V185" s="560"/>
      <c r="W185" s="411"/>
      <c r="X185" s="406"/>
    </row>
    <row r="186" spans="1:24" x14ac:dyDescent="0.3">
      <c r="A186" s="402"/>
      <c r="B186" s="404"/>
      <c r="C186" s="404"/>
      <c r="D186" s="404"/>
      <c r="E186" s="404"/>
      <c r="F186" s="404"/>
      <c r="G186" s="404"/>
      <c r="H186" s="404"/>
      <c r="I186" s="404"/>
      <c r="J186" s="404"/>
      <c r="K186" s="404"/>
      <c r="L186" s="404"/>
      <c r="M186" s="404"/>
      <c r="N186" s="404"/>
      <c r="O186" s="404"/>
      <c r="P186" s="404"/>
      <c r="Q186" s="404"/>
      <c r="R186" s="404"/>
      <c r="S186" s="404"/>
      <c r="T186" s="404"/>
      <c r="U186" s="404"/>
      <c r="V186" s="566"/>
      <c r="W186" s="405"/>
      <c r="X186" s="406"/>
    </row>
    <row r="187" spans="1:24" x14ac:dyDescent="0.3">
      <c r="A187" s="408"/>
      <c r="B187" s="557" t="s">
        <v>65</v>
      </c>
      <c r="C187" s="410"/>
      <c r="D187" s="410"/>
      <c r="E187" s="410"/>
      <c r="F187" s="410"/>
      <c r="G187" s="410"/>
      <c r="H187" s="410"/>
      <c r="I187" s="410"/>
      <c r="J187" s="410"/>
      <c r="K187" s="410"/>
      <c r="L187" s="410"/>
      <c r="M187" s="410"/>
      <c r="N187" s="410"/>
      <c r="O187" s="410"/>
      <c r="P187" s="410"/>
      <c r="Q187" s="410"/>
      <c r="R187" s="410"/>
      <c r="S187" s="410"/>
      <c r="T187" s="410"/>
      <c r="U187" s="410"/>
      <c r="V187" s="571"/>
      <c r="W187" s="411"/>
      <c r="X187" s="406"/>
    </row>
    <row r="188" spans="1:24" s="426" customFormat="1" x14ac:dyDescent="0.3">
      <c r="A188" s="443"/>
      <c r="B188" s="444" t="s">
        <v>66</v>
      </c>
      <c r="C188" s="444"/>
      <c r="D188" s="444"/>
      <c r="E188" s="444"/>
      <c r="F188" s="444"/>
      <c r="G188" s="444"/>
      <c r="H188" s="444"/>
      <c r="I188" s="444"/>
      <c r="J188" s="444"/>
      <c r="K188" s="444"/>
      <c r="L188" s="444"/>
      <c r="M188" s="444"/>
      <c r="N188" s="444"/>
      <c r="O188" s="444"/>
      <c r="P188" s="444"/>
      <c r="Q188" s="444"/>
      <c r="R188" s="444"/>
      <c r="S188" s="444"/>
      <c r="T188" s="444"/>
      <c r="U188" s="444"/>
      <c r="V188" s="561">
        <f>(V99+V101+V102+V103+V104)/-(V105+V106)</f>
        <v>4.7606659729448495</v>
      </c>
      <c r="W188" s="446" t="s">
        <v>118</v>
      </c>
      <c r="X188" s="425"/>
    </row>
    <row r="189" spans="1:24" s="426" customFormat="1" x14ac:dyDescent="0.3">
      <c r="A189" s="443"/>
      <c r="B189" s="444" t="s">
        <v>67</v>
      </c>
      <c r="C189" s="444"/>
      <c r="D189" s="444"/>
      <c r="E189" s="444"/>
      <c r="F189" s="444"/>
      <c r="G189" s="444"/>
      <c r="H189" s="444"/>
      <c r="I189" s="444"/>
      <c r="J189" s="444"/>
      <c r="K189" s="444"/>
      <c r="L189" s="444"/>
      <c r="M189" s="444"/>
      <c r="N189" s="444"/>
      <c r="O189" s="444"/>
      <c r="P189" s="444"/>
      <c r="Q189" s="444"/>
      <c r="R189" s="444"/>
      <c r="S189" s="444"/>
      <c r="T189" s="444"/>
      <c r="U189" s="444"/>
      <c r="V189" s="572">
        <v>1.91</v>
      </c>
      <c r="W189" s="446" t="s">
        <v>118</v>
      </c>
      <c r="X189" s="425"/>
    </row>
    <row r="190" spans="1:24" s="426" customFormat="1" x14ac:dyDescent="0.3">
      <c r="A190" s="443"/>
      <c r="B190" s="444" t="s">
        <v>68</v>
      </c>
      <c r="C190" s="444"/>
      <c r="D190" s="444"/>
      <c r="E190" s="444"/>
      <c r="F190" s="444"/>
      <c r="G190" s="444"/>
      <c r="H190" s="444"/>
      <c r="I190" s="444"/>
      <c r="J190" s="444"/>
      <c r="K190" s="444"/>
      <c r="L190" s="444"/>
      <c r="M190" s="444"/>
      <c r="N190" s="444"/>
      <c r="O190" s="444"/>
      <c r="P190" s="444"/>
      <c r="Q190" s="444"/>
      <c r="R190" s="444"/>
      <c r="S190" s="444"/>
      <c r="T190" s="444"/>
      <c r="U190" s="444"/>
      <c r="V190" s="561">
        <f>(V99+V101+V102+V103+V104+V105+V106)/-(V108+V109)</f>
        <v>16.206278026905828</v>
      </c>
      <c r="W190" s="446" t="s">
        <v>118</v>
      </c>
      <c r="X190" s="425"/>
    </row>
    <row r="191" spans="1:24" s="426" customFormat="1" x14ac:dyDescent="0.3">
      <c r="A191" s="443"/>
      <c r="B191" s="444" t="s">
        <v>69</v>
      </c>
      <c r="C191" s="444"/>
      <c r="D191" s="444"/>
      <c r="E191" s="444"/>
      <c r="F191" s="444"/>
      <c r="G191" s="444"/>
      <c r="H191" s="444"/>
      <c r="I191" s="444"/>
      <c r="J191" s="444"/>
      <c r="K191" s="444"/>
      <c r="L191" s="444"/>
      <c r="M191" s="444"/>
      <c r="N191" s="444"/>
      <c r="O191" s="444"/>
      <c r="P191" s="444"/>
      <c r="Q191" s="444"/>
      <c r="R191" s="444"/>
      <c r="S191" s="444"/>
      <c r="T191" s="444"/>
      <c r="U191" s="444"/>
      <c r="V191" s="572">
        <v>7.83</v>
      </c>
      <c r="W191" s="446" t="s">
        <v>118</v>
      </c>
      <c r="X191" s="425"/>
    </row>
    <row r="192" spans="1:24" s="426" customFormat="1" x14ac:dyDescent="0.3">
      <c r="A192" s="443"/>
      <c r="B192" s="444" t="s">
        <v>201</v>
      </c>
      <c r="C192" s="444"/>
      <c r="D192" s="444"/>
      <c r="E192" s="444"/>
      <c r="F192" s="444"/>
      <c r="G192" s="444"/>
      <c r="H192" s="444"/>
      <c r="I192" s="444"/>
      <c r="J192" s="444"/>
      <c r="K192" s="444"/>
      <c r="L192" s="444"/>
      <c r="M192" s="444"/>
      <c r="N192" s="444"/>
      <c r="O192" s="444"/>
      <c r="P192" s="444"/>
      <c r="Q192" s="444"/>
      <c r="R192" s="444"/>
      <c r="S192" s="444"/>
      <c r="T192" s="444"/>
      <c r="U192" s="444"/>
      <c r="V192" s="561">
        <f>(V99+V101+V102+V103+V104+V105+V106+V108+V109)/-(V110+V111)</f>
        <v>16.461165048543688</v>
      </c>
      <c r="W192" s="446" t="s">
        <v>118</v>
      </c>
      <c r="X192" s="425"/>
    </row>
    <row r="193" spans="1:24" s="426" customFormat="1" x14ac:dyDescent="0.3">
      <c r="A193" s="443"/>
      <c r="B193" s="444" t="s">
        <v>202</v>
      </c>
      <c r="C193" s="444"/>
      <c r="D193" s="444"/>
      <c r="E193" s="444"/>
      <c r="F193" s="444"/>
      <c r="G193" s="444"/>
      <c r="H193" s="444"/>
      <c r="I193" s="444"/>
      <c r="J193" s="444"/>
      <c r="K193" s="444"/>
      <c r="L193" s="444"/>
      <c r="M193" s="444"/>
      <c r="N193" s="444"/>
      <c r="O193" s="444"/>
      <c r="P193" s="444"/>
      <c r="Q193" s="444"/>
      <c r="R193" s="444"/>
      <c r="S193" s="444"/>
      <c r="T193" s="444"/>
      <c r="U193" s="444"/>
      <c r="V193" s="572">
        <v>9.8000000000000007</v>
      </c>
      <c r="W193" s="446" t="s">
        <v>118</v>
      </c>
      <c r="X193" s="425"/>
    </row>
    <row r="194" spans="1:24" x14ac:dyDescent="0.3">
      <c r="A194" s="543"/>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547"/>
      <c r="X194" s="406"/>
    </row>
    <row r="195" spans="1:24" x14ac:dyDescent="0.3">
      <c r="A195" s="408"/>
      <c r="B195" s="518"/>
      <c r="C195" s="518"/>
      <c r="D195" s="518"/>
      <c r="E195" s="518"/>
      <c r="F195" s="518"/>
      <c r="G195" s="518"/>
      <c r="H195" s="518"/>
      <c r="I195" s="518"/>
      <c r="J195" s="518"/>
      <c r="K195" s="518"/>
      <c r="L195" s="518"/>
      <c r="M195" s="518"/>
      <c r="N195" s="518"/>
      <c r="O195" s="518"/>
      <c r="P195" s="518"/>
      <c r="Q195" s="518"/>
      <c r="R195" s="518"/>
      <c r="S195" s="518"/>
      <c r="T195" s="518"/>
      <c r="U195" s="518"/>
      <c r="V195" s="518"/>
      <c r="W195" s="411"/>
      <c r="X195" s="406"/>
    </row>
    <row r="196" spans="1:24" x14ac:dyDescent="0.3">
      <c r="A196" s="408"/>
      <c r="B196" s="410"/>
      <c r="C196" s="410"/>
      <c r="D196" s="410"/>
      <c r="E196" s="410"/>
      <c r="F196" s="410"/>
      <c r="G196" s="410"/>
      <c r="H196" s="410"/>
      <c r="I196" s="410"/>
      <c r="J196" s="410"/>
      <c r="K196" s="410"/>
      <c r="L196" s="410"/>
      <c r="M196" s="410"/>
      <c r="N196" s="410"/>
      <c r="O196" s="410"/>
      <c r="P196" s="410"/>
      <c r="Q196" s="410"/>
      <c r="R196" s="410"/>
      <c r="S196" s="410"/>
      <c r="T196" s="410"/>
      <c r="U196" s="410"/>
      <c r="V196" s="410"/>
      <c r="W196" s="411"/>
      <c r="X196" s="406"/>
    </row>
    <row r="197" spans="1:24" ht="18.600000000000001" thickBot="1" x14ac:dyDescent="0.4">
      <c r="A197" s="573"/>
      <c r="B197" s="501" t="str">
        <f>B137</f>
        <v>PM13 INVESTOR REPORT QUARTER ENDING DECEMBER 2017</v>
      </c>
      <c r="C197" s="574"/>
      <c r="D197" s="574"/>
      <c r="E197" s="574"/>
      <c r="F197" s="574"/>
      <c r="G197" s="574"/>
      <c r="H197" s="574"/>
      <c r="I197" s="574"/>
      <c r="J197" s="574"/>
      <c r="K197" s="574"/>
      <c r="L197" s="574"/>
      <c r="M197" s="574"/>
      <c r="N197" s="574"/>
      <c r="O197" s="574"/>
      <c r="P197" s="574"/>
      <c r="Q197" s="574"/>
      <c r="R197" s="574"/>
      <c r="S197" s="574"/>
      <c r="T197" s="574"/>
      <c r="U197" s="574"/>
      <c r="V197" s="574"/>
      <c r="W197" s="575"/>
      <c r="X197" s="406"/>
    </row>
    <row r="198" spans="1:24" x14ac:dyDescent="0.3">
      <c r="A198" s="505"/>
      <c r="B198" s="506" t="s">
        <v>70</v>
      </c>
      <c r="C198" s="576"/>
      <c r="D198" s="576"/>
      <c r="E198" s="576"/>
      <c r="F198" s="576"/>
      <c r="G198" s="577"/>
      <c r="H198" s="577"/>
      <c r="I198" s="577"/>
      <c r="J198" s="577"/>
      <c r="K198" s="577"/>
      <c r="L198" s="577"/>
      <c r="M198" s="577"/>
      <c r="N198" s="577"/>
      <c r="O198" s="577"/>
      <c r="P198" s="577"/>
      <c r="Q198" s="577"/>
      <c r="R198" s="577"/>
      <c r="S198" s="577"/>
      <c r="T198" s="577">
        <v>43098</v>
      </c>
      <c r="U198" s="507"/>
      <c r="V198" s="507"/>
      <c r="W198" s="509"/>
      <c r="X198" s="406"/>
    </row>
    <row r="199" spans="1:24" x14ac:dyDescent="0.3">
      <c r="A199" s="578"/>
      <c r="B199" s="579"/>
      <c r="C199" s="580"/>
      <c r="D199" s="580"/>
      <c r="E199" s="580"/>
      <c r="F199" s="580"/>
      <c r="G199" s="581"/>
      <c r="H199" s="581"/>
      <c r="I199" s="581"/>
      <c r="J199" s="581"/>
      <c r="K199" s="581"/>
      <c r="L199" s="581"/>
      <c r="M199" s="581"/>
      <c r="N199" s="581"/>
      <c r="O199" s="581"/>
      <c r="P199" s="581"/>
      <c r="Q199" s="581"/>
      <c r="R199" s="581"/>
      <c r="S199" s="581"/>
      <c r="T199" s="581"/>
      <c r="U199" s="410"/>
      <c r="V199" s="410"/>
      <c r="W199" s="411"/>
      <c r="X199" s="406"/>
    </row>
    <row r="200" spans="1:24" s="426" customFormat="1" x14ac:dyDescent="0.3">
      <c r="A200" s="443"/>
      <c r="B200" s="444" t="s">
        <v>71</v>
      </c>
      <c r="C200" s="582"/>
      <c r="D200" s="582"/>
      <c r="E200" s="582"/>
      <c r="F200" s="582"/>
      <c r="G200" s="488"/>
      <c r="H200" s="488"/>
      <c r="I200" s="488"/>
      <c r="J200" s="488"/>
      <c r="K200" s="488"/>
      <c r="L200" s="488"/>
      <c r="M200" s="488"/>
      <c r="N200" s="488"/>
      <c r="O200" s="488"/>
      <c r="P200" s="488"/>
      <c r="Q200" s="488"/>
      <c r="R200" s="488"/>
      <c r="S200" s="488"/>
      <c r="T200" s="479">
        <v>5.4539999999999998E-2</v>
      </c>
      <c r="U200" s="444"/>
      <c r="V200" s="444"/>
      <c r="W200" s="446"/>
      <c r="X200" s="425"/>
    </row>
    <row r="201" spans="1:24" s="426" customFormat="1" x14ac:dyDescent="0.3">
      <c r="A201" s="443"/>
      <c r="B201" s="444" t="s">
        <v>154</v>
      </c>
      <c r="C201" s="582"/>
      <c r="D201" s="582"/>
      <c r="E201" s="582"/>
      <c r="F201" s="582"/>
      <c r="G201" s="488"/>
      <c r="H201" s="488"/>
      <c r="I201" s="488"/>
      <c r="J201" s="488"/>
      <c r="K201" s="488"/>
      <c r="L201" s="488"/>
      <c r="M201" s="488"/>
      <c r="N201" s="488"/>
      <c r="O201" s="488"/>
      <c r="P201" s="488"/>
      <c r="Q201" s="488"/>
      <c r="R201" s="488"/>
      <c r="S201" s="488"/>
      <c r="T201" s="479">
        <f>'Dec 06'!T199</f>
        <v>5.238600504269459E-2</v>
      </c>
      <c r="U201" s="444"/>
      <c r="V201" s="444"/>
      <c r="W201" s="446"/>
      <c r="X201" s="425"/>
    </row>
    <row r="202" spans="1:24" s="426" customFormat="1" x14ac:dyDescent="0.3">
      <c r="A202" s="443"/>
      <c r="B202" s="444" t="s">
        <v>72</v>
      </c>
      <c r="C202" s="582"/>
      <c r="D202" s="582"/>
      <c r="E202" s="582"/>
      <c r="F202" s="582"/>
      <c r="G202" s="488"/>
      <c r="H202" s="488"/>
      <c r="I202" s="488"/>
      <c r="J202" s="488"/>
      <c r="K202" s="488"/>
      <c r="L202" s="488"/>
      <c r="M202" s="488"/>
      <c r="N202" s="488"/>
      <c r="O202" s="488"/>
      <c r="P202" s="488"/>
      <c r="Q202" s="488"/>
      <c r="R202" s="488"/>
      <c r="S202" s="488"/>
      <c r="T202" s="479">
        <f>+T200-T201</f>
        <v>2.1539949573054079E-3</v>
      </c>
      <c r="U202" s="444"/>
      <c r="V202" s="444"/>
      <c r="W202" s="446"/>
      <c r="X202" s="425"/>
    </row>
    <row r="203" spans="1:24" s="426" customFormat="1" x14ac:dyDescent="0.3">
      <c r="A203" s="443"/>
      <c r="B203" s="444" t="s">
        <v>73</v>
      </c>
      <c r="C203" s="582"/>
      <c r="D203" s="582"/>
      <c r="E203" s="582"/>
      <c r="F203" s="582"/>
      <c r="G203" s="488"/>
      <c r="H203" s="488"/>
      <c r="I203" s="488"/>
      <c r="J203" s="488"/>
      <c r="K203" s="488"/>
      <c r="L203" s="488"/>
      <c r="M203" s="488"/>
      <c r="N203" s="488"/>
      <c r="O203" s="488"/>
      <c r="P203" s="488"/>
      <c r="Q203" s="488"/>
      <c r="R203" s="488"/>
      <c r="S203" s="488"/>
      <c r="T203" s="479">
        <v>2.1919999999999999E-2</v>
      </c>
      <c r="U203" s="444"/>
      <c r="V203" s="444"/>
      <c r="W203" s="446"/>
      <c r="X203" s="425"/>
    </row>
    <row r="204" spans="1:24" s="426" customFormat="1" x14ac:dyDescent="0.3">
      <c r="A204" s="443"/>
      <c r="B204" s="444" t="s">
        <v>222</v>
      </c>
      <c r="C204" s="582"/>
      <c r="D204" s="582"/>
      <c r="E204" s="582"/>
      <c r="F204" s="582"/>
      <c r="G204" s="488"/>
      <c r="H204" s="488"/>
      <c r="I204" s="488"/>
      <c r="J204" s="488"/>
      <c r="K204" s="488"/>
      <c r="L204" s="488"/>
      <c r="M204" s="488"/>
      <c r="N204" s="488"/>
      <c r="O204" s="488"/>
      <c r="P204" s="488"/>
      <c r="Q204" s="488"/>
      <c r="R204" s="488"/>
      <c r="S204" s="488"/>
      <c r="T204" s="479">
        <f>V43</f>
        <v>6.9708936737054835E-3</v>
      </c>
      <c r="U204" s="444"/>
      <c r="V204" s="444"/>
      <c r="W204" s="446"/>
      <c r="X204" s="425"/>
    </row>
    <row r="205" spans="1:24" s="426" customFormat="1" x14ac:dyDescent="0.3">
      <c r="A205" s="443"/>
      <c r="B205" s="444" t="s">
        <v>74</v>
      </c>
      <c r="C205" s="582"/>
      <c r="D205" s="582"/>
      <c r="E205" s="582"/>
      <c r="F205" s="582"/>
      <c r="G205" s="488"/>
      <c r="H205" s="488"/>
      <c r="I205" s="488"/>
      <c r="J205" s="488"/>
      <c r="K205" s="488"/>
      <c r="L205" s="488"/>
      <c r="M205" s="488"/>
      <c r="N205" s="488"/>
      <c r="O205" s="488"/>
      <c r="P205" s="488"/>
      <c r="Q205" s="488"/>
      <c r="R205" s="488"/>
      <c r="S205" s="488"/>
      <c r="T205" s="479">
        <f>T203-T204</f>
        <v>1.4949106326294516E-2</v>
      </c>
      <c r="U205" s="444"/>
      <c r="V205" s="444"/>
      <c r="W205" s="446"/>
      <c r="X205" s="425"/>
    </row>
    <row r="206" spans="1:24" s="426" customFormat="1" x14ac:dyDescent="0.3">
      <c r="A206" s="443"/>
      <c r="B206" s="444" t="s">
        <v>274</v>
      </c>
      <c r="C206" s="582"/>
      <c r="D206" s="582"/>
      <c r="E206" s="582"/>
      <c r="F206" s="582"/>
      <c r="G206" s="488"/>
      <c r="H206" s="488"/>
      <c r="I206" s="488"/>
      <c r="J206" s="488"/>
      <c r="K206" s="488"/>
      <c r="L206" s="488"/>
      <c r="M206" s="488"/>
      <c r="N206" s="488"/>
      <c r="O206" s="488"/>
      <c r="P206" s="488"/>
      <c r="Q206" s="488"/>
      <c r="R206" s="488"/>
      <c r="S206" s="488"/>
      <c r="T206" s="479">
        <f>+V99/N70</f>
        <v>6.3852568956602757E-3</v>
      </c>
      <c r="U206" s="444"/>
      <c r="V206" s="444"/>
      <c r="W206" s="446"/>
      <c r="X206" s="425"/>
    </row>
    <row r="207" spans="1:24" s="426" customFormat="1" x14ac:dyDescent="0.3">
      <c r="A207" s="443"/>
      <c r="B207" s="444" t="s">
        <v>211</v>
      </c>
      <c r="C207" s="582"/>
      <c r="D207" s="582"/>
      <c r="E207" s="582"/>
      <c r="F207" s="582"/>
      <c r="G207" s="488"/>
      <c r="H207" s="488"/>
      <c r="I207" s="488"/>
      <c r="J207" s="488"/>
      <c r="K207" s="488"/>
      <c r="L207" s="488"/>
      <c r="M207" s="488"/>
      <c r="N207" s="488"/>
      <c r="O207" s="488"/>
      <c r="P207" s="488"/>
      <c r="Q207" s="488"/>
      <c r="R207" s="488"/>
      <c r="S207" s="488"/>
      <c r="T207" s="583">
        <v>50771</v>
      </c>
      <c r="U207" s="444"/>
      <c r="V207" s="444"/>
      <c r="W207" s="446"/>
      <c r="X207" s="425"/>
    </row>
    <row r="208" spans="1:24" s="426" customFormat="1" x14ac:dyDescent="0.3">
      <c r="A208" s="443"/>
      <c r="B208" s="444" t="s">
        <v>212</v>
      </c>
      <c r="C208" s="582"/>
      <c r="D208" s="582"/>
      <c r="E208" s="582"/>
      <c r="F208" s="582"/>
      <c r="G208" s="488"/>
      <c r="H208" s="488"/>
      <c r="I208" s="488"/>
      <c r="J208" s="488"/>
      <c r="K208" s="488"/>
      <c r="L208" s="488"/>
      <c r="M208" s="488"/>
      <c r="N208" s="488"/>
      <c r="O208" s="488"/>
      <c r="P208" s="488"/>
      <c r="Q208" s="488"/>
      <c r="R208" s="488"/>
      <c r="S208" s="488"/>
      <c r="T208" s="583">
        <v>50771</v>
      </c>
      <c r="U208" s="444"/>
      <c r="V208" s="444"/>
      <c r="W208" s="446"/>
      <c r="X208" s="425"/>
    </row>
    <row r="209" spans="1:24" s="426" customFormat="1" x14ac:dyDescent="0.3">
      <c r="A209" s="443"/>
      <c r="B209" s="444" t="s">
        <v>213</v>
      </c>
      <c r="C209" s="582"/>
      <c r="D209" s="582"/>
      <c r="E209" s="582"/>
      <c r="F209" s="582"/>
      <c r="G209" s="488"/>
      <c r="H209" s="488"/>
      <c r="I209" s="488"/>
      <c r="J209" s="488"/>
      <c r="K209" s="488"/>
      <c r="L209" s="488"/>
      <c r="M209" s="488"/>
      <c r="N209" s="488"/>
      <c r="O209" s="488"/>
      <c r="P209" s="488"/>
      <c r="Q209" s="488"/>
      <c r="R209" s="488"/>
      <c r="S209" s="488"/>
      <c r="T209" s="583">
        <v>50771</v>
      </c>
      <c r="U209" s="444"/>
      <c r="V209" s="444"/>
      <c r="W209" s="446"/>
      <c r="X209" s="425"/>
    </row>
    <row r="210" spans="1:24" s="426" customFormat="1" x14ac:dyDescent="0.3">
      <c r="A210" s="443"/>
      <c r="B210" s="444" t="s">
        <v>75</v>
      </c>
      <c r="C210" s="582"/>
      <c r="D210" s="582"/>
      <c r="E210" s="582"/>
      <c r="F210" s="582"/>
      <c r="G210" s="488"/>
      <c r="H210" s="488"/>
      <c r="I210" s="488"/>
      <c r="J210" s="488"/>
      <c r="K210" s="488"/>
      <c r="L210" s="488"/>
      <c r="M210" s="488"/>
      <c r="N210" s="488"/>
      <c r="O210" s="488"/>
      <c r="P210" s="488"/>
      <c r="Q210" s="488"/>
      <c r="R210" s="488"/>
      <c r="S210" s="488"/>
      <c r="T210" s="484">
        <v>20.66</v>
      </c>
      <c r="U210" s="444" t="s">
        <v>113</v>
      </c>
      <c r="V210" s="444"/>
      <c r="W210" s="446"/>
      <c r="X210" s="425"/>
    </row>
    <row r="211" spans="1:24" s="426" customFormat="1" x14ac:dyDescent="0.3">
      <c r="A211" s="443"/>
      <c r="B211" s="444" t="s">
        <v>76</v>
      </c>
      <c r="C211" s="582"/>
      <c r="D211" s="582"/>
      <c r="E211" s="582"/>
      <c r="F211" s="582"/>
      <c r="G211" s="488"/>
      <c r="H211" s="488"/>
      <c r="I211" s="488"/>
      <c r="J211" s="488"/>
      <c r="K211" s="488"/>
      <c r="L211" s="488"/>
      <c r="M211" s="488"/>
      <c r="N211" s="488"/>
      <c r="O211" s="488"/>
      <c r="P211" s="488"/>
      <c r="Q211" s="488"/>
      <c r="R211" s="488"/>
      <c r="S211" s="488"/>
      <c r="T211" s="484">
        <v>10.47</v>
      </c>
      <c r="U211" s="444" t="s">
        <v>113</v>
      </c>
      <c r="V211" s="444"/>
      <c r="W211" s="446"/>
      <c r="X211" s="425"/>
    </row>
    <row r="212" spans="1:24" s="426" customFormat="1" x14ac:dyDescent="0.3">
      <c r="A212" s="443"/>
      <c r="B212" s="444" t="s">
        <v>77</v>
      </c>
      <c r="C212" s="582"/>
      <c r="D212" s="582"/>
      <c r="E212" s="582"/>
      <c r="F212" s="582"/>
      <c r="G212" s="488"/>
      <c r="H212" s="488"/>
      <c r="I212" s="488"/>
      <c r="J212" s="488"/>
      <c r="K212" s="488"/>
      <c r="L212" s="488"/>
      <c r="M212" s="488"/>
      <c r="N212" s="488"/>
      <c r="O212" s="488"/>
      <c r="P212" s="488"/>
      <c r="Q212" s="488"/>
      <c r="R212" s="488"/>
      <c r="S212" s="488"/>
      <c r="T212" s="479">
        <f>P67/N67</f>
        <v>1.2776834576210335E-2</v>
      </c>
      <c r="U212" s="444"/>
      <c r="V212" s="444"/>
      <c r="W212" s="446"/>
      <c r="X212" s="425"/>
    </row>
    <row r="213" spans="1:24" s="426" customFormat="1" x14ac:dyDescent="0.3">
      <c r="A213" s="443"/>
      <c r="B213" s="444" t="s">
        <v>78</v>
      </c>
      <c r="C213" s="582"/>
      <c r="D213" s="582"/>
      <c r="E213" s="582"/>
      <c r="F213" s="582"/>
      <c r="G213" s="488"/>
      <c r="H213" s="488"/>
      <c r="I213" s="488"/>
      <c r="J213" s="488"/>
      <c r="K213" s="488"/>
      <c r="L213" s="488"/>
      <c r="M213" s="488"/>
      <c r="N213" s="488"/>
      <c r="O213" s="488"/>
      <c r="P213" s="488"/>
      <c r="Q213" s="488"/>
      <c r="R213" s="488"/>
      <c r="S213" s="488"/>
      <c r="T213" s="479">
        <v>6.3200000000000006E-2</v>
      </c>
      <c r="U213" s="444"/>
      <c r="V213" s="444"/>
      <c r="W213" s="446"/>
      <c r="X213" s="425"/>
    </row>
    <row r="214" spans="1:24" s="426" customFormat="1" x14ac:dyDescent="0.3">
      <c r="A214" s="421"/>
      <c r="B214" s="494"/>
      <c r="C214" s="494"/>
      <c r="D214" s="494"/>
      <c r="E214" s="494"/>
      <c r="F214" s="494"/>
      <c r="G214" s="494"/>
      <c r="H214" s="494"/>
      <c r="I214" s="494"/>
      <c r="J214" s="494"/>
      <c r="K214" s="494"/>
      <c r="L214" s="494"/>
      <c r="M214" s="494"/>
      <c r="N214" s="494"/>
      <c r="O214" s="494"/>
      <c r="P214" s="494"/>
      <c r="Q214" s="494"/>
      <c r="R214" s="494"/>
      <c r="S214" s="494"/>
      <c r="T214" s="584"/>
      <c r="U214" s="494"/>
      <c r="V214" s="585"/>
      <c r="W214" s="424"/>
      <c r="X214" s="425"/>
    </row>
    <row r="215" spans="1:24" s="426" customFormat="1" x14ac:dyDescent="0.3">
      <c r="A215" s="586"/>
      <c r="B215" s="420" t="s">
        <v>79</v>
      </c>
      <c r="C215" s="429"/>
      <c r="D215" s="429"/>
      <c r="E215" s="429"/>
      <c r="F215" s="587"/>
      <c r="G215" s="429"/>
      <c r="H215" s="429"/>
      <c r="I215" s="429"/>
      <c r="J215" s="429"/>
      <c r="K215" s="429"/>
      <c r="L215" s="429"/>
      <c r="M215" s="429"/>
      <c r="N215" s="429"/>
      <c r="O215" s="429"/>
      <c r="P215" s="429"/>
      <c r="Q215" s="429"/>
      <c r="R215" s="429"/>
      <c r="S215" s="429" t="s">
        <v>103</v>
      </c>
      <c r="T215" s="587" t="s">
        <v>110</v>
      </c>
      <c r="U215" s="422"/>
      <c r="V215" s="422"/>
      <c r="W215" s="424"/>
      <c r="X215" s="425"/>
    </row>
    <row r="216" spans="1:24" s="426" customFormat="1" x14ac:dyDescent="0.3">
      <c r="A216" s="588"/>
      <c r="B216" s="444" t="s">
        <v>80</v>
      </c>
      <c r="C216" s="516"/>
      <c r="D216" s="516"/>
      <c r="E216" s="516"/>
      <c r="F216" s="444"/>
      <c r="G216" s="444"/>
      <c r="H216" s="450"/>
      <c r="I216" s="450"/>
      <c r="J216" s="450"/>
      <c r="K216" s="450"/>
      <c r="L216" s="450"/>
      <c r="M216" s="450"/>
      <c r="N216" s="450"/>
      <c r="O216" s="450"/>
      <c r="P216" s="450"/>
      <c r="Q216" s="450"/>
      <c r="R216" s="450"/>
      <c r="S216" s="450">
        <v>1</v>
      </c>
      <c r="T216" s="589">
        <v>60</v>
      </c>
      <c r="U216" s="444"/>
      <c r="V216" s="590"/>
      <c r="W216" s="591"/>
      <c r="X216" s="425"/>
    </row>
    <row r="217" spans="1:24" s="426" customFormat="1" x14ac:dyDescent="0.3">
      <c r="A217" s="588"/>
      <c r="B217" s="444" t="s">
        <v>148</v>
      </c>
      <c r="C217" s="516"/>
      <c r="D217" s="516"/>
      <c r="E217" s="516"/>
      <c r="F217" s="444"/>
      <c r="G217" s="444"/>
      <c r="H217" s="450"/>
      <c r="I217" s="450"/>
      <c r="J217" s="450"/>
      <c r="K217" s="450"/>
      <c r="L217" s="450"/>
      <c r="M217" s="450"/>
      <c r="N217" s="450"/>
      <c r="O217" s="450"/>
      <c r="P217" s="450"/>
      <c r="Q217" s="450"/>
      <c r="R217" s="450"/>
      <c r="S217" s="592">
        <f>+R269</f>
        <v>114</v>
      </c>
      <c r="T217" s="589">
        <f>+T269</f>
        <v>18661</v>
      </c>
      <c r="U217" s="444"/>
      <c r="V217" s="590"/>
      <c r="W217" s="591"/>
      <c r="X217" s="425"/>
    </row>
    <row r="218" spans="1:24" s="426" customFormat="1" x14ac:dyDescent="0.3">
      <c r="A218" s="588"/>
      <c r="B218" s="444" t="s">
        <v>81</v>
      </c>
      <c r="C218" s="516"/>
      <c r="D218" s="516"/>
      <c r="E218" s="516"/>
      <c r="F218" s="444"/>
      <c r="G218" s="444"/>
      <c r="H218" s="450"/>
      <c r="I218" s="450"/>
      <c r="J218" s="450"/>
      <c r="K218" s="450"/>
      <c r="L218" s="450"/>
      <c r="M218" s="450"/>
      <c r="N218" s="450"/>
      <c r="O218" s="450"/>
      <c r="P218" s="450"/>
      <c r="Q218" s="450"/>
      <c r="R218" s="450"/>
      <c r="S218" s="592">
        <f>+R281</f>
        <v>1</v>
      </c>
      <c r="T218" s="589">
        <f>+T281</f>
        <v>118</v>
      </c>
      <c r="U218" s="444"/>
      <c r="V218" s="590"/>
      <c r="W218" s="591"/>
      <c r="X218" s="425"/>
    </row>
    <row r="219" spans="1:24" x14ac:dyDescent="0.3">
      <c r="A219" s="593"/>
      <c r="B219" s="594" t="s">
        <v>82</v>
      </c>
      <c r="C219" s="595"/>
      <c r="D219" s="595"/>
      <c r="E219" s="595"/>
      <c r="F219" s="465"/>
      <c r="G219" s="465"/>
      <c r="H219" s="465"/>
      <c r="I219" s="465"/>
      <c r="J219" s="465"/>
      <c r="K219" s="465"/>
      <c r="L219" s="465"/>
      <c r="M219" s="465"/>
      <c r="N219" s="465"/>
      <c r="O219" s="465"/>
      <c r="P219" s="465"/>
      <c r="Q219" s="465"/>
      <c r="R219" s="465"/>
      <c r="S219" s="465"/>
      <c r="T219" s="589">
        <v>0</v>
      </c>
      <c r="U219" s="465"/>
      <c r="V219" s="596"/>
      <c r="W219" s="597"/>
      <c r="X219" s="406"/>
    </row>
    <row r="220" spans="1:24" x14ac:dyDescent="0.3">
      <c r="A220" s="593"/>
      <c r="B220" s="594" t="s">
        <v>275</v>
      </c>
      <c r="C220" s="595"/>
      <c r="D220" s="595"/>
      <c r="E220" s="595"/>
      <c r="F220" s="465"/>
      <c r="G220" s="465"/>
      <c r="H220" s="465"/>
      <c r="I220" s="465"/>
      <c r="J220" s="465"/>
      <c r="K220" s="465"/>
      <c r="L220" s="465"/>
      <c r="M220" s="465"/>
      <c r="N220" s="465"/>
      <c r="O220" s="465"/>
      <c r="P220" s="465"/>
      <c r="Q220" s="465"/>
      <c r="R220" s="465"/>
      <c r="S220" s="465"/>
      <c r="T220" s="589">
        <f>+N80</f>
        <v>0</v>
      </c>
      <c r="U220" s="465"/>
      <c r="V220" s="596"/>
      <c r="W220" s="597"/>
      <c r="X220" s="406"/>
    </row>
    <row r="221" spans="1:24" x14ac:dyDescent="0.3">
      <c r="A221" s="598"/>
      <c r="B221" s="594" t="s">
        <v>83</v>
      </c>
      <c r="C221" s="599"/>
      <c r="D221" s="599"/>
      <c r="E221" s="599"/>
      <c r="F221" s="599"/>
      <c r="G221" s="465"/>
      <c r="H221" s="465"/>
      <c r="I221" s="465"/>
      <c r="J221" s="465"/>
      <c r="K221" s="465"/>
      <c r="L221" s="465"/>
      <c r="M221" s="465"/>
      <c r="N221" s="465"/>
      <c r="O221" s="465"/>
      <c r="P221" s="465"/>
      <c r="Q221" s="465"/>
      <c r="R221" s="465"/>
      <c r="S221" s="465"/>
      <c r="T221" s="600"/>
      <c r="U221" s="465"/>
      <c r="V221" s="596"/>
      <c r="W221" s="601"/>
      <c r="X221" s="406"/>
    </row>
    <row r="222" spans="1:24" s="426" customFormat="1" x14ac:dyDescent="0.3">
      <c r="A222" s="602"/>
      <c r="B222" s="444" t="s">
        <v>84</v>
      </c>
      <c r="C222" s="444"/>
      <c r="D222" s="444"/>
      <c r="E222" s="444"/>
      <c r="F222" s="444"/>
      <c r="G222" s="444"/>
      <c r="H222" s="444"/>
      <c r="I222" s="444"/>
      <c r="J222" s="444"/>
      <c r="K222" s="444"/>
      <c r="L222" s="444"/>
      <c r="M222" s="444"/>
      <c r="N222" s="444"/>
      <c r="O222" s="444"/>
      <c r="P222" s="444"/>
      <c r="Q222" s="444"/>
      <c r="R222" s="444"/>
      <c r="S222" s="450"/>
      <c r="T222" s="589">
        <f>V166</f>
        <v>489</v>
      </c>
      <c r="U222" s="444"/>
      <c r="V222" s="590"/>
      <c r="W222" s="603"/>
      <c r="X222" s="425"/>
    </row>
    <row r="223" spans="1:24" s="426" customFormat="1" x14ac:dyDescent="0.3">
      <c r="A223" s="588"/>
      <c r="B223" s="444" t="s">
        <v>85</v>
      </c>
      <c r="C223" s="516"/>
      <c r="D223" s="516"/>
      <c r="E223" s="516"/>
      <c r="F223" s="516"/>
      <c r="G223" s="444"/>
      <c r="H223" s="444"/>
      <c r="I223" s="444"/>
      <c r="J223" s="444"/>
      <c r="K223" s="444"/>
      <c r="L223" s="444"/>
      <c r="M223" s="444"/>
      <c r="N223" s="444"/>
      <c r="O223" s="444"/>
      <c r="P223" s="444"/>
      <c r="Q223" s="444"/>
      <c r="R223" s="444"/>
      <c r="S223" s="450"/>
      <c r="T223" s="589">
        <f>'Sept 17'!T223+T222</f>
        <v>10041</v>
      </c>
      <c r="U223" s="444"/>
      <c r="V223" s="590"/>
      <c r="W223" s="603"/>
      <c r="X223" s="425"/>
    </row>
    <row r="224" spans="1:24" x14ac:dyDescent="0.3">
      <c r="A224" s="598"/>
      <c r="B224" s="594" t="s">
        <v>297</v>
      </c>
      <c r="C224" s="599"/>
      <c r="D224" s="599"/>
      <c r="E224" s="599"/>
      <c r="F224" s="599"/>
      <c r="G224" s="465"/>
      <c r="H224" s="465"/>
      <c r="I224" s="465"/>
      <c r="J224" s="465"/>
      <c r="K224" s="465"/>
      <c r="L224" s="465"/>
      <c r="M224" s="465"/>
      <c r="N224" s="465"/>
      <c r="O224" s="465"/>
      <c r="P224" s="465"/>
      <c r="Q224" s="465"/>
      <c r="R224" s="465"/>
      <c r="S224" s="604"/>
      <c r="T224" s="600"/>
      <c r="U224" s="465"/>
      <c r="V224" s="596"/>
      <c r="W224" s="601"/>
      <c r="X224" s="406"/>
    </row>
    <row r="225" spans="1:25" s="426" customFormat="1" x14ac:dyDescent="0.3">
      <c r="A225" s="602"/>
      <c r="B225" s="444" t="s">
        <v>295</v>
      </c>
      <c r="C225" s="444"/>
      <c r="D225" s="444"/>
      <c r="E225" s="444"/>
      <c r="F225" s="444"/>
      <c r="G225" s="444"/>
      <c r="H225" s="444"/>
      <c r="I225" s="444"/>
      <c r="J225" s="444"/>
      <c r="K225" s="444"/>
      <c r="L225" s="444"/>
      <c r="M225" s="444"/>
      <c r="N225" s="444"/>
      <c r="O225" s="444"/>
      <c r="P225" s="444"/>
      <c r="Q225" s="444"/>
      <c r="R225" s="444"/>
      <c r="S225" s="450">
        <v>0</v>
      </c>
      <c r="T225" s="589">
        <v>0</v>
      </c>
      <c r="U225" s="444"/>
      <c r="V225" s="590"/>
      <c r="W225" s="603"/>
      <c r="X225" s="425"/>
    </row>
    <row r="226" spans="1:25" s="426" customFormat="1" x14ac:dyDescent="0.3">
      <c r="A226" s="588"/>
      <c r="B226" s="444" t="s">
        <v>87</v>
      </c>
      <c r="C226" s="482"/>
      <c r="D226" s="482"/>
      <c r="E226" s="482"/>
      <c r="F226" s="605"/>
      <c r="G226" s="444"/>
      <c r="H226" s="444"/>
      <c r="I226" s="444"/>
      <c r="J226" s="444"/>
      <c r="K226" s="444"/>
      <c r="L226" s="444"/>
      <c r="M226" s="444"/>
      <c r="N226" s="444"/>
      <c r="O226" s="444"/>
      <c r="P226" s="444"/>
      <c r="Q226" s="444"/>
      <c r="R226" s="444"/>
      <c r="S226" s="444"/>
      <c r="T226" s="606">
        <v>0</v>
      </c>
      <c r="U226" s="444"/>
      <c r="V226" s="590"/>
      <c r="W226" s="603"/>
      <c r="X226" s="425"/>
    </row>
    <row r="227" spans="1:25" s="426" customFormat="1" x14ac:dyDescent="0.3">
      <c r="A227" s="588"/>
      <c r="B227" s="444" t="s">
        <v>88</v>
      </c>
      <c r="C227" s="482"/>
      <c r="D227" s="482"/>
      <c r="E227" s="482"/>
      <c r="F227" s="605"/>
      <c r="G227" s="444"/>
      <c r="H227" s="444"/>
      <c r="I227" s="444"/>
      <c r="J227" s="444"/>
      <c r="K227" s="444"/>
      <c r="L227" s="444"/>
      <c r="M227" s="444"/>
      <c r="N227" s="444"/>
      <c r="O227" s="444"/>
      <c r="P227" s="444"/>
      <c r="Q227" s="444"/>
      <c r="R227" s="444"/>
      <c r="S227" s="444"/>
      <c r="T227" s="606">
        <v>0</v>
      </c>
      <c r="U227" s="444"/>
      <c r="V227" s="590"/>
      <c r="W227" s="603"/>
      <c r="X227" s="425"/>
    </row>
    <row r="228" spans="1:25" x14ac:dyDescent="0.3">
      <c r="A228" s="593"/>
      <c r="B228" s="594" t="s">
        <v>220</v>
      </c>
      <c r="C228" s="607"/>
      <c r="D228" s="607"/>
      <c r="E228" s="607"/>
      <c r="F228" s="608"/>
      <c r="G228" s="465"/>
      <c r="H228" s="465"/>
      <c r="I228" s="465"/>
      <c r="J228" s="465"/>
      <c r="K228" s="465"/>
      <c r="L228" s="465"/>
      <c r="M228" s="465"/>
      <c r="N228" s="465"/>
      <c r="O228" s="465"/>
      <c r="P228" s="465"/>
      <c r="Q228" s="465"/>
      <c r="R228" s="465"/>
      <c r="S228" s="609"/>
      <c r="T228" s="610"/>
      <c r="U228" s="465"/>
      <c r="V228" s="596"/>
      <c r="W228" s="601"/>
      <c r="X228" s="406"/>
    </row>
    <row r="229" spans="1:25" s="426" customFormat="1" x14ac:dyDescent="0.3">
      <c r="A229" s="588"/>
      <c r="B229" s="444" t="s">
        <v>295</v>
      </c>
      <c r="C229" s="482"/>
      <c r="D229" s="482"/>
      <c r="E229" s="482"/>
      <c r="F229" s="605"/>
      <c r="G229" s="444"/>
      <c r="H229" s="444"/>
      <c r="I229" s="444"/>
      <c r="J229" s="444"/>
      <c r="K229" s="444"/>
      <c r="L229" s="444"/>
      <c r="M229" s="444"/>
      <c r="N229" s="444"/>
      <c r="O229" s="444"/>
      <c r="P229" s="444"/>
      <c r="Q229" s="444"/>
      <c r="R229" s="444"/>
      <c r="S229" s="450">
        <v>6</v>
      </c>
      <c r="T229" s="589">
        <v>528</v>
      </c>
      <c r="U229" s="444"/>
      <c r="V229" s="590"/>
      <c r="W229" s="603"/>
      <c r="X229" s="425"/>
    </row>
    <row r="230" spans="1:25" s="426" customFormat="1" x14ac:dyDescent="0.3">
      <c r="A230" s="588"/>
      <c r="B230" s="444" t="s">
        <v>221</v>
      </c>
      <c r="C230" s="482"/>
      <c r="D230" s="482"/>
      <c r="E230" s="482"/>
      <c r="F230" s="605"/>
      <c r="G230" s="444"/>
      <c r="H230" s="444"/>
      <c r="I230" s="444"/>
      <c r="J230" s="444"/>
      <c r="K230" s="444"/>
      <c r="L230" s="444"/>
      <c r="M230" s="444"/>
      <c r="N230" s="444"/>
      <c r="O230" s="444"/>
      <c r="P230" s="444"/>
      <c r="Q230" s="444"/>
      <c r="R230" s="444"/>
      <c r="S230" s="444"/>
      <c r="T230" s="606">
        <v>15.91</v>
      </c>
      <c r="U230" s="444"/>
      <c r="V230" s="590"/>
      <c r="W230" s="603"/>
      <c r="X230" s="425"/>
    </row>
    <row r="231" spans="1:25" x14ac:dyDescent="0.3">
      <c r="A231" s="593"/>
      <c r="B231" s="599"/>
      <c r="C231" s="607"/>
      <c r="D231" s="607"/>
      <c r="E231" s="607"/>
      <c r="F231" s="608"/>
      <c r="G231" s="465"/>
      <c r="H231" s="465"/>
      <c r="I231" s="465"/>
      <c r="J231" s="465"/>
      <c r="K231" s="465"/>
      <c r="L231" s="465"/>
      <c r="M231" s="465"/>
      <c r="N231" s="465"/>
      <c r="O231" s="465"/>
      <c r="P231" s="465"/>
      <c r="Q231" s="465"/>
      <c r="R231" s="465"/>
      <c r="S231" s="465"/>
      <c r="T231" s="611"/>
      <c r="U231" s="465"/>
      <c r="V231" s="596"/>
      <c r="W231" s="601"/>
      <c r="X231" s="406"/>
    </row>
    <row r="232" spans="1:25" x14ac:dyDescent="0.3">
      <c r="A232" s="593"/>
      <c r="B232" s="599"/>
      <c r="C232" s="607"/>
      <c r="D232" s="607"/>
      <c r="E232" s="607"/>
      <c r="F232" s="608"/>
      <c r="G232" s="465"/>
      <c r="H232" s="465"/>
      <c r="I232" s="465"/>
      <c r="J232" s="465"/>
      <c r="K232" s="465"/>
      <c r="L232" s="465"/>
      <c r="M232" s="465"/>
      <c r="N232" s="465"/>
      <c r="O232" s="465"/>
      <c r="P232" s="465"/>
      <c r="Q232" s="465"/>
      <c r="R232" s="465"/>
      <c r="S232" s="465"/>
      <c r="T232" s="611"/>
      <c r="U232" s="465"/>
      <c r="V232" s="596"/>
      <c r="W232" s="601"/>
      <c r="X232" s="406"/>
    </row>
    <row r="233" spans="1:25" ht="18" x14ac:dyDescent="0.35">
      <c r="A233" s="593"/>
      <c r="B233" s="612" t="s">
        <v>171</v>
      </c>
      <c r="C233" s="607"/>
      <c r="D233" s="607"/>
      <c r="E233" s="607"/>
      <c r="F233" s="608"/>
      <c r="G233" s="465"/>
      <c r="H233" s="465"/>
      <c r="I233" s="465"/>
      <c r="J233" s="465"/>
      <c r="K233" s="465"/>
      <c r="L233" s="465"/>
      <c r="M233" s="465"/>
      <c r="N233" s="465"/>
      <c r="O233" s="465"/>
      <c r="P233" s="613" t="s">
        <v>370</v>
      </c>
      <c r="Q233" s="465"/>
      <c r="R233" s="465"/>
      <c r="S233" s="465"/>
      <c r="T233" s="611"/>
      <c r="U233" s="465"/>
      <c r="V233" s="596"/>
      <c r="W233" s="601"/>
      <c r="X233" s="406"/>
    </row>
    <row r="234" spans="1:25" x14ac:dyDescent="0.3">
      <c r="A234" s="614"/>
      <c r="B234" s="615"/>
      <c r="C234" s="616"/>
      <c r="D234" s="616"/>
      <c r="E234" s="616"/>
      <c r="F234" s="617"/>
      <c r="G234" s="518"/>
      <c r="H234" s="518"/>
      <c r="I234" s="518"/>
      <c r="J234" s="518"/>
      <c r="K234" s="518"/>
      <c r="L234" s="518"/>
      <c r="M234" s="518"/>
      <c r="N234" s="518"/>
      <c r="O234" s="518"/>
      <c r="P234" s="518"/>
      <c r="Q234" s="518"/>
      <c r="R234" s="518"/>
      <c r="S234" s="518"/>
      <c r="T234" s="618"/>
      <c r="U234" s="518"/>
      <c r="V234" s="619"/>
      <c r="W234" s="620"/>
      <c r="X234" s="406"/>
    </row>
    <row r="235" spans="1:25" x14ac:dyDescent="0.3">
      <c r="A235" s="533"/>
      <c r="B235" s="534" t="s">
        <v>310</v>
      </c>
      <c r="C235" s="535"/>
      <c r="D235" s="535"/>
      <c r="E235" s="535"/>
      <c r="F235" s="621"/>
      <c r="G235" s="535"/>
      <c r="H235" s="535"/>
      <c r="I235" s="535"/>
      <c r="J235" s="535"/>
      <c r="K235" s="535"/>
      <c r="L235" s="535"/>
      <c r="M235" s="535"/>
      <c r="N235" s="535"/>
      <c r="O235" s="535"/>
      <c r="P235" s="535"/>
      <c r="Q235" s="535"/>
      <c r="R235" s="621" t="s">
        <v>103</v>
      </c>
      <c r="S235" s="535" t="s">
        <v>104</v>
      </c>
      <c r="T235" s="621" t="s">
        <v>111</v>
      </c>
      <c r="U235" s="535" t="s">
        <v>104</v>
      </c>
      <c r="V235" s="622"/>
      <c r="W235" s="623"/>
      <c r="X235" s="406"/>
    </row>
    <row r="236" spans="1:25" s="426" customFormat="1" x14ac:dyDescent="0.3">
      <c r="A236" s="421"/>
      <c r="B236" s="552" t="s">
        <v>89</v>
      </c>
      <c r="C236" s="624"/>
      <c r="D236" s="624"/>
      <c r="E236" s="624"/>
      <c r="F236" s="494"/>
      <c r="G236" s="624"/>
      <c r="H236" s="624"/>
      <c r="I236" s="624"/>
      <c r="J236" s="624"/>
      <c r="K236" s="624"/>
      <c r="L236" s="624"/>
      <c r="M236" s="624"/>
      <c r="N236" s="624"/>
      <c r="O236" s="624"/>
      <c r="P236" s="624"/>
      <c r="Q236" s="624"/>
      <c r="R236" s="539">
        <f t="shared" ref="R236:R243" si="1">+R248+R260+R272</f>
        <v>6070</v>
      </c>
      <c r="S236" s="625">
        <f t="shared" ref="S236:S243" si="2">R236/$R$245</f>
        <v>0.99442988204456095</v>
      </c>
      <c r="T236" s="540">
        <f t="shared" ref="T236:T243" si="3">+T248+T260+T272</f>
        <v>777891</v>
      </c>
      <c r="U236" s="625">
        <f t="shared" ref="U236:U243" si="4">T236/$T$245</f>
        <v>0.99472135587498511</v>
      </c>
      <c r="V236" s="585"/>
      <c r="W236" s="626"/>
      <c r="X236" s="425"/>
    </row>
    <row r="237" spans="1:25" s="426" customFormat="1" x14ac:dyDescent="0.3">
      <c r="A237" s="443"/>
      <c r="B237" s="516" t="s">
        <v>90</v>
      </c>
      <c r="C237" s="627"/>
      <c r="D237" s="627"/>
      <c r="E237" s="627"/>
      <c r="F237" s="444"/>
      <c r="G237" s="628"/>
      <c r="H237" s="627"/>
      <c r="I237" s="627"/>
      <c r="J237" s="627"/>
      <c r="K237" s="627"/>
      <c r="L237" s="627"/>
      <c r="M237" s="627"/>
      <c r="N237" s="627"/>
      <c r="O237" s="627"/>
      <c r="P237" s="627"/>
      <c r="Q237" s="627"/>
      <c r="R237" s="516">
        <f t="shared" si="1"/>
        <v>8</v>
      </c>
      <c r="S237" s="628">
        <f t="shared" si="2"/>
        <v>1.3106159895150721E-3</v>
      </c>
      <c r="T237" s="517">
        <f t="shared" si="3"/>
        <v>928</v>
      </c>
      <c r="U237" s="628">
        <f t="shared" si="4"/>
        <v>1.1866719350808613E-3</v>
      </c>
      <c r="V237" s="590"/>
      <c r="W237" s="603"/>
      <c r="X237" s="425"/>
      <c r="Y237" s="549"/>
    </row>
    <row r="238" spans="1:25" s="426" customFormat="1" x14ac:dyDescent="0.3">
      <c r="A238" s="443"/>
      <c r="B238" s="516" t="s">
        <v>91</v>
      </c>
      <c r="C238" s="627"/>
      <c r="D238" s="627"/>
      <c r="E238" s="627"/>
      <c r="F238" s="444"/>
      <c r="G238" s="628"/>
      <c r="H238" s="627"/>
      <c r="I238" s="627"/>
      <c r="J238" s="627"/>
      <c r="K238" s="627"/>
      <c r="L238" s="627"/>
      <c r="M238" s="627"/>
      <c r="N238" s="627"/>
      <c r="O238" s="627"/>
      <c r="P238" s="627"/>
      <c r="Q238" s="627"/>
      <c r="R238" s="516">
        <f t="shared" si="1"/>
        <v>0</v>
      </c>
      <c r="S238" s="628">
        <f t="shared" si="2"/>
        <v>0</v>
      </c>
      <c r="T238" s="517">
        <f t="shared" si="3"/>
        <v>0</v>
      </c>
      <c r="U238" s="628">
        <f t="shared" si="4"/>
        <v>0</v>
      </c>
      <c r="V238" s="590"/>
      <c r="W238" s="603"/>
      <c r="X238" s="425"/>
    </row>
    <row r="239" spans="1:25" s="426" customFormat="1" x14ac:dyDescent="0.3">
      <c r="A239" s="443"/>
      <c r="B239" s="516" t="s">
        <v>159</v>
      </c>
      <c r="C239" s="627"/>
      <c r="D239" s="627"/>
      <c r="E239" s="627"/>
      <c r="F239" s="444"/>
      <c r="G239" s="628"/>
      <c r="H239" s="627"/>
      <c r="I239" s="627"/>
      <c r="J239" s="627"/>
      <c r="K239" s="627"/>
      <c r="L239" s="627"/>
      <c r="M239" s="627"/>
      <c r="N239" s="627"/>
      <c r="O239" s="627"/>
      <c r="P239" s="627"/>
      <c r="Q239" s="627"/>
      <c r="R239" s="516">
        <f t="shared" si="1"/>
        <v>4</v>
      </c>
      <c r="S239" s="628">
        <f t="shared" si="2"/>
        <v>6.5530799475753605E-4</v>
      </c>
      <c r="T239" s="517">
        <f t="shared" si="3"/>
        <v>364</v>
      </c>
      <c r="U239" s="628">
        <f t="shared" si="4"/>
        <v>4.6546183660499299E-4</v>
      </c>
      <c r="V239" s="590"/>
      <c r="W239" s="603"/>
      <c r="X239" s="425"/>
      <c r="Y239" s="549"/>
    </row>
    <row r="240" spans="1:25" s="426" customFormat="1" x14ac:dyDescent="0.3">
      <c r="A240" s="443"/>
      <c r="B240" s="516" t="s">
        <v>160</v>
      </c>
      <c r="C240" s="627"/>
      <c r="D240" s="627"/>
      <c r="E240" s="627"/>
      <c r="F240" s="444"/>
      <c r="G240" s="628"/>
      <c r="H240" s="627"/>
      <c r="I240" s="627"/>
      <c r="J240" s="627"/>
      <c r="K240" s="627"/>
      <c r="L240" s="627"/>
      <c r="M240" s="627"/>
      <c r="N240" s="627"/>
      <c r="O240" s="627"/>
      <c r="P240" s="627"/>
      <c r="Q240" s="627"/>
      <c r="R240" s="516">
        <f t="shared" si="1"/>
        <v>1</v>
      </c>
      <c r="S240" s="628">
        <f t="shared" si="2"/>
        <v>1.6382699868938401E-4</v>
      </c>
      <c r="T240" s="517">
        <f t="shared" si="3"/>
        <v>66</v>
      </c>
      <c r="U240" s="628">
        <f t="shared" si="4"/>
        <v>8.439692641738883E-5</v>
      </c>
      <c r="V240" s="590"/>
      <c r="W240" s="603"/>
      <c r="X240" s="425"/>
    </row>
    <row r="241" spans="1:25" s="426" customFormat="1" x14ac:dyDescent="0.3">
      <c r="A241" s="443"/>
      <c r="B241" s="516" t="s">
        <v>161</v>
      </c>
      <c r="C241" s="627"/>
      <c r="D241" s="627"/>
      <c r="E241" s="627"/>
      <c r="F241" s="444"/>
      <c r="G241" s="628"/>
      <c r="H241" s="627"/>
      <c r="I241" s="627"/>
      <c r="J241" s="627"/>
      <c r="K241" s="627"/>
      <c r="L241" s="627"/>
      <c r="M241" s="627"/>
      <c r="N241" s="627"/>
      <c r="O241" s="627"/>
      <c r="P241" s="627"/>
      <c r="Q241" s="627"/>
      <c r="R241" s="516">
        <f t="shared" si="1"/>
        <v>4</v>
      </c>
      <c r="S241" s="628">
        <f t="shared" si="2"/>
        <v>6.5530799475753605E-4</v>
      </c>
      <c r="T241" s="517">
        <f t="shared" si="3"/>
        <v>357</v>
      </c>
      <c r="U241" s="628">
        <f t="shared" si="4"/>
        <v>4.5651064743951235E-4</v>
      </c>
      <c r="V241" s="590"/>
      <c r="W241" s="603"/>
      <c r="X241" s="425"/>
      <c r="Y241" s="549"/>
    </row>
    <row r="242" spans="1:25" s="426" customFormat="1" x14ac:dyDescent="0.3">
      <c r="A242" s="443"/>
      <c r="B242" s="516" t="s">
        <v>162</v>
      </c>
      <c r="C242" s="627"/>
      <c r="D242" s="627"/>
      <c r="E242" s="627"/>
      <c r="F242" s="444"/>
      <c r="G242" s="628"/>
      <c r="H242" s="627"/>
      <c r="I242" s="627"/>
      <c r="J242" s="627"/>
      <c r="K242" s="627"/>
      <c r="L242" s="627"/>
      <c r="M242" s="627"/>
      <c r="N242" s="627"/>
      <c r="O242" s="627"/>
      <c r="P242" s="627"/>
      <c r="Q242" s="627"/>
      <c r="R242" s="516">
        <f t="shared" si="1"/>
        <v>3</v>
      </c>
      <c r="S242" s="628">
        <f t="shared" si="2"/>
        <v>4.9148099606815198E-4</v>
      </c>
      <c r="T242" s="517">
        <f t="shared" si="3"/>
        <v>313</v>
      </c>
      <c r="U242" s="628">
        <f t="shared" si="4"/>
        <v>4.002460298279198E-4</v>
      </c>
      <c r="V242" s="590"/>
      <c r="W242" s="603"/>
      <c r="X242" s="425"/>
    </row>
    <row r="243" spans="1:25" s="426" customFormat="1" x14ac:dyDescent="0.3">
      <c r="A243" s="443"/>
      <c r="B243" s="516" t="s">
        <v>163</v>
      </c>
      <c r="C243" s="627"/>
      <c r="D243" s="627"/>
      <c r="E243" s="627"/>
      <c r="F243" s="444"/>
      <c r="G243" s="628"/>
      <c r="H243" s="627"/>
      <c r="I243" s="627"/>
      <c r="J243" s="627"/>
      <c r="K243" s="627"/>
      <c r="L243" s="627"/>
      <c r="M243" s="627"/>
      <c r="N243" s="627"/>
      <c r="O243" s="627"/>
      <c r="P243" s="627"/>
      <c r="Q243" s="627"/>
      <c r="R243" s="516">
        <f t="shared" si="1"/>
        <v>14</v>
      </c>
      <c r="S243" s="628">
        <f t="shared" si="2"/>
        <v>2.2935779816513763E-3</v>
      </c>
      <c r="T243" s="517">
        <f t="shared" si="3"/>
        <v>2100</v>
      </c>
      <c r="U243" s="628">
        <f t="shared" si="4"/>
        <v>2.6853567496441903E-3</v>
      </c>
      <c r="V243" s="590"/>
      <c r="W243" s="603"/>
      <c r="X243" s="425"/>
      <c r="Y243" s="549"/>
    </row>
    <row r="244" spans="1:25" s="426" customFormat="1" x14ac:dyDescent="0.3">
      <c r="A244" s="443"/>
      <c r="B244" s="516"/>
      <c r="C244" s="627"/>
      <c r="D244" s="627"/>
      <c r="E244" s="627"/>
      <c r="F244" s="444"/>
      <c r="G244" s="628"/>
      <c r="H244" s="627"/>
      <c r="I244" s="627"/>
      <c r="J244" s="627"/>
      <c r="K244" s="627"/>
      <c r="L244" s="627"/>
      <c r="M244" s="627"/>
      <c r="N244" s="627"/>
      <c r="O244" s="627"/>
      <c r="P244" s="627"/>
      <c r="Q244" s="627"/>
      <c r="R244" s="516"/>
      <c r="S244" s="628"/>
      <c r="T244" s="517"/>
      <c r="U244" s="628"/>
      <c r="V244" s="590"/>
      <c r="W244" s="603"/>
      <c r="X244" s="425"/>
    </row>
    <row r="245" spans="1:25" s="426" customFormat="1" x14ac:dyDescent="0.3">
      <c r="A245" s="443"/>
      <c r="B245" s="444" t="s">
        <v>117</v>
      </c>
      <c r="C245" s="444"/>
      <c r="D245" s="444"/>
      <c r="E245" s="444"/>
      <c r="F245" s="444"/>
      <c r="G245" s="444"/>
      <c r="H245" s="629"/>
      <c r="I245" s="629"/>
      <c r="J245" s="629"/>
      <c r="K245" s="629"/>
      <c r="L245" s="629"/>
      <c r="M245" s="629"/>
      <c r="N245" s="629"/>
      <c r="O245" s="629"/>
      <c r="P245" s="629"/>
      <c r="Q245" s="629"/>
      <c r="R245" s="516">
        <f>SUM(R236:R244)</f>
        <v>6104</v>
      </c>
      <c r="S245" s="628">
        <f>SUM(S236:S244)</f>
        <v>1</v>
      </c>
      <c r="T245" s="517">
        <f>SUM(T236:T244)</f>
        <v>782019</v>
      </c>
      <c r="U245" s="628">
        <f>SUM(U236:U244)</f>
        <v>1</v>
      </c>
      <c r="V245" s="444"/>
      <c r="W245" s="446"/>
      <c r="X245" s="425"/>
    </row>
    <row r="246" spans="1:25" x14ac:dyDescent="0.3">
      <c r="A246" s="614"/>
      <c r="B246" s="615"/>
      <c r="C246" s="616"/>
      <c r="D246" s="616"/>
      <c r="E246" s="616"/>
      <c r="F246" s="617"/>
      <c r="G246" s="518"/>
      <c r="H246" s="518"/>
      <c r="I246" s="518"/>
      <c r="J246" s="518"/>
      <c r="K246" s="518"/>
      <c r="L246" s="518"/>
      <c r="M246" s="518"/>
      <c r="N246" s="518"/>
      <c r="O246" s="518"/>
      <c r="P246" s="518"/>
      <c r="Q246" s="518"/>
      <c r="R246" s="518"/>
      <c r="S246" s="518"/>
      <c r="T246" s="618"/>
      <c r="U246" s="518"/>
      <c r="V246" s="619"/>
      <c r="W246" s="620"/>
      <c r="X246" s="406"/>
    </row>
    <row r="247" spans="1:25" x14ac:dyDescent="0.3">
      <c r="A247" s="533"/>
      <c r="B247" s="534" t="s">
        <v>165</v>
      </c>
      <c r="C247" s="535"/>
      <c r="D247" s="535"/>
      <c r="E247" s="535"/>
      <c r="F247" s="621"/>
      <c r="G247" s="535"/>
      <c r="H247" s="535"/>
      <c r="I247" s="535"/>
      <c r="J247" s="535"/>
      <c r="K247" s="535"/>
      <c r="L247" s="535"/>
      <c r="M247" s="535"/>
      <c r="N247" s="535"/>
      <c r="O247" s="535"/>
      <c r="P247" s="535"/>
      <c r="Q247" s="535"/>
      <c r="R247" s="621" t="s">
        <v>103</v>
      </c>
      <c r="S247" s="535" t="s">
        <v>104</v>
      </c>
      <c r="T247" s="621" t="s">
        <v>111</v>
      </c>
      <c r="U247" s="535" t="s">
        <v>104</v>
      </c>
      <c r="V247" s="622"/>
      <c r="W247" s="623"/>
      <c r="X247" s="406"/>
    </row>
    <row r="248" spans="1:25" s="426" customFormat="1" x14ac:dyDescent="0.3">
      <c r="A248" s="421"/>
      <c r="B248" s="552" t="s">
        <v>89</v>
      </c>
      <c r="C248" s="624"/>
      <c r="D248" s="624"/>
      <c r="E248" s="624"/>
      <c r="F248" s="494"/>
      <c r="G248" s="624"/>
      <c r="H248" s="624"/>
      <c r="I248" s="624"/>
      <c r="J248" s="624"/>
      <c r="K248" s="624"/>
      <c r="L248" s="624"/>
      <c r="M248" s="624"/>
      <c r="N248" s="624"/>
      <c r="O248" s="624"/>
      <c r="P248" s="624"/>
      <c r="Q248" s="624"/>
      <c r="R248" s="552">
        <v>5982</v>
      </c>
      <c r="S248" s="630">
        <f t="shared" ref="S248:S255" si="5">R248/$R$257</f>
        <v>0.99883119051594593</v>
      </c>
      <c r="T248" s="631">
        <v>762443</v>
      </c>
      <c r="U248" s="630">
        <f t="shared" ref="U248:U255" si="6">T248/$T$257</f>
        <v>0.99895576751742576</v>
      </c>
      <c r="V248" s="585"/>
      <c r="W248" s="626"/>
      <c r="X248" s="425"/>
    </row>
    <row r="249" spans="1:25" s="426" customFormat="1" x14ac:dyDescent="0.3">
      <c r="A249" s="443"/>
      <c r="B249" s="516" t="s">
        <v>90</v>
      </c>
      <c r="C249" s="627"/>
      <c r="D249" s="627"/>
      <c r="E249" s="627"/>
      <c r="F249" s="444"/>
      <c r="G249" s="628"/>
      <c r="H249" s="627"/>
      <c r="I249" s="627"/>
      <c r="J249" s="627"/>
      <c r="K249" s="627"/>
      <c r="L249" s="627"/>
      <c r="M249" s="627"/>
      <c r="N249" s="627"/>
      <c r="O249" s="627"/>
      <c r="P249" s="627"/>
      <c r="Q249" s="627"/>
      <c r="R249" s="516">
        <v>7</v>
      </c>
      <c r="S249" s="628">
        <f t="shared" si="5"/>
        <v>1.1688094840540991E-3</v>
      </c>
      <c r="T249" s="517">
        <v>797</v>
      </c>
      <c r="U249" s="628">
        <f t="shared" si="6"/>
        <v>1.0442324825742887E-3</v>
      </c>
      <c r="V249" s="590"/>
      <c r="W249" s="603"/>
      <c r="X249" s="425"/>
      <c r="Y249" s="549"/>
    </row>
    <row r="250" spans="1:25" s="426" customFormat="1" x14ac:dyDescent="0.3">
      <c r="A250" s="443"/>
      <c r="B250" s="516" t="s">
        <v>91</v>
      </c>
      <c r="C250" s="627"/>
      <c r="D250" s="627"/>
      <c r="E250" s="627"/>
      <c r="F250" s="444"/>
      <c r="G250" s="628"/>
      <c r="H250" s="627"/>
      <c r="I250" s="627"/>
      <c r="J250" s="627"/>
      <c r="K250" s="627"/>
      <c r="L250" s="627"/>
      <c r="M250" s="627"/>
      <c r="N250" s="627"/>
      <c r="O250" s="627"/>
      <c r="P250" s="627"/>
      <c r="Q250" s="627"/>
      <c r="R250" s="516">
        <v>0</v>
      </c>
      <c r="S250" s="628">
        <f t="shared" si="5"/>
        <v>0</v>
      </c>
      <c r="T250" s="517">
        <v>0</v>
      </c>
      <c r="U250" s="628">
        <f t="shared" si="6"/>
        <v>0</v>
      </c>
      <c r="V250" s="590"/>
      <c r="W250" s="603"/>
      <c r="X250" s="425"/>
    </row>
    <row r="251" spans="1:25" s="426" customFormat="1" x14ac:dyDescent="0.3">
      <c r="A251" s="443"/>
      <c r="B251" s="516" t="s">
        <v>159</v>
      </c>
      <c r="C251" s="627"/>
      <c r="D251" s="627"/>
      <c r="E251" s="627"/>
      <c r="F251" s="444"/>
      <c r="G251" s="628"/>
      <c r="H251" s="627"/>
      <c r="I251" s="627"/>
      <c r="J251" s="627"/>
      <c r="K251" s="627"/>
      <c r="L251" s="627"/>
      <c r="M251" s="627"/>
      <c r="N251" s="627"/>
      <c r="O251" s="627"/>
      <c r="P251" s="627"/>
      <c r="Q251" s="627"/>
      <c r="R251" s="516">
        <v>0</v>
      </c>
      <c r="S251" s="628">
        <f t="shared" si="5"/>
        <v>0</v>
      </c>
      <c r="T251" s="517">
        <v>0</v>
      </c>
      <c r="U251" s="628">
        <f t="shared" si="6"/>
        <v>0</v>
      </c>
      <c r="V251" s="590"/>
      <c r="W251" s="603"/>
      <c r="X251" s="425"/>
      <c r="Y251" s="549"/>
    </row>
    <row r="252" spans="1:25" s="426" customFormat="1" x14ac:dyDescent="0.3">
      <c r="A252" s="443"/>
      <c r="B252" s="516" t="s">
        <v>160</v>
      </c>
      <c r="C252" s="627"/>
      <c r="D252" s="627"/>
      <c r="E252" s="627"/>
      <c r="F252" s="444"/>
      <c r="G252" s="628"/>
      <c r="H252" s="627"/>
      <c r="I252" s="627"/>
      <c r="J252" s="627"/>
      <c r="K252" s="627"/>
      <c r="L252" s="627"/>
      <c r="M252" s="627"/>
      <c r="N252" s="627"/>
      <c r="O252" s="627"/>
      <c r="P252" s="627"/>
      <c r="Q252" s="627"/>
      <c r="R252" s="516">
        <v>0</v>
      </c>
      <c r="S252" s="628">
        <f t="shared" si="5"/>
        <v>0</v>
      </c>
      <c r="T252" s="517">
        <v>0</v>
      </c>
      <c r="U252" s="628">
        <f t="shared" si="6"/>
        <v>0</v>
      </c>
      <c r="V252" s="590"/>
      <c r="W252" s="603"/>
      <c r="X252" s="425"/>
    </row>
    <row r="253" spans="1:25" s="426" customFormat="1" x14ac:dyDescent="0.3">
      <c r="A253" s="443"/>
      <c r="B253" s="516" t="s">
        <v>161</v>
      </c>
      <c r="C253" s="627"/>
      <c r="D253" s="627"/>
      <c r="E253" s="627"/>
      <c r="F253" s="444"/>
      <c r="G253" s="628"/>
      <c r="H253" s="627"/>
      <c r="I253" s="627"/>
      <c r="J253" s="627"/>
      <c r="K253" s="627"/>
      <c r="L253" s="627"/>
      <c r="M253" s="627"/>
      <c r="N253" s="627"/>
      <c r="O253" s="627"/>
      <c r="P253" s="627"/>
      <c r="Q253" s="627"/>
      <c r="R253" s="516">
        <v>0</v>
      </c>
      <c r="S253" s="628">
        <f t="shared" si="5"/>
        <v>0</v>
      </c>
      <c r="T253" s="517">
        <v>0</v>
      </c>
      <c r="U253" s="628">
        <f t="shared" si="6"/>
        <v>0</v>
      </c>
      <c r="V253" s="590"/>
      <c r="W253" s="603"/>
      <c r="X253" s="425"/>
      <c r="Y253" s="549"/>
    </row>
    <row r="254" spans="1:25" s="426" customFormat="1" x14ac:dyDescent="0.3">
      <c r="A254" s="443"/>
      <c r="B254" s="516" t="s">
        <v>162</v>
      </c>
      <c r="C254" s="627"/>
      <c r="D254" s="627"/>
      <c r="E254" s="627"/>
      <c r="F254" s="444"/>
      <c r="G254" s="628"/>
      <c r="H254" s="627"/>
      <c r="I254" s="627"/>
      <c r="J254" s="627"/>
      <c r="K254" s="627"/>
      <c r="L254" s="627"/>
      <c r="M254" s="627"/>
      <c r="N254" s="627"/>
      <c r="O254" s="627"/>
      <c r="P254" s="627"/>
      <c r="Q254" s="627"/>
      <c r="R254" s="516">
        <v>0</v>
      </c>
      <c r="S254" s="628">
        <f t="shared" si="5"/>
        <v>0</v>
      </c>
      <c r="T254" s="517">
        <v>0</v>
      </c>
      <c r="U254" s="628">
        <f t="shared" si="6"/>
        <v>0</v>
      </c>
      <c r="V254" s="590"/>
      <c r="W254" s="603"/>
      <c r="X254" s="425"/>
    </row>
    <row r="255" spans="1:25" s="426" customFormat="1" x14ac:dyDescent="0.3">
      <c r="A255" s="443"/>
      <c r="B255" s="516" t="s">
        <v>163</v>
      </c>
      <c r="C255" s="627"/>
      <c r="D255" s="627"/>
      <c r="E255" s="627"/>
      <c r="F255" s="444"/>
      <c r="G255" s="628"/>
      <c r="H255" s="627"/>
      <c r="I255" s="627"/>
      <c r="J255" s="627"/>
      <c r="K255" s="627"/>
      <c r="L255" s="627"/>
      <c r="M255" s="627"/>
      <c r="N255" s="627"/>
      <c r="O255" s="627"/>
      <c r="P255" s="627"/>
      <c r="Q255" s="627"/>
      <c r="R255" s="516">
        <v>0</v>
      </c>
      <c r="S255" s="628">
        <f t="shared" si="5"/>
        <v>0</v>
      </c>
      <c r="T255" s="517">
        <v>0</v>
      </c>
      <c r="U255" s="628">
        <f t="shared" si="6"/>
        <v>0</v>
      </c>
      <c r="V255" s="590"/>
      <c r="W255" s="603"/>
      <c r="X255" s="425"/>
      <c r="Y255" s="549"/>
    </row>
    <row r="256" spans="1:25" s="426" customFormat="1" x14ac:dyDescent="0.3">
      <c r="A256" s="443"/>
      <c r="B256" s="516"/>
      <c r="C256" s="627"/>
      <c r="D256" s="627"/>
      <c r="E256" s="627"/>
      <c r="F256" s="444"/>
      <c r="G256" s="628"/>
      <c r="H256" s="627"/>
      <c r="I256" s="627"/>
      <c r="J256" s="627"/>
      <c r="K256" s="627"/>
      <c r="L256" s="627"/>
      <c r="M256" s="627"/>
      <c r="N256" s="627"/>
      <c r="O256" s="627"/>
      <c r="P256" s="627"/>
      <c r="Q256" s="627"/>
      <c r="R256" s="516"/>
      <c r="S256" s="628"/>
      <c r="T256" s="517"/>
      <c r="U256" s="628"/>
      <c r="V256" s="590"/>
      <c r="W256" s="603"/>
      <c r="X256" s="425"/>
    </row>
    <row r="257" spans="1:24" s="426" customFormat="1" x14ac:dyDescent="0.3">
      <c r="A257" s="443"/>
      <c r="B257" s="444" t="s">
        <v>117</v>
      </c>
      <c r="C257" s="444"/>
      <c r="D257" s="444"/>
      <c r="E257" s="444"/>
      <c r="F257" s="444"/>
      <c r="G257" s="444"/>
      <c r="H257" s="629"/>
      <c r="I257" s="629"/>
      <c r="J257" s="629"/>
      <c r="K257" s="629"/>
      <c r="L257" s="629"/>
      <c r="M257" s="629"/>
      <c r="N257" s="629"/>
      <c r="O257" s="629"/>
      <c r="P257" s="629"/>
      <c r="Q257" s="629"/>
      <c r="R257" s="516">
        <f>SUM(R248:R256)</f>
        <v>5989</v>
      </c>
      <c r="S257" s="628">
        <f>SUM(S248:S256)</f>
        <v>1</v>
      </c>
      <c r="T257" s="517">
        <f>SUM(T248:T256)</f>
        <v>763240</v>
      </c>
      <c r="U257" s="628">
        <f>SUM(U248:U256)</f>
        <v>1</v>
      </c>
      <c r="V257" s="444"/>
      <c r="W257" s="446"/>
      <c r="X257" s="425"/>
    </row>
    <row r="258" spans="1:24" x14ac:dyDescent="0.3">
      <c r="A258" s="408"/>
      <c r="B258" s="518"/>
      <c r="C258" s="518"/>
      <c r="D258" s="518"/>
      <c r="E258" s="518"/>
      <c r="F258" s="518"/>
      <c r="G258" s="518"/>
      <c r="H258" s="632"/>
      <c r="I258" s="632"/>
      <c r="J258" s="632"/>
      <c r="K258" s="632"/>
      <c r="L258" s="632"/>
      <c r="M258" s="632"/>
      <c r="N258" s="632"/>
      <c r="O258" s="632"/>
      <c r="P258" s="632"/>
      <c r="Q258" s="632"/>
      <c r="R258" s="519"/>
      <c r="S258" s="633"/>
      <c r="T258" s="634"/>
      <c r="U258" s="633"/>
      <c r="V258" s="518"/>
      <c r="W258" s="411"/>
      <c r="X258" s="406"/>
    </row>
    <row r="259" spans="1:24" x14ac:dyDescent="0.3">
      <c r="A259" s="533"/>
      <c r="B259" s="534" t="s">
        <v>279</v>
      </c>
      <c r="C259" s="535"/>
      <c r="D259" s="535"/>
      <c r="E259" s="535"/>
      <c r="F259" s="621"/>
      <c r="G259" s="535"/>
      <c r="H259" s="535"/>
      <c r="I259" s="535"/>
      <c r="J259" s="535"/>
      <c r="K259" s="535"/>
      <c r="L259" s="535"/>
      <c r="M259" s="535"/>
      <c r="N259" s="535"/>
      <c r="O259" s="535"/>
      <c r="P259" s="535"/>
      <c r="Q259" s="535"/>
      <c r="R259" s="621" t="s">
        <v>103</v>
      </c>
      <c r="S259" s="535" t="s">
        <v>104</v>
      </c>
      <c r="T259" s="621" t="s">
        <v>111</v>
      </c>
      <c r="U259" s="535" t="s">
        <v>104</v>
      </c>
      <c r="V259" s="622"/>
      <c r="W259" s="538"/>
      <c r="X259" s="406"/>
    </row>
    <row r="260" spans="1:24" s="426" customFormat="1" x14ac:dyDescent="0.3">
      <c r="A260" s="421"/>
      <c r="B260" s="552" t="s">
        <v>89</v>
      </c>
      <c r="C260" s="624"/>
      <c r="D260" s="624"/>
      <c r="E260" s="624"/>
      <c r="F260" s="494"/>
      <c r="G260" s="624"/>
      <c r="H260" s="624"/>
      <c r="I260" s="624"/>
      <c r="J260" s="624"/>
      <c r="K260" s="624"/>
      <c r="L260" s="624"/>
      <c r="M260" s="624"/>
      <c r="N260" s="624"/>
      <c r="O260" s="624"/>
      <c r="P260" s="624"/>
      <c r="Q260" s="624"/>
      <c r="R260" s="552">
        <v>88</v>
      </c>
      <c r="S260" s="630">
        <f>R260/$R$269</f>
        <v>0.77192982456140347</v>
      </c>
      <c r="T260" s="631">
        <v>15448</v>
      </c>
      <c r="U260" s="630">
        <f t="shared" ref="U260:U267" si="7">T260/$T$269</f>
        <v>0.82782273190075562</v>
      </c>
      <c r="V260" s="494"/>
      <c r="W260" s="424"/>
      <c r="X260" s="425"/>
    </row>
    <row r="261" spans="1:24" s="426" customFormat="1" x14ac:dyDescent="0.3">
      <c r="A261" s="443"/>
      <c r="B261" s="516" t="s">
        <v>90</v>
      </c>
      <c r="C261" s="627"/>
      <c r="D261" s="627"/>
      <c r="E261" s="627"/>
      <c r="F261" s="444"/>
      <c r="G261" s="628"/>
      <c r="H261" s="627"/>
      <c r="I261" s="627"/>
      <c r="J261" s="627"/>
      <c r="K261" s="627"/>
      <c r="L261" s="627"/>
      <c r="M261" s="627"/>
      <c r="N261" s="627"/>
      <c r="O261" s="627"/>
      <c r="P261" s="627"/>
      <c r="Q261" s="627"/>
      <c r="R261" s="516">
        <v>1</v>
      </c>
      <c r="S261" s="628">
        <f t="shared" ref="S261:S265" si="8">R261/$R$269</f>
        <v>8.771929824561403E-3</v>
      </c>
      <c r="T261" s="517">
        <v>131</v>
      </c>
      <c r="U261" s="628">
        <f t="shared" si="7"/>
        <v>7.0199882107068214E-3</v>
      </c>
      <c r="V261" s="444"/>
      <c r="W261" s="446"/>
      <c r="X261" s="425"/>
    </row>
    <row r="262" spans="1:24" s="426" customFormat="1" x14ac:dyDescent="0.3">
      <c r="A262" s="443"/>
      <c r="B262" s="516" t="s">
        <v>91</v>
      </c>
      <c r="C262" s="627"/>
      <c r="D262" s="627"/>
      <c r="E262" s="627"/>
      <c r="F262" s="444"/>
      <c r="G262" s="628"/>
      <c r="H262" s="627"/>
      <c r="I262" s="627"/>
      <c r="J262" s="627"/>
      <c r="K262" s="627"/>
      <c r="L262" s="627"/>
      <c r="M262" s="627"/>
      <c r="N262" s="627"/>
      <c r="O262" s="627"/>
      <c r="P262" s="627"/>
      <c r="Q262" s="627"/>
      <c r="R262" s="516">
        <v>0</v>
      </c>
      <c r="S262" s="628">
        <f t="shared" si="8"/>
        <v>0</v>
      </c>
      <c r="T262" s="517">
        <v>0</v>
      </c>
      <c r="U262" s="628">
        <f t="shared" si="7"/>
        <v>0</v>
      </c>
      <c r="V262" s="444"/>
      <c r="W262" s="446"/>
      <c r="X262" s="425"/>
    </row>
    <row r="263" spans="1:24" s="426" customFormat="1" x14ac:dyDescent="0.3">
      <c r="A263" s="443"/>
      <c r="B263" s="516" t="s">
        <v>159</v>
      </c>
      <c r="C263" s="627"/>
      <c r="D263" s="627"/>
      <c r="E263" s="627"/>
      <c r="F263" s="444"/>
      <c r="G263" s="628"/>
      <c r="H263" s="627"/>
      <c r="I263" s="627"/>
      <c r="J263" s="627"/>
      <c r="K263" s="627"/>
      <c r="L263" s="627"/>
      <c r="M263" s="627"/>
      <c r="N263" s="627"/>
      <c r="O263" s="627"/>
      <c r="P263" s="627"/>
      <c r="Q263" s="627"/>
      <c r="R263" s="516">
        <v>4</v>
      </c>
      <c r="S263" s="628">
        <f t="shared" si="8"/>
        <v>3.5087719298245612E-2</v>
      </c>
      <c r="T263" s="517">
        <v>364</v>
      </c>
      <c r="U263" s="628">
        <f t="shared" si="7"/>
        <v>1.9505921440437276E-2</v>
      </c>
      <c r="V263" s="444"/>
      <c r="W263" s="446"/>
      <c r="X263" s="425"/>
    </row>
    <row r="264" spans="1:24" s="426" customFormat="1" x14ac:dyDescent="0.3">
      <c r="A264" s="443"/>
      <c r="B264" s="516" t="s">
        <v>160</v>
      </c>
      <c r="C264" s="627"/>
      <c r="D264" s="627"/>
      <c r="E264" s="627"/>
      <c r="F264" s="444"/>
      <c r="G264" s="628"/>
      <c r="H264" s="627"/>
      <c r="I264" s="627"/>
      <c r="J264" s="627"/>
      <c r="K264" s="627"/>
      <c r="L264" s="627"/>
      <c r="M264" s="627"/>
      <c r="N264" s="627"/>
      <c r="O264" s="627"/>
      <c r="P264" s="627"/>
      <c r="Q264" s="627"/>
      <c r="R264" s="516">
        <v>1</v>
      </c>
      <c r="S264" s="628">
        <f t="shared" si="8"/>
        <v>8.771929824561403E-3</v>
      </c>
      <c r="T264" s="517">
        <v>66</v>
      </c>
      <c r="U264" s="628">
        <f t="shared" si="7"/>
        <v>3.5367879534858797E-3</v>
      </c>
      <c r="V264" s="444"/>
      <c r="W264" s="446"/>
      <c r="X264" s="425"/>
    </row>
    <row r="265" spans="1:24" s="426" customFormat="1" x14ac:dyDescent="0.3">
      <c r="A265" s="443"/>
      <c r="B265" s="516" t="s">
        <v>161</v>
      </c>
      <c r="C265" s="627"/>
      <c r="D265" s="627"/>
      <c r="E265" s="627"/>
      <c r="F265" s="444"/>
      <c r="G265" s="628"/>
      <c r="H265" s="627"/>
      <c r="I265" s="627"/>
      <c r="J265" s="627"/>
      <c r="K265" s="627"/>
      <c r="L265" s="627"/>
      <c r="M265" s="627"/>
      <c r="N265" s="627"/>
      <c r="O265" s="627"/>
      <c r="P265" s="627"/>
      <c r="Q265" s="627"/>
      <c r="R265" s="516">
        <v>4</v>
      </c>
      <c r="S265" s="628">
        <f t="shared" si="8"/>
        <v>3.5087719298245612E-2</v>
      </c>
      <c r="T265" s="517">
        <v>357</v>
      </c>
      <c r="U265" s="628">
        <f t="shared" si="7"/>
        <v>1.9130807566582711E-2</v>
      </c>
      <c r="V265" s="444"/>
      <c r="W265" s="446"/>
      <c r="X265" s="425"/>
    </row>
    <row r="266" spans="1:24" s="426" customFormat="1" x14ac:dyDescent="0.3">
      <c r="A266" s="443"/>
      <c r="B266" s="516" t="s">
        <v>162</v>
      </c>
      <c r="C266" s="627"/>
      <c r="D266" s="627"/>
      <c r="E266" s="627"/>
      <c r="F266" s="444"/>
      <c r="G266" s="628"/>
      <c r="H266" s="627"/>
      <c r="I266" s="627"/>
      <c r="J266" s="627"/>
      <c r="K266" s="627"/>
      <c r="L266" s="627"/>
      <c r="M266" s="627"/>
      <c r="N266" s="627"/>
      <c r="O266" s="627"/>
      <c r="P266" s="627"/>
      <c r="Q266" s="627"/>
      <c r="R266" s="516">
        <v>2</v>
      </c>
      <c r="S266" s="628">
        <f>R266/$R$269</f>
        <v>1.7543859649122806E-2</v>
      </c>
      <c r="T266" s="517">
        <v>195</v>
      </c>
      <c r="U266" s="628">
        <f t="shared" si="7"/>
        <v>1.0449600771662826E-2</v>
      </c>
      <c r="V266" s="444"/>
      <c r="W266" s="446"/>
      <c r="X266" s="425"/>
    </row>
    <row r="267" spans="1:24" s="426" customFormat="1" x14ac:dyDescent="0.3">
      <c r="A267" s="443"/>
      <c r="B267" s="516" t="s">
        <v>163</v>
      </c>
      <c r="C267" s="627"/>
      <c r="D267" s="627"/>
      <c r="E267" s="627"/>
      <c r="F267" s="444"/>
      <c r="G267" s="628"/>
      <c r="H267" s="627"/>
      <c r="I267" s="627"/>
      <c r="J267" s="627"/>
      <c r="K267" s="627"/>
      <c r="L267" s="627"/>
      <c r="M267" s="627"/>
      <c r="N267" s="627"/>
      <c r="O267" s="627"/>
      <c r="P267" s="627"/>
      <c r="Q267" s="627"/>
      <c r="R267" s="516">
        <v>14</v>
      </c>
      <c r="S267" s="628">
        <f>R267/$R$269</f>
        <v>0.12280701754385964</v>
      </c>
      <c r="T267" s="517">
        <v>2100</v>
      </c>
      <c r="U267" s="628">
        <f t="shared" si="7"/>
        <v>0.1125341621563689</v>
      </c>
      <c r="V267" s="444"/>
      <c r="W267" s="446"/>
      <c r="X267" s="425"/>
    </row>
    <row r="268" spans="1:24" s="426" customFormat="1" x14ac:dyDescent="0.3">
      <c r="A268" s="443"/>
      <c r="B268" s="516"/>
      <c r="C268" s="627"/>
      <c r="D268" s="627"/>
      <c r="E268" s="627"/>
      <c r="F268" s="444"/>
      <c r="G268" s="628"/>
      <c r="H268" s="627"/>
      <c r="I268" s="627"/>
      <c r="J268" s="627"/>
      <c r="K268" s="627"/>
      <c r="L268" s="627"/>
      <c r="M268" s="627"/>
      <c r="N268" s="627"/>
      <c r="O268" s="627"/>
      <c r="P268" s="627"/>
      <c r="Q268" s="627"/>
      <c r="R268" s="516"/>
      <c r="S268" s="628"/>
      <c r="T268" s="517"/>
      <c r="U268" s="628"/>
      <c r="V268" s="444"/>
      <c r="W268" s="446"/>
      <c r="X268" s="425"/>
    </row>
    <row r="269" spans="1:24" s="426" customFormat="1" x14ac:dyDescent="0.3">
      <c r="A269" s="443"/>
      <c r="B269" s="444" t="s">
        <v>117</v>
      </c>
      <c r="C269" s="444"/>
      <c r="D269" s="444"/>
      <c r="E269" s="444"/>
      <c r="F269" s="444"/>
      <c r="G269" s="444"/>
      <c r="H269" s="629"/>
      <c r="I269" s="629"/>
      <c r="J269" s="629"/>
      <c r="K269" s="629"/>
      <c r="L269" s="629"/>
      <c r="M269" s="629"/>
      <c r="N269" s="629"/>
      <c r="O269" s="629"/>
      <c r="P269" s="629"/>
      <c r="Q269" s="629"/>
      <c r="R269" s="516">
        <f>SUM(R260:R268)</f>
        <v>114</v>
      </c>
      <c r="S269" s="628">
        <f>SUM(S260:S268)</f>
        <v>1</v>
      </c>
      <c r="T269" s="517">
        <f>SUM(T260:T268)</f>
        <v>18661</v>
      </c>
      <c r="U269" s="628">
        <f>SUM(U260:U268)</f>
        <v>1</v>
      </c>
      <c r="V269" s="444"/>
      <c r="W269" s="446"/>
      <c r="X269" s="425"/>
    </row>
    <row r="270" spans="1:24" x14ac:dyDescent="0.3">
      <c r="A270" s="408"/>
      <c r="B270" s="518"/>
      <c r="C270" s="518"/>
      <c r="D270" s="518"/>
      <c r="E270" s="518"/>
      <c r="F270" s="518"/>
      <c r="G270" s="518"/>
      <c r="H270" s="632"/>
      <c r="I270" s="632"/>
      <c r="J270" s="632"/>
      <c r="K270" s="632"/>
      <c r="L270" s="632"/>
      <c r="M270" s="632"/>
      <c r="N270" s="632"/>
      <c r="O270" s="632"/>
      <c r="P270" s="632"/>
      <c r="Q270" s="632"/>
      <c r="R270" s="519"/>
      <c r="S270" s="633"/>
      <c r="T270" s="634"/>
      <c r="U270" s="633"/>
      <c r="V270" s="518"/>
      <c r="W270" s="411"/>
      <c r="X270" s="406"/>
    </row>
    <row r="271" spans="1:24" x14ac:dyDescent="0.3">
      <c r="A271" s="533"/>
      <c r="B271" s="534" t="s">
        <v>166</v>
      </c>
      <c r="C271" s="622"/>
      <c r="D271" s="622"/>
      <c r="E271" s="622"/>
      <c r="F271" s="622"/>
      <c r="G271" s="622"/>
      <c r="H271" s="635"/>
      <c r="I271" s="635"/>
      <c r="J271" s="635"/>
      <c r="K271" s="635"/>
      <c r="L271" s="635"/>
      <c r="M271" s="635"/>
      <c r="N271" s="635"/>
      <c r="O271" s="635"/>
      <c r="P271" s="635"/>
      <c r="Q271" s="635"/>
      <c r="R271" s="621" t="s">
        <v>103</v>
      </c>
      <c r="S271" s="535" t="s">
        <v>104</v>
      </c>
      <c r="T271" s="621" t="s">
        <v>111</v>
      </c>
      <c r="U271" s="535" t="s">
        <v>104</v>
      </c>
      <c r="V271" s="622"/>
      <c r="W271" s="538"/>
      <c r="X271" s="406"/>
    </row>
    <row r="272" spans="1:24" s="426" customFormat="1" x14ac:dyDescent="0.3">
      <c r="A272" s="421"/>
      <c r="B272" s="552" t="s">
        <v>89</v>
      </c>
      <c r="C272" s="494"/>
      <c r="D272" s="494"/>
      <c r="E272" s="494"/>
      <c r="F272" s="494"/>
      <c r="G272" s="494"/>
      <c r="H272" s="636"/>
      <c r="I272" s="636"/>
      <c r="J272" s="636"/>
      <c r="K272" s="636"/>
      <c r="L272" s="636"/>
      <c r="M272" s="636"/>
      <c r="N272" s="636"/>
      <c r="O272" s="636"/>
      <c r="P272" s="636"/>
      <c r="Q272" s="636"/>
      <c r="R272" s="552">
        <v>0</v>
      </c>
      <c r="S272" s="630">
        <f>R272/R281</f>
        <v>0</v>
      </c>
      <c r="T272" s="631">
        <v>0</v>
      </c>
      <c r="U272" s="630">
        <v>0</v>
      </c>
      <c r="V272" s="494"/>
      <c r="W272" s="424"/>
      <c r="X272" s="425"/>
    </row>
    <row r="273" spans="1:24" s="426" customFormat="1" x14ac:dyDescent="0.3">
      <c r="A273" s="443"/>
      <c r="B273" s="516" t="s">
        <v>90</v>
      </c>
      <c r="C273" s="444"/>
      <c r="D273" s="444"/>
      <c r="E273" s="444"/>
      <c r="F273" s="444"/>
      <c r="G273" s="444"/>
      <c r="H273" s="629"/>
      <c r="I273" s="629"/>
      <c r="J273" s="629"/>
      <c r="K273" s="629"/>
      <c r="L273" s="629"/>
      <c r="M273" s="629"/>
      <c r="N273" s="629"/>
      <c r="O273" s="629"/>
      <c r="P273" s="629"/>
      <c r="Q273" s="629"/>
      <c r="R273" s="516">
        <v>0</v>
      </c>
      <c r="S273" s="628">
        <v>0</v>
      </c>
      <c r="T273" s="517">
        <v>0</v>
      </c>
      <c r="U273" s="628">
        <v>0</v>
      </c>
      <c r="V273" s="444"/>
      <c r="W273" s="446"/>
      <c r="X273" s="425"/>
    </row>
    <row r="274" spans="1:24" s="426" customFormat="1" x14ac:dyDescent="0.3">
      <c r="A274" s="443"/>
      <c r="B274" s="516" t="s">
        <v>91</v>
      </c>
      <c r="C274" s="444"/>
      <c r="D274" s="444"/>
      <c r="E274" s="444"/>
      <c r="F274" s="444"/>
      <c r="G274" s="444"/>
      <c r="H274" s="629"/>
      <c r="I274" s="629"/>
      <c r="J274" s="629"/>
      <c r="K274" s="629"/>
      <c r="L274" s="629"/>
      <c r="M274" s="629"/>
      <c r="N274" s="629"/>
      <c r="O274" s="629"/>
      <c r="P274" s="629"/>
      <c r="Q274" s="629"/>
      <c r="R274" s="516">
        <v>0</v>
      </c>
      <c r="S274" s="628">
        <v>0</v>
      </c>
      <c r="T274" s="517">
        <v>0</v>
      </c>
      <c r="U274" s="628">
        <v>0</v>
      </c>
      <c r="V274" s="444"/>
      <c r="W274" s="446"/>
      <c r="X274" s="425"/>
    </row>
    <row r="275" spans="1:24" s="426" customFormat="1" x14ac:dyDescent="0.3">
      <c r="A275" s="443"/>
      <c r="B275" s="516" t="s">
        <v>159</v>
      </c>
      <c r="C275" s="444"/>
      <c r="D275" s="444"/>
      <c r="E275" s="444"/>
      <c r="F275" s="444"/>
      <c r="G275" s="444"/>
      <c r="H275" s="629"/>
      <c r="I275" s="629"/>
      <c r="J275" s="629"/>
      <c r="K275" s="629"/>
      <c r="L275" s="629"/>
      <c r="M275" s="629"/>
      <c r="N275" s="629"/>
      <c r="O275" s="629"/>
      <c r="P275" s="629"/>
      <c r="Q275" s="629"/>
      <c r="R275" s="516">
        <v>0</v>
      </c>
      <c r="S275" s="628">
        <v>0</v>
      </c>
      <c r="T275" s="517">
        <v>0</v>
      </c>
      <c r="U275" s="628">
        <v>0</v>
      </c>
      <c r="V275" s="444"/>
      <c r="W275" s="446"/>
      <c r="X275" s="425"/>
    </row>
    <row r="276" spans="1:24" s="426" customFormat="1" x14ac:dyDescent="0.3">
      <c r="A276" s="443"/>
      <c r="B276" s="516" t="s">
        <v>160</v>
      </c>
      <c r="C276" s="444"/>
      <c r="D276" s="444"/>
      <c r="E276" s="444"/>
      <c r="F276" s="444"/>
      <c r="G276" s="444"/>
      <c r="H276" s="629"/>
      <c r="I276" s="629"/>
      <c r="J276" s="629"/>
      <c r="K276" s="629"/>
      <c r="L276" s="629"/>
      <c r="M276" s="629"/>
      <c r="N276" s="629"/>
      <c r="O276" s="629"/>
      <c r="P276" s="629"/>
      <c r="Q276" s="629"/>
      <c r="R276" s="516">
        <v>0</v>
      </c>
      <c r="S276" s="628">
        <v>0</v>
      </c>
      <c r="T276" s="517">
        <v>0</v>
      </c>
      <c r="U276" s="628">
        <v>0</v>
      </c>
      <c r="V276" s="444"/>
      <c r="W276" s="446"/>
      <c r="X276" s="425"/>
    </row>
    <row r="277" spans="1:24" s="426" customFormat="1" x14ac:dyDescent="0.3">
      <c r="A277" s="443"/>
      <c r="B277" s="516" t="s">
        <v>161</v>
      </c>
      <c r="C277" s="444"/>
      <c r="D277" s="444"/>
      <c r="E277" s="444"/>
      <c r="F277" s="444"/>
      <c r="G277" s="444"/>
      <c r="H277" s="629"/>
      <c r="I277" s="629"/>
      <c r="J277" s="629"/>
      <c r="K277" s="629"/>
      <c r="L277" s="629"/>
      <c r="M277" s="629"/>
      <c r="N277" s="629"/>
      <c r="O277" s="629"/>
      <c r="P277" s="629"/>
      <c r="Q277" s="629"/>
      <c r="R277" s="516">
        <v>0</v>
      </c>
      <c r="S277" s="628">
        <v>0</v>
      </c>
      <c r="T277" s="517">
        <v>0</v>
      </c>
      <c r="U277" s="628">
        <v>0</v>
      </c>
      <c r="V277" s="444"/>
      <c r="W277" s="446"/>
      <c r="X277" s="425"/>
    </row>
    <row r="278" spans="1:24" s="426" customFormat="1" x14ac:dyDescent="0.3">
      <c r="A278" s="443"/>
      <c r="B278" s="516" t="s">
        <v>162</v>
      </c>
      <c r="C278" s="444"/>
      <c r="D278" s="444"/>
      <c r="E278" s="444"/>
      <c r="F278" s="444"/>
      <c r="G278" s="444"/>
      <c r="H278" s="629"/>
      <c r="I278" s="629"/>
      <c r="J278" s="629"/>
      <c r="K278" s="629"/>
      <c r="L278" s="629"/>
      <c r="M278" s="629"/>
      <c r="N278" s="629"/>
      <c r="O278" s="629"/>
      <c r="P278" s="629"/>
      <c r="Q278" s="629"/>
      <c r="R278" s="516">
        <v>1</v>
      </c>
      <c r="S278" s="628">
        <v>1</v>
      </c>
      <c r="T278" s="517">
        <v>118</v>
      </c>
      <c r="U278" s="628">
        <v>1</v>
      </c>
      <c r="V278" s="444"/>
      <c r="W278" s="446"/>
      <c r="X278" s="425"/>
    </row>
    <row r="279" spans="1:24" s="426" customFormat="1" x14ac:dyDescent="0.3">
      <c r="A279" s="443"/>
      <c r="B279" s="516" t="s">
        <v>163</v>
      </c>
      <c r="C279" s="444"/>
      <c r="D279" s="444"/>
      <c r="E279" s="444"/>
      <c r="F279" s="444"/>
      <c r="G279" s="444"/>
      <c r="H279" s="629"/>
      <c r="I279" s="629"/>
      <c r="J279" s="629"/>
      <c r="K279" s="629"/>
      <c r="L279" s="629"/>
      <c r="M279" s="629"/>
      <c r="N279" s="629"/>
      <c r="O279" s="629"/>
      <c r="P279" s="629"/>
      <c r="Q279" s="629"/>
      <c r="R279" s="516">
        <v>0</v>
      </c>
      <c r="S279" s="628">
        <v>0</v>
      </c>
      <c r="T279" s="517">
        <v>0</v>
      </c>
      <c r="U279" s="628">
        <v>0</v>
      </c>
      <c r="V279" s="444"/>
      <c r="W279" s="446"/>
      <c r="X279" s="425"/>
    </row>
    <row r="280" spans="1:24" s="426" customFormat="1" x14ac:dyDescent="0.3">
      <c r="A280" s="443"/>
      <c r="B280" s="516"/>
      <c r="C280" s="444"/>
      <c r="D280" s="444"/>
      <c r="E280" s="444"/>
      <c r="F280" s="444"/>
      <c r="G280" s="444"/>
      <c r="H280" s="629"/>
      <c r="I280" s="629"/>
      <c r="J280" s="629"/>
      <c r="K280" s="629"/>
      <c r="L280" s="629"/>
      <c r="M280" s="629"/>
      <c r="N280" s="629"/>
      <c r="O280" s="629"/>
      <c r="P280" s="629"/>
      <c r="Q280" s="629"/>
      <c r="R280" s="516"/>
      <c r="S280" s="628"/>
      <c r="T280" s="517"/>
      <c r="U280" s="628"/>
      <c r="V280" s="444"/>
      <c r="W280" s="446"/>
      <c r="X280" s="425"/>
    </row>
    <row r="281" spans="1:24" s="426" customFormat="1" x14ac:dyDescent="0.3">
      <c r="A281" s="443"/>
      <c r="B281" s="444" t="s">
        <v>117</v>
      </c>
      <c r="C281" s="444"/>
      <c r="D281" s="444"/>
      <c r="E281" s="444"/>
      <c r="F281" s="444"/>
      <c r="G281" s="444"/>
      <c r="H281" s="629"/>
      <c r="I281" s="629"/>
      <c r="J281" s="629"/>
      <c r="K281" s="629"/>
      <c r="L281" s="629"/>
      <c r="M281" s="629"/>
      <c r="N281" s="629"/>
      <c r="O281" s="629"/>
      <c r="P281" s="629"/>
      <c r="Q281" s="629"/>
      <c r="R281" s="516">
        <f>SUM(R272:R279)</f>
        <v>1</v>
      </c>
      <c r="S281" s="628">
        <f>SUM(S272:S279)</f>
        <v>1</v>
      </c>
      <c r="T281" s="517">
        <f>SUM(T272:T279)</f>
        <v>118</v>
      </c>
      <c r="U281" s="628">
        <f>SUM(U272:U279)</f>
        <v>1</v>
      </c>
      <c r="V281" s="444"/>
      <c r="W281" s="446"/>
      <c r="X281" s="425"/>
    </row>
    <row r="282" spans="1:24" s="426" customFormat="1" x14ac:dyDescent="0.3">
      <c r="A282" s="443"/>
      <c r="B282" s="444"/>
      <c r="C282" s="444"/>
      <c r="D282" s="444"/>
      <c r="E282" s="444"/>
      <c r="F282" s="444"/>
      <c r="G282" s="444"/>
      <c r="H282" s="629"/>
      <c r="I282" s="629"/>
      <c r="J282" s="629"/>
      <c r="K282" s="629"/>
      <c r="L282" s="629"/>
      <c r="M282" s="629"/>
      <c r="N282" s="629"/>
      <c r="O282" s="629"/>
      <c r="P282" s="629"/>
      <c r="Q282" s="629"/>
      <c r="R282" s="516"/>
      <c r="S282" s="628"/>
      <c r="T282" s="517"/>
      <c r="U282" s="628"/>
      <c r="V282" s="444"/>
      <c r="W282" s="446"/>
      <c r="X282" s="425"/>
    </row>
    <row r="283" spans="1:24" s="426" customFormat="1" x14ac:dyDescent="0.3">
      <c r="A283" s="443"/>
      <c r="B283" s="449" t="s">
        <v>167</v>
      </c>
      <c r="C283" s="444"/>
      <c r="D283" s="444"/>
      <c r="E283" s="444"/>
      <c r="F283" s="444"/>
      <c r="G283" s="444"/>
      <c r="H283" s="629"/>
      <c r="I283" s="629"/>
      <c r="J283" s="629"/>
      <c r="K283" s="629"/>
      <c r="L283" s="629"/>
      <c r="M283" s="629"/>
      <c r="N283" s="629"/>
      <c r="O283" s="629"/>
      <c r="P283" s="629"/>
      <c r="Q283" s="629"/>
      <c r="R283" s="637">
        <f>R281+R269+R257</f>
        <v>6104</v>
      </c>
      <c r="S283" s="628"/>
      <c r="T283" s="638">
        <f>+T281+T269+T257</f>
        <v>782019</v>
      </c>
      <c r="U283" s="628"/>
      <c r="V283" s="444"/>
      <c r="W283" s="446"/>
      <c r="X283" s="425"/>
    </row>
    <row r="284" spans="1:24" s="426" customFormat="1" x14ac:dyDescent="0.3">
      <c r="A284" s="421"/>
      <c r="B284" s="494"/>
      <c r="C284" s="494"/>
      <c r="D284" s="494"/>
      <c r="E284" s="494"/>
      <c r="F284" s="494"/>
      <c r="G284" s="494"/>
      <c r="H284" s="636"/>
      <c r="I284" s="636"/>
      <c r="J284" s="636"/>
      <c r="K284" s="636"/>
      <c r="L284" s="636"/>
      <c r="M284" s="636"/>
      <c r="N284" s="636"/>
      <c r="O284" s="636"/>
      <c r="P284" s="636"/>
      <c r="Q284" s="636"/>
      <c r="R284" s="636"/>
      <c r="S284" s="636"/>
      <c r="T284" s="631"/>
      <c r="U284" s="636"/>
      <c r="V284" s="494"/>
      <c r="W284" s="424"/>
      <c r="X284" s="425"/>
    </row>
    <row r="285" spans="1:24" s="426" customFormat="1" x14ac:dyDescent="0.3">
      <c r="A285" s="421"/>
      <c r="B285" s="422"/>
      <c r="C285" s="422"/>
      <c r="D285" s="422"/>
      <c r="E285" s="422"/>
      <c r="F285" s="422"/>
      <c r="G285" s="422"/>
      <c r="H285" s="639"/>
      <c r="I285" s="639"/>
      <c r="J285" s="639"/>
      <c r="K285" s="639"/>
      <c r="L285" s="639"/>
      <c r="M285" s="639"/>
      <c r="N285" s="639"/>
      <c r="O285" s="639"/>
      <c r="P285" s="639"/>
      <c r="Q285" s="639"/>
      <c r="R285" s="639"/>
      <c r="S285" s="639"/>
      <c r="T285" s="640"/>
      <c r="U285" s="639"/>
      <c r="V285" s="422"/>
      <c r="W285" s="424"/>
      <c r="X285" s="425"/>
    </row>
    <row r="286" spans="1:24" s="426" customFormat="1" x14ac:dyDescent="0.3">
      <c r="A286" s="421"/>
      <c r="B286" s="420" t="s">
        <v>92</v>
      </c>
      <c r="C286" s="422"/>
      <c r="D286" s="422"/>
      <c r="E286" s="422"/>
      <c r="F286" s="429" t="s">
        <v>98</v>
      </c>
      <c r="G286" s="422"/>
      <c r="H286" s="420" t="s">
        <v>100</v>
      </c>
      <c r="I286" s="420"/>
      <c r="J286" s="420"/>
      <c r="K286" s="422"/>
      <c r="L286" s="422"/>
      <c r="M286" s="422"/>
      <c r="N286" s="422"/>
      <c r="O286" s="422"/>
      <c r="P286" s="422"/>
      <c r="Q286" s="422"/>
      <c r="R286" s="422"/>
      <c r="S286" s="422"/>
      <c r="T286" s="422"/>
      <c r="U286" s="422"/>
      <c r="V286" s="422"/>
      <c r="W286" s="424"/>
      <c r="X286" s="425"/>
    </row>
    <row r="287" spans="1:24" s="426" customFormat="1" x14ac:dyDescent="0.3">
      <c r="A287" s="421"/>
      <c r="B287" s="420" t="s">
        <v>336</v>
      </c>
      <c r="C287" s="420"/>
      <c r="D287" s="420"/>
      <c r="E287" s="420"/>
      <c r="F287" s="641" t="s">
        <v>282</v>
      </c>
      <c r="G287" s="420"/>
      <c r="H287" s="420" t="s">
        <v>371</v>
      </c>
      <c r="I287" s="422"/>
      <c r="J287" s="420"/>
      <c r="K287" s="422"/>
      <c r="L287" s="422"/>
      <c r="M287" s="422"/>
      <c r="N287" s="422"/>
      <c r="O287" s="422"/>
      <c r="P287" s="422"/>
      <c r="Q287" s="422"/>
      <c r="R287" s="422"/>
      <c r="S287" s="422"/>
      <c r="T287" s="422"/>
      <c r="U287" s="422"/>
      <c r="V287" s="422"/>
      <c r="W287" s="424"/>
      <c r="X287" s="425"/>
    </row>
    <row r="288" spans="1:24" s="426" customFormat="1" x14ac:dyDescent="0.3">
      <c r="A288" s="421"/>
      <c r="B288" s="420" t="s">
        <v>337</v>
      </c>
      <c r="C288" s="420"/>
      <c r="D288" s="420"/>
      <c r="E288" s="420"/>
      <c r="F288" s="641" t="s">
        <v>150</v>
      </c>
      <c r="G288" s="420"/>
      <c r="H288" s="420" t="s">
        <v>372</v>
      </c>
      <c r="I288" s="420"/>
      <c r="J288" s="420"/>
      <c r="K288" s="422"/>
      <c r="L288" s="422"/>
      <c r="M288" s="422"/>
      <c r="N288" s="422"/>
      <c r="O288" s="422"/>
      <c r="P288" s="422"/>
      <c r="Q288" s="422"/>
      <c r="R288" s="422"/>
      <c r="S288" s="422"/>
      <c r="T288" s="422"/>
      <c r="U288" s="422"/>
      <c r="V288" s="422"/>
      <c r="W288" s="424"/>
      <c r="X288" s="425"/>
    </row>
    <row r="289" spans="1:24" s="426" customFormat="1" x14ac:dyDescent="0.3">
      <c r="A289" s="421"/>
      <c r="B289" s="420"/>
      <c r="C289" s="420"/>
      <c r="D289" s="420"/>
      <c r="E289" s="420"/>
      <c r="F289" s="641"/>
      <c r="G289" s="420"/>
      <c r="H289" s="420"/>
      <c r="I289" s="420"/>
      <c r="J289" s="420"/>
      <c r="K289" s="422"/>
      <c r="L289" s="422"/>
      <c r="M289" s="422"/>
      <c r="N289" s="422"/>
      <c r="O289" s="422"/>
      <c r="P289" s="422"/>
      <c r="Q289" s="422"/>
      <c r="R289" s="422"/>
      <c r="S289" s="422"/>
      <c r="T289" s="422"/>
      <c r="U289" s="422"/>
      <c r="V289" s="422"/>
      <c r="W289" s="424"/>
      <c r="X289" s="425"/>
    </row>
    <row r="290" spans="1:24" s="426" customFormat="1" x14ac:dyDescent="0.3">
      <c r="A290" s="421"/>
      <c r="B290" s="494" t="s">
        <v>367</v>
      </c>
      <c r="C290" s="420"/>
      <c r="D290" s="420"/>
      <c r="E290" s="420"/>
      <c r="F290" s="641"/>
      <c r="G290" s="420"/>
      <c r="H290" s="420"/>
      <c r="I290" s="420"/>
      <c r="J290" s="420"/>
      <c r="K290" s="422"/>
      <c r="L290" s="422"/>
      <c r="M290" s="422"/>
      <c r="N290" s="422"/>
      <c r="O290" s="422"/>
      <c r="P290" s="422"/>
      <c r="Q290" s="422"/>
      <c r="R290" s="422"/>
      <c r="S290" s="422"/>
      <c r="T290" s="422"/>
      <c r="U290" s="422"/>
      <c r="V290" s="422"/>
      <c r="W290" s="424"/>
      <c r="X290" s="425"/>
    </row>
    <row r="291" spans="1:24" s="426" customFormat="1" x14ac:dyDescent="0.3">
      <c r="A291" s="421"/>
      <c r="B291" s="494" t="s">
        <v>373</v>
      </c>
      <c r="C291" s="420"/>
      <c r="D291" s="420"/>
      <c r="E291" s="420"/>
      <c r="F291" s="641"/>
      <c r="G291" s="420"/>
      <c r="H291" s="420"/>
      <c r="I291" s="420"/>
      <c r="J291" s="420"/>
      <c r="K291" s="422"/>
      <c r="L291" s="422"/>
      <c r="M291" s="422"/>
      <c r="N291" s="422"/>
      <c r="O291" s="422"/>
      <c r="P291" s="422"/>
      <c r="Q291" s="422"/>
      <c r="R291" s="422"/>
      <c r="S291" s="422"/>
      <c r="T291" s="422"/>
      <c r="U291" s="422"/>
      <c r="V291" s="422"/>
      <c r="W291" s="424"/>
      <c r="X291" s="425"/>
    </row>
    <row r="292" spans="1:24" s="426" customFormat="1" x14ac:dyDescent="0.3">
      <c r="A292" s="421"/>
      <c r="B292" s="494" t="s">
        <v>365</v>
      </c>
      <c r="C292" s="420"/>
      <c r="D292" s="420"/>
      <c r="E292" s="420"/>
      <c r="F292" s="641"/>
      <c r="G292" s="420"/>
      <c r="H292" s="420"/>
      <c r="I292" s="420"/>
      <c r="J292" s="420"/>
      <c r="K292" s="422"/>
      <c r="L292" s="422"/>
      <c r="M292" s="422"/>
      <c r="N292" s="422"/>
      <c r="O292" s="422"/>
      <c r="P292" s="422"/>
      <c r="Q292" s="422"/>
      <c r="R292" s="422"/>
      <c r="S292" s="422"/>
      <c r="T292" s="422"/>
      <c r="U292" s="422"/>
      <c r="V292" s="422"/>
      <c r="W292" s="424"/>
      <c r="X292" s="425"/>
    </row>
    <row r="293" spans="1:24" s="426" customFormat="1" x14ac:dyDescent="0.3">
      <c r="A293" s="421"/>
      <c r="B293" s="494" t="s">
        <v>366</v>
      </c>
      <c r="C293" s="420"/>
      <c r="D293" s="420"/>
      <c r="E293" s="420"/>
      <c r="F293" s="641"/>
      <c r="G293" s="420"/>
      <c r="H293" s="420"/>
      <c r="I293" s="420"/>
      <c r="J293" s="420"/>
      <c r="K293" s="422"/>
      <c r="L293" s="422"/>
      <c r="M293" s="422"/>
      <c r="N293" s="422"/>
      <c r="O293" s="422"/>
      <c r="P293" s="422"/>
      <c r="Q293" s="422"/>
      <c r="R293" s="422"/>
      <c r="S293" s="422"/>
      <c r="T293" s="422"/>
      <c r="U293" s="422"/>
      <c r="V293" s="422"/>
      <c r="W293" s="424"/>
      <c r="X293" s="425"/>
    </row>
    <row r="294" spans="1:24" x14ac:dyDescent="0.3">
      <c r="A294" s="408"/>
      <c r="B294" s="642"/>
      <c r="C294" s="642"/>
      <c r="D294" s="642"/>
      <c r="E294" s="642"/>
      <c r="F294" s="643"/>
      <c r="G294" s="642"/>
      <c r="H294" s="642"/>
      <c r="I294" s="642"/>
      <c r="J294" s="642"/>
      <c r="K294" s="531"/>
      <c r="L294" s="531"/>
      <c r="M294" s="531"/>
      <c r="N294" s="531"/>
      <c r="O294" s="531"/>
      <c r="P294" s="531"/>
      <c r="Q294" s="531"/>
      <c r="R294" s="531"/>
      <c r="S294" s="531"/>
      <c r="T294" s="531"/>
      <c r="U294" s="531"/>
      <c r="V294" s="531"/>
      <c r="W294" s="532"/>
      <c r="X294" s="406"/>
    </row>
    <row r="295" spans="1:24" ht="18" x14ac:dyDescent="0.35">
      <c r="A295" s="408"/>
      <c r="B295" s="644" t="s">
        <v>368</v>
      </c>
      <c r="C295" s="642"/>
      <c r="D295" s="642"/>
      <c r="E295" s="642"/>
      <c r="F295" s="642"/>
      <c r="G295" s="642"/>
      <c r="H295" s="531"/>
      <c r="I295" s="531"/>
      <c r="J295" s="531"/>
      <c r="K295" s="531"/>
      <c r="L295" s="410"/>
      <c r="M295" s="410"/>
      <c r="N295" s="645"/>
      <c r="O295" s="410"/>
      <c r="P295" s="646" t="s">
        <v>370</v>
      </c>
      <c r="Q295" s="531"/>
      <c r="R295" s="531"/>
      <c r="S295" s="531"/>
      <c r="T295" s="531"/>
      <c r="U295" s="531"/>
      <c r="V295" s="531"/>
      <c r="W295" s="532"/>
      <c r="X295" s="406"/>
    </row>
    <row r="296" spans="1:24" x14ac:dyDescent="0.3">
      <c r="A296" s="408"/>
      <c r="B296" s="642"/>
      <c r="C296" s="642"/>
      <c r="D296" s="642"/>
      <c r="E296" s="642"/>
      <c r="F296" s="642"/>
      <c r="G296" s="642"/>
      <c r="H296" s="531"/>
      <c r="I296" s="531"/>
      <c r="J296" s="531"/>
      <c r="K296" s="531"/>
      <c r="L296" s="531"/>
      <c r="M296" s="531"/>
      <c r="N296" s="531"/>
      <c r="O296" s="531"/>
      <c r="P296" s="531"/>
      <c r="Q296" s="531"/>
      <c r="R296" s="531"/>
      <c r="S296" s="531"/>
      <c r="T296" s="531"/>
      <c r="U296" s="531"/>
      <c r="V296" s="531"/>
      <c r="W296" s="532"/>
      <c r="X296" s="406"/>
    </row>
    <row r="297" spans="1:24" ht="18.600000000000001" thickBot="1" x14ac:dyDescent="0.4">
      <c r="A297" s="408"/>
      <c r="B297" s="647" t="str">
        <f>B197</f>
        <v>PM13 INVESTOR REPORT QUARTER ENDING DECEMBER 2017</v>
      </c>
      <c r="C297" s="642"/>
      <c r="D297" s="642"/>
      <c r="E297" s="642"/>
      <c r="F297" s="642"/>
      <c r="G297" s="642"/>
      <c r="H297" s="531"/>
      <c r="I297" s="531"/>
      <c r="J297" s="531"/>
      <c r="K297" s="531"/>
      <c r="L297" s="531"/>
      <c r="M297" s="531"/>
      <c r="N297" s="531"/>
      <c r="O297" s="531"/>
      <c r="P297" s="531"/>
      <c r="Q297" s="531"/>
      <c r="R297" s="531"/>
      <c r="S297" s="531"/>
      <c r="T297" s="531"/>
      <c r="U297" s="531"/>
      <c r="V297" s="531"/>
      <c r="W297" s="648"/>
      <c r="X297" s="406"/>
    </row>
    <row r="298" spans="1:24" x14ac:dyDescent="0.3">
      <c r="A298" s="649"/>
      <c r="B298" s="649"/>
      <c r="C298" s="649"/>
      <c r="D298" s="649"/>
      <c r="E298" s="649"/>
      <c r="F298" s="649"/>
      <c r="G298" s="649"/>
      <c r="H298" s="649"/>
      <c r="I298" s="649"/>
      <c r="J298" s="649"/>
      <c r="K298" s="649"/>
      <c r="L298" s="649"/>
      <c r="M298" s="649"/>
      <c r="N298" s="649"/>
      <c r="O298" s="649"/>
      <c r="P298" s="649"/>
      <c r="Q298" s="649"/>
      <c r="R298" s="649"/>
      <c r="S298" s="649"/>
      <c r="T298" s="649"/>
      <c r="U298" s="649"/>
      <c r="V298" s="649"/>
      <c r="W298" s="649"/>
    </row>
  </sheetData>
  <hyperlinks>
    <hyperlink ref="P233" r:id="rId1" display="http://www.paragon-group.co.uk" xr:uid="{00000000-0004-0000-2C00-000000000000}"/>
    <hyperlink ref="I9" r:id="rId2" display="http://www.paragon-group.co.uk" xr:uid="{00000000-0004-0000-2C00-000001000000}"/>
    <hyperlink ref="P295" r:id="rId3" display="http://www.paragon-group.co.uk" xr:uid="{00000000-0004-0000-2C00-000002000000}"/>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37" max="22" man="1"/>
    <brk id="197" max="22" man="1"/>
  </rowBreaks>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2D2926"/>
  </sheetPr>
  <dimension ref="A1:Z298"/>
  <sheetViews>
    <sheetView showGridLines="0" showOutlineSymbols="0" zoomScale="70" zoomScaleNormal="70" workbookViewId="0"/>
  </sheetViews>
  <sheetFormatPr defaultColWidth="9.81640625" defaultRowHeight="15.6" x14ac:dyDescent="0.3"/>
  <cols>
    <col min="1" max="1" width="4" style="407" customWidth="1"/>
    <col min="2" max="2" width="71.08984375" style="407" customWidth="1"/>
    <col min="3" max="3" width="2.08984375" style="407" customWidth="1"/>
    <col min="4" max="4" width="19.1796875" style="407" customWidth="1"/>
    <col min="5" max="5" width="2.08984375" style="407" customWidth="1"/>
    <col min="6" max="6" width="25.08984375" style="407" customWidth="1"/>
    <col min="7" max="7" width="2.08984375" style="407" customWidth="1"/>
    <col min="8" max="8" width="16.08984375" style="407" customWidth="1"/>
    <col min="9" max="9" width="2.81640625" style="407" customWidth="1"/>
    <col min="10" max="10" width="16.08984375" style="407" customWidth="1"/>
    <col min="11" max="11" width="2.08984375" style="407" customWidth="1"/>
    <col min="12" max="12" width="17.81640625" style="407" customWidth="1"/>
    <col min="13" max="13" width="2.1796875" style="407" customWidth="1"/>
    <col min="14" max="14" width="14.81640625" style="407" customWidth="1"/>
    <col min="15" max="15" width="2.1796875" style="407" customWidth="1"/>
    <col min="16" max="16" width="15.54296875" style="407" customWidth="1"/>
    <col min="17" max="17" width="2.08984375" style="407" customWidth="1"/>
    <col min="18" max="18" width="15.54296875" style="407" customWidth="1"/>
    <col min="19" max="20" width="12.81640625" style="407" customWidth="1"/>
    <col min="21" max="21" width="7.81640625" style="407" customWidth="1"/>
    <col min="22" max="22" width="14.81640625" style="407" customWidth="1"/>
    <col min="23" max="23" width="11.81640625" style="407" customWidth="1"/>
    <col min="24" max="16384" width="9.81640625" style="407"/>
  </cols>
  <sheetData>
    <row r="1" spans="1:24" ht="21" x14ac:dyDescent="0.4">
      <c r="A1" s="402"/>
      <c r="B1" s="403" t="s">
        <v>238</v>
      </c>
      <c r="C1" s="404"/>
      <c r="D1" s="404"/>
      <c r="E1" s="404"/>
      <c r="F1" s="404"/>
      <c r="G1" s="404"/>
      <c r="H1" s="404"/>
      <c r="I1" s="404"/>
      <c r="J1" s="404"/>
      <c r="K1" s="404"/>
      <c r="L1" s="404"/>
      <c r="M1" s="404"/>
      <c r="N1" s="404"/>
      <c r="O1" s="404"/>
      <c r="P1" s="404"/>
      <c r="Q1" s="404"/>
      <c r="R1" s="404"/>
      <c r="S1" s="404"/>
      <c r="T1" s="404"/>
      <c r="U1" s="404"/>
      <c r="V1" s="404"/>
      <c r="W1" s="405"/>
      <c r="X1" s="406"/>
    </row>
    <row r="2" spans="1:24" x14ac:dyDescent="0.3">
      <c r="A2" s="408"/>
      <c r="B2" s="409"/>
      <c r="C2" s="410"/>
      <c r="D2" s="410"/>
      <c r="E2" s="410"/>
      <c r="F2" s="410"/>
      <c r="G2" s="410"/>
      <c r="H2" s="410"/>
      <c r="I2" s="410"/>
      <c r="J2" s="410"/>
      <c r="K2" s="410"/>
      <c r="L2" s="410"/>
      <c r="M2" s="410"/>
      <c r="N2" s="410"/>
      <c r="O2" s="410"/>
      <c r="P2" s="410"/>
      <c r="Q2" s="410"/>
      <c r="R2" s="410"/>
      <c r="S2" s="410"/>
      <c r="T2" s="410"/>
      <c r="U2" s="410"/>
      <c r="V2" s="410"/>
      <c r="W2" s="411"/>
      <c r="X2" s="406"/>
    </row>
    <row r="3" spans="1:24" x14ac:dyDescent="0.3">
      <c r="A3" s="412"/>
      <c r="B3" s="413" t="s">
        <v>239</v>
      </c>
      <c r="C3" s="410"/>
      <c r="D3" s="410"/>
      <c r="E3" s="410"/>
      <c r="F3" s="410"/>
      <c r="G3" s="410"/>
      <c r="H3" s="410"/>
      <c r="I3" s="410"/>
      <c r="J3" s="410"/>
      <c r="K3" s="410"/>
      <c r="L3" s="410"/>
      <c r="M3" s="410"/>
      <c r="N3" s="410"/>
      <c r="O3" s="410"/>
      <c r="P3" s="410"/>
      <c r="Q3" s="410"/>
      <c r="R3" s="410"/>
      <c r="S3" s="410"/>
      <c r="T3" s="410"/>
      <c r="U3" s="410"/>
      <c r="V3" s="410"/>
      <c r="W3" s="411"/>
      <c r="X3" s="406"/>
    </row>
    <row r="4" spans="1:24" x14ac:dyDescent="0.3">
      <c r="A4" s="408"/>
      <c r="B4" s="409"/>
      <c r="C4" s="410"/>
      <c r="D4" s="410"/>
      <c r="E4" s="410"/>
      <c r="F4" s="410"/>
      <c r="G4" s="410"/>
      <c r="H4" s="410"/>
      <c r="I4" s="410"/>
      <c r="J4" s="410"/>
      <c r="K4" s="410"/>
      <c r="L4" s="410"/>
      <c r="M4" s="410"/>
      <c r="N4" s="410"/>
      <c r="O4" s="410"/>
      <c r="P4" s="410"/>
      <c r="Q4" s="410"/>
      <c r="R4" s="410"/>
      <c r="S4" s="410"/>
      <c r="T4" s="410"/>
      <c r="U4" s="410"/>
      <c r="V4" s="410"/>
      <c r="W4" s="411"/>
      <c r="X4" s="406"/>
    </row>
    <row r="5" spans="1:24" x14ac:dyDescent="0.3">
      <c r="A5" s="408"/>
      <c r="B5" s="414" t="s">
        <v>140</v>
      </c>
      <c r="C5" s="410"/>
      <c r="D5" s="410"/>
      <c r="E5" s="410"/>
      <c r="F5" s="410"/>
      <c r="G5" s="410"/>
      <c r="H5" s="410"/>
      <c r="I5" s="410"/>
      <c r="J5" s="410"/>
      <c r="K5" s="410"/>
      <c r="L5" s="410"/>
      <c r="M5" s="410"/>
      <c r="N5" s="410"/>
      <c r="O5" s="410"/>
      <c r="P5" s="410"/>
      <c r="Q5" s="410"/>
      <c r="R5" s="410"/>
      <c r="S5" s="410"/>
      <c r="T5" s="410"/>
      <c r="U5" s="410"/>
      <c r="V5" s="410"/>
      <c r="W5" s="411"/>
      <c r="X5" s="406"/>
    </row>
    <row r="6" spans="1:24" x14ac:dyDescent="0.3">
      <c r="A6" s="408"/>
      <c r="B6" s="414" t="s">
        <v>142</v>
      </c>
      <c r="C6" s="410"/>
      <c r="D6" s="410"/>
      <c r="E6" s="410"/>
      <c r="F6" s="410"/>
      <c r="G6" s="410"/>
      <c r="H6" s="410"/>
      <c r="I6" s="410"/>
      <c r="J6" s="410"/>
      <c r="K6" s="410"/>
      <c r="L6" s="410"/>
      <c r="M6" s="410"/>
      <c r="N6" s="410"/>
      <c r="O6" s="410"/>
      <c r="P6" s="410"/>
      <c r="Q6" s="410"/>
      <c r="R6" s="410"/>
      <c r="S6" s="410"/>
      <c r="T6" s="410"/>
      <c r="U6" s="410"/>
      <c r="V6" s="410"/>
      <c r="W6" s="411"/>
      <c r="X6" s="406"/>
    </row>
    <row r="7" spans="1:24" x14ac:dyDescent="0.3">
      <c r="A7" s="408"/>
      <c r="B7" s="414" t="s">
        <v>141</v>
      </c>
      <c r="C7" s="410"/>
      <c r="D7" s="410"/>
      <c r="E7" s="410"/>
      <c r="F7" s="410"/>
      <c r="G7" s="410"/>
      <c r="H7" s="410"/>
      <c r="I7" s="410"/>
      <c r="J7" s="410"/>
      <c r="K7" s="410"/>
      <c r="L7" s="410"/>
      <c r="M7" s="410"/>
      <c r="N7" s="410"/>
      <c r="O7" s="410"/>
      <c r="P7" s="410"/>
      <c r="Q7" s="410"/>
      <c r="R7" s="410"/>
      <c r="S7" s="410"/>
      <c r="T7" s="410"/>
      <c r="U7" s="410"/>
      <c r="V7" s="410"/>
      <c r="W7" s="411"/>
      <c r="X7" s="406"/>
    </row>
    <row r="8" spans="1:24" x14ac:dyDescent="0.3">
      <c r="A8" s="408"/>
      <c r="B8" s="415"/>
      <c r="C8" s="410"/>
      <c r="D8" s="410"/>
      <c r="E8" s="410"/>
      <c r="F8" s="410"/>
      <c r="G8" s="410"/>
      <c r="H8" s="410"/>
      <c r="I8" s="410"/>
      <c r="J8" s="410"/>
      <c r="K8" s="410"/>
      <c r="L8" s="410"/>
      <c r="M8" s="410"/>
      <c r="N8" s="410"/>
      <c r="O8" s="410"/>
      <c r="P8" s="410"/>
      <c r="Q8" s="410"/>
      <c r="R8" s="410"/>
      <c r="S8" s="410"/>
      <c r="T8" s="410"/>
      <c r="U8" s="410"/>
      <c r="V8" s="410"/>
      <c r="W8" s="411"/>
      <c r="X8" s="406"/>
    </row>
    <row r="9" spans="1:24" ht="18" x14ac:dyDescent="0.35">
      <c r="A9" s="408"/>
      <c r="B9" s="413" t="s">
        <v>169</v>
      </c>
      <c r="C9" s="410"/>
      <c r="D9" s="410"/>
      <c r="E9" s="410"/>
      <c r="F9" s="410"/>
      <c r="G9" s="410"/>
      <c r="H9" s="410"/>
      <c r="I9" s="416" t="s">
        <v>370</v>
      </c>
      <c r="J9" s="410"/>
      <c r="K9" s="410"/>
      <c r="L9" s="417"/>
      <c r="M9" s="410"/>
      <c r="N9" s="418"/>
      <c r="O9" s="410"/>
      <c r="P9" s="410"/>
      <c r="Q9" s="410"/>
      <c r="R9" s="410"/>
      <c r="S9" s="410"/>
      <c r="T9" s="410"/>
      <c r="U9" s="410"/>
      <c r="V9" s="410"/>
      <c r="W9" s="411"/>
      <c r="X9" s="406"/>
    </row>
    <row r="10" spans="1:24" x14ac:dyDescent="0.3">
      <c r="A10" s="408"/>
      <c r="B10" s="415"/>
      <c r="C10" s="419"/>
      <c r="D10" s="419"/>
      <c r="E10" s="419"/>
      <c r="F10" s="410"/>
      <c r="G10" s="410"/>
      <c r="H10" s="410"/>
      <c r="I10" s="410"/>
      <c r="J10" s="410"/>
      <c r="K10" s="410"/>
      <c r="L10" s="410"/>
      <c r="M10" s="410"/>
      <c r="N10" s="410"/>
      <c r="O10" s="410"/>
      <c r="P10" s="410"/>
      <c r="Q10" s="410"/>
      <c r="R10" s="410"/>
      <c r="S10" s="410"/>
      <c r="T10" s="410"/>
      <c r="U10" s="410"/>
      <c r="V10" s="410"/>
      <c r="W10" s="411"/>
      <c r="X10" s="406"/>
    </row>
    <row r="11" spans="1:24" x14ac:dyDescent="0.3">
      <c r="A11" s="408"/>
      <c r="B11" s="420" t="s">
        <v>0</v>
      </c>
      <c r="C11" s="410"/>
      <c r="D11" s="410"/>
      <c r="E11" s="410"/>
      <c r="F11" s="410"/>
      <c r="G11" s="410"/>
      <c r="H11" s="410"/>
      <c r="I11" s="410"/>
      <c r="J11" s="410"/>
      <c r="K11" s="410"/>
      <c r="L11" s="410"/>
      <c r="M11" s="410"/>
      <c r="N11" s="410"/>
      <c r="O11" s="410"/>
      <c r="P11" s="410"/>
      <c r="Q11" s="410"/>
      <c r="R11" s="410"/>
      <c r="S11" s="410"/>
      <c r="T11" s="410"/>
      <c r="U11" s="410"/>
      <c r="V11" s="410"/>
      <c r="W11" s="411"/>
      <c r="X11" s="406"/>
    </row>
    <row r="12" spans="1:24" ht="16.2" thickBot="1" x14ac:dyDescent="0.35">
      <c r="A12" s="408"/>
      <c r="B12" s="419"/>
      <c r="C12" s="410"/>
      <c r="D12" s="410"/>
      <c r="E12" s="410"/>
      <c r="F12" s="410"/>
      <c r="G12" s="410"/>
      <c r="H12" s="410"/>
      <c r="I12" s="410"/>
      <c r="J12" s="410"/>
      <c r="K12" s="410"/>
      <c r="L12" s="410"/>
      <c r="M12" s="410"/>
      <c r="N12" s="410"/>
      <c r="O12" s="410"/>
      <c r="P12" s="410"/>
      <c r="Q12" s="410"/>
      <c r="R12" s="410"/>
      <c r="S12" s="410"/>
      <c r="T12" s="410"/>
      <c r="U12" s="410"/>
      <c r="V12" s="410"/>
      <c r="W12" s="411"/>
      <c r="X12" s="406"/>
    </row>
    <row r="13" spans="1:24" x14ac:dyDescent="0.3">
      <c r="A13" s="402"/>
      <c r="B13" s="404"/>
      <c r="C13" s="404"/>
      <c r="D13" s="404"/>
      <c r="E13" s="404"/>
      <c r="F13" s="404"/>
      <c r="G13" s="404"/>
      <c r="H13" s="404"/>
      <c r="I13" s="404"/>
      <c r="J13" s="404"/>
      <c r="K13" s="404"/>
      <c r="L13" s="404"/>
      <c r="M13" s="404"/>
      <c r="N13" s="404"/>
      <c r="O13" s="404"/>
      <c r="P13" s="404"/>
      <c r="Q13" s="404"/>
      <c r="R13" s="404"/>
      <c r="S13" s="404"/>
      <c r="T13" s="404"/>
      <c r="U13" s="404"/>
      <c r="V13" s="404"/>
      <c r="W13" s="405"/>
      <c r="X13" s="406"/>
    </row>
    <row r="14" spans="1:24" s="426" customFormat="1" x14ac:dyDescent="0.3">
      <c r="A14" s="421"/>
      <c r="B14" s="420" t="s">
        <v>1</v>
      </c>
      <c r="C14" s="422"/>
      <c r="D14" s="422"/>
      <c r="E14" s="422"/>
      <c r="F14" s="422"/>
      <c r="G14" s="422"/>
      <c r="H14" s="422"/>
      <c r="I14" s="422"/>
      <c r="J14" s="422"/>
      <c r="K14" s="422"/>
      <c r="L14" s="422"/>
      <c r="M14" s="422"/>
      <c r="N14" s="422"/>
      <c r="O14" s="422"/>
      <c r="P14" s="422"/>
      <c r="Q14" s="422"/>
      <c r="R14" s="422"/>
      <c r="S14" s="422"/>
      <c r="T14" s="422"/>
      <c r="U14" s="422"/>
      <c r="V14" s="423" t="s">
        <v>240</v>
      </c>
      <c r="W14" s="424"/>
      <c r="X14" s="425"/>
    </row>
    <row r="15" spans="1:24" s="426" customFormat="1" x14ac:dyDescent="0.3">
      <c r="A15" s="421"/>
      <c r="B15" s="420" t="s">
        <v>2</v>
      </c>
      <c r="C15" s="422"/>
      <c r="D15" s="422"/>
      <c r="E15" s="422"/>
      <c r="F15" s="422"/>
      <c r="G15" s="422"/>
      <c r="H15" s="427"/>
      <c r="I15" s="427"/>
      <c r="J15" s="427"/>
      <c r="K15" s="427"/>
      <c r="L15" s="427"/>
      <c r="M15" s="427"/>
      <c r="N15" s="427"/>
      <c r="O15" s="427"/>
      <c r="P15" s="427"/>
      <c r="Q15" s="427"/>
      <c r="R15" s="427" t="s">
        <v>105</v>
      </c>
      <c r="S15" s="428">
        <v>0.57609999999999995</v>
      </c>
      <c r="T15" s="429" t="s">
        <v>143</v>
      </c>
      <c r="U15" s="428">
        <v>0.4239</v>
      </c>
      <c r="V15" s="423"/>
      <c r="W15" s="424"/>
      <c r="X15" s="425"/>
    </row>
    <row r="16" spans="1:24" s="426" customFormat="1" x14ac:dyDescent="0.3">
      <c r="A16" s="421"/>
      <c r="B16" s="420" t="s">
        <v>3</v>
      </c>
      <c r="C16" s="422"/>
      <c r="D16" s="422"/>
      <c r="E16" s="422"/>
      <c r="F16" s="422"/>
      <c r="G16" s="422"/>
      <c r="H16" s="427"/>
      <c r="I16" s="427"/>
      <c r="J16" s="427"/>
      <c r="K16" s="427"/>
      <c r="L16" s="427"/>
      <c r="M16" s="427"/>
      <c r="N16" s="427"/>
      <c r="O16" s="427"/>
      <c r="P16" s="427"/>
      <c r="Q16" s="427"/>
      <c r="R16" s="427" t="s">
        <v>105</v>
      </c>
      <c r="S16" s="428">
        <v>0.67169999999999996</v>
      </c>
      <c r="T16" s="429" t="s">
        <v>143</v>
      </c>
      <c r="U16" s="428">
        <v>0.32829999999999998</v>
      </c>
      <c r="V16" s="423"/>
      <c r="W16" s="424"/>
      <c r="X16" s="425"/>
    </row>
    <row r="17" spans="1:24" s="426" customFormat="1" x14ac:dyDescent="0.3">
      <c r="A17" s="421"/>
      <c r="B17" s="420" t="s">
        <v>4</v>
      </c>
      <c r="C17" s="422"/>
      <c r="D17" s="422"/>
      <c r="E17" s="422"/>
      <c r="F17" s="422"/>
      <c r="G17" s="422"/>
      <c r="H17" s="422"/>
      <c r="I17" s="422"/>
      <c r="J17" s="422"/>
      <c r="K17" s="422"/>
      <c r="L17" s="422"/>
      <c r="M17" s="422"/>
      <c r="N17" s="422"/>
      <c r="O17" s="422"/>
      <c r="P17" s="422"/>
      <c r="Q17" s="422"/>
      <c r="R17" s="422"/>
      <c r="S17" s="422"/>
      <c r="T17" s="422"/>
      <c r="U17" s="422"/>
      <c r="V17" s="430">
        <v>39016</v>
      </c>
      <c r="W17" s="424"/>
      <c r="X17" s="425"/>
    </row>
    <row r="18" spans="1:24" s="426" customFormat="1" x14ac:dyDescent="0.3">
      <c r="A18" s="421"/>
      <c r="B18" s="420" t="s">
        <v>5</v>
      </c>
      <c r="C18" s="422"/>
      <c r="D18" s="422"/>
      <c r="E18" s="422"/>
      <c r="F18" s="422"/>
      <c r="G18" s="422"/>
      <c r="H18" s="422"/>
      <c r="I18" s="422"/>
      <c r="J18" s="422"/>
      <c r="K18" s="422"/>
      <c r="L18" s="422"/>
      <c r="M18" s="422"/>
      <c r="N18" s="422"/>
      <c r="O18" s="422"/>
      <c r="P18" s="422"/>
      <c r="Q18" s="422"/>
      <c r="R18" s="422"/>
      <c r="S18" s="422"/>
      <c r="T18" s="422"/>
      <c r="U18" s="422"/>
      <c r="V18" s="430">
        <v>43210</v>
      </c>
      <c r="W18" s="424"/>
      <c r="X18" s="425"/>
    </row>
    <row r="19" spans="1:24" s="426" customFormat="1" x14ac:dyDescent="0.3">
      <c r="A19" s="421"/>
      <c r="B19" s="422"/>
      <c r="C19" s="422"/>
      <c r="D19" s="422"/>
      <c r="E19" s="422"/>
      <c r="F19" s="422"/>
      <c r="G19" s="422"/>
      <c r="H19" s="422"/>
      <c r="I19" s="422"/>
      <c r="J19" s="422"/>
      <c r="K19" s="422"/>
      <c r="L19" s="422"/>
      <c r="M19" s="422"/>
      <c r="N19" s="422"/>
      <c r="O19" s="422"/>
      <c r="P19" s="422"/>
      <c r="Q19" s="422"/>
      <c r="R19" s="422"/>
      <c r="S19" s="422"/>
      <c r="T19" s="422"/>
      <c r="U19" s="422"/>
      <c r="V19" s="431"/>
      <c r="W19" s="424"/>
      <c r="X19" s="425"/>
    </row>
    <row r="20" spans="1:24" s="426" customFormat="1" x14ac:dyDescent="0.3">
      <c r="A20" s="421"/>
      <c r="B20" s="432" t="s">
        <v>6</v>
      </c>
      <c r="C20" s="422"/>
      <c r="D20" s="422"/>
      <c r="E20" s="422"/>
      <c r="F20" s="422"/>
      <c r="G20" s="422"/>
      <c r="H20" s="422"/>
      <c r="I20" s="422"/>
      <c r="J20" s="422"/>
      <c r="K20" s="422"/>
      <c r="L20" s="422"/>
      <c r="M20" s="422"/>
      <c r="N20" s="422"/>
      <c r="O20" s="422"/>
      <c r="P20" s="422"/>
      <c r="Q20" s="422"/>
      <c r="R20" s="422"/>
      <c r="S20" s="422"/>
      <c r="T20" s="431" t="s">
        <v>106</v>
      </c>
      <c r="U20" s="422"/>
      <c r="V20" s="422"/>
      <c r="W20" s="424"/>
      <c r="X20" s="425"/>
    </row>
    <row r="21" spans="1:24" x14ac:dyDescent="0.3">
      <c r="A21" s="408"/>
      <c r="B21" s="410"/>
      <c r="C21" s="410"/>
      <c r="D21" s="410"/>
      <c r="E21" s="410"/>
      <c r="F21" s="410"/>
      <c r="G21" s="410"/>
      <c r="H21" s="410"/>
      <c r="I21" s="410"/>
      <c r="J21" s="410"/>
      <c r="K21" s="410"/>
      <c r="L21" s="410"/>
      <c r="M21" s="410"/>
      <c r="N21" s="410"/>
      <c r="O21" s="410"/>
      <c r="P21" s="410"/>
      <c r="Q21" s="410"/>
      <c r="R21" s="410"/>
      <c r="S21" s="410"/>
      <c r="T21" s="410"/>
      <c r="U21" s="410"/>
      <c r="V21" s="433"/>
      <c r="W21" s="411"/>
      <c r="X21" s="406"/>
    </row>
    <row r="22" spans="1:24" x14ac:dyDescent="0.3">
      <c r="A22" s="434"/>
      <c r="B22" s="435"/>
      <c r="C22" s="436"/>
      <c r="D22" s="436" t="s">
        <v>180</v>
      </c>
      <c r="E22" s="436"/>
      <c r="F22" s="436" t="s">
        <v>181</v>
      </c>
      <c r="G22" s="436"/>
      <c r="H22" s="436" t="s">
        <v>182</v>
      </c>
      <c r="I22" s="436"/>
      <c r="J22" s="436" t="s">
        <v>223</v>
      </c>
      <c r="K22" s="436"/>
      <c r="L22" s="436" t="s">
        <v>183</v>
      </c>
      <c r="M22" s="436"/>
      <c r="N22" s="436" t="s">
        <v>184</v>
      </c>
      <c r="O22" s="436"/>
      <c r="P22" s="436" t="s">
        <v>224</v>
      </c>
      <c r="Q22" s="436"/>
      <c r="R22" s="436" t="s">
        <v>185</v>
      </c>
      <c r="S22" s="437"/>
      <c r="T22" s="437"/>
      <c r="U22" s="435"/>
      <c r="V22" s="435"/>
      <c r="W22" s="438"/>
      <c r="X22" s="406"/>
    </row>
    <row r="23" spans="1:24" s="426" customFormat="1" x14ac:dyDescent="0.3">
      <c r="A23" s="439"/>
      <c r="B23" s="440" t="s">
        <v>7</v>
      </c>
      <c r="C23" s="441"/>
      <c r="D23" s="441" t="s">
        <v>216</v>
      </c>
      <c r="E23" s="441"/>
      <c r="F23" s="441" t="s">
        <v>144</v>
      </c>
      <c r="G23" s="441"/>
      <c r="H23" s="441" t="s">
        <v>144</v>
      </c>
      <c r="I23" s="441"/>
      <c r="J23" s="441" t="s">
        <v>144</v>
      </c>
      <c r="K23" s="441"/>
      <c r="L23" s="441" t="s">
        <v>186</v>
      </c>
      <c r="M23" s="441"/>
      <c r="N23" s="441" t="s">
        <v>186</v>
      </c>
      <c r="O23" s="441"/>
      <c r="P23" s="441" t="s">
        <v>145</v>
      </c>
      <c r="Q23" s="441"/>
      <c r="R23" s="441" t="s">
        <v>145</v>
      </c>
      <c r="S23" s="441"/>
      <c r="T23" s="441"/>
      <c r="U23" s="440"/>
      <c r="V23" s="440"/>
      <c r="W23" s="442"/>
      <c r="X23" s="425"/>
    </row>
    <row r="24" spans="1:24" s="426" customFormat="1" x14ac:dyDescent="0.3">
      <c r="A24" s="443"/>
      <c r="B24" s="444" t="s">
        <v>8</v>
      </c>
      <c r="C24" s="445"/>
      <c r="D24" s="445" t="s">
        <v>217</v>
      </c>
      <c r="E24" s="445"/>
      <c r="F24" s="445" t="s">
        <v>146</v>
      </c>
      <c r="G24" s="445"/>
      <c r="H24" s="445" t="s">
        <v>146</v>
      </c>
      <c r="I24" s="445"/>
      <c r="J24" s="445" t="s">
        <v>146</v>
      </c>
      <c r="K24" s="445"/>
      <c r="L24" s="445" t="s">
        <v>168</v>
      </c>
      <c r="M24" s="445"/>
      <c r="N24" s="445" t="s">
        <v>168</v>
      </c>
      <c r="O24" s="445"/>
      <c r="P24" s="445" t="s">
        <v>147</v>
      </c>
      <c r="Q24" s="445"/>
      <c r="R24" s="445" t="s">
        <v>147</v>
      </c>
      <c r="S24" s="445"/>
      <c r="T24" s="445"/>
      <c r="U24" s="444"/>
      <c r="V24" s="444"/>
      <c r="W24" s="446"/>
      <c r="X24" s="425"/>
    </row>
    <row r="25" spans="1:24" s="426" customFormat="1" x14ac:dyDescent="0.3">
      <c r="A25" s="447"/>
      <c r="B25" s="444" t="s">
        <v>193</v>
      </c>
      <c r="C25" s="448"/>
      <c r="D25" s="445" t="s">
        <v>218</v>
      </c>
      <c r="E25" s="445"/>
      <c r="F25" s="445" t="s">
        <v>146</v>
      </c>
      <c r="G25" s="445"/>
      <c r="H25" s="445" t="s">
        <v>146</v>
      </c>
      <c r="I25" s="445"/>
      <c r="J25" s="445" t="s">
        <v>146</v>
      </c>
      <c r="K25" s="445"/>
      <c r="L25" s="445" t="s">
        <v>168</v>
      </c>
      <c r="M25" s="445"/>
      <c r="N25" s="445" t="s">
        <v>168</v>
      </c>
      <c r="O25" s="445"/>
      <c r="P25" s="445" t="s">
        <v>147</v>
      </c>
      <c r="Q25" s="445"/>
      <c r="R25" s="445" t="s">
        <v>147</v>
      </c>
      <c r="S25" s="448"/>
      <c r="T25" s="445"/>
      <c r="U25" s="444"/>
      <c r="V25" s="444"/>
      <c r="W25" s="446"/>
      <c r="X25" s="425"/>
    </row>
    <row r="26" spans="1:24" s="426" customFormat="1" x14ac:dyDescent="0.3">
      <c r="A26" s="447"/>
      <c r="B26" s="449" t="s">
        <v>9</v>
      </c>
      <c r="C26" s="448"/>
      <c r="D26" s="448" t="s">
        <v>144</v>
      </c>
      <c r="E26" s="448"/>
      <c r="F26" s="448" t="s">
        <v>144</v>
      </c>
      <c r="G26" s="448"/>
      <c r="H26" s="448" t="s">
        <v>144</v>
      </c>
      <c r="I26" s="448"/>
      <c r="J26" s="448" t="s">
        <v>144</v>
      </c>
      <c r="K26" s="448"/>
      <c r="L26" s="448" t="s">
        <v>186</v>
      </c>
      <c r="M26" s="448"/>
      <c r="N26" s="448" t="s">
        <v>186</v>
      </c>
      <c r="O26" s="448"/>
      <c r="P26" s="448" t="s">
        <v>145</v>
      </c>
      <c r="Q26" s="448"/>
      <c r="R26" s="448" t="s">
        <v>145</v>
      </c>
      <c r="S26" s="448"/>
      <c r="T26" s="445"/>
      <c r="U26" s="444"/>
      <c r="V26" s="444"/>
      <c r="W26" s="446"/>
      <c r="X26" s="425"/>
    </row>
    <row r="27" spans="1:24" s="426" customFormat="1" x14ac:dyDescent="0.3">
      <c r="A27" s="443"/>
      <c r="B27" s="449" t="s">
        <v>194</v>
      </c>
      <c r="C27" s="445"/>
      <c r="D27" s="448" t="s">
        <v>168</v>
      </c>
      <c r="E27" s="448"/>
      <c r="F27" s="448" t="s">
        <v>168</v>
      </c>
      <c r="G27" s="448"/>
      <c r="H27" s="448" t="s">
        <v>168</v>
      </c>
      <c r="I27" s="448"/>
      <c r="J27" s="448" t="s">
        <v>168</v>
      </c>
      <c r="K27" s="448"/>
      <c r="L27" s="448" t="s">
        <v>360</v>
      </c>
      <c r="M27" s="448"/>
      <c r="N27" s="448" t="s">
        <v>360</v>
      </c>
      <c r="O27" s="448"/>
      <c r="P27" s="448" t="s">
        <v>147</v>
      </c>
      <c r="Q27" s="448"/>
      <c r="R27" s="448" t="s">
        <v>147</v>
      </c>
      <c r="S27" s="445"/>
      <c r="T27" s="450"/>
      <c r="U27" s="444"/>
      <c r="V27" s="444"/>
      <c r="W27" s="446"/>
      <c r="X27" s="425"/>
    </row>
    <row r="28" spans="1:24" s="426" customFormat="1" x14ac:dyDescent="0.3">
      <c r="A28" s="443"/>
      <c r="B28" s="449" t="s">
        <v>195</v>
      </c>
      <c r="C28" s="445"/>
      <c r="D28" s="448" t="s">
        <v>146</v>
      </c>
      <c r="E28" s="448"/>
      <c r="F28" s="448" t="s">
        <v>146</v>
      </c>
      <c r="G28" s="448"/>
      <c r="H28" s="448" t="s">
        <v>146</v>
      </c>
      <c r="I28" s="448"/>
      <c r="J28" s="448" t="s">
        <v>146</v>
      </c>
      <c r="K28" s="448"/>
      <c r="L28" s="448" t="s">
        <v>146</v>
      </c>
      <c r="M28" s="448"/>
      <c r="N28" s="448" t="s">
        <v>146</v>
      </c>
      <c r="O28" s="448"/>
      <c r="P28" s="448" t="s">
        <v>147</v>
      </c>
      <c r="Q28" s="448"/>
      <c r="R28" s="448" t="s">
        <v>147</v>
      </c>
      <c r="S28" s="445"/>
      <c r="T28" s="450"/>
      <c r="U28" s="444"/>
      <c r="V28" s="444"/>
      <c r="W28" s="446"/>
      <c r="X28" s="425"/>
    </row>
    <row r="29" spans="1:24" s="426" customFormat="1" x14ac:dyDescent="0.3">
      <c r="A29" s="443"/>
      <c r="B29" s="444" t="s">
        <v>10</v>
      </c>
      <c r="C29" s="451"/>
      <c r="D29" s="445" t="s">
        <v>348</v>
      </c>
      <c r="E29" s="445"/>
      <c r="F29" s="450" t="s">
        <v>242</v>
      </c>
      <c r="G29" s="445"/>
      <c r="H29" s="445" t="s">
        <v>243</v>
      </c>
      <c r="I29" s="445"/>
      <c r="J29" s="445" t="s">
        <v>245</v>
      </c>
      <c r="K29" s="445"/>
      <c r="L29" s="445" t="s">
        <v>246</v>
      </c>
      <c r="M29" s="445"/>
      <c r="N29" s="445" t="s">
        <v>247</v>
      </c>
      <c r="O29" s="445"/>
      <c r="P29" s="445" t="s">
        <v>248</v>
      </c>
      <c r="Q29" s="445"/>
      <c r="R29" s="445" t="s">
        <v>249</v>
      </c>
      <c r="S29" s="452"/>
      <c r="T29" s="452"/>
      <c r="U29" s="451"/>
      <c r="V29" s="452"/>
      <c r="W29" s="453"/>
      <c r="X29" s="425"/>
    </row>
    <row r="30" spans="1:24" s="426" customFormat="1" x14ac:dyDescent="0.3">
      <c r="A30" s="443"/>
      <c r="B30" s="444" t="s">
        <v>10</v>
      </c>
      <c r="C30" s="451"/>
      <c r="D30" s="445" t="s">
        <v>241</v>
      </c>
      <c r="E30" s="445"/>
      <c r="F30" s="450" t="s">
        <v>121</v>
      </c>
      <c r="G30" s="445"/>
      <c r="H30" s="445" t="s">
        <v>121</v>
      </c>
      <c r="I30" s="445"/>
      <c r="J30" s="445" t="s">
        <v>244</v>
      </c>
      <c r="K30" s="445"/>
      <c r="L30" s="445" t="s">
        <v>121</v>
      </c>
      <c r="M30" s="445"/>
      <c r="N30" s="445" t="s">
        <v>121</v>
      </c>
      <c r="O30" s="445"/>
      <c r="P30" s="445" t="s">
        <v>121</v>
      </c>
      <c r="Q30" s="445"/>
      <c r="R30" s="445" t="s">
        <v>121</v>
      </c>
      <c r="S30" s="452"/>
      <c r="T30" s="452"/>
      <c r="U30" s="451"/>
      <c r="V30" s="452"/>
      <c r="W30" s="453"/>
      <c r="X30" s="425"/>
    </row>
    <row r="31" spans="1:24" s="426" customFormat="1" x14ac:dyDescent="0.3">
      <c r="A31" s="447"/>
      <c r="B31" s="444" t="s">
        <v>136</v>
      </c>
      <c r="C31" s="454"/>
      <c r="D31" s="455">
        <v>1500000</v>
      </c>
      <c r="E31" s="451"/>
      <c r="F31" s="452">
        <v>125000</v>
      </c>
      <c r="G31" s="452"/>
      <c r="H31" s="456">
        <v>315000</v>
      </c>
      <c r="I31" s="456"/>
      <c r="J31" s="455">
        <v>350000</v>
      </c>
      <c r="K31" s="452"/>
      <c r="L31" s="452">
        <v>56000</v>
      </c>
      <c r="M31" s="452"/>
      <c r="N31" s="456">
        <v>84000</v>
      </c>
      <c r="O31" s="452"/>
      <c r="P31" s="452">
        <v>13000</v>
      </c>
      <c r="Q31" s="452"/>
      <c r="R31" s="456">
        <v>81000</v>
      </c>
      <c r="S31" s="457"/>
      <c r="T31" s="457"/>
      <c r="U31" s="454"/>
      <c r="V31" s="457"/>
      <c r="W31" s="453"/>
      <c r="X31" s="425"/>
    </row>
    <row r="32" spans="1:24" s="426" customFormat="1" x14ac:dyDescent="0.3">
      <c r="A32" s="443"/>
      <c r="B32" s="444" t="s">
        <v>135</v>
      </c>
      <c r="C32" s="451"/>
      <c r="D32" s="458">
        <f>D34*D38</f>
        <v>363922.0255776</v>
      </c>
      <c r="E32" s="451"/>
      <c r="F32" s="452">
        <f>F31*F38</f>
        <v>57014.700000000004</v>
      </c>
      <c r="G32" s="452"/>
      <c r="H32" s="456">
        <f>H31*H38</f>
        <v>143677.04399999999</v>
      </c>
      <c r="I32" s="456"/>
      <c r="J32" s="455">
        <f>J31*J38</f>
        <v>159640.32000000001</v>
      </c>
      <c r="K32" s="452"/>
      <c r="L32" s="452">
        <f>L31*L38</f>
        <v>56000</v>
      </c>
      <c r="M32" s="452"/>
      <c r="N32" s="456">
        <f>N31*N38</f>
        <v>84000</v>
      </c>
      <c r="O32" s="452"/>
      <c r="P32" s="452">
        <f>P31*P38</f>
        <v>13000</v>
      </c>
      <c r="Q32" s="452"/>
      <c r="R32" s="456">
        <f>R31*R38</f>
        <v>81000</v>
      </c>
      <c r="S32" s="452"/>
      <c r="T32" s="452"/>
      <c r="U32" s="451"/>
      <c r="V32" s="452"/>
      <c r="W32" s="453"/>
      <c r="X32" s="425"/>
    </row>
    <row r="33" spans="1:24" s="426" customFormat="1" x14ac:dyDescent="0.3">
      <c r="A33" s="443"/>
      <c r="B33" s="449" t="s">
        <v>137</v>
      </c>
      <c r="C33" s="451"/>
      <c r="D33" s="459">
        <f>D34*D37</f>
        <v>357252.93267840001</v>
      </c>
      <c r="E33" s="454"/>
      <c r="F33" s="457">
        <f>F37*F31</f>
        <v>55969.875</v>
      </c>
      <c r="G33" s="457"/>
      <c r="H33" s="460">
        <f>H31*H37</f>
        <v>141044.08499999999</v>
      </c>
      <c r="I33" s="460"/>
      <c r="J33" s="461">
        <f>J37*J31</f>
        <v>156714.77499999999</v>
      </c>
      <c r="K33" s="457"/>
      <c r="L33" s="457">
        <f>L31*L37</f>
        <v>56000</v>
      </c>
      <c r="M33" s="457"/>
      <c r="N33" s="460">
        <f>N31*N37</f>
        <v>84000</v>
      </c>
      <c r="O33" s="457"/>
      <c r="P33" s="457">
        <f>P31*P37</f>
        <v>13000</v>
      </c>
      <c r="Q33" s="457"/>
      <c r="R33" s="460">
        <f>R31*R37</f>
        <v>81000</v>
      </c>
      <c r="S33" s="452"/>
      <c r="T33" s="452"/>
      <c r="U33" s="451"/>
      <c r="V33" s="452"/>
      <c r="W33" s="453"/>
      <c r="X33" s="425"/>
    </row>
    <row r="34" spans="1:24" s="426" customFormat="1" x14ac:dyDescent="0.3">
      <c r="A34" s="447"/>
      <c r="B34" s="444" t="s">
        <v>298</v>
      </c>
      <c r="C34" s="454"/>
      <c r="D34" s="452">
        <v>797872</v>
      </c>
      <c r="E34" s="451"/>
      <c r="F34" s="452">
        <v>125000</v>
      </c>
      <c r="G34" s="452"/>
      <c r="H34" s="452">
        <v>211409</v>
      </c>
      <c r="I34" s="452"/>
      <c r="J34" s="452">
        <v>186170</v>
      </c>
      <c r="K34" s="452"/>
      <c r="L34" s="452">
        <v>56000</v>
      </c>
      <c r="M34" s="452"/>
      <c r="N34" s="452">
        <v>56376</v>
      </c>
      <c r="O34" s="452"/>
      <c r="P34" s="452">
        <v>13000</v>
      </c>
      <c r="Q34" s="452"/>
      <c r="R34" s="452">
        <v>54363</v>
      </c>
      <c r="S34" s="457"/>
      <c r="T34" s="457"/>
      <c r="U34" s="454"/>
      <c r="V34" s="452">
        <f>SUM(C34:R34)</f>
        <v>1500190</v>
      </c>
      <c r="W34" s="453"/>
      <c r="X34" s="425"/>
    </row>
    <row r="35" spans="1:24" s="426" customFormat="1" x14ac:dyDescent="0.3">
      <c r="A35" s="447"/>
      <c r="B35" s="444" t="s">
        <v>299</v>
      </c>
      <c r="C35" s="454"/>
      <c r="D35" s="452">
        <f>D34*D38</f>
        <v>363922.0255776</v>
      </c>
      <c r="E35" s="451"/>
      <c r="F35" s="452">
        <f>F34*F38</f>
        <v>57014.700000000004</v>
      </c>
      <c r="G35" s="452"/>
      <c r="H35" s="452">
        <f>H34*H38</f>
        <v>96427.365698399997</v>
      </c>
      <c r="I35" s="452"/>
      <c r="J35" s="452">
        <f>J34*J38</f>
        <v>84914.966784000004</v>
      </c>
      <c r="K35" s="452"/>
      <c r="L35" s="452">
        <f>L34*L38</f>
        <v>56000</v>
      </c>
      <c r="M35" s="452"/>
      <c r="N35" s="452">
        <f>N34*N38</f>
        <v>56376</v>
      </c>
      <c r="O35" s="452"/>
      <c r="P35" s="452">
        <f>P34*P38</f>
        <v>13000</v>
      </c>
      <c r="Q35" s="452"/>
      <c r="R35" s="452">
        <f>R34*R38</f>
        <v>54363</v>
      </c>
      <c r="S35" s="452"/>
      <c r="T35" s="452"/>
      <c r="U35" s="451"/>
      <c r="V35" s="452">
        <f>SUM(C35:R35)+1</f>
        <v>782019.05806000007</v>
      </c>
      <c r="W35" s="453"/>
      <c r="X35" s="425"/>
    </row>
    <row r="36" spans="1:24" s="426" customFormat="1" x14ac:dyDescent="0.3">
      <c r="A36" s="447"/>
      <c r="B36" s="449" t="s">
        <v>304</v>
      </c>
      <c r="C36" s="454"/>
      <c r="D36" s="457">
        <f>D34*D37</f>
        <v>357252.93267840001</v>
      </c>
      <c r="E36" s="454"/>
      <c r="F36" s="457">
        <f>F34*F37</f>
        <v>55969.875</v>
      </c>
      <c r="G36" s="457"/>
      <c r="H36" s="457">
        <f>H34*H37</f>
        <v>94660.282431</v>
      </c>
      <c r="I36" s="457"/>
      <c r="J36" s="457">
        <f>J34*J37</f>
        <v>83358.827604999999</v>
      </c>
      <c r="K36" s="457"/>
      <c r="L36" s="457">
        <v>56000</v>
      </c>
      <c r="M36" s="457"/>
      <c r="N36" s="457">
        <v>56376</v>
      </c>
      <c r="O36" s="457"/>
      <c r="P36" s="457">
        <v>13000</v>
      </c>
      <c r="Q36" s="457"/>
      <c r="R36" s="457">
        <v>54363</v>
      </c>
      <c r="S36" s="462"/>
      <c r="T36" s="462"/>
      <c r="U36" s="451"/>
      <c r="V36" s="457">
        <f>SUM(C36:R36)</f>
        <v>770980.91771439998</v>
      </c>
      <c r="W36" s="453"/>
      <c r="X36" s="425"/>
    </row>
    <row r="37" spans="1:24" s="473" customFormat="1" x14ac:dyDescent="0.3">
      <c r="A37" s="463"/>
      <c r="B37" s="464" t="s">
        <v>133</v>
      </c>
      <c r="C37" s="465"/>
      <c r="D37" s="466">
        <v>0.44775720000000002</v>
      </c>
      <c r="E37" s="467"/>
      <c r="F37" s="466">
        <v>0.44775900000000002</v>
      </c>
      <c r="G37" s="468"/>
      <c r="H37" s="466">
        <v>0.44775900000000002</v>
      </c>
      <c r="I37" s="468"/>
      <c r="J37" s="466">
        <v>0.4477565</v>
      </c>
      <c r="K37" s="468"/>
      <c r="L37" s="466">
        <v>1</v>
      </c>
      <c r="M37" s="468"/>
      <c r="N37" s="466">
        <v>1</v>
      </c>
      <c r="O37" s="468"/>
      <c r="P37" s="466">
        <v>1</v>
      </c>
      <c r="Q37" s="468"/>
      <c r="R37" s="466">
        <v>1</v>
      </c>
      <c r="S37" s="469"/>
      <c r="T37" s="469"/>
      <c r="U37" s="470"/>
      <c r="V37" s="470"/>
      <c r="W37" s="471"/>
      <c r="X37" s="472"/>
    </row>
    <row r="38" spans="1:24" s="473" customFormat="1" x14ac:dyDescent="0.3">
      <c r="A38" s="463"/>
      <c r="B38" s="465" t="s">
        <v>134</v>
      </c>
      <c r="C38" s="465"/>
      <c r="D38" s="474">
        <v>0.45611580000000002</v>
      </c>
      <c r="E38" s="475"/>
      <c r="F38" s="474">
        <v>0.45611760000000001</v>
      </c>
      <c r="G38" s="476"/>
      <c r="H38" s="474">
        <v>0.45611760000000001</v>
      </c>
      <c r="I38" s="476"/>
      <c r="J38" s="474">
        <v>0.4561152</v>
      </c>
      <c r="K38" s="476"/>
      <c r="L38" s="474">
        <v>1</v>
      </c>
      <c r="M38" s="476"/>
      <c r="N38" s="474">
        <v>1</v>
      </c>
      <c r="O38" s="476"/>
      <c r="P38" s="474">
        <v>1</v>
      </c>
      <c r="Q38" s="476"/>
      <c r="R38" s="474">
        <v>1</v>
      </c>
      <c r="S38" s="477"/>
      <c r="T38" s="478"/>
      <c r="U38" s="470"/>
      <c r="V38" s="477"/>
      <c r="W38" s="471"/>
      <c r="X38" s="472"/>
    </row>
    <row r="39" spans="1:24" s="426" customFormat="1" x14ac:dyDescent="0.3">
      <c r="A39" s="443"/>
      <c r="B39" s="444" t="s">
        <v>11</v>
      </c>
      <c r="C39" s="444"/>
      <c r="D39" s="450" t="s">
        <v>226</v>
      </c>
      <c r="E39" s="444"/>
      <c r="F39" s="450" t="s">
        <v>226</v>
      </c>
      <c r="G39" s="450"/>
      <c r="H39" s="450" t="s">
        <v>226</v>
      </c>
      <c r="I39" s="450"/>
      <c r="J39" s="450" t="s">
        <v>256</v>
      </c>
      <c r="K39" s="450"/>
      <c r="L39" s="450" t="s">
        <v>254</v>
      </c>
      <c r="M39" s="450"/>
      <c r="N39" s="450" t="s">
        <v>257</v>
      </c>
      <c r="O39" s="450"/>
      <c r="P39" s="450" t="s">
        <v>258</v>
      </c>
      <c r="Q39" s="450"/>
      <c r="R39" s="450" t="s">
        <v>259</v>
      </c>
      <c r="S39" s="479"/>
      <c r="T39" s="480"/>
      <c r="U39" s="444"/>
      <c r="V39" s="444"/>
      <c r="W39" s="446"/>
      <c r="X39" s="425"/>
    </row>
    <row r="40" spans="1:24" s="426" customFormat="1" x14ac:dyDescent="0.3">
      <c r="A40" s="443"/>
      <c r="B40" s="444" t="s">
        <v>12</v>
      </c>
      <c r="C40" s="444"/>
      <c r="D40" s="480">
        <v>7.6156000000000001E-3</v>
      </c>
      <c r="E40" s="444"/>
      <c r="F40" s="480">
        <v>7.6156000000000001E-3</v>
      </c>
      <c r="G40" s="479"/>
      <c r="H40" s="480">
        <v>0</v>
      </c>
      <c r="I40" s="480"/>
      <c r="J40" s="480">
        <v>1.9015199999999999E-2</v>
      </c>
      <c r="K40" s="479"/>
      <c r="L40" s="480">
        <v>9.2155999999999991E-3</v>
      </c>
      <c r="M40" s="479"/>
      <c r="N40" s="480">
        <v>5.1000000000000004E-4</v>
      </c>
      <c r="O40" s="479"/>
      <c r="P40" s="480">
        <v>1.3215599999999999E-2</v>
      </c>
      <c r="Q40" s="479"/>
      <c r="R40" s="480">
        <v>4.5100000000000001E-3</v>
      </c>
      <c r="S40" s="479"/>
      <c r="T40" s="480"/>
      <c r="U40" s="444"/>
      <c r="V40" s="450"/>
      <c r="W40" s="446"/>
      <c r="X40" s="425"/>
    </row>
    <row r="41" spans="1:24" s="426" customFormat="1" x14ac:dyDescent="0.3">
      <c r="A41" s="443"/>
      <c r="B41" s="444" t="s">
        <v>13</v>
      </c>
      <c r="C41" s="444"/>
      <c r="D41" s="480">
        <v>6.1875000000000003E-3</v>
      </c>
      <c r="E41" s="444"/>
      <c r="F41" s="480">
        <v>6.1875000000000003E-3</v>
      </c>
      <c r="G41" s="479"/>
      <c r="H41" s="480">
        <v>0</v>
      </c>
      <c r="I41" s="480"/>
      <c r="J41" s="480">
        <v>1.5391699999999999E-2</v>
      </c>
      <c r="K41" s="479"/>
      <c r="L41" s="480">
        <v>7.7875000000000002E-3</v>
      </c>
      <c r="M41" s="479"/>
      <c r="N41" s="480">
        <v>5.1000000000000004E-4</v>
      </c>
      <c r="O41" s="479"/>
      <c r="P41" s="480">
        <v>1.1787499999999999E-2</v>
      </c>
      <c r="Q41" s="479"/>
      <c r="R41" s="480">
        <v>4.5100000000000001E-3</v>
      </c>
      <c r="S41" s="479"/>
      <c r="T41" s="480"/>
      <c r="U41" s="444"/>
      <c r="V41" s="479" t="s">
        <v>196</v>
      </c>
      <c r="W41" s="446"/>
      <c r="X41" s="425"/>
    </row>
    <row r="42" spans="1:24" s="426" customFormat="1" x14ac:dyDescent="0.3">
      <c r="A42" s="443"/>
      <c r="B42" s="444" t="s">
        <v>300</v>
      </c>
      <c r="C42" s="444"/>
      <c r="D42" s="450" t="s">
        <v>226</v>
      </c>
      <c r="E42" s="444"/>
      <c r="F42" s="450" t="s">
        <v>226</v>
      </c>
      <c r="G42" s="450"/>
      <c r="H42" s="450" t="s">
        <v>227</v>
      </c>
      <c r="I42" s="450"/>
      <c r="J42" s="450" t="s">
        <v>237</v>
      </c>
      <c r="K42" s="450"/>
      <c r="L42" s="450" t="s">
        <v>254</v>
      </c>
      <c r="M42" s="450"/>
      <c r="N42" s="450" t="s">
        <v>260</v>
      </c>
      <c r="O42" s="450"/>
      <c r="P42" s="450" t="s">
        <v>258</v>
      </c>
      <c r="Q42" s="450"/>
      <c r="R42" s="450" t="s">
        <v>261</v>
      </c>
      <c r="S42" s="479"/>
      <c r="T42" s="480"/>
      <c r="U42" s="444"/>
      <c r="V42" s="444"/>
      <c r="W42" s="446"/>
      <c r="X42" s="425"/>
    </row>
    <row r="43" spans="1:24" s="426" customFormat="1" x14ac:dyDescent="0.3">
      <c r="A43" s="443"/>
      <c r="B43" s="444" t="s">
        <v>301</v>
      </c>
      <c r="C43" s="481"/>
      <c r="D43" s="480">
        <f>+D40</f>
        <v>7.6156000000000001E-3</v>
      </c>
      <c r="E43" s="480"/>
      <c r="F43" s="480">
        <f>+F40</f>
        <v>7.6156000000000001E-3</v>
      </c>
      <c r="G43" s="480"/>
      <c r="H43" s="480">
        <v>7.8595999999999996E-3</v>
      </c>
      <c r="I43" s="480"/>
      <c r="J43" s="480">
        <v>7.6956000000000004E-3</v>
      </c>
      <c r="K43" s="480"/>
      <c r="L43" s="480">
        <f>+L40</f>
        <v>9.2155999999999991E-3</v>
      </c>
      <c r="M43" s="480"/>
      <c r="N43" s="480">
        <v>9.3956000000000005E-3</v>
      </c>
      <c r="O43" s="480"/>
      <c r="P43" s="480">
        <f>+P40</f>
        <v>1.3215599999999999E-2</v>
      </c>
      <c r="Q43" s="479"/>
      <c r="R43" s="480">
        <v>1.36156E-2</v>
      </c>
      <c r="S43" s="450"/>
      <c r="T43" s="450"/>
      <c r="U43" s="444"/>
      <c r="V43" s="479">
        <f>SUMPRODUCT(D43:R43,D35:R35)/V35</f>
        <v>8.4074491660667671E-3</v>
      </c>
      <c r="W43" s="446"/>
      <c r="X43" s="425"/>
    </row>
    <row r="44" spans="1:24" s="426" customFormat="1" x14ac:dyDescent="0.3">
      <c r="A44" s="443"/>
      <c r="B44" s="444" t="s">
        <v>302</v>
      </c>
      <c r="C44" s="481"/>
      <c r="D44" s="480">
        <f>+D41</f>
        <v>6.1875000000000003E-3</v>
      </c>
      <c r="E44" s="480"/>
      <c r="F44" s="480">
        <f>+F41</f>
        <v>6.1875000000000003E-3</v>
      </c>
      <c r="G44" s="480"/>
      <c r="H44" s="480">
        <v>6.4314999999999997E-3</v>
      </c>
      <c r="I44" s="480"/>
      <c r="J44" s="480">
        <v>6.2674999999999996E-3</v>
      </c>
      <c r="K44" s="480"/>
      <c r="L44" s="480">
        <f>+L41</f>
        <v>7.7875000000000002E-3</v>
      </c>
      <c r="M44" s="480"/>
      <c r="N44" s="480">
        <v>7.9675000000000006E-3</v>
      </c>
      <c r="O44" s="480"/>
      <c r="P44" s="480">
        <f>+P41</f>
        <v>1.1787499999999999E-2</v>
      </c>
      <c r="Q44" s="479"/>
      <c r="R44" s="480">
        <v>1.21875E-2</v>
      </c>
      <c r="S44" s="450"/>
      <c r="T44" s="450"/>
      <c r="U44" s="444"/>
      <c r="V44" s="444"/>
      <c r="W44" s="446"/>
      <c r="X44" s="425"/>
    </row>
    <row r="45" spans="1:24" s="426" customFormat="1" x14ac:dyDescent="0.3">
      <c r="A45" s="443"/>
      <c r="B45" s="444" t="s">
        <v>14</v>
      </c>
      <c r="C45" s="444"/>
      <c r="D45" s="481">
        <v>40466</v>
      </c>
      <c r="E45" s="481"/>
      <c r="F45" s="481">
        <v>40466</v>
      </c>
      <c r="G45" s="481"/>
      <c r="H45" s="481">
        <v>40466</v>
      </c>
      <c r="I45" s="481"/>
      <c r="J45" s="481">
        <v>40466</v>
      </c>
      <c r="K45" s="481"/>
      <c r="L45" s="481">
        <v>40466</v>
      </c>
      <c r="M45" s="481"/>
      <c r="N45" s="481">
        <v>40466</v>
      </c>
      <c r="O45" s="481"/>
      <c r="P45" s="481">
        <v>40466</v>
      </c>
      <c r="Q45" s="481"/>
      <c r="R45" s="481">
        <v>40466</v>
      </c>
      <c r="S45" s="450"/>
      <c r="T45" s="450"/>
      <c r="U45" s="444"/>
      <c r="V45" s="444"/>
      <c r="W45" s="446"/>
      <c r="X45" s="425"/>
    </row>
    <row r="46" spans="1:24" s="426" customFormat="1" x14ac:dyDescent="0.3">
      <c r="A46" s="443"/>
      <c r="B46" s="444" t="s">
        <v>15</v>
      </c>
      <c r="C46" s="444"/>
      <c r="D46" s="481">
        <v>41105</v>
      </c>
      <c r="E46" s="481"/>
      <c r="F46" s="481">
        <v>40831</v>
      </c>
      <c r="G46" s="481"/>
      <c r="H46" s="481">
        <v>40831</v>
      </c>
      <c r="I46" s="481"/>
      <c r="J46" s="481">
        <v>40831</v>
      </c>
      <c r="K46" s="450"/>
      <c r="L46" s="481">
        <v>40831</v>
      </c>
      <c r="M46" s="450"/>
      <c r="N46" s="481">
        <v>40831</v>
      </c>
      <c r="O46" s="450"/>
      <c r="P46" s="481">
        <v>40831</v>
      </c>
      <c r="Q46" s="450"/>
      <c r="R46" s="481">
        <v>40831</v>
      </c>
      <c r="S46" s="450"/>
      <c r="T46" s="450"/>
      <c r="U46" s="444"/>
      <c r="V46" s="444"/>
      <c r="W46" s="446"/>
      <c r="X46" s="425"/>
    </row>
    <row r="47" spans="1:24" s="426" customFormat="1" x14ac:dyDescent="0.3">
      <c r="A47" s="443"/>
      <c r="B47" s="444" t="s">
        <v>122</v>
      </c>
      <c r="C47" s="444"/>
      <c r="D47" s="450" t="s">
        <v>226</v>
      </c>
      <c r="E47" s="444"/>
      <c r="F47" s="450" t="s">
        <v>226</v>
      </c>
      <c r="G47" s="450"/>
      <c r="H47" s="450" t="s">
        <v>226</v>
      </c>
      <c r="I47" s="450"/>
      <c r="J47" s="450" t="s">
        <v>256</v>
      </c>
      <c r="K47" s="450"/>
      <c r="L47" s="450" t="s">
        <v>254</v>
      </c>
      <c r="M47" s="450"/>
      <c r="N47" s="450" t="s">
        <v>257</v>
      </c>
      <c r="O47" s="450"/>
      <c r="P47" s="450" t="s">
        <v>258</v>
      </c>
      <c r="Q47" s="450"/>
      <c r="R47" s="450" t="s">
        <v>259</v>
      </c>
      <c r="S47" s="482"/>
      <c r="T47" s="482"/>
      <c r="U47" s="482"/>
      <c r="V47" s="482"/>
      <c r="W47" s="446"/>
      <c r="X47" s="425"/>
    </row>
    <row r="48" spans="1:24" s="426" customFormat="1" x14ac:dyDescent="0.3">
      <c r="A48" s="443"/>
      <c r="B48" s="444" t="s">
        <v>303</v>
      </c>
      <c r="C48" s="444"/>
      <c r="D48" s="450" t="s">
        <v>226</v>
      </c>
      <c r="E48" s="444"/>
      <c r="F48" s="450" t="s">
        <v>226</v>
      </c>
      <c r="G48" s="450"/>
      <c r="H48" s="450" t="s">
        <v>227</v>
      </c>
      <c r="I48" s="450"/>
      <c r="J48" s="450" t="s">
        <v>237</v>
      </c>
      <c r="K48" s="450"/>
      <c r="L48" s="450" t="s">
        <v>254</v>
      </c>
      <c r="M48" s="450"/>
      <c r="N48" s="450" t="s">
        <v>260</v>
      </c>
      <c r="O48" s="450"/>
      <c r="P48" s="450" t="s">
        <v>258</v>
      </c>
      <c r="Q48" s="450"/>
      <c r="R48" s="450" t="s">
        <v>261</v>
      </c>
      <c r="S48" s="444"/>
      <c r="T48" s="444"/>
      <c r="U48" s="444"/>
      <c r="V48" s="479"/>
      <c r="W48" s="446"/>
      <c r="X48" s="425"/>
    </row>
    <row r="49" spans="1:25" s="426" customFormat="1" x14ac:dyDescent="0.3">
      <c r="A49" s="443"/>
      <c r="B49" s="444"/>
      <c r="C49" s="444"/>
      <c r="D49" s="450"/>
      <c r="E49" s="444"/>
      <c r="F49" s="450"/>
      <c r="G49" s="450"/>
      <c r="H49" s="450"/>
      <c r="I49" s="450"/>
      <c r="J49" s="450"/>
      <c r="K49" s="450"/>
      <c r="L49" s="450"/>
      <c r="M49" s="450"/>
      <c r="N49" s="450"/>
      <c r="O49" s="450"/>
      <c r="P49" s="450"/>
      <c r="Q49" s="450"/>
      <c r="R49" s="450"/>
      <c r="S49" s="444"/>
      <c r="T49" s="444"/>
      <c r="U49" s="444"/>
      <c r="V49" s="479" t="s">
        <v>196</v>
      </c>
      <c r="W49" s="446"/>
      <c r="X49" s="425"/>
    </row>
    <row r="50" spans="1:25" s="426" customFormat="1" x14ac:dyDescent="0.3">
      <c r="A50" s="443"/>
      <c r="B50" s="444" t="s">
        <v>172</v>
      </c>
      <c r="C50" s="444"/>
      <c r="D50" s="450"/>
      <c r="E50" s="444"/>
      <c r="F50" s="450"/>
      <c r="G50" s="450"/>
      <c r="H50" s="450"/>
      <c r="I50" s="450"/>
      <c r="J50" s="450"/>
      <c r="K50" s="450"/>
      <c r="L50" s="450"/>
      <c r="M50" s="450"/>
      <c r="N50" s="450"/>
      <c r="O50" s="450"/>
      <c r="P50" s="450"/>
      <c r="Q50" s="450"/>
      <c r="R50" s="450"/>
      <c r="S50" s="444"/>
      <c r="T50" s="444"/>
      <c r="U50" s="444"/>
      <c r="V50" s="479">
        <f>SUM(L34:R34)/SUM(D34:J34)</f>
        <v>0.13611940162868597</v>
      </c>
      <c r="W50" s="446"/>
      <c r="X50" s="425"/>
    </row>
    <row r="51" spans="1:25" s="426" customFormat="1" x14ac:dyDescent="0.3">
      <c r="A51" s="443"/>
      <c r="B51" s="444" t="s">
        <v>173</v>
      </c>
      <c r="C51" s="444"/>
      <c r="D51" s="444"/>
      <c r="E51" s="444"/>
      <c r="F51" s="483"/>
      <c r="G51" s="444"/>
      <c r="H51" s="444"/>
      <c r="I51" s="444"/>
      <c r="J51" s="444"/>
      <c r="K51" s="444"/>
      <c r="L51" s="444"/>
      <c r="M51" s="444"/>
      <c r="N51" s="444"/>
      <c r="O51" s="444"/>
      <c r="P51" s="444"/>
      <c r="Q51" s="444"/>
      <c r="R51" s="444"/>
      <c r="S51" s="444"/>
      <c r="T51" s="444"/>
      <c r="U51" s="444"/>
      <c r="V51" s="479">
        <f>SUM(L36:R36)/SUM(D36:J36)</f>
        <v>0.30400246432936967</v>
      </c>
      <c r="W51" s="446"/>
      <c r="X51" s="425"/>
    </row>
    <row r="52" spans="1:25" s="426" customFormat="1" x14ac:dyDescent="0.3">
      <c r="A52" s="443"/>
      <c r="B52" s="444" t="s">
        <v>174</v>
      </c>
      <c r="C52" s="444"/>
      <c r="D52" s="444"/>
      <c r="E52" s="444"/>
      <c r="F52" s="444"/>
      <c r="G52" s="444"/>
      <c r="H52" s="444"/>
      <c r="I52" s="444"/>
      <c r="J52" s="444"/>
      <c r="K52" s="444"/>
      <c r="L52" s="444"/>
      <c r="M52" s="444"/>
      <c r="N52" s="444"/>
      <c r="O52" s="444"/>
      <c r="P52" s="444"/>
      <c r="Q52" s="444"/>
      <c r="R52" s="444"/>
      <c r="S52" s="444"/>
      <c r="T52" s="450" t="s">
        <v>107</v>
      </c>
      <c r="U52" s="450" t="s">
        <v>112</v>
      </c>
      <c r="V52" s="452">
        <f>+V34/2-SUM(L34:R34)</f>
        <v>570356</v>
      </c>
      <c r="W52" s="446"/>
      <c r="X52" s="425"/>
    </row>
    <row r="53" spans="1:25" s="426" customFormat="1" x14ac:dyDescent="0.3">
      <c r="A53" s="443"/>
      <c r="B53" s="444"/>
      <c r="C53" s="444"/>
      <c r="D53" s="444"/>
      <c r="E53" s="444"/>
      <c r="F53" s="444"/>
      <c r="G53" s="444"/>
      <c r="H53" s="444"/>
      <c r="I53" s="444"/>
      <c r="J53" s="444"/>
      <c r="K53" s="444"/>
      <c r="L53" s="444"/>
      <c r="M53" s="444"/>
      <c r="N53" s="444"/>
      <c r="O53" s="444"/>
      <c r="P53" s="444"/>
      <c r="Q53" s="444"/>
      <c r="R53" s="444"/>
      <c r="S53" s="444"/>
      <c r="T53" s="444"/>
      <c r="U53" s="444"/>
      <c r="V53" s="484"/>
      <c r="W53" s="446"/>
      <c r="X53" s="425"/>
    </row>
    <row r="54" spans="1:25" s="426" customFormat="1" x14ac:dyDescent="0.3">
      <c r="A54" s="443"/>
      <c r="B54" s="444" t="s">
        <v>358</v>
      </c>
      <c r="C54" s="444"/>
      <c r="D54" s="444"/>
      <c r="E54" s="444"/>
      <c r="F54" s="444"/>
      <c r="G54" s="444"/>
      <c r="H54" s="444"/>
      <c r="I54" s="444"/>
      <c r="J54" s="444"/>
      <c r="K54" s="444"/>
      <c r="L54" s="444"/>
      <c r="M54" s="444"/>
      <c r="N54" s="444"/>
      <c r="O54" s="444"/>
      <c r="P54" s="444"/>
      <c r="Q54" s="444"/>
      <c r="R54" s="444"/>
      <c r="S54" s="444"/>
      <c r="T54" s="450"/>
      <c r="U54" s="450"/>
      <c r="V54" s="485" t="s">
        <v>114</v>
      </c>
      <c r="W54" s="486"/>
      <c r="X54" s="487"/>
    </row>
    <row r="55" spans="1:25" s="426" customFormat="1" x14ac:dyDescent="0.3">
      <c r="A55" s="443"/>
      <c r="B55" s="449" t="s">
        <v>204</v>
      </c>
      <c r="C55" s="449"/>
      <c r="D55" s="449"/>
      <c r="E55" s="449"/>
      <c r="F55" s="449"/>
      <c r="G55" s="449"/>
      <c r="H55" s="449"/>
      <c r="I55" s="449"/>
      <c r="J55" s="449"/>
      <c r="K55" s="449"/>
      <c r="L55" s="449"/>
      <c r="M55" s="449"/>
      <c r="N55" s="449"/>
      <c r="O55" s="449"/>
      <c r="P55" s="449"/>
      <c r="Q55" s="449"/>
      <c r="R55" s="449"/>
      <c r="S55" s="449"/>
      <c r="T55" s="488"/>
      <c r="U55" s="488"/>
      <c r="V55" s="489">
        <v>43206</v>
      </c>
      <c r="W55" s="486"/>
      <c r="X55" s="487"/>
    </row>
    <row r="56" spans="1:25" s="426" customFormat="1" x14ac:dyDescent="0.3">
      <c r="A56" s="443"/>
      <c r="B56" s="444" t="s">
        <v>124</v>
      </c>
      <c r="C56" s="444"/>
      <c r="D56" s="444"/>
      <c r="E56" s="444"/>
      <c r="F56" s="444"/>
      <c r="G56" s="444"/>
      <c r="H56" s="490"/>
      <c r="I56" s="490"/>
      <c r="J56" s="490"/>
      <c r="K56" s="490"/>
      <c r="L56" s="490"/>
      <c r="M56" s="490"/>
      <c r="N56" s="490"/>
      <c r="O56" s="490"/>
      <c r="P56" s="490"/>
      <c r="Q56" s="490"/>
      <c r="R56" s="444">
        <f>+V56-T56+1</f>
        <v>92</v>
      </c>
      <c r="S56" s="490"/>
      <c r="T56" s="491">
        <v>43024</v>
      </c>
      <c r="U56" s="492"/>
      <c r="V56" s="491">
        <v>43115</v>
      </c>
      <c r="W56" s="486"/>
      <c r="X56" s="487"/>
    </row>
    <row r="57" spans="1:25" s="426" customFormat="1" x14ac:dyDescent="0.3">
      <c r="A57" s="443"/>
      <c r="B57" s="444" t="s">
        <v>125</v>
      </c>
      <c r="C57" s="444"/>
      <c r="D57" s="444"/>
      <c r="E57" s="444"/>
      <c r="F57" s="444"/>
      <c r="G57" s="444"/>
      <c r="H57" s="444"/>
      <c r="I57" s="444"/>
      <c r="J57" s="444"/>
      <c r="K57" s="444"/>
      <c r="L57" s="444"/>
      <c r="M57" s="444"/>
      <c r="N57" s="444"/>
      <c r="O57" s="444"/>
      <c r="P57" s="444"/>
      <c r="Q57" s="444"/>
      <c r="R57" s="444">
        <f>+V57-T57+1</f>
        <v>90</v>
      </c>
      <c r="S57" s="444"/>
      <c r="T57" s="491">
        <v>43116</v>
      </c>
      <c r="U57" s="492"/>
      <c r="V57" s="491">
        <v>43205</v>
      </c>
      <c r="W57" s="486"/>
      <c r="X57" s="487"/>
    </row>
    <row r="58" spans="1:25" s="426" customFormat="1" x14ac:dyDescent="0.3">
      <c r="A58" s="443"/>
      <c r="B58" s="444" t="s">
        <v>357</v>
      </c>
      <c r="C58" s="444"/>
      <c r="D58" s="444"/>
      <c r="E58" s="444"/>
      <c r="F58" s="444"/>
      <c r="G58" s="444"/>
      <c r="H58" s="444"/>
      <c r="I58" s="444"/>
      <c r="J58" s="444"/>
      <c r="K58" s="444"/>
      <c r="L58" s="444"/>
      <c r="M58" s="444"/>
      <c r="N58" s="444"/>
      <c r="O58" s="444"/>
      <c r="P58" s="444"/>
      <c r="Q58" s="444"/>
      <c r="R58" s="444"/>
      <c r="S58" s="444"/>
      <c r="T58" s="491"/>
      <c r="U58" s="492"/>
      <c r="V58" s="491" t="s">
        <v>123</v>
      </c>
      <c r="W58" s="486"/>
      <c r="X58" s="487"/>
    </row>
    <row r="59" spans="1:25" s="426" customFormat="1" x14ac:dyDescent="0.3">
      <c r="A59" s="443"/>
      <c r="B59" s="444" t="s">
        <v>356</v>
      </c>
      <c r="C59" s="444"/>
      <c r="D59" s="444"/>
      <c r="E59" s="444"/>
      <c r="F59" s="444"/>
      <c r="G59" s="444"/>
      <c r="H59" s="444"/>
      <c r="I59" s="444"/>
      <c r="J59" s="444"/>
      <c r="K59" s="444"/>
      <c r="L59" s="444"/>
      <c r="M59" s="444"/>
      <c r="N59" s="444"/>
      <c r="O59" s="444"/>
      <c r="P59" s="444"/>
      <c r="Q59" s="444"/>
      <c r="R59" s="444"/>
      <c r="S59" s="444"/>
      <c r="T59" s="491"/>
      <c r="U59" s="492"/>
      <c r="V59" s="491" t="s">
        <v>157</v>
      </c>
      <c r="W59" s="486"/>
      <c r="X59" s="487"/>
      <c r="Y59" s="493"/>
    </row>
    <row r="60" spans="1:25" s="426" customFormat="1" x14ac:dyDescent="0.3">
      <c r="A60" s="443"/>
      <c r="B60" s="444" t="s">
        <v>16</v>
      </c>
      <c r="C60" s="444"/>
      <c r="D60" s="444"/>
      <c r="E60" s="444"/>
      <c r="F60" s="444"/>
      <c r="G60" s="444"/>
      <c r="H60" s="444"/>
      <c r="I60" s="444"/>
      <c r="J60" s="444"/>
      <c r="K60" s="444"/>
      <c r="L60" s="444"/>
      <c r="M60" s="444"/>
      <c r="N60" s="444"/>
      <c r="O60" s="444"/>
      <c r="P60" s="444"/>
      <c r="Q60" s="444"/>
      <c r="R60" s="444"/>
      <c r="S60" s="444"/>
      <c r="T60" s="491"/>
      <c r="U60" s="492"/>
      <c r="V60" s="491">
        <v>43193</v>
      </c>
      <c r="W60" s="486"/>
      <c r="X60" s="487"/>
    </row>
    <row r="61" spans="1:25" s="426" customFormat="1" x14ac:dyDescent="0.3">
      <c r="A61" s="421"/>
      <c r="B61" s="494"/>
      <c r="C61" s="494"/>
      <c r="D61" s="494"/>
      <c r="E61" s="494"/>
      <c r="F61" s="494"/>
      <c r="G61" s="494"/>
      <c r="H61" s="494"/>
      <c r="I61" s="494"/>
      <c r="J61" s="494"/>
      <c r="K61" s="494"/>
      <c r="L61" s="494"/>
      <c r="M61" s="494"/>
      <c r="N61" s="494"/>
      <c r="O61" s="494"/>
      <c r="P61" s="494"/>
      <c r="Q61" s="494"/>
      <c r="R61" s="494"/>
      <c r="S61" s="494"/>
      <c r="T61" s="495"/>
      <c r="U61" s="496"/>
      <c r="V61" s="495"/>
      <c r="W61" s="497"/>
      <c r="X61" s="487"/>
    </row>
    <row r="62" spans="1:25" s="426" customFormat="1" x14ac:dyDescent="0.3">
      <c r="A62" s="421"/>
      <c r="B62" s="422"/>
      <c r="C62" s="422"/>
      <c r="D62" s="422"/>
      <c r="E62" s="422"/>
      <c r="F62" s="422"/>
      <c r="G62" s="422"/>
      <c r="H62" s="422"/>
      <c r="I62" s="422"/>
      <c r="J62" s="422"/>
      <c r="K62" s="422"/>
      <c r="L62" s="422"/>
      <c r="M62" s="422"/>
      <c r="N62" s="422"/>
      <c r="O62" s="422"/>
      <c r="P62" s="422"/>
      <c r="Q62" s="422"/>
      <c r="R62" s="422"/>
      <c r="S62" s="422"/>
      <c r="T62" s="498"/>
      <c r="U62" s="499"/>
      <c r="V62" s="498"/>
      <c r="W62" s="497"/>
      <c r="X62" s="487"/>
    </row>
    <row r="63" spans="1:25" s="426" customFormat="1" ht="18.600000000000001" thickBot="1" x14ac:dyDescent="0.4">
      <c r="A63" s="500"/>
      <c r="B63" s="501" t="s">
        <v>375</v>
      </c>
      <c r="C63" s="502"/>
      <c r="D63" s="502"/>
      <c r="E63" s="502"/>
      <c r="F63" s="502"/>
      <c r="G63" s="502"/>
      <c r="H63" s="502"/>
      <c r="I63" s="502"/>
      <c r="J63" s="502"/>
      <c r="K63" s="502"/>
      <c r="L63" s="502"/>
      <c r="M63" s="502"/>
      <c r="N63" s="502"/>
      <c r="O63" s="502"/>
      <c r="P63" s="502"/>
      <c r="Q63" s="502"/>
      <c r="R63" s="502"/>
      <c r="S63" s="502"/>
      <c r="T63" s="502"/>
      <c r="U63" s="502"/>
      <c r="V63" s="503"/>
      <c r="W63" s="504"/>
      <c r="X63" s="487"/>
    </row>
    <row r="64" spans="1:25" x14ac:dyDescent="0.3">
      <c r="A64" s="505"/>
      <c r="B64" s="506" t="s">
        <v>17</v>
      </c>
      <c r="C64" s="507"/>
      <c r="D64" s="507"/>
      <c r="E64" s="507"/>
      <c r="F64" s="507"/>
      <c r="G64" s="507"/>
      <c r="H64" s="507"/>
      <c r="I64" s="507"/>
      <c r="J64" s="507"/>
      <c r="K64" s="507"/>
      <c r="L64" s="507"/>
      <c r="M64" s="507"/>
      <c r="N64" s="507"/>
      <c r="O64" s="507"/>
      <c r="P64" s="507"/>
      <c r="Q64" s="507"/>
      <c r="R64" s="507"/>
      <c r="S64" s="507"/>
      <c r="T64" s="507"/>
      <c r="U64" s="507"/>
      <c r="V64" s="508"/>
      <c r="W64" s="509"/>
      <c r="X64" s="406"/>
    </row>
    <row r="65" spans="1:24" x14ac:dyDescent="0.3">
      <c r="A65" s="408"/>
      <c r="B65" s="419"/>
      <c r="C65" s="410"/>
      <c r="D65" s="410"/>
      <c r="E65" s="410"/>
      <c r="F65" s="410"/>
      <c r="G65" s="410"/>
      <c r="H65" s="410"/>
      <c r="I65" s="410"/>
      <c r="J65" s="410"/>
      <c r="K65" s="410"/>
      <c r="L65" s="410"/>
      <c r="M65" s="410"/>
      <c r="N65" s="410"/>
      <c r="O65" s="410"/>
      <c r="P65" s="410"/>
      <c r="Q65" s="410"/>
      <c r="R65" s="410"/>
      <c r="S65" s="410"/>
      <c r="T65" s="410"/>
      <c r="U65" s="410"/>
      <c r="V65" s="510"/>
      <c r="W65" s="411"/>
      <c r="X65" s="406"/>
    </row>
    <row r="66" spans="1:24" s="473" customFormat="1" ht="46.8" x14ac:dyDescent="0.3">
      <c r="A66" s="511"/>
      <c r="B66" s="512" t="s">
        <v>18</v>
      </c>
      <c r="C66" s="513"/>
      <c r="D66" s="513"/>
      <c r="E66" s="513"/>
      <c r="F66" s="513"/>
      <c r="G66" s="513"/>
      <c r="H66" s="513"/>
      <c r="I66" s="513"/>
      <c r="J66" s="513"/>
      <c r="K66" s="513"/>
      <c r="L66" s="513" t="s">
        <v>95</v>
      </c>
      <c r="M66" s="513"/>
      <c r="N66" s="513" t="s">
        <v>97</v>
      </c>
      <c r="O66" s="513"/>
      <c r="P66" s="513" t="s">
        <v>99</v>
      </c>
      <c r="Q66" s="513"/>
      <c r="R66" s="513" t="s">
        <v>101</v>
      </c>
      <c r="S66" s="513"/>
      <c r="T66" s="513" t="s">
        <v>108</v>
      </c>
      <c r="U66" s="513"/>
      <c r="V66" s="514" t="s">
        <v>115</v>
      </c>
      <c r="W66" s="515"/>
      <c r="X66" s="472"/>
    </row>
    <row r="67" spans="1:24" s="426" customFormat="1" x14ac:dyDescent="0.3">
      <c r="A67" s="443"/>
      <c r="B67" s="444" t="s">
        <v>19</v>
      </c>
      <c r="C67" s="516"/>
      <c r="D67" s="516"/>
      <c r="E67" s="516"/>
      <c r="F67" s="516"/>
      <c r="G67" s="516"/>
      <c r="H67" s="516"/>
      <c r="I67" s="516"/>
      <c r="J67" s="516"/>
      <c r="K67" s="516"/>
      <c r="L67" s="516">
        <f>1085286</f>
        <v>1085286</v>
      </c>
      <c r="M67" s="516"/>
      <c r="N67" s="517">
        <v>782019</v>
      </c>
      <c r="O67" s="516"/>
      <c r="P67" s="516">
        <f>11037+235+1</f>
        <v>11273</v>
      </c>
      <c r="Q67" s="516"/>
      <c r="R67" s="516">
        <v>235</v>
      </c>
      <c r="S67" s="516"/>
      <c r="T67" s="516">
        <v>0</v>
      </c>
      <c r="U67" s="516"/>
      <c r="V67" s="517">
        <f>+N67-P67+R67-T67</f>
        <v>770981</v>
      </c>
      <c r="W67" s="446"/>
      <c r="X67" s="425"/>
    </row>
    <row r="68" spans="1:24" s="426" customFormat="1" x14ac:dyDescent="0.3">
      <c r="A68" s="443"/>
      <c r="B68" s="444" t="s">
        <v>20</v>
      </c>
      <c r="C68" s="516"/>
      <c r="D68" s="516"/>
      <c r="E68" s="516"/>
      <c r="F68" s="516"/>
      <c r="G68" s="516"/>
      <c r="H68" s="516"/>
      <c r="I68" s="516"/>
      <c r="J68" s="516"/>
      <c r="K68" s="516"/>
      <c r="L68" s="516">
        <v>35</v>
      </c>
      <c r="M68" s="516"/>
      <c r="N68" s="517">
        <v>0</v>
      </c>
      <c r="O68" s="516"/>
      <c r="P68" s="516">
        <v>0</v>
      </c>
      <c r="Q68" s="516"/>
      <c r="R68" s="516">
        <v>0</v>
      </c>
      <c r="S68" s="516"/>
      <c r="T68" s="516">
        <v>0</v>
      </c>
      <c r="U68" s="516"/>
      <c r="V68" s="517">
        <f>+N68-P68</f>
        <v>0</v>
      </c>
      <c r="W68" s="446"/>
      <c r="X68" s="425"/>
    </row>
    <row r="69" spans="1:24" s="426" customFormat="1" x14ac:dyDescent="0.3">
      <c r="A69" s="443"/>
      <c r="B69" s="444"/>
      <c r="C69" s="516"/>
      <c r="D69" s="516"/>
      <c r="E69" s="516"/>
      <c r="F69" s="516"/>
      <c r="G69" s="516"/>
      <c r="H69" s="516"/>
      <c r="I69" s="516"/>
      <c r="J69" s="516"/>
      <c r="K69" s="516"/>
      <c r="L69" s="516"/>
      <c r="M69" s="516"/>
      <c r="N69" s="517"/>
      <c r="O69" s="516"/>
      <c r="P69" s="516"/>
      <c r="Q69" s="516"/>
      <c r="R69" s="516"/>
      <c r="S69" s="516"/>
      <c r="T69" s="516"/>
      <c r="U69" s="516"/>
      <c r="V69" s="517"/>
      <c r="W69" s="446"/>
      <c r="X69" s="425"/>
    </row>
    <row r="70" spans="1:24" s="426" customFormat="1" x14ac:dyDescent="0.3">
      <c r="A70" s="443"/>
      <c r="B70" s="444" t="s">
        <v>21</v>
      </c>
      <c r="C70" s="516"/>
      <c r="D70" s="516"/>
      <c r="E70" s="516"/>
      <c r="F70" s="516"/>
      <c r="G70" s="516"/>
      <c r="H70" s="516"/>
      <c r="I70" s="516"/>
      <c r="J70" s="516"/>
      <c r="K70" s="516"/>
      <c r="L70" s="516">
        <f>SUM(L67:L69)</f>
        <v>1085321</v>
      </c>
      <c r="M70" s="516"/>
      <c r="N70" s="516">
        <f>N67+N68</f>
        <v>782019</v>
      </c>
      <c r="O70" s="516"/>
      <c r="P70" s="516">
        <f>SUM(P67:P69)</f>
        <v>11273</v>
      </c>
      <c r="Q70" s="516"/>
      <c r="R70" s="516">
        <f>SUM(R67:R69)</f>
        <v>235</v>
      </c>
      <c r="S70" s="516"/>
      <c r="T70" s="516">
        <f>SUM(T67:T69)</f>
        <v>0</v>
      </c>
      <c r="U70" s="516"/>
      <c r="V70" s="516">
        <f>SUM(V67:V69)</f>
        <v>770981</v>
      </c>
      <c r="W70" s="446"/>
      <c r="X70" s="425"/>
    </row>
    <row r="71" spans="1:24" x14ac:dyDescent="0.3">
      <c r="A71" s="408"/>
      <c r="B71" s="518"/>
      <c r="C71" s="519"/>
      <c r="D71" s="519"/>
      <c r="E71" s="519"/>
      <c r="F71" s="519"/>
      <c r="G71" s="519"/>
      <c r="H71" s="519"/>
      <c r="I71" s="519"/>
      <c r="J71" s="519"/>
      <c r="K71" s="519"/>
      <c r="L71" s="519"/>
      <c r="M71" s="519"/>
      <c r="N71" s="519"/>
      <c r="O71" s="519"/>
      <c r="P71" s="519"/>
      <c r="Q71" s="519"/>
      <c r="R71" s="519"/>
      <c r="S71" s="519"/>
      <c r="T71" s="519"/>
      <c r="U71" s="519"/>
      <c r="V71" s="520"/>
      <c r="W71" s="411"/>
      <c r="X71" s="406"/>
    </row>
    <row r="72" spans="1:24" x14ac:dyDescent="0.3">
      <c r="A72" s="408"/>
      <c r="B72" s="413" t="s">
        <v>22</v>
      </c>
      <c r="C72" s="521"/>
      <c r="D72" s="521"/>
      <c r="E72" s="521"/>
      <c r="F72" s="521"/>
      <c r="G72" s="521"/>
      <c r="H72" s="521"/>
      <c r="I72" s="521"/>
      <c r="J72" s="521"/>
      <c r="K72" s="521"/>
      <c r="L72" s="521"/>
      <c r="M72" s="521"/>
      <c r="N72" s="521"/>
      <c r="O72" s="521"/>
      <c r="P72" s="521"/>
      <c r="Q72" s="521"/>
      <c r="R72" s="521"/>
      <c r="S72" s="521"/>
      <c r="T72" s="521"/>
      <c r="U72" s="521"/>
      <c r="V72" s="522"/>
      <c r="W72" s="411"/>
      <c r="X72" s="406"/>
    </row>
    <row r="73" spans="1:24" x14ac:dyDescent="0.3">
      <c r="A73" s="408"/>
      <c r="B73" s="410"/>
      <c r="C73" s="521"/>
      <c r="D73" s="521"/>
      <c r="E73" s="521"/>
      <c r="F73" s="521"/>
      <c r="G73" s="521"/>
      <c r="H73" s="521"/>
      <c r="I73" s="521"/>
      <c r="J73" s="521"/>
      <c r="K73" s="521"/>
      <c r="L73" s="521"/>
      <c r="M73" s="521"/>
      <c r="N73" s="521"/>
      <c r="O73" s="521"/>
      <c r="P73" s="521"/>
      <c r="Q73" s="521"/>
      <c r="R73" s="521"/>
      <c r="S73" s="521"/>
      <c r="T73" s="521"/>
      <c r="U73" s="521"/>
      <c r="V73" s="522"/>
      <c r="W73" s="411"/>
      <c r="X73" s="406"/>
    </row>
    <row r="74" spans="1:24" s="426" customFormat="1" x14ac:dyDescent="0.3">
      <c r="A74" s="443"/>
      <c r="B74" s="444" t="s">
        <v>19</v>
      </c>
      <c r="C74" s="516"/>
      <c r="D74" s="516"/>
      <c r="E74" s="516"/>
      <c r="F74" s="516"/>
      <c r="G74" s="516"/>
      <c r="H74" s="516"/>
      <c r="I74" s="516"/>
      <c r="J74" s="516"/>
      <c r="K74" s="516"/>
      <c r="L74" s="516"/>
      <c r="M74" s="516"/>
      <c r="N74" s="516"/>
      <c r="O74" s="516"/>
      <c r="P74" s="516"/>
      <c r="Q74" s="516"/>
      <c r="R74" s="516"/>
      <c r="S74" s="516"/>
      <c r="T74" s="516"/>
      <c r="U74" s="516"/>
      <c r="V74" s="516"/>
      <c r="W74" s="446"/>
      <c r="X74" s="425"/>
    </row>
    <row r="75" spans="1:24" s="426" customFormat="1" x14ac:dyDescent="0.3">
      <c r="A75" s="443"/>
      <c r="B75" s="444" t="s">
        <v>20</v>
      </c>
      <c r="C75" s="516"/>
      <c r="D75" s="516"/>
      <c r="E75" s="516"/>
      <c r="F75" s="516"/>
      <c r="G75" s="516"/>
      <c r="H75" s="516"/>
      <c r="I75" s="516"/>
      <c r="J75" s="516"/>
      <c r="K75" s="516"/>
      <c r="L75" s="516"/>
      <c r="M75" s="516"/>
      <c r="N75" s="516"/>
      <c r="O75" s="516"/>
      <c r="P75" s="516"/>
      <c r="Q75" s="516"/>
      <c r="R75" s="516"/>
      <c r="S75" s="516"/>
      <c r="T75" s="516"/>
      <c r="U75" s="516"/>
      <c r="V75" s="516"/>
      <c r="W75" s="446"/>
      <c r="X75" s="425"/>
    </row>
    <row r="76" spans="1:24" s="426" customFormat="1" x14ac:dyDescent="0.3">
      <c r="A76" s="443"/>
      <c r="B76" s="444"/>
      <c r="C76" s="516"/>
      <c r="D76" s="516"/>
      <c r="E76" s="516"/>
      <c r="F76" s="516"/>
      <c r="G76" s="516"/>
      <c r="H76" s="516"/>
      <c r="I76" s="516"/>
      <c r="J76" s="516"/>
      <c r="K76" s="516"/>
      <c r="L76" s="516"/>
      <c r="M76" s="516"/>
      <c r="N76" s="516"/>
      <c r="O76" s="516"/>
      <c r="P76" s="516"/>
      <c r="Q76" s="516"/>
      <c r="R76" s="516"/>
      <c r="S76" s="516"/>
      <c r="T76" s="516"/>
      <c r="U76" s="516"/>
      <c r="V76" s="516"/>
      <c r="W76" s="446"/>
      <c r="X76" s="425"/>
    </row>
    <row r="77" spans="1:24" s="426" customFormat="1" x14ac:dyDescent="0.3">
      <c r="A77" s="443"/>
      <c r="B77" s="444" t="s">
        <v>21</v>
      </c>
      <c r="C77" s="516"/>
      <c r="D77" s="516"/>
      <c r="E77" s="516"/>
      <c r="F77" s="516"/>
      <c r="G77" s="516"/>
      <c r="H77" s="516"/>
      <c r="I77" s="516"/>
      <c r="J77" s="516"/>
      <c r="K77" s="516"/>
      <c r="L77" s="516"/>
      <c r="M77" s="516"/>
      <c r="N77" s="516"/>
      <c r="O77" s="516"/>
      <c r="P77" s="516"/>
      <c r="Q77" s="516"/>
      <c r="R77" s="516"/>
      <c r="S77" s="516"/>
      <c r="T77" s="516"/>
      <c r="U77" s="516"/>
      <c r="V77" s="516"/>
      <c r="W77" s="446"/>
      <c r="X77" s="425"/>
    </row>
    <row r="78" spans="1:24" s="426" customFormat="1" x14ac:dyDescent="0.3">
      <c r="A78" s="443"/>
      <c r="B78" s="444"/>
      <c r="C78" s="516"/>
      <c r="D78" s="516"/>
      <c r="E78" s="516"/>
      <c r="F78" s="516"/>
      <c r="G78" s="516"/>
      <c r="H78" s="516"/>
      <c r="I78" s="516"/>
      <c r="J78" s="516"/>
      <c r="K78" s="516"/>
      <c r="L78" s="516"/>
      <c r="M78" s="516"/>
      <c r="N78" s="516"/>
      <c r="O78" s="516"/>
      <c r="P78" s="516"/>
      <c r="Q78" s="516"/>
      <c r="R78" s="516"/>
      <c r="S78" s="516"/>
      <c r="T78" s="516"/>
      <c r="U78" s="516"/>
      <c r="V78" s="516"/>
      <c r="W78" s="446"/>
      <c r="X78" s="425"/>
    </row>
    <row r="79" spans="1:24" s="426" customFormat="1" x14ac:dyDescent="0.3">
      <c r="A79" s="443"/>
      <c r="B79" s="444" t="s">
        <v>23</v>
      </c>
      <c r="C79" s="516"/>
      <c r="D79" s="516"/>
      <c r="E79" s="516"/>
      <c r="F79" s="516"/>
      <c r="G79" s="516"/>
      <c r="H79" s="516"/>
      <c r="I79" s="516"/>
      <c r="J79" s="516"/>
      <c r="K79" s="516"/>
      <c r="L79" s="516">
        <v>0</v>
      </c>
      <c r="M79" s="516"/>
      <c r="N79" s="516">
        <v>0</v>
      </c>
      <c r="O79" s="516"/>
      <c r="P79" s="516"/>
      <c r="Q79" s="516"/>
      <c r="R79" s="516"/>
      <c r="S79" s="516"/>
      <c r="T79" s="516"/>
      <c r="U79" s="516"/>
      <c r="V79" s="517">
        <v>0</v>
      </c>
      <c r="W79" s="446"/>
      <c r="X79" s="425"/>
    </row>
    <row r="80" spans="1:24" s="426" customFormat="1" x14ac:dyDescent="0.3">
      <c r="A80" s="443"/>
      <c r="B80" s="444" t="s">
        <v>120</v>
      </c>
      <c r="C80" s="516"/>
      <c r="D80" s="516"/>
      <c r="E80" s="516"/>
      <c r="F80" s="516"/>
      <c r="G80" s="516"/>
      <c r="H80" s="516"/>
      <c r="I80" s="516"/>
      <c r="J80" s="516"/>
      <c r="K80" s="516"/>
      <c r="L80" s="516">
        <f>414862+7</f>
        <v>414869</v>
      </c>
      <c r="M80" s="516"/>
      <c r="N80" s="516">
        <v>0</v>
      </c>
      <c r="O80" s="516"/>
      <c r="P80" s="516">
        <v>0</v>
      </c>
      <c r="Q80" s="516"/>
      <c r="R80" s="516"/>
      <c r="S80" s="516"/>
      <c r="T80" s="516"/>
      <c r="U80" s="516"/>
      <c r="V80" s="516">
        <f>SUM(N80:R80)</f>
        <v>0</v>
      </c>
      <c r="W80" s="446"/>
      <c r="X80" s="425"/>
    </row>
    <row r="81" spans="1:24" s="426" customFormat="1" x14ac:dyDescent="0.3">
      <c r="A81" s="443"/>
      <c r="B81" s="444" t="s">
        <v>149</v>
      </c>
      <c r="C81" s="516"/>
      <c r="D81" s="516"/>
      <c r="E81" s="516"/>
      <c r="F81" s="516"/>
      <c r="G81" s="516"/>
      <c r="H81" s="516"/>
      <c r="I81" s="516"/>
      <c r="J81" s="516"/>
      <c r="K81" s="516"/>
      <c r="L81" s="516">
        <v>0</v>
      </c>
      <c r="M81" s="516"/>
      <c r="N81" s="516">
        <v>0</v>
      </c>
      <c r="O81" s="516"/>
      <c r="P81" s="516">
        <v>0</v>
      </c>
      <c r="Q81" s="516"/>
      <c r="R81" s="516"/>
      <c r="S81" s="516"/>
      <c r="T81" s="516"/>
      <c r="U81" s="516"/>
      <c r="V81" s="516">
        <f>+N81+P81</f>
        <v>0</v>
      </c>
      <c r="W81" s="446"/>
      <c r="X81" s="425"/>
    </row>
    <row r="82" spans="1:24" s="426" customFormat="1" x14ac:dyDescent="0.3">
      <c r="A82" s="443"/>
      <c r="B82" s="444" t="s">
        <v>25</v>
      </c>
      <c r="C82" s="516"/>
      <c r="D82" s="516"/>
      <c r="E82" s="516"/>
      <c r="F82" s="516"/>
      <c r="G82" s="516"/>
      <c r="H82" s="516"/>
      <c r="I82" s="516"/>
      <c r="J82" s="516"/>
      <c r="K82" s="516"/>
      <c r="L82" s="516">
        <v>0</v>
      </c>
      <c r="M82" s="516"/>
      <c r="N82" s="516">
        <v>0</v>
      </c>
      <c r="O82" s="516"/>
      <c r="P82" s="516"/>
      <c r="Q82" s="516"/>
      <c r="R82" s="516"/>
      <c r="S82" s="516"/>
      <c r="T82" s="516"/>
      <c r="U82" s="516"/>
      <c r="V82" s="516">
        <v>0</v>
      </c>
      <c r="W82" s="446"/>
      <c r="X82" s="425"/>
    </row>
    <row r="83" spans="1:24" s="426" customFormat="1" x14ac:dyDescent="0.3">
      <c r="A83" s="523"/>
      <c r="B83" s="524" t="s">
        <v>26</v>
      </c>
      <c r="C83" s="525"/>
      <c r="D83" s="525"/>
      <c r="E83" s="525"/>
      <c r="F83" s="525"/>
      <c r="G83" s="525"/>
      <c r="H83" s="525"/>
      <c r="I83" s="525"/>
      <c r="J83" s="525"/>
      <c r="K83" s="525"/>
      <c r="L83" s="525">
        <f>SUM(L70:L82)</f>
        <v>1500190</v>
      </c>
      <c r="M83" s="525"/>
      <c r="N83" s="525">
        <f>SUM(N70:N82)</f>
        <v>782019</v>
      </c>
      <c r="O83" s="525"/>
      <c r="P83" s="525"/>
      <c r="Q83" s="525"/>
      <c r="R83" s="525"/>
      <c r="S83" s="525"/>
      <c r="T83" s="525"/>
      <c r="U83" s="525"/>
      <c r="V83" s="525">
        <f>SUM(V70:V82)</f>
        <v>770981</v>
      </c>
      <c r="W83" s="526"/>
      <c r="X83" s="425"/>
    </row>
    <row r="84" spans="1:24" x14ac:dyDescent="0.3">
      <c r="A84" s="527"/>
      <c r="B84" s="528"/>
      <c r="C84" s="529"/>
      <c r="D84" s="529"/>
      <c r="E84" s="529"/>
      <c r="F84" s="529"/>
      <c r="G84" s="529"/>
      <c r="H84" s="529"/>
      <c r="I84" s="529"/>
      <c r="J84" s="529"/>
      <c r="K84" s="529"/>
      <c r="L84" s="529"/>
      <c r="M84" s="529"/>
      <c r="N84" s="529"/>
      <c r="O84" s="529"/>
      <c r="P84" s="529"/>
      <c r="Q84" s="529"/>
      <c r="R84" s="529"/>
      <c r="S84" s="529"/>
      <c r="T84" s="529"/>
      <c r="U84" s="529"/>
      <c r="V84" s="529"/>
      <c r="W84" s="530"/>
      <c r="X84" s="406"/>
    </row>
    <row r="85" spans="1:24" x14ac:dyDescent="0.3">
      <c r="A85" s="408"/>
      <c r="B85" s="531"/>
      <c r="C85" s="531"/>
      <c r="D85" s="531"/>
      <c r="E85" s="531"/>
      <c r="F85" s="531"/>
      <c r="G85" s="531"/>
      <c r="H85" s="531"/>
      <c r="I85" s="531"/>
      <c r="J85" s="531"/>
      <c r="K85" s="531"/>
      <c r="L85" s="531"/>
      <c r="M85" s="531"/>
      <c r="N85" s="531"/>
      <c r="O85" s="531"/>
      <c r="P85" s="531"/>
      <c r="Q85" s="531"/>
      <c r="R85" s="531"/>
      <c r="S85" s="531"/>
      <c r="T85" s="531"/>
      <c r="U85" s="531"/>
      <c r="V85" s="531"/>
      <c r="W85" s="532"/>
      <c r="X85" s="406"/>
    </row>
    <row r="86" spans="1:24" x14ac:dyDescent="0.3">
      <c r="A86" s="533"/>
      <c r="B86" s="534" t="s">
        <v>27</v>
      </c>
      <c r="C86" s="534"/>
      <c r="D86" s="534"/>
      <c r="E86" s="534"/>
      <c r="F86" s="534"/>
      <c r="G86" s="534"/>
      <c r="H86" s="535"/>
      <c r="I86" s="535"/>
      <c r="J86" s="535"/>
      <c r="K86" s="535"/>
      <c r="L86" s="536" t="s">
        <v>96</v>
      </c>
      <c r="M86" s="535"/>
      <c r="N86" s="537">
        <f>+T198</f>
        <v>43188</v>
      </c>
      <c r="O86" s="535"/>
      <c r="P86" s="535"/>
      <c r="Q86" s="535"/>
      <c r="R86" s="535"/>
      <c r="S86" s="535"/>
      <c r="T86" s="535" t="s">
        <v>109</v>
      </c>
      <c r="U86" s="535"/>
      <c r="V86" s="535" t="s">
        <v>116</v>
      </c>
      <c r="W86" s="538"/>
      <c r="X86" s="406"/>
    </row>
    <row r="87" spans="1:24" s="426" customFormat="1" x14ac:dyDescent="0.3">
      <c r="A87" s="439"/>
      <c r="B87" s="440" t="s">
        <v>28</v>
      </c>
      <c r="C87" s="440"/>
      <c r="D87" s="440"/>
      <c r="E87" s="440"/>
      <c r="F87" s="440"/>
      <c r="G87" s="440"/>
      <c r="H87" s="440"/>
      <c r="I87" s="440"/>
      <c r="J87" s="440"/>
      <c r="K87" s="440"/>
      <c r="L87" s="440"/>
      <c r="M87" s="440"/>
      <c r="N87" s="440"/>
      <c r="O87" s="440"/>
      <c r="P87" s="440"/>
      <c r="Q87" s="440"/>
      <c r="R87" s="440"/>
      <c r="S87" s="440"/>
      <c r="T87" s="539">
        <v>0</v>
      </c>
      <c r="U87" s="440"/>
      <c r="V87" s="540">
        <v>0</v>
      </c>
      <c r="W87" s="442"/>
      <c r="X87" s="425"/>
    </row>
    <row r="88" spans="1:24" s="426" customFormat="1" x14ac:dyDescent="0.3">
      <c r="A88" s="443"/>
      <c r="B88" s="444" t="s">
        <v>29</v>
      </c>
      <c r="C88" s="444"/>
      <c r="D88" s="444"/>
      <c r="E88" s="444"/>
      <c r="F88" s="444"/>
      <c r="G88" s="444"/>
      <c r="H88" s="482"/>
      <c r="I88" s="482"/>
      <c r="J88" s="482"/>
      <c r="K88" s="541"/>
      <c r="L88" s="482"/>
      <c r="M88" s="444"/>
      <c r="N88" s="542"/>
      <c r="O88" s="444"/>
      <c r="P88" s="444"/>
      <c r="Q88" s="444"/>
      <c r="R88" s="444"/>
      <c r="S88" s="444"/>
      <c r="T88" s="516">
        <f>11273-520</f>
        <v>10753</v>
      </c>
      <c r="U88" s="444"/>
      <c r="V88" s="517"/>
      <c r="W88" s="446"/>
      <c r="X88" s="425"/>
    </row>
    <row r="89" spans="1:24" s="426" customFormat="1" x14ac:dyDescent="0.3">
      <c r="A89" s="443"/>
      <c r="B89" s="444" t="s">
        <v>219</v>
      </c>
      <c r="C89" s="444"/>
      <c r="D89" s="444"/>
      <c r="E89" s="444"/>
      <c r="F89" s="444"/>
      <c r="G89" s="444"/>
      <c r="H89" s="482"/>
      <c r="I89" s="482"/>
      <c r="J89" s="482"/>
      <c r="K89" s="541"/>
      <c r="L89" s="482"/>
      <c r="M89" s="444"/>
      <c r="N89" s="542"/>
      <c r="O89" s="444"/>
      <c r="P89" s="444"/>
      <c r="Q89" s="444"/>
      <c r="R89" s="444"/>
      <c r="S89" s="444"/>
      <c r="T89" s="516"/>
      <c r="U89" s="444"/>
      <c r="V89" s="517">
        <f>3881+2201-704-656</f>
        <v>4722</v>
      </c>
      <c r="W89" s="446"/>
      <c r="X89" s="425"/>
    </row>
    <row r="90" spans="1:24" s="426" customFormat="1" x14ac:dyDescent="0.3">
      <c r="A90" s="443"/>
      <c r="B90" s="444" t="s">
        <v>214</v>
      </c>
      <c r="C90" s="444"/>
      <c r="D90" s="444"/>
      <c r="E90" s="444"/>
      <c r="F90" s="444"/>
      <c r="G90" s="444"/>
      <c r="H90" s="482"/>
      <c r="I90" s="482"/>
      <c r="J90" s="482"/>
      <c r="K90" s="541"/>
      <c r="L90" s="482"/>
      <c r="M90" s="444"/>
      <c r="N90" s="542"/>
      <c r="O90" s="444"/>
      <c r="P90" s="444"/>
      <c r="Q90" s="444"/>
      <c r="R90" s="444"/>
      <c r="S90" s="444"/>
      <c r="T90" s="516"/>
      <c r="U90" s="444"/>
      <c r="V90" s="517">
        <f>141+102</f>
        <v>243</v>
      </c>
      <c r="W90" s="446"/>
      <c r="X90" s="425"/>
    </row>
    <row r="91" spans="1:24" s="426" customFormat="1" x14ac:dyDescent="0.3">
      <c r="A91" s="443"/>
      <c r="B91" s="444" t="s">
        <v>215</v>
      </c>
      <c r="C91" s="444"/>
      <c r="D91" s="444"/>
      <c r="E91" s="444"/>
      <c r="F91" s="444"/>
      <c r="G91" s="444"/>
      <c r="H91" s="482"/>
      <c r="I91" s="482"/>
      <c r="J91" s="482"/>
      <c r="K91" s="541"/>
      <c r="L91" s="482"/>
      <c r="M91" s="444"/>
      <c r="N91" s="542"/>
      <c r="O91" s="444"/>
      <c r="P91" s="444"/>
      <c r="Q91" s="444"/>
      <c r="R91" s="444"/>
      <c r="S91" s="444"/>
      <c r="T91" s="516"/>
      <c r="U91" s="444"/>
      <c r="V91" s="517">
        <v>38</v>
      </c>
      <c r="W91" s="446"/>
      <c r="X91" s="425"/>
    </row>
    <row r="92" spans="1:24" s="426" customFormat="1" x14ac:dyDescent="0.3">
      <c r="A92" s="443"/>
      <c r="B92" s="444" t="s">
        <v>277</v>
      </c>
      <c r="C92" s="444"/>
      <c r="D92" s="444"/>
      <c r="E92" s="444"/>
      <c r="F92" s="444"/>
      <c r="G92" s="444"/>
      <c r="H92" s="482"/>
      <c r="I92" s="482"/>
      <c r="J92" s="482"/>
      <c r="K92" s="541"/>
      <c r="L92" s="482"/>
      <c r="M92" s="444"/>
      <c r="N92" s="542"/>
      <c r="O92" s="444"/>
      <c r="P92" s="444"/>
      <c r="Q92" s="444"/>
      <c r="R92" s="444"/>
      <c r="S92" s="444"/>
      <c r="T92" s="516"/>
      <c r="U92" s="444"/>
      <c r="V92" s="517">
        <v>0</v>
      </c>
      <c r="W92" s="446"/>
      <c r="X92" s="425"/>
    </row>
    <row r="93" spans="1:24" s="426" customFormat="1" x14ac:dyDescent="0.3">
      <c r="A93" s="443"/>
      <c r="B93" s="444" t="s">
        <v>138</v>
      </c>
      <c r="C93" s="444"/>
      <c r="D93" s="444"/>
      <c r="E93" s="444"/>
      <c r="F93" s="444"/>
      <c r="G93" s="444"/>
      <c r="H93" s="444"/>
      <c r="I93" s="444"/>
      <c r="J93" s="444"/>
      <c r="K93" s="444"/>
      <c r="L93" s="444"/>
      <c r="M93" s="444"/>
      <c r="N93" s="444"/>
      <c r="O93" s="444"/>
      <c r="P93" s="444"/>
      <c r="Q93" s="444"/>
      <c r="R93" s="444"/>
      <c r="S93" s="444"/>
      <c r="T93" s="516"/>
      <c r="U93" s="444"/>
      <c r="V93" s="517">
        <v>0</v>
      </c>
      <c r="W93" s="446"/>
      <c r="X93" s="425"/>
    </row>
    <row r="94" spans="1:24" s="426" customFormat="1" x14ac:dyDescent="0.3">
      <c r="A94" s="443"/>
      <c r="B94" s="444" t="s">
        <v>265</v>
      </c>
      <c r="C94" s="444"/>
      <c r="D94" s="444"/>
      <c r="E94" s="444"/>
      <c r="F94" s="444"/>
      <c r="G94" s="444"/>
      <c r="H94" s="444"/>
      <c r="I94" s="444"/>
      <c r="J94" s="444"/>
      <c r="K94" s="444"/>
      <c r="L94" s="444"/>
      <c r="M94" s="444"/>
      <c r="N94" s="444"/>
      <c r="O94" s="444"/>
      <c r="P94" s="444"/>
      <c r="Q94" s="444"/>
      <c r="R94" s="444"/>
      <c r="S94" s="444"/>
      <c r="T94" s="516"/>
      <c r="U94" s="444"/>
      <c r="V94" s="517">
        <v>143</v>
      </c>
      <c r="W94" s="446"/>
      <c r="X94" s="425"/>
    </row>
    <row r="95" spans="1:24" s="426" customFormat="1" x14ac:dyDescent="0.3">
      <c r="A95" s="443"/>
      <c r="B95" s="444" t="s">
        <v>30</v>
      </c>
      <c r="C95" s="444"/>
      <c r="D95" s="444"/>
      <c r="E95" s="444"/>
      <c r="F95" s="444"/>
      <c r="G95" s="444"/>
      <c r="H95" s="444"/>
      <c r="I95" s="444"/>
      <c r="J95" s="444"/>
      <c r="K95" s="444"/>
      <c r="L95" s="444"/>
      <c r="M95" s="444"/>
      <c r="N95" s="444"/>
      <c r="O95" s="444"/>
      <c r="P95" s="444"/>
      <c r="Q95" s="444"/>
      <c r="R95" s="444"/>
      <c r="S95" s="444"/>
      <c r="T95" s="516">
        <f>SUM(T87:T94)</f>
        <v>10753</v>
      </c>
      <c r="U95" s="444"/>
      <c r="V95" s="516">
        <f>SUM(V87:V94)</f>
        <v>5146</v>
      </c>
      <c r="W95" s="446"/>
      <c r="X95" s="425"/>
    </row>
    <row r="96" spans="1:24" s="426" customFormat="1" x14ac:dyDescent="0.3">
      <c r="A96" s="443"/>
      <c r="B96" s="444" t="s">
        <v>164</v>
      </c>
      <c r="C96" s="444"/>
      <c r="D96" s="444"/>
      <c r="E96" s="444"/>
      <c r="F96" s="444"/>
      <c r="G96" s="444"/>
      <c r="H96" s="444"/>
      <c r="I96" s="444"/>
      <c r="J96" s="444"/>
      <c r="K96" s="444"/>
      <c r="L96" s="444"/>
      <c r="M96" s="444"/>
      <c r="N96" s="444"/>
      <c r="O96" s="444"/>
      <c r="P96" s="444"/>
      <c r="Q96" s="444"/>
      <c r="R96" s="444"/>
      <c r="S96" s="444"/>
      <c r="T96" s="516">
        <f>-V96</f>
        <v>0</v>
      </c>
      <c r="U96" s="444"/>
      <c r="V96" s="516">
        <v>0</v>
      </c>
      <c r="W96" s="446"/>
      <c r="X96" s="425"/>
    </row>
    <row r="97" spans="1:26" s="426" customFormat="1" x14ac:dyDescent="0.3">
      <c r="A97" s="443"/>
      <c r="B97" s="444" t="s">
        <v>31</v>
      </c>
      <c r="C97" s="444"/>
      <c r="D97" s="444"/>
      <c r="E97" s="444"/>
      <c r="F97" s="444"/>
      <c r="G97" s="444"/>
      <c r="H97" s="444"/>
      <c r="I97" s="444"/>
      <c r="J97" s="444"/>
      <c r="K97" s="444"/>
      <c r="L97" s="444"/>
      <c r="M97" s="444"/>
      <c r="N97" s="444"/>
      <c r="O97" s="444"/>
      <c r="P97" s="444"/>
      <c r="Q97" s="444"/>
      <c r="R97" s="444"/>
      <c r="S97" s="444"/>
      <c r="T97" s="516">
        <f>-V97</f>
        <v>0</v>
      </c>
      <c r="U97" s="444"/>
      <c r="V97" s="517">
        <v>0</v>
      </c>
      <c r="W97" s="446"/>
      <c r="X97" s="425"/>
    </row>
    <row r="98" spans="1:26" s="426" customFormat="1" x14ac:dyDescent="0.3">
      <c r="A98" s="443"/>
      <c r="B98" s="444" t="s">
        <v>288</v>
      </c>
      <c r="C98" s="444"/>
      <c r="D98" s="444"/>
      <c r="E98" s="444"/>
      <c r="F98" s="444"/>
      <c r="G98" s="444"/>
      <c r="H98" s="444"/>
      <c r="I98" s="444"/>
      <c r="J98" s="444"/>
      <c r="K98" s="444"/>
      <c r="L98" s="444"/>
      <c r="M98" s="444"/>
      <c r="N98" s="444"/>
      <c r="O98" s="444"/>
      <c r="P98" s="444"/>
      <c r="Q98" s="444"/>
      <c r="R98" s="444"/>
      <c r="S98" s="444"/>
      <c r="T98" s="516"/>
      <c r="U98" s="444"/>
      <c r="V98" s="517">
        <v>325</v>
      </c>
      <c r="W98" s="446"/>
      <c r="X98" s="425"/>
    </row>
    <row r="99" spans="1:26" s="426" customFormat="1" x14ac:dyDescent="0.3">
      <c r="A99" s="443"/>
      <c r="B99" s="444" t="s">
        <v>32</v>
      </c>
      <c r="C99" s="444"/>
      <c r="D99" s="444"/>
      <c r="E99" s="444"/>
      <c r="F99" s="444"/>
      <c r="G99" s="444"/>
      <c r="H99" s="444"/>
      <c r="I99" s="444"/>
      <c r="J99" s="444"/>
      <c r="K99" s="444"/>
      <c r="L99" s="444"/>
      <c r="M99" s="444"/>
      <c r="N99" s="444"/>
      <c r="O99" s="444"/>
      <c r="P99" s="444"/>
      <c r="Q99" s="444"/>
      <c r="R99" s="444"/>
      <c r="S99" s="444"/>
      <c r="T99" s="516">
        <f>T95+T97+T96</f>
        <v>10753</v>
      </c>
      <c r="U99" s="444"/>
      <c r="V99" s="516">
        <f>V95+V97+V96+V98</f>
        <v>5471</v>
      </c>
      <c r="W99" s="446"/>
      <c r="X99" s="425"/>
    </row>
    <row r="100" spans="1:26" x14ac:dyDescent="0.3">
      <c r="A100" s="543"/>
      <c r="B100" s="544" t="s">
        <v>33</v>
      </c>
      <c r="C100" s="465"/>
      <c r="D100" s="465"/>
      <c r="E100" s="465"/>
      <c r="F100" s="465"/>
      <c r="G100" s="465"/>
      <c r="H100" s="465"/>
      <c r="I100" s="465"/>
      <c r="J100" s="465"/>
      <c r="K100" s="465"/>
      <c r="L100" s="465"/>
      <c r="M100" s="465"/>
      <c r="N100" s="465"/>
      <c r="O100" s="465"/>
      <c r="P100" s="465"/>
      <c r="Q100" s="465"/>
      <c r="R100" s="465"/>
      <c r="S100" s="465"/>
      <c r="T100" s="545"/>
      <c r="U100" s="465"/>
      <c r="V100" s="546"/>
      <c r="W100" s="547"/>
      <c r="X100" s="406"/>
    </row>
    <row r="101" spans="1:26" s="426" customFormat="1" x14ac:dyDescent="0.3">
      <c r="A101" s="443">
        <v>1</v>
      </c>
      <c r="B101" s="444" t="s">
        <v>34</v>
      </c>
      <c r="C101" s="444"/>
      <c r="D101" s="444"/>
      <c r="E101" s="444"/>
      <c r="F101" s="444"/>
      <c r="G101" s="444"/>
      <c r="H101" s="444"/>
      <c r="I101" s="444"/>
      <c r="J101" s="444"/>
      <c r="K101" s="444"/>
      <c r="L101" s="444"/>
      <c r="M101" s="444"/>
      <c r="N101" s="444"/>
      <c r="O101" s="444"/>
      <c r="P101" s="444"/>
      <c r="Q101" s="444"/>
      <c r="R101" s="444"/>
      <c r="S101" s="444"/>
      <c r="T101" s="444"/>
      <c r="U101" s="444"/>
      <c r="V101" s="517">
        <v>0</v>
      </c>
      <c r="W101" s="446"/>
      <c r="X101" s="425"/>
    </row>
    <row r="102" spans="1:26" s="426" customFormat="1" x14ac:dyDescent="0.3">
      <c r="A102" s="443">
        <f>+A101+1</f>
        <v>2</v>
      </c>
      <c r="B102" s="444" t="s">
        <v>331</v>
      </c>
      <c r="C102" s="444"/>
      <c r="D102" s="444"/>
      <c r="E102" s="444"/>
      <c r="F102" s="444"/>
      <c r="G102" s="444"/>
      <c r="H102" s="444"/>
      <c r="I102" s="444"/>
      <c r="J102" s="444"/>
      <c r="K102" s="444"/>
      <c r="L102" s="444"/>
      <c r="M102" s="444"/>
      <c r="N102" s="444"/>
      <c r="O102" s="444"/>
      <c r="P102" s="444"/>
      <c r="Q102" s="444"/>
      <c r="R102" s="444"/>
      <c r="S102" s="444"/>
      <c r="T102" s="444"/>
      <c r="U102" s="444"/>
      <c r="V102" s="517">
        <f>-2</f>
        <v>-2</v>
      </c>
      <c r="W102" s="446"/>
      <c r="X102" s="425"/>
    </row>
    <row r="103" spans="1:26" s="426" customFormat="1" x14ac:dyDescent="0.3">
      <c r="A103" s="443">
        <f>+A102+1</f>
        <v>3</v>
      </c>
      <c r="B103" s="548" t="s">
        <v>332</v>
      </c>
      <c r="C103" s="444"/>
      <c r="D103" s="444"/>
      <c r="E103" s="444"/>
      <c r="F103" s="444"/>
      <c r="G103" s="444"/>
      <c r="H103" s="444"/>
      <c r="I103" s="444"/>
      <c r="J103" s="444"/>
      <c r="K103" s="444"/>
      <c r="L103" s="444"/>
      <c r="M103" s="444"/>
      <c r="N103" s="444"/>
      <c r="O103" s="444"/>
      <c r="P103" s="444"/>
      <c r="Q103" s="444"/>
      <c r="R103" s="444"/>
      <c r="S103" s="444"/>
      <c r="T103" s="444"/>
      <c r="U103" s="444"/>
      <c r="V103" s="517">
        <f>-295-163-10</f>
        <v>-468</v>
      </c>
      <c r="W103" s="446"/>
      <c r="X103" s="425"/>
    </row>
    <row r="104" spans="1:26" s="426" customFormat="1" x14ac:dyDescent="0.3">
      <c r="A104" s="443" t="s">
        <v>130</v>
      </c>
      <c r="B104" s="444" t="s">
        <v>119</v>
      </c>
      <c r="C104" s="444"/>
      <c r="D104" s="444"/>
      <c r="E104" s="444"/>
      <c r="F104" s="444"/>
      <c r="G104" s="444"/>
      <c r="H104" s="444"/>
      <c r="I104" s="444"/>
      <c r="J104" s="444"/>
      <c r="K104" s="444"/>
      <c r="L104" s="444"/>
      <c r="M104" s="444"/>
      <c r="N104" s="444"/>
      <c r="O104" s="444"/>
      <c r="P104" s="444"/>
      <c r="Q104" s="444"/>
      <c r="R104" s="444"/>
      <c r="S104" s="444"/>
      <c r="T104" s="444"/>
      <c r="U104" s="444"/>
      <c r="V104" s="517">
        <v>0</v>
      </c>
      <c r="W104" s="446"/>
      <c r="X104" s="425"/>
    </row>
    <row r="105" spans="1:26" s="426" customFormat="1" x14ac:dyDescent="0.3">
      <c r="A105" s="443" t="s">
        <v>131</v>
      </c>
      <c r="B105" s="444" t="s">
        <v>362</v>
      </c>
      <c r="C105" s="444"/>
      <c r="D105" s="444"/>
      <c r="E105" s="444"/>
      <c r="F105" s="444"/>
      <c r="G105" s="444"/>
      <c r="H105" s="444"/>
      <c r="I105" s="444"/>
      <c r="J105" s="444"/>
      <c r="K105" s="444"/>
      <c r="L105" s="444"/>
      <c r="M105" s="444"/>
      <c r="N105" s="444"/>
      <c r="O105" s="444"/>
      <c r="P105" s="444"/>
      <c r="Q105" s="444"/>
      <c r="R105" s="444"/>
      <c r="S105" s="444"/>
      <c r="T105" s="444"/>
      <c r="U105" s="444"/>
      <c r="V105" s="517">
        <f>-683-107</f>
        <v>-790</v>
      </c>
      <c r="W105" s="446"/>
      <c r="X105" s="425"/>
      <c r="Y105" s="549"/>
      <c r="Z105" s="549"/>
    </row>
    <row r="106" spans="1:26" s="426" customFormat="1" x14ac:dyDescent="0.3">
      <c r="A106" s="443" t="s">
        <v>153</v>
      </c>
      <c r="B106" s="444" t="s">
        <v>363</v>
      </c>
      <c r="C106" s="444"/>
      <c r="D106" s="444"/>
      <c r="E106" s="444"/>
      <c r="F106" s="444"/>
      <c r="G106" s="444"/>
      <c r="H106" s="444"/>
      <c r="I106" s="444"/>
      <c r="J106" s="444"/>
      <c r="K106" s="444"/>
      <c r="L106" s="444"/>
      <c r="M106" s="444"/>
      <c r="N106" s="444"/>
      <c r="O106" s="444"/>
      <c r="P106" s="444"/>
      <c r="Q106" s="444"/>
      <c r="R106" s="444"/>
      <c r="S106" s="444"/>
      <c r="T106" s="444"/>
      <c r="U106" s="444"/>
      <c r="V106" s="517">
        <f>-187-161</f>
        <v>-348</v>
      </c>
      <c r="W106" s="446"/>
      <c r="X106" s="425"/>
      <c r="Y106" s="549"/>
    </row>
    <row r="107" spans="1:26" s="426" customFormat="1" x14ac:dyDescent="0.3">
      <c r="A107" s="443" t="s">
        <v>266</v>
      </c>
      <c r="B107" s="444" t="s">
        <v>269</v>
      </c>
      <c r="C107" s="444"/>
      <c r="D107" s="444"/>
      <c r="E107" s="444"/>
      <c r="F107" s="444"/>
      <c r="G107" s="444"/>
      <c r="H107" s="444"/>
      <c r="I107" s="444"/>
      <c r="J107" s="444"/>
      <c r="K107" s="444"/>
      <c r="L107" s="444"/>
      <c r="M107" s="444"/>
      <c r="N107" s="444"/>
      <c r="O107" s="444"/>
      <c r="P107" s="444"/>
      <c r="Q107" s="444"/>
      <c r="R107" s="444"/>
      <c r="S107" s="444"/>
      <c r="T107" s="444"/>
      <c r="U107" s="444"/>
      <c r="V107" s="517">
        <v>0</v>
      </c>
      <c r="W107" s="446"/>
      <c r="X107" s="425"/>
    </row>
    <row r="108" spans="1:26" s="426" customFormat="1" x14ac:dyDescent="0.3">
      <c r="A108" s="443" t="s">
        <v>208</v>
      </c>
      <c r="B108" s="444" t="s">
        <v>188</v>
      </c>
      <c r="C108" s="444"/>
      <c r="D108" s="444"/>
      <c r="E108" s="444"/>
      <c r="F108" s="444"/>
      <c r="G108" s="444"/>
      <c r="H108" s="444"/>
      <c r="I108" s="444"/>
      <c r="J108" s="444"/>
      <c r="K108" s="444"/>
      <c r="L108" s="444"/>
      <c r="M108" s="444"/>
      <c r="N108" s="444"/>
      <c r="O108" s="444"/>
      <c r="P108" s="444"/>
      <c r="Q108" s="444"/>
      <c r="R108" s="444"/>
      <c r="S108" s="444"/>
      <c r="T108" s="444"/>
      <c r="U108" s="444"/>
      <c r="V108" s="517">
        <v>-131</v>
      </c>
      <c r="W108" s="446"/>
      <c r="X108" s="425"/>
      <c r="Y108" s="549"/>
    </row>
    <row r="109" spans="1:26" s="426" customFormat="1" x14ac:dyDescent="0.3">
      <c r="A109" s="443" t="s">
        <v>209</v>
      </c>
      <c r="B109" s="444" t="s">
        <v>189</v>
      </c>
      <c r="C109" s="444"/>
      <c r="D109" s="444"/>
      <c r="E109" s="444"/>
      <c r="F109" s="444"/>
      <c r="G109" s="444"/>
      <c r="H109" s="444"/>
      <c r="I109" s="444"/>
      <c r="J109" s="444"/>
      <c r="K109" s="444"/>
      <c r="L109" s="444"/>
      <c r="M109" s="444"/>
      <c r="N109" s="444"/>
      <c r="O109" s="444"/>
      <c r="P109" s="444"/>
      <c r="Q109" s="444"/>
      <c r="R109" s="444"/>
      <c r="S109" s="444"/>
      <c r="T109" s="444"/>
      <c r="U109" s="444"/>
      <c r="V109" s="517">
        <v>-127</v>
      </c>
      <c r="W109" s="446"/>
      <c r="X109" s="425"/>
      <c r="Y109" s="549"/>
    </row>
    <row r="110" spans="1:26" s="426" customFormat="1" x14ac:dyDescent="0.3">
      <c r="A110" s="443" t="s">
        <v>210</v>
      </c>
      <c r="B110" s="444" t="s">
        <v>199</v>
      </c>
      <c r="C110" s="444"/>
      <c r="D110" s="444"/>
      <c r="E110" s="444"/>
      <c r="F110" s="444"/>
      <c r="G110" s="444"/>
      <c r="H110" s="444"/>
      <c r="I110" s="444"/>
      <c r="J110" s="444"/>
      <c r="K110" s="444"/>
      <c r="L110" s="444"/>
      <c r="M110" s="444"/>
      <c r="N110" s="444"/>
      <c r="O110" s="444"/>
      <c r="P110" s="444"/>
      <c r="Q110" s="444"/>
      <c r="R110" s="444"/>
      <c r="S110" s="444"/>
      <c r="T110" s="444"/>
      <c r="U110" s="444"/>
      <c r="V110" s="517">
        <v>-183</v>
      </c>
      <c r="W110" s="446"/>
      <c r="X110" s="425"/>
      <c r="Y110" s="549"/>
    </row>
    <row r="111" spans="1:26" s="426" customFormat="1" x14ac:dyDescent="0.3">
      <c r="A111" s="443" t="s">
        <v>230</v>
      </c>
      <c r="B111" s="444" t="s">
        <v>229</v>
      </c>
      <c r="C111" s="444"/>
      <c r="D111" s="444"/>
      <c r="E111" s="444"/>
      <c r="F111" s="444"/>
      <c r="G111" s="444"/>
      <c r="H111" s="444"/>
      <c r="I111" s="444"/>
      <c r="J111" s="444"/>
      <c r="K111" s="444"/>
      <c r="L111" s="444"/>
      <c r="M111" s="444"/>
      <c r="N111" s="444"/>
      <c r="O111" s="444"/>
      <c r="P111" s="444"/>
      <c r="Q111" s="444"/>
      <c r="R111" s="444"/>
      <c r="S111" s="444"/>
      <c r="T111" s="444"/>
      <c r="U111" s="444"/>
      <c r="V111" s="517">
        <v>-42</v>
      </c>
      <c r="W111" s="446"/>
      <c r="X111" s="425"/>
      <c r="Y111" s="549"/>
    </row>
    <row r="112" spans="1:26" s="426" customFormat="1" x14ac:dyDescent="0.3">
      <c r="A112" s="550">
        <v>7</v>
      </c>
      <c r="B112" s="548" t="s">
        <v>333</v>
      </c>
      <c r="C112" s="548"/>
      <c r="D112" s="548"/>
      <c r="E112" s="548"/>
      <c r="F112" s="548"/>
      <c r="G112" s="444"/>
      <c r="H112" s="444"/>
      <c r="I112" s="444"/>
      <c r="J112" s="444"/>
      <c r="K112" s="444"/>
      <c r="L112" s="444"/>
      <c r="M112" s="444"/>
      <c r="N112" s="444"/>
      <c r="O112" s="444"/>
      <c r="P112" s="444"/>
      <c r="Q112" s="444"/>
      <c r="R112" s="444"/>
      <c r="S112" s="444"/>
      <c r="T112" s="444"/>
      <c r="U112" s="444"/>
      <c r="V112" s="517">
        <v>0</v>
      </c>
      <c r="W112" s="446"/>
      <c r="X112" s="425"/>
      <c r="Y112" s="549"/>
    </row>
    <row r="113" spans="1:24" s="426" customFormat="1" x14ac:dyDescent="0.3">
      <c r="A113" s="443">
        <f t="shared" ref="A113:A120" si="0">+A112+1</f>
        <v>8</v>
      </c>
      <c r="B113" s="444" t="s">
        <v>35</v>
      </c>
      <c r="C113" s="444"/>
      <c r="D113" s="444"/>
      <c r="E113" s="444"/>
      <c r="F113" s="444"/>
      <c r="G113" s="444"/>
      <c r="H113" s="444"/>
      <c r="I113" s="444"/>
      <c r="J113" s="444"/>
      <c r="K113" s="444"/>
      <c r="L113" s="444"/>
      <c r="M113" s="444"/>
      <c r="N113" s="444"/>
      <c r="O113" s="444"/>
      <c r="P113" s="444"/>
      <c r="Q113" s="444"/>
      <c r="R113" s="444"/>
      <c r="S113" s="444"/>
      <c r="T113" s="444"/>
      <c r="U113" s="444"/>
      <c r="V113" s="517">
        <v>-38</v>
      </c>
      <c r="W113" s="446"/>
      <c r="X113" s="425"/>
    </row>
    <row r="114" spans="1:24" s="426" customFormat="1" x14ac:dyDescent="0.3">
      <c r="A114" s="443">
        <f t="shared" si="0"/>
        <v>9</v>
      </c>
      <c r="B114" s="444" t="s">
        <v>45</v>
      </c>
      <c r="C114" s="444"/>
      <c r="D114" s="444"/>
      <c r="E114" s="444"/>
      <c r="F114" s="444"/>
      <c r="G114" s="444"/>
      <c r="H114" s="444"/>
      <c r="I114" s="444"/>
      <c r="J114" s="444"/>
      <c r="K114" s="444"/>
      <c r="L114" s="444"/>
      <c r="M114" s="444"/>
      <c r="N114" s="444"/>
      <c r="O114" s="444"/>
      <c r="P114" s="444"/>
      <c r="Q114" s="444"/>
      <c r="R114" s="444"/>
      <c r="S114" s="444"/>
      <c r="T114" s="516">
        <f>-V114</f>
        <v>520</v>
      </c>
      <c r="U114" s="444"/>
      <c r="V114" s="517">
        <v>-520</v>
      </c>
      <c r="W114" s="446"/>
      <c r="X114" s="425"/>
    </row>
    <row r="115" spans="1:24" s="426" customFormat="1" x14ac:dyDescent="0.3">
      <c r="A115" s="443">
        <f t="shared" si="0"/>
        <v>10</v>
      </c>
      <c r="B115" s="444" t="s">
        <v>128</v>
      </c>
      <c r="C115" s="444"/>
      <c r="D115" s="444"/>
      <c r="E115" s="444"/>
      <c r="F115" s="444"/>
      <c r="G115" s="444"/>
      <c r="H115" s="444"/>
      <c r="I115" s="444"/>
      <c r="J115" s="444"/>
      <c r="K115" s="444"/>
      <c r="L115" s="444"/>
      <c r="M115" s="444"/>
      <c r="N115" s="444"/>
      <c r="O115" s="444"/>
      <c r="P115" s="444"/>
      <c r="Q115" s="444"/>
      <c r="R115" s="444"/>
      <c r="S115" s="444"/>
      <c r="T115" s="444"/>
      <c r="U115" s="444"/>
      <c r="V115" s="517">
        <v>0</v>
      </c>
      <c r="W115" s="446"/>
      <c r="X115" s="425"/>
    </row>
    <row r="116" spans="1:24" s="426" customFormat="1" x14ac:dyDescent="0.3">
      <c r="A116" s="443">
        <f t="shared" si="0"/>
        <v>11</v>
      </c>
      <c r="B116" s="444" t="s">
        <v>271</v>
      </c>
      <c r="C116" s="444"/>
      <c r="D116" s="444"/>
      <c r="E116" s="444"/>
      <c r="F116" s="444"/>
      <c r="G116" s="444"/>
      <c r="H116" s="444"/>
      <c r="I116" s="444"/>
      <c r="J116" s="444"/>
      <c r="K116" s="444"/>
      <c r="L116" s="444"/>
      <c r="M116" s="444"/>
      <c r="N116" s="444"/>
      <c r="O116" s="444"/>
      <c r="P116" s="444"/>
      <c r="Q116" s="444"/>
      <c r="R116" s="444"/>
      <c r="S116" s="444"/>
      <c r="T116" s="444"/>
      <c r="U116" s="444"/>
      <c r="V116" s="517">
        <v>0</v>
      </c>
      <c r="W116" s="446"/>
      <c r="X116" s="425"/>
    </row>
    <row r="117" spans="1:24" s="426" customFormat="1" x14ac:dyDescent="0.3">
      <c r="A117" s="443">
        <f t="shared" si="0"/>
        <v>12</v>
      </c>
      <c r="B117" s="444" t="s">
        <v>36</v>
      </c>
      <c r="C117" s="444"/>
      <c r="D117" s="444"/>
      <c r="E117" s="444"/>
      <c r="F117" s="444"/>
      <c r="G117" s="444"/>
      <c r="H117" s="444"/>
      <c r="I117" s="444"/>
      <c r="J117" s="444"/>
      <c r="K117" s="444"/>
      <c r="L117" s="444"/>
      <c r="M117" s="444"/>
      <c r="N117" s="444"/>
      <c r="O117" s="444"/>
      <c r="P117" s="444"/>
      <c r="Q117" s="444"/>
      <c r="R117" s="444"/>
      <c r="S117" s="444"/>
      <c r="T117" s="444"/>
      <c r="U117" s="444"/>
      <c r="V117" s="517">
        <v>0</v>
      </c>
      <c r="W117" s="446"/>
      <c r="X117" s="425"/>
    </row>
    <row r="118" spans="1:24" s="426" customFormat="1" x14ac:dyDescent="0.3">
      <c r="A118" s="443">
        <f t="shared" si="0"/>
        <v>13</v>
      </c>
      <c r="B118" s="444" t="s">
        <v>270</v>
      </c>
      <c r="C118" s="444"/>
      <c r="D118" s="444"/>
      <c r="E118" s="444"/>
      <c r="F118" s="444"/>
      <c r="G118" s="444"/>
      <c r="H118" s="444"/>
      <c r="I118" s="444"/>
      <c r="J118" s="444"/>
      <c r="K118" s="444"/>
      <c r="L118" s="444"/>
      <c r="M118" s="444"/>
      <c r="N118" s="444"/>
      <c r="O118" s="444"/>
      <c r="P118" s="444"/>
      <c r="Q118" s="444"/>
      <c r="R118" s="444"/>
      <c r="S118" s="444"/>
      <c r="T118" s="444"/>
      <c r="U118" s="444"/>
      <c r="V118" s="517">
        <v>0</v>
      </c>
      <c r="W118" s="446"/>
      <c r="X118" s="425"/>
    </row>
    <row r="119" spans="1:24" s="426" customFormat="1" x14ac:dyDescent="0.3">
      <c r="A119" s="443">
        <f t="shared" si="0"/>
        <v>14</v>
      </c>
      <c r="B119" s="444" t="s">
        <v>152</v>
      </c>
      <c r="C119" s="444"/>
      <c r="D119" s="444"/>
      <c r="E119" s="444"/>
      <c r="F119" s="444"/>
      <c r="G119" s="444"/>
      <c r="H119" s="444"/>
      <c r="I119" s="444"/>
      <c r="J119" s="444"/>
      <c r="K119" s="444"/>
      <c r="L119" s="444"/>
      <c r="M119" s="444"/>
      <c r="N119" s="444"/>
      <c r="O119" s="444"/>
      <c r="P119" s="444"/>
      <c r="Q119" s="444"/>
      <c r="R119" s="444"/>
      <c r="S119" s="444"/>
      <c r="T119" s="444"/>
      <c r="U119" s="444"/>
      <c r="V119" s="517">
        <v>-294</v>
      </c>
      <c r="W119" s="446"/>
      <c r="X119" s="425"/>
    </row>
    <row r="120" spans="1:24" s="426" customFormat="1" x14ac:dyDescent="0.3">
      <c r="A120" s="443">
        <f t="shared" si="0"/>
        <v>15</v>
      </c>
      <c r="B120" s="444" t="s">
        <v>129</v>
      </c>
      <c r="C120" s="444"/>
      <c r="D120" s="444"/>
      <c r="E120" s="444"/>
      <c r="F120" s="444"/>
      <c r="G120" s="444"/>
      <c r="H120" s="444"/>
      <c r="I120" s="444"/>
      <c r="J120" s="444"/>
      <c r="K120" s="444"/>
      <c r="L120" s="444"/>
      <c r="M120" s="444"/>
      <c r="N120" s="444"/>
      <c r="O120" s="444"/>
      <c r="P120" s="444"/>
      <c r="Q120" s="444"/>
      <c r="R120" s="444"/>
      <c r="S120" s="444"/>
      <c r="T120" s="444"/>
      <c r="U120" s="444"/>
      <c r="V120" s="517">
        <f>-V99-SUM(V101:V119)</f>
        <v>-2528</v>
      </c>
      <c r="W120" s="446"/>
      <c r="X120" s="425"/>
    </row>
    <row r="121" spans="1:24" x14ac:dyDescent="0.3">
      <c r="A121" s="543"/>
      <c r="B121" s="544" t="s">
        <v>37</v>
      </c>
      <c r="C121" s="465"/>
      <c r="D121" s="465"/>
      <c r="E121" s="465"/>
      <c r="F121" s="465"/>
      <c r="G121" s="465"/>
      <c r="H121" s="465"/>
      <c r="I121" s="465"/>
      <c r="J121" s="465"/>
      <c r="K121" s="465"/>
      <c r="L121" s="465"/>
      <c r="M121" s="465"/>
      <c r="N121" s="465"/>
      <c r="O121" s="465"/>
      <c r="P121" s="465"/>
      <c r="Q121" s="465"/>
      <c r="R121" s="465"/>
      <c r="S121" s="465"/>
      <c r="T121" s="465"/>
      <c r="U121" s="465"/>
      <c r="V121" s="551"/>
      <c r="W121" s="547"/>
      <c r="X121" s="406"/>
    </row>
    <row r="122" spans="1:24" s="426" customFormat="1" x14ac:dyDescent="0.3">
      <c r="A122" s="443"/>
      <c r="B122" s="444" t="s">
        <v>176</v>
      </c>
      <c r="C122" s="444"/>
      <c r="D122" s="444"/>
      <c r="E122" s="444"/>
      <c r="F122" s="444"/>
      <c r="G122" s="444"/>
      <c r="H122" s="444"/>
      <c r="I122" s="444"/>
      <c r="J122" s="444"/>
      <c r="K122" s="444"/>
      <c r="L122" s="444"/>
      <c r="M122" s="444"/>
      <c r="N122" s="444"/>
      <c r="O122" s="444"/>
      <c r="P122" s="444"/>
      <c r="Q122" s="444"/>
      <c r="R122" s="444"/>
      <c r="S122" s="444"/>
      <c r="T122" s="516">
        <f>-T182</f>
        <v>0</v>
      </c>
      <c r="U122" s="516"/>
      <c r="V122" s="517"/>
      <c r="W122" s="446"/>
      <c r="X122" s="425"/>
    </row>
    <row r="123" spans="1:24" s="426" customFormat="1" x14ac:dyDescent="0.3">
      <c r="A123" s="443"/>
      <c r="B123" s="444" t="s">
        <v>177</v>
      </c>
      <c r="C123" s="444"/>
      <c r="D123" s="444"/>
      <c r="E123" s="444"/>
      <c r="F123" s="444"/>
      <c r="G123" s="444"/>
      <c r="H123" s="444"/>
      <c r="I123" s="444"/>
      <c r="J123" s="444"/>
      <c r="K123" s="444"/>
      <c r="L123" s="444"/>
      <c r="M123" s="444"/>
      <c r="N123" s="444"/>
      <c r="O123" s="444"/>
      <c r="P123" s="444"/>
      <c r="Q123" s="444"/>
      <c r="R123" s="444"/>
      <c r="S123" s="444"/>
      <c r="T123" s="516">
        <v>0</v>
      </c>
      <c r="U123" s="516"/>
      <c r="V123" s="517"/>
      <c r="W123" s="446"/>
      <c r="X123" s="425"/>
    </row>
    <row r="124" spans="1:24" s="426" customFormat="1" x14ac:dyDescent="0.3">
      <c r="A124" s="443"/>
      <c r="B124" s="444" t="s">
        <v>38</v>
      </c>
      <c r="C124" s="444"/>
      <c r="D124" s="444"/>
      <c r="E124" s="444"/>
      <c r="F124" s="444"/>
      <c r="G124" s="444"/>
      <c r="H124" s="444"/>
      <c r="I124" s="444"/>
      <c r="J124" s="444"/>
      <c r="K124" s="444"/>
      <c r="L124" s="444"/>
      <c r="M124" s="444"/>
      <c r="N124" s="444"/>
      <c r="O124" s="444"/>
      <c r="P124" s="444"/>
      <c r="Q124" s="444"/>
      <c r="R124" s="444"/>
      <c r="S124" s="444"/>
      <c r="T124" s="516">
        <f>-S182</f>
        <v>-235</v>
      </c>
      <c r="U124" s="516"/>
      <c r="V124" s="517"/>
      <c r="W124" s="446"/>
      <c r="X124" s="425"/>
    </row>
    <row r="125" spans="1:24" s="426" customFormat="1" x14ac:dyDescent="0.3">
      <c r="A125" s="443"/>
      <c r="B125" s="444" t="s">
        <v>386</v>
      </c>
      <c r="C125" s="444"/>
      <c r="D125" s="444"/>
      <c r="E125" s="444"/>
      <c r="F125" s="444"/>
      <c r="G125" s="444"/>
      <c r="H125" s="444"/>
      <c r="I125" s="444"/>
      <c r="J125" s="444"/>
      <c r="K125" s="444"/>
      <c r="L125" s="444"/>
      <c r="M125" s="444"/>
      <c r="N125" s="444"/>
      <c r="O125" s="444"/>
      <c r="P125" s="444"/>
      <c r="Q125" s="444"/>
      <c r="R125" s="444"/>
      <c r="S125" s="444"/>
      <c r="T125" s="516">
        <v>-6670</v>
      </c>
      <c r="U125" s="516"/>
      <c r="V125" s="517"/>
      <c r="W125" s="446"/>
      <c r="X125" s="425"/>
    </row>
    <row r="126" spans="1:24" s="426" customFormat="1" x14ac:dyDescent="0.3">
      <c r="A126" s="443"/>
      <c r="B126" s="444" t="s">
        <v>198</v>
      </c>
      <c r="C126" s="444"/>
      <c r="D126" s="444"/>
      <c r="E126" s="444"/>
      <c r="F126" s="444"/>
      <c r="G126" s="444"/>
      <c r="H126" s="444"/>
      <c r="I126" s="444"/>
      <c r="J126" s="444"/>
      <c r="K126" s="444"/>
      <c r="L126" s="444"/>
      <c r="M126" s="444"/>
      <c r="N126" s="444"/>
      <c r="O126" s="444"/>
      <c r="P126" s="444"/>
      <c r="Q126" s="444"/>
      <c r="R126" s="444"/>
      <c r="S126" s="444"/>
      <c r="T126" s="516">
        <v>-1045</v>
      </c>
      <c r="U126" s="516"/>
      <c r="V126" s="517"/>
      <c r="W126" s="446"/>
      <c r="X126" s="425"/>
    </row>
    <row r="127" spans="1:24" s="426" customFormat="1" x14ac:dyDescent="0.3">
      <c r="A127" s="443"/>
      <c r="B127" s="444" t="s">
        <v>197</v>
      </c>
      <c r="C127" s="444"/>
      <c r="D127" s="444"/>
      <c r="E127" s="444"/>
      <c r="F127" s="444"/>
      <c r="G127" s="444"/>
      <c r="H127" s="444"/>
      <c r="I127" s="444"/>
      <c r="J127" s="444"/>
      <c r="K127" s="444"/>
      <c r="L127" s="444"/>
      <c r="M127" s="444"/>
      <c r="N127" s="444"/>
      <c r="O127" s="444"/>
      <c r="P127" s="444"/>
      <c r="Q127" s="444"/>
      <c r="R127" s="444"/>
      <c r="S127" s="444"/>
      <c r="T127" s="516">
        <v>-1767</v>
      </c>
      <c r="U127" s="516"/>
      <c r="V127" s="517"/>
      <c r="W127" s="446"/>
      <c r="X127" s="425"/>
    </row>
    <row r="128" spans="1:24" s="426" customFormat="1" x14ac:dyDescent="0.3">
      <c r="A128" s="443"/>
      <c r="B128" s="444" t="s">
        <v>232</v>
      </c>
      <c r="C128" s="444"/>
      <c r="D128" s="444"/>
      <c r="E128" s="444"/>
      <c r="F128" s="444"/>
      <c r="G128" s="444"/>
      <c r="H128" s="444"/>
      <c r="I128" s="444"/>
      <c r="J128" s="444"/>
      <c r="K128" s="444"/>
      <c r="L128" s="444"/>
      <c r="M128" s="444"/>
      <c r="N128" s="444"/>
      <c r="O128" s="444"/>
      <c r="P128" s="444"/>
      <c r="Q128" s="444"/>
      <c r="R128" s="444"/>
      <c r="S128" s="444"/>
      <c r="T128" s="516">
        <v>-1556</v>
      </c>
      <c r="U128" s="516"/>
      <c r="V128" s="517"/>
      <c r="W128" s="446"/>
      <c r="X128" s="425"/>
    </row>
    <row r="129" spans="1:24" s="426" customFormat="1" x14ac:dyDescent="0.3">
      <c r="A129" s="443"/>
      <c r="B129" s="444" t="s">
        <v>192</v>
      </c>
      <c r="C129" s="444"/>
      <c r="D129" s="444"/>
      <c r="E129" s="444"/>
      <c r="F129" s="444"/>
      <c r="G129" s="444"/>
      <c r="H129" s="444"/>
      <c r="I129" s="444"/>
      <c r="J129" s="444"/>
      <c r="K129" s="444"/>
      <c r="L129" s="444"/>
      <c r="M129" s="444"/>
      <c r="N129" s="444"/>
      <c r="O129" s="444"/>
      <c r="P129" s="444"/>
      <c r="Q129" s="444"/>
      <c r="R129" s="444"/>
      <c r="S129" s="444"/>
      <c r="T129" s="516">
        <v>0</v>
      </c>
      <c r="U129" s="516"/>
      <c r="V129" s="517"/>
      <c r="W129" s="446"/>
      <c r="X129" s="425"/>
    </row>
    <row r="130" spans="1:24" s="426" customFormat="1" x14ac:dyDescent="0.3">
      <c r="A130" s="443"/>
      <c r="B130" s="444" t="s">
        <v>191</v>
      </c>
      <c r="C130" s="444"/>
      <c r="D130" s="444"/>
      <c r="E130" s="444"/>
      <c r="F130" s="444"/>
      <c r="G130" s="444"/>
      <c r="H130" s="444"/>
      <c r="I130" s="444"/>
      <c r="J130" s="444"/>
      <c r="K130" s="444"/>
      <c r="L130" s="444"/>
      <c r="M130" s="444"/>
      <c r="N130" s="444"/>
      <c r="O130" s="444"/>
      <c r="P130" s="444"/>
      <c r="Q130" s="444"/>
      <c r="R130" s="444"/>
      <c r="S130" s="444"/>
      <c r="T130" s="516">
        <v>0</v>
      </c>
      <c r="U130" s="516"/>
      <c r="V130" s="517"/>
      <c r="W130" s="446"/>
      <c r="X130" s="425"/>
    </row>
    <row r="131" spans="1:24" s="426" customFormat="1" x14ac:dyDescent="0.3">
      <c r="A131" s="443"/>
      <c r="B131" s="444" t="s">
        <v>233</v>
      </c>
      <c r="C131" s="444"/>
      <c r="D131" s="444"/>
      <c r="E131" s="444"/>
      <c r="F131" s="444"/>
      <c r="G131" s="444"/>
      <c r="H131" s="444"/>
      <c r="I131" s="444"/>
      <c r="J131" s="444"/>
      <c r="K131" s="444"/>
      <c r="L131" s="444"/>
      <c r="M131" s="444"/>
      <c r="N131" s="444"/>
      <c r="O131" s="444"/>
      <c r="P131" s="444"/>
      <c r="Q131" s="444"/>
      <c r="R131" s="444"/>
      <c r="S131" s="444"/>
      <c r="T131" s="516">
        <v>0</v>
      </c>
      <c r="U131" s="516"/>
      <c r="V131" s="517"/>
      <c r="W131" s="446"/>
      <c r="X131" s="425"/>
    </row>
    <row r="132" spans="1:24" s="426" customFormat="1" x14ac:dyDescent="0.3">
      <c r="A132" s="443"/>
      <c r="B132" s="444" t="s">
        <v>190</v>
      </c>
      <c r="C132" s="444"/>
      <c r="D132" s="444"/>
      <c r="E132" s="444"/>
      <c r="F132" s="444"/>
      <c r="G132" s="444"/>
      <c r="H132" s="444"/>
      <c r="I132" s="444"/>
      <c r="J132" s="444"/>
      <c r="K132" s="444"/>
      <c r="L132" s="444"/>
      <c r="M132" s="444"/>
      <c r="N132" s="444"/>
      <c r="O132" s="444"/>
      <c r="P132" s="444"/>
      <c r="Q132" s="444"/>
      <c r="R132" s="444"/>
      <c r="S132" s="444"/>
      <c r="T132" s="516">
        <v>0</v>
      </c>
      <c r="U132" s="516"/>
      <c r="V132" s="517"/>
      <c r="W132" s="446"/>
      <c r="X132" s="425"/>
    </row>
    <row r="133" spans="1:24" s="426" customFormat="1" x14ac:dyDescent="0.3">
      <c r="A133" s="443"/>
      <c r="B133" s="444" t="s">
        <v>39</v>
      </c>
      <c r="C133" s="444"/>
      <c r="D133" s="444"/>
      <c r="E133" s="444"/>
      <c r="F133" s="444"/>
      <c r="G133" s="444"/>
      <c r="H133" s="444"/>
      <c r="I133" s="444"/>
      <c r="J133" s="444"/>
      <c r="K133" s="444"/>
      <c r="L133" s="444"/>
      <c r="M133" s="444"/>
      <c r="N133" s="444"/>
      <c r="O133" s="444"/>
      <c r="P133" s="444"/>
      <c r="Q133" s="444"/>
      <c r="R133" s="444"/>
      <c r="S133" s="444"/>
      <c r="T133" s="516">
        <f>SUM(T122:T132)</f>
        <v>-11273</v>
      </c>
      <c r="U133" s="516"/>
      <c r="V133" s="516">
        <f>SUM(V100:V130)</f>
        <v>-5471</v>
      </c>
      <c r="W133" s="446"/>
      <c r="X133" s="425"/>
    </row>
    <row r="134" spans="1:24" s="426" customFormat="1" x14ac:dyDescent="0.3">
      <c r="A134" s="443"/>
      <c r="B134" s="444" t="s">
        <v>40</v>
      </c>
      <c r="C134" s="444"/>
      <c r="D134" s="444"/>
      <c r="E134" s="444"/>
      <c r="F134" s="444"/>
      <c r="G134" s="444"/>
      <c r="H134" s="444"/>
      <c r="I134" s="444"/>
      <c r="J134" s="444"/>
      <c r="K134" s="444"/>
      <c r="L134" s="444"/>
      <c r="M134" s="444"/>
      <c r="N134" s="444"/>
      <c r="O134" s="444"/>
      <c r="P134" s="444"/>
      <c r="Q134" s="444"/>
      <c r="R134" s="444"/>
      <c r="S134" s="444"/>
      <c r="T134" s="516">
        <f>T99+T133+T114</f>
        <v>0</v>
      </c>
      <c r="U134" s="516"/>
      <c r="V134" s="516">
        <f>V99+V133</f>
        <v>0</v>
      </c>
      <c r="W134" s="446"/>
      <c r="X134" s="425"/>
    </row>
    <row r="135" spans="1:24" s="426" customFormat="1" x14ac:dyDescent="0.3">
      <c r="A135" s="421"/>
      <c r="B135" s="494"/>
      <c r="C135" s="494"/>
      <c r="D135" s="494"/>
      <c r="E135" s="494"/>
      <c r="F135" s="494"/>
      <c r="G135" s="494"/>
      <c r="H135" s="494"/>
      <c r="I135" s="494"/>
      <c r="J135" s="494"/>
      <c r="K135" s="494"/>
      <c r="L135" s="494"/>
      <c r="M135" s="494"/>
      <c r="N135" s="494"/>
      <c r="O135" s="494"/>
      <c r="P135" s="494"/>
      <c r="Q135" s="494"/>
      <c r="R135" s="494"/>
      <c r="S135" s="494"/>
      <c r="T135" s="552"/>
      <c r="U135" s="552"/>
      <c r="V135" s="552"/>
      <c r="W135" s="424"/>
      <c r="X135" s="425"/>
    </row>
    <row r="136" spans="1:24" s="426" customFormat="1" x14ac:dyDescent="0.3">
      <c r="A136" s="421"/>
      <c r="B136" s="422"/>
      <c r="C136" s="422"/>
      <c r="D136" s="422"/>
      <c r="E136" s="422"/>
      <c r="F136" s="422"/>
      <c r="G136" s="422"/>
      <c r="H136" s="422"/>
      <c r="I136" s="422"/>
      <c r="J136" s="422"/>
      <c r="K136" s="422"/>
      <c r="L136" s="422"/>
      <c r="M136" s="422"/>
      <c r="N136" s="422"/>
      <c r="O136" s="422"/>
      <c r="P136" s="422"/>
      <c r="Q136" s="422"/>
      <c r="R136" s="422"/>
      <c r="S136" s="422"/>
      <c r="T136" s="422"/>
      <c r="U136" s="422"/>
      <c r="V136" s="553"/>
      <c r="W136" s="424"/>
      <c r="X136" s="425"/>
    </row>
    <row r="137" spans="1:24" s="426" customFormat="1" ht="18.600000000000001" thickBot="1" x14ac:dyDescent="0.4">
      <c r="A137" s="500"/>
      <c r="B137" s="501" t="str">
        <f>B63</f>
        <v>PM13 INVESTOR REPORT QUARTER ENDING MARCH 2018</v>
      </c>
      <c r="C137" s="502"/>
      <c r="D137" s="502"/>
      <c r="E137" s="502"/>
      <c r="F137" s="502"/>
      <c r="G137" s="502"/>
      <c r="H137" s="502"/>
      <c r="I137" s="502"/>
      <c r="J137" s="502"/>
      <c r="K137" s="502"/>
      <c r="L137" s="502"/>
      <c r="M137" s="502"/>
      <c r="N137" s="502"/>
      <c r="O137" s="502"/>
      <c r="P137" s="502"/>
      <c r="Q137" s="502"/>
      <c r="R137" s="502"/>
      <c r="S137" s="502"/>
      <c r="T137" s="502"/>
      <c r="U137" s="502"/>
      <c r="V137" s="554"/>
      <c r="W137" s="555"/>
      <c r="X137" s="425"/>
    </row>
    <row r="138" spans="1:24" x14ac:dyDescent="0.3">
      <c r="A138" s="505"/>
      <c r="B138" s="506" t="s">
        <v>41</v>
      </c>
      <c r="C138" s="507"/>
      <c r="D138" s="507"/>
      <c r="E138" s="507"/>
      <c r="F138" s="507"/>
      <c r="G138" s="507"/>
      <c r="H138" s="507"/>
      <c r="I138" s="507"/>
      <c r="J138" s="507"/>
      <c r="K138" s="507"/>
      <c r="L138" s="507"/>
      <c r="M138" s="507"/>
      <c r="N138" s="507"/>
      <c r="O138" s="507"/>
      <c r="P138" s="507"/>
      <c r="Q138" s="507"/>
      <c r="R138" s="507"/>
      <c r="S138" s="507"/>
      <c r="T138" s="507"/>
      <c r="U138" s="507"/>
      <c r="V138" s="508"/>
      <c r="W138" s="509"/>
      <c r="X138" s="406"/>
    </row>
    <row r="139" spans="1:24" x14ac:dyDescent="0.3">
      <c r="A139" s="408"/>
      <c r="B139" s="556"/>
      <c r="C139" s="410"/>
      <c r="D139" s="410"/>
      <c r="E139" s="410"/>
      <c r="F139" s="410"/>
      <c r="G139" s="410"/>
      <c r="H139" s="410"/>
      <c r="I139" s="410"/>
      <c r="J139" s="410"/>
      <c r="K139" s="410"/>
      <c r="L139" s="410"/>
      <c r="M139" s="410"/>
      <c r="N139" s="410"/>
      <c r="O139" s="410"/>
      <c r="P139" s="410"/>
      <c r="Q139" s="410"/>
      <c r="R139" s="410"/>
      <c r="S139" s="410"/>
      <c r="T139" s="410"/>
      <c r="U139" s="410"/>
      <c r="V139" s="510"/>
      <c r="W139" s="411"/>
      <c r="X139" s="406"/>
    </row>
    <row r="140" spans="1:24" x14ac:dyDescent="0.3">
      <c r="A140" s="408"/>
      <c r="B140" s="557" t="s">
        <v>42</v>
      </c>
      <c r="C140" s="410"/>
      <c r="D140" s="410"/>
      <c r="E140" s="410"/>
      <c r="F140" s="410"/>
      <c r="G140" s="410"/>
      <c r="H140" s="410"/>
      <c r="I140" s="410"/>
      <c r="J140" s="410"/>
      <c r="K140" s="410"/>
      <c r="L140" s="410"/>
      <c r="M140" s="410"/>
      <c r="N140" s="410"/>
      <c r="O140" s="410"/>
      <c r="P140" s="410"/>
      <c r="Q140" s="410"/>
      <c r="R140" s="410"/>
      <c r="S140" s="410"/>
      <c r="T140" s="410"/>
      <c r="U140" s="410"/>
      <c r="V140" s="510"/>
      <c r="W140" s="411"/>
      <c r="X140" s="406"/>
    </row>
    <row r="141" spans="1:24" x14ac:dyDescent="0.3">
      <c r="A141" s="543"/>
      <c r="B141" s="444" t="s">
        <v>43</v>
      </c>
      <c r="C141" s="444"/>
      <c r="D141" s="444"/>
      <c r="E141" s="444"/>
      <c r="F141" s="444"/>
      <c r="G141" s="444"/>
      <c r="H141" s="444"/>
      <c r="I141" s="444"/>
      <c r="J141" s="444"/>
      <c r="K141" s="444"/>
      <c r="L141" s="444"/>
      <c r="M141" s="444"/>
      <c r="N141" s="444"/>
      <c r="O141" s="444"/>
      <c r="P141" s="444"/>
      <c r="Q141" s="444"/>
      <c r="R141" s="444"/>
      <c r="S141" s="444"/>
      <c r="T141" s="444"/>
      <c r="U141" s="444"/>
      <c r="V141" s="517">
        <f>+V34*0.019</f>
        <v>28503.61</v>
      </c>
      <c r="W141" s="558"/>
      <c r="X141" s="406"/>
    </row>
    <row r="142" spans="1:24" x14ac:dyDescent="0.3">
      <c r="A142" s="543"/>
      <c r="B142" s="444" t="s">
        <v>44</v>
      </c>
      <c r="C142" s="444"/>
      <c r="D142" s="444"/>
      <c r="E142" s="444"/>
      <c r="F142" s="444"/>
      <c r="G142" s="444"/>
      <c r="H142" s="444"/>
      <c r="I142" s="444"/>
      <c r="J142" s="444"/>
      <c r="K142" s="444"/>
      <c r="L142" s="444"/>
      <c r="M142" s="444"/>
      <c r="N142" s="444"/>
      <c r="O142" s="444"/>
      <c r="P142" s="444"/>
      <c r="Q142" s="444"/>
      <c r="R142" s="444"/>
      <c r="S142" s="444"/>
      <c r="T142" s="444"/>
      <c r="U142" s="444"/>
      <c r="V142" s="517">
        <v>28504</v>
      </c>
      <c r="W142" s="558"/>
      <c r="X142" s="406"/>
    </row>
    <row r="143" spans="1:24" x14ac:dyDescent="0.3">
      <c r="A143" s="543"/>
      <c r="B143" s="444" t="s">
        <v>139</v>
      </c>
      <c r="C143" s="444"/>
      <c r="D143" s="444"/>
      <c r="E143" s="444"/>
      <c r="F143" s="444"/>
      <c r="G143" s="444"/>
      <c r="H143" s="444"/>
      <c r="I143" s="444"/>
      <c r="J143" s="444"/>
      <c r="K143" s="444"/>
      <c r="L143" s="444"/>
      <c r="M143" s="444"/>
      <c r="N143" s="444"/>
      <c r="O143" s="444"/>
      <c r="P143" s="444"/>
      <c r="Q143" s="444"/>
      <c r="R143" s="444"/>
      <c r="S143" s="444"/>
      <c r="T143" s="444"/>
      <c r="U143" s="444"/>
      <c r="V143" s="517"/>
      <c r="W143" s="558"/>
      <c r="X143" s="406"/>
    </row>
    <row r="144" spans="1:24" x14ac:dyDescent="0.3">
      <c r="A144" s="543"/>
      <c r="B144" s="444" t="s">
        <v>126</v>
      </c>
      <c r="C144" s="444"/>
      <c r="D144" s="444"/>
      <c r="E144" s="444"/>
      <c r="F144" s="444"/>
      <c r="G144" s="444"/>
      <c r="H144" s="444"/>
      <c r="I144" s="444"/>
      <c r="J144" s="444"/>
      <c r="K144" s="444"/>
      <c r="L144" s="444"/>
      <c r="M144" s="444"/>
      <c r="N144" s="444"/>
      <c r="O144" s="444"/>
      <c r="P144" s="444"/>
      <c r="Q144" s="444"/>
      <c r="R144" s="444"/>
      <c r="S144" s="444"/>
      <c r="T144" s="444"/>
      <c r="U144" s="444"/>
      <c r="V144" s="517">
        <v>0</v>
      </c>
      <c r="W144" s="558"/>
      <c r="X144" s="406"/>
    </row>
    <row r="145" spans="1:25" x14ac:dyDescent="0.3">
      <c r="A145" s="543"/>
      <c r="B145" s="444" t="s">
        <v>127</v>
      </c>
      <c r="C145" s="444"/>
      <c r="D145" s="444"/>
      <c r="E145" s="444"/>
      <c r="F145" s="444"/>
      <c r="G145" s="444"/>
      <c r="H145" s="444"/>
      <c r="I145" s="444"/>
      <c r="J145" s="444"/>
      <c r="K145" s="444"/>
      <c r="L145" s="444"/>
      <c r="M145" s="444"/>
      <c r="N145" s="444"/>
      <c r="O145" s="444"/>
      <c r="P145" s="444"/>
      <c r="Q145" s="444"/>
      <c r="R145" s="444"/>
      <c r="S145" s="444"/>
      <c r="T145" s="444"/>
      <c r="U145" s="444"/>
      <c r="V145" s="517">
        <v>0</v>
      </c>
      <c r="W145" s="558"/>
      <c r="X145" s="406"/>
    </row>
    <row r="146" spans="1:25" x14ac:dyDescent="0.3">
      <c r="A146" s="543"/>
      <c r="B146" s="444" t="s">
        <v>178</v>
      </c>
      <c r="C146" s="444"/>
      <c r="D146" s="444"/>
      <c r="E146" s="444"/>
      <c r="F146" s="444"/>
      <c r="G146" s="444"/>
      <c r="H146" s="444"/>
      <c r="I146" s="444"/>
      <c r="J146" s="444"/>
      <c r="K146" s="444"/>
      <c r="L146" s="444"/>
      <c r="M146" s="444"/>
      <c r="N146" s="444"/>
      <c r="O146" s="444"/>
      <c r="P146" s="444"/>
      <c r="Q146" s="444"/>
      <c r="R146" s="444"/>
      <c r="S146" s="444"/>
      <c r="T146" s="444"/>
      <c r="U146" s="444"/>
      <c r="V146" s="517">
        <v>0</v>
      </c>
      <c r="W146" s="558"/>
      <c r="X146" s="406"/>
    </row>
    <row r="147" spans="1:25" x14ac:dyDescent="0.3">
      <c r="A147" s="543"/>
      <c r="B147" s="444" t="s">
        <v>45</v>
      </c>
      <c r="C147" s="444"/>
      <c r="D147" s="444"/>
      <c r="E147" s="444"/>
      <c r="F147" s="444"/>
      <c r="G147" s="444"/>
      <c r="H147" s="444"/>
      <c r="I147" s="444"/>
      <c r="J147" s="444"/>
      <c r="K147" s="444"/>
      <c r="L147" s="444"/>
      <c r="M147" s="444"/>
      <c r="N147" s="444"/>
      <c r="O147" s="444"/>
      <c r="P147" s="444"/>
      <c r="Q147" s="444"/>
      <c r="R147" s="444"/>
      <c r="S147" s="444"/>
      <c r="T147" s="444"/>
      <c r="U147" s="444"/>
      <c r="V147" s="517">
        <v>0</v>
      </c>
      <c r="W147" s="558"/>
      <c r="X147" s="406"/>
    </row>
    <row r="148" spans="1:25" x14ac:dyDescent="0.3">
      <c r="A148" s="543"/>
      <c r="B148" s="444" t="s">
        <v>132</v>
      </c>
      <c r="C148" s="444"/>
      <c r="D148" s="444"/>
      <c r="E148" s="444"/>
      <c r="F148" s="444"/>
      <c r="G148" s="444"/>
      <c r="H148" s="444"/>
      <c r="I148" s="444"/>
      <c r="J148" s="444"/>
      <c r="K148" s="444"/>
      <c r="L148" s="444"/>
      <c r="M148" s="444"/>
      <c r="N148" s="444"/>
      <c r="O148" s="444"/>
      <c r="P148" s="444"/>
      <c r="Q148" s="444"/>
      <c r="R148" s="444"/>
      <c r="S148" s="444"/>
      <c r="T148" s="444"/>
      <c r="U148" s="444"/>
      <c r="V148" s="517">
        <v>0</v>
      </c>
      <c r="W148" s="558"/>
      <c r="X148" s="406"/>
    </row>
    <row r="149" spans="1:25" x14ac:dyDescent="0.3">
      <c r="A149" s="543"/>
      <c r="B149" s="444" t="s">
        <v>267</v>
      </c>
      <c r="C149" s="444"/>
      <c r="D149" s="444"/>
      <c r="E149" s="444"/>
      <c r="F149" s="444"/>
      <c r="G149" s="444"/>
      <c r="H149" s="444"/>
      <c r="I149" s="444"/>
      <c r="J149" s="444"/>
      <c r="K149" s="444"/>
      <c r="L149" s="444"/>
      <c r="M149" s="444"/>
      <c r="N149" s="444"/>
      <c r="O149" s="444"/>
      <c r="P149" s="444"/>
      <c r="Q149" s="444"/>
      <c r="R149" s="444"/>
      <c r="S149" s="444"/>
      <c r="T149" s="444"/>
      <c r="U149" s="444"/>
      <c r="V149" s="517">
        <v>0</v>
      </c>
      <c r="W149" s="558"/>
      <c r="X149" s="406"/>
      <c r="Y149" s="559"/>
    </row>
    <row r="150" spans="1:25" x14ac:dyDescent="0.3">
      <c r="A150" s="543"/>
      <c r="B150" s="444" t="s">
        <v>46</v>
      </c>
      <c r="C150" s="444"/>
      <c r="D150" s="444"/>
      <c r="E150" s="444"/>
      <c r="F150" s="444"/>
      <c r="G150" s="444"/>
      <c r="H150" s="444"/>
      <c r="I150" s="444"/>
      <c r="J150" s="444"/>
      <c r="K150" s="444"/>
      <c r="L150" s="444"/>
      <c r="M150" s="444"/>
      <c r="N150" s="444"/>
      <c r="O150" s="444"/>
      <c r="P150" s="444"/>
      <c r="Q150" s="444"/>
      <c r="R150" s="444"/>
      <c r="S150" s="444"/>
      <c r="T150" s="444"/>
      <c r="U150" s="444"/>
      <c r="V150" s="517">
        <f>SUM(V142:V149)</f>
        <v>28504</v>
      </c>
      <c r="W150" s="558"/>
      <c r="X150" s="406"/>
    </row>
    <row r="151" spans="1:25" x14ac:dyDescent="0.3">
      <c r="A151" s="543"/>
      <c r="B151" s="465"/>
      <c r="C151" s="465"/>
      <c r="D151" s="465"/>
      <c r="E151" s="465"/>
      <c r="F151" s="465"/>
      <c r="G151" s="465"/>
      <c r="H151" s="465"/>
      <c r="I151" s="465"/>
      <c r="J151" s="465"/>
      <c r="K151" s="465"/>
      <c r="L151" s="465"/>
      <c r="M151" s="465"/>
      <c r="N151" s="465"/>
      <c r="O151" s="465"/>
      <c r="P151" s="465"/>
      <c r="Q151" s="465"/>
      <c r="R151" s="465"/>
      <c r="S151" s="465"/>
      <c r="T151" s="465"/>
      <c r="U151" s="465"/>
      <c r="V151" s="546"/>
      <c r="W151" s="547"/>
      <c r="X151" s="406"/>
    </row>
    <row r="152" spans="1:25" x14ac:dyDescent="0.3">
      <c r="A152" s="543"/>
      <c r="B152" s="544" t="s">
        <v>268</v>
      </c>
      <c r="C152" s="465"/>
      <c r="D152" s="465"/>
      <c r="E152" s="465"/>
      <c r="F152" s="465"/>
      <c r="G152" s="465"/>
      <c r="H152" s="465"/>
      <c r="I152" s="465"/>
      <c r="J152" s="465"/>
      <c r="K152" s="465"/>
      <c r="L152" s="465"/>
      <c r="M152" s="465"/>
      <c r="N152" s="465"/>
      <c r="O152" s="465"/>
      <c r="P152" s="465"/>
      <c r="Q152" s="465"/>
      <c r="R152" s="465"/>
      <c r="S152" s="465"/>
      <c r="T152" s="465"/>
      <c r="U152" s="465"/>
      <c r="V152" s="546"/>
      <c r="W152" s="547"/>
      <c r="X152" s="406"/>
    </row>
    <row r="153" spans="1:25" x14ac:dyDescent="0.3">
      <c r="A153" s="543"/>
      <c r="B153" s="444" t="s">
        <v>158</v>
      </c>
      <c r="C153" s="444"/>
      <c r="D153" s="444"/>
      <c r="E153" s="444"/>
      <c r="F153" s="444"/>
      <c r="G153" s="444"/>
      <c r="H153" s="444"/>
      <c r="I153" s="444"/>
      <c r="J153" s="444"/>
      <c r="K153" s="444"/>
      <c r="L153" s="444"/>
      <c r="M153" s="444"/>
      <c r="N153" s="444"/>
      <c r="O153" s="444"/>
      <c r="P153" s="444"/>
      <c r="Q153" s="444"/>
      <c r="R153" s="444"/>
      <c r="S153" s="444"/>
      <c r="T153" s="444"/>
      <c r="U153" s="444"/>
      <c r="V153" s="517">
        <v>15000</v>
      </c>
      <c r="W153" s="558"/>
      <c r="X153" s="406"/>
    </row>
    <row r="154" spans="1:25" x14ac:dyDescent="0.3">
      <c r="A154" s="543"/>
      <c r="B154" s="444" t="s">
        <v>175</v>
      </c>
      <c r="C154" s="444"/>
      <c r="D154" s="444"/>
      <c r="E154" s="444"/>
      <c r="F154" s="444"/>
      <c r="G154" s="444"/>
      <c r="H154" s="444"/>
      <c r="I154" s="444"/>
      <c r="J154" s="444"/>
      <c r="K154" s="444"/>
      <c r="L154" s="444"/>
      <c r="M154" s="444"/>
      <c r="N154" s="444"/>
      <c r="O154" s="444"/>
      <c r="P154" s="444"/>
      <c r="Q154" s="444"/>
      <c r="R154" s="444"/>
      <c r="S154" s="444"/>
      <c r="T154" s="444"/>
      <c r="U154" s="444"/>
      <c r="V154" s="517">
        <v>0</v>
      </c>
      <c r="W154" s="558"/>
      <c r="X154" s="406"/>
    </row>
    <row r="155" spans="1:25" x14ac:dyDescent="0.3">
      <c r="A155" s="543"/>
      <c r="B155" s="444" t="s">
        <v>341</v>
      </c>
      <c r="C155" s="444"/>
      <c r="D155" s="444"/>
      <c r="E155" s="444"/>
      <c r="F155" s="444"/>
      <c r="G155" s="444"/>
      <c r="H155" s="444"/>
      <c r="I155" s="444"/>
      <c r="J155" s="444"/>
      <c r="K155" s="444"/>
      <c r="L155" s="444"/>
      <c r="M155" s="444"/>
      <c r="N155" s="444"/>
      <c r="O155" s="444"/>
      <c r="P155" s="444"/>
      <c r="Q155" s="444"/>
      <c r="R155" s="444"/>
      <c r="S155" s="444"/>
      <c r="T155" s="444"/>
      <c r="U155" s="444"/>
      <c r="V155" s="517">
        <v>0</v>
      </c>
      <c r="W155" s="558"/>
      <c r="X155" s="406"/>
    </row>
    <row r="156" spans="1:25" x14ac:dyDescent="0.3">
      <c r="A156" s="543"/>
      <c r="B156" s="465"/>
      <c r="C156" s="465"/>
      <c r="D156" s="465"/>
      <c r="E156" s="465"/>
      <c r="F156" s="465"/>
      <c r="G156" s="465"/>
      <c r="H156" s="465"/>
      <c r="I156" s="465"/>
      <c r="J156" s="465"/>
      <c r="K156" s="465"/>
      <c r="L156" s="465"/>
      <c r="M156" s="465"/>
      <c r="N156" s="465"/>
      <c r="O156" s="465"/>
      <c r="P156" s="465"/>
      <c r="Q156" s="465"/>
      <c r="R156" s="465"/>
      <c r="S156" s="465"/>
      <c r="T156" s="465"/>
      <c r="U156" s="465"/>
      <c r="V156" s="546"/>
      <c r="W156" s="547"/>
      <c r="X156" s="406"/>
    </row>
    <row r="157" spans="1:25" x14ac:dyDescent="0.3">
      <c r="A157" s="408"/>
      <c r="B157" s="518"/>
      <c r="C157" s="518"/>
      <c r="D157" s="518"/>
      <c r="E157" s="518"/>
      <c r="F157" s="518"/>
      <c r="G157" s="518"/>
      <c r="H157" s="518"/>
      <c r="I157" s="518"/>
      <c r="J157" s="518"/>
      <c r="K157" s="518"/>
      <c r="L157" s="518"/>
      <c r="M157" s="518"/>
      <c r="N157" s="518"/>
      <c r="O157" s="518"/>
      <c r="P157" s="518"/>
      <c r="Q157" s="518"/>
      <c r="R157" s="518"/>
      <c r="S157" s="518"/>
      <c r="T157" s="518"/>
      <c r="U157" s="518"/>
      <c r="V157" s="560"/>
      <c r="W157" s="411"/>
      <c r="X157" s="406"/>
    </row>
    <row r="158" spans="1:25" x14ac:dyDescent="0.3">
      <c r="A158" s="408"/>
      <c r="B158" s="557" t="s">
        <v>24</v>
      </c>
      <c r="C158" s="410"/>
      <c r="D158" s="410"/>
      <c r="E158" s="410"/>
      <c r="F158" s="410"/>
      <c r="G158" s="410"/>
      <c r="H158" s="410"/>
      <c r="I158" s="410"/>
      <c r="J158" s="410"/>
      <c r="K158" s="410"/>
      <c r="L158" s="410"/>
      <c r="M158" s="410"/>
      <c r="N158" s="410"/>
      <c r="O158" s="410"/>
      <c r="P158" s="410"/>
      <c r="Q158" s="410"/>
      <c r="R158" s="410"/>
      <c r="S158" s="410"/>
      <c r="T158" s="410"/>
      <c r="U158" s="410"/>
      <c r="V158" s="510"/>
      <c r="W158" s="411"/>
      <c r="X158" s="406"/>
    </row>
    <row r="159" spans="1:25" x14ac:dyDescent="0.3">
      <c r="A159" s="543"/>
      <c r="B159" s="444" t="s">
        <v>47</v>
      </c>
      <c r="C159" s="444"/>
      <c r="D159" s="444"/>
      <c r="E159" s="444"/>
      <c r="F159" s="444"/>
      <c r="G159" s="444"/>
      <c r="H159" s="444"/>
      <c r="I159" s="444"/>
      <c r="J159" s="444"/>
      <c r="K159" s="444"/>
      <c r="L159" s="444"/>
      <c r="M159" s="444"/>
      <c r="N159" s="444"/>
      <c r="O159" s="444"/>
      <c r="P159" s="444"/>
      <c r="Q159" s="444"/>
      <c r="R159" s="444"/>
      <c r="S159" s="444"/>
      <c r="T159" s="444"/>
      <c r="U159" s="444"/>
      <c r="V159" s="561" t="s">
        <v>121</v>
      </c>
      <c r="W159" s="558"/>
      <c r="X159" s="406"/>
    </row>
    <row r="160" spans="1:25" x14ac:dyDescent="0.3">
      <c r="A160" s="543"/>
      <c r="B160" s="444" t="s">
        <v>48</v>
      </c>
      <c r="C160" s="444"/>
      <c r="D160" s="444"/>
      <c r="E160" s="444"/>
      <c r="F160" s="444"/>
      <c r="G160" s="444"/>
      <c r="H160" s="444"/>
      <c r="I160" s="444"/>
      <c r="J160" s="444"/>
      <c r="K160" s="444"/>
      <c r="L160" s="444"/>
      <c r="M160" s="444"/>
      <c r="N160" s="444"/>
      <c r="O160" s="444"/>
      <c r="P160" s="444"/>
      <c r="Q160" s="444"/>
      <c r="R160" s="444"/>
      <c r="S160" s="444"/>
      <c r="T160" s="444"/>
      <c r="U160" s="444"/>
      <c r="V160" s="561" t="s">
        <v>121</v>
      </c>
      <c r="W160" s="558"/>
      <c r="X160" s="406"/>
    </row>
    <row r="161" spans="1:24" x14ac:dyDescent="0.3">
      <c r="A161" s="543"/>
      <c r="B161" s="444" t="s">
        <v>49</v>
      </c>
      <c r="C161" s="444"/>
      <c r="D161" s="444"/>
      <c r="E161" s="444"/>
      <c r="F161" s="444"/>
      <c r="G161" s="444"/>
      <c r="H161" s="444"/>
      <c r="I161" s="444"/>
      <c r="J161" s="444"/>
      <c r="K161" s="444"/>
      <c r="L161" s="444"/>
      <c r="M161" s="444"/>
      <c r="N161" s="444"/>
      <c r="O161" s="444"/>
      <c r="P161" s="444"/>
      <c r="Q161" s="444"/>
      <c r="R161" s="444"/>
      <c r="S161" s="444"/>
      <c r="T161" s="444"/>
      <c r="U161" s="444"/>
      <c r="V161" s="561" t="s">
        <v>121</v>
      </c>
      <c r="W161" s="558"/>
      <c r="X161" s="406"/>
    </row>
    <row r="162" spans="1:24" x14ac:dyDescent="0.3">
      <c r="A162" s="543"/>
      <c r="B162" s="444" t="s">
        <v>50</v>
      </c>
      <c r="C162" s="444"/>
      <c r="D162" s="444"/>
      <c r="E162" s="444"/>
      <c r="F162" s="444"/>
      <c r="G162" s="444"/>
      <c r="H162" s="444"/>
      <c r="I162" s="444"/>
      <c r="J162" s="444"/>
      <c r="K162" s="444"/>
      <c r="L162" s="444"/>
      <c r="M162" s="444"/>
      <c r="N162" s="444"/>
      <c r="O162" s="444"/>
      <c r="P162" s="444"/>
      <c r="Q162" s="444"/>
      <c r="R162" s="444"/>
      <c r="S162" s="444"/>
      <c r="T162" s="444"/>
      <c r="U162" s="444"/>
      <c r="V162" s="561" t="s">
        <v>121</v>
      </c>
      <c r="W162" s="558"/>
      <c r="X162" s="406"/>
    </row>
    <row r="163" spans="1:24" x14ac:dyDescent="0.3">
      <c r="A163" s="408"/>
      <c r="B163" s="518"/>
      <c r="C163" s="518"/>
      <c r="D163" s="518"/>
      <c r="E163" s="518"/>
      <c r="F163" s="518"/>
      <c r="G163" s="518"/>
      <c r="H163" s="518"/>
      <c r="I163" s="518"/>
      <c r="J163" s="518"/>
      <c r="K163" s="518"/>
      <c r="L163" s="518"/>
      <c r="M163" s="518"/>
      <c r="N163" s="518"/>
      <c r="O163" s="518"/>
      <c r="P163" s="518"/>
      <c r="Q163" s="518"/>
      <c r="R163" s="518"/>
      <c r="S163" s="518"/>
      <c r="T163" s="518"/>
      <c r="U163" s="518"/>
      <c r="V163" s="560"/>
      <c r="W163" s="411"/>
      <c r="X163" s="406"/>
    </row>
    <row r="164" spans="1:24" x14ac:dyDescent="0.3">
      <c r="A164" s="408"/>
      <c r="B164" s="557" t="s">
        <v>51</v>
      </c>
      <c r="C164" s="410"/>
      <c r="D164" s="410"/>
      <c r="E164" s="410"/>
      <c r="F164" s="410"/>
      <c r="G164" s="410"/>
      <c r="H164" s="410"/>
      <c r="I164" s="410"/>
      <c r="J164" s="410"/>
      <c r="K164" s="410"/>
      <c r="L164" s="410"/>
      <c r="M164" s="410"/>
      <c r="N164" s="410"/>
      <c r="O164" s="410"/>
      <c r="P164" s="410"/>
      <c r="Q164" s="410"/>
      <c r="R164" s="410"/>
      <c r="S164" s="410"/>
      <c r="T164" s="410"/>
      <c r="U164" s="410"/>
      <c r="V164" s="562"/>
      <c r="W164" s="411"/>
      <c r="X164" s="406"/>
    </row>
    <row r="165" spans="1:24" x14ac:dyDescent="0.3">
      <c r="A165" s="563"/>
      <c r="B165" s="548" t="s">
        <v>52</v>
      </c>
      <c r="C165" s="548"/>
      <c r="D165" s="548"/>
      <c r="E165" s="548"/>
      <c r="F165" s="548"/>
      <c r="G165" s="548"/>
      <c r="H165" s="548"/>
      <c r="I165" s="548"/>
      <c r="J165" s="548"/>
      <c r="K165" s="548"/>
      <c r="L165" s="548"/>
      <c r="M165" s="548"/>
      <c r="N165" s="548"/>
      <c r="O165" s="548"/>
      <c r="P165" s="548"/>
      <c r="Q165" s="548"/>
      <c r="R165" s="548"/>
      <c r="S165" s="548"/>
      <c r="T165" s="548"/>
      <c r="U165" s="548"/>
      <c r="V165" s="564">
        <v>0</v>
      </c>
      <c r="W165" s="565"/>
      <c r="X165" s="406"/>
    </row>
    <row r="166" spans="1:24" x14ac:dyDescent="0.3">
      <c r="A166" s="563"/>
      <c r="B166" s="548" t="s">
        <v>53</v>
      </c>
      <c r="C166" s="548"/>
      <c r="D166" s="548"/>
      <c r="E166" s="548"/>
      <c r="F166" s="548"/>
      <c r="G166" s="548"/>
      <c r="H166" s="548"/>
      <c r="I166" s="548"/>
      <c r="J166" s="548"/>
      <c r="K166" s="548"/>
      <c r="L166" s="548"/>
      <c r="M166" s="548"/>
      <c r="N166" s="548"/>
      <c r="O166" s="548"/>
      <c r="P166" s="548"/>
      <c r="Q166" s="548"/>
      <c r="R166" s="548"/>
      <c r="S166" s="548"/>
      <c r="T166" s="548"/>
      <c r="U166" s="548"/>
      <c r="V166" s="564">
        <v>520</v>
      </c>
      <c r="W166" s="565"/>
      <c r="X166" s="406"/>
    </row>
    <row r="167" spans="1:24" x14ac:dyDescent="0.3">
      <c r="A167" s="563"/>
      <c r="B167" s="548" t="s">
        <v>54</v>
      </c>
      <c r="C167" s="548"/>
      <c r="D167" s="548"/>
      <c r="E167" s="548"/>
      <c r="F167" s="548"/>
      <c r="G167" s="548"/>
      <c r="H167" s="548"/>
      <c r="I167" s="548"/>
      <c r="J167" s="548"/>
      <c r="K167" s="548"/>
      <c r="L167" s="548"/>
      <c r="M167" s="548"/>
      <c r="N167" s="548"/>
      <c r="O167" s="548"/>
      <c r="P167" s="548"/>
      <c r="Q167" s="548"/>
      <c r="R167" s="548"/>
      <c r="S167" s="548"/>
      <c r="T167" s="548"/>
      <c r="U167" s="548"/>
      <c r="V167" s="564">
        <f>V166+V165</f>
        <v>520</v>
      </c>
      <c r="W167" s="565"/>
      <c r="X167" s="406"/>
    </row>
    <row r="168" spans="1:24" x14ac:dyDescent="0.3">
      <c r="A168" s="563"/>
      <c r="B168" s="444" t="s">
        <v>318</v>
      </c>
      <c r="C168" s="548"/>
      <c r="D168" s="548"/>
      <c r="E168" s="548"/>
      <c r="F168" s="548"/>
      <c r="G168" s="548"/>
      <c r="H168" s="548"/>
      <c r="I168" s="548"/>
      <c r="J168" s="548"/>
      <c r="K168" s="548"/>
      <c r="L168" s="548"/>
      <c r="M168" s="548"/>
      <c r="N168" s="548"/>
      <c r="O168" s="548"/>
      <c r="P168" s="548"/>
      <c r="Q168" s="548"/>
      <c r="R168" s="548"/>
      <c r="S168" s="548"/>
      <c r="T168" s="548"/>
      <c r="U168" s="548"/>
      <c r="V168" s="564">
        <f>V114</f>
        <v>-520</v>
      </c>
      <c r="W168" s="565"/>
      <c r="X168" s="406"/>
    </row>
    <row r="169" spans="1:24" x14ac:dyDescent="0.3">
      <c r="A169" s="563"/>
      <c r="B169" s="548" t="s">
        <v>55</v>
      </c>
      <c r="C169" s="548"/>
      <c r="D169" s="548"/>
      <c r="E169" s="548"/>
      <c r="F169" s="548"/>
      <c r="G169" s="548"/>
      <c r="H169" s="548"/>
      <c r="I169" s="548"/>
      <c r="J169" s="548"/>
      <c r="K169" s="548"/>
      <c r="L169" s="548"/>
      <c r="M169" s="548"/>
      <c r="N169" s="548"/>
      <c r="O169" s="548"/>
      <c r="P169" s="548"/>
      <c r="Q169" s="548"/>
      <c r="R169" s="548"/>
      <c r="S169" s="548"/>
      <c r="T169" s="548"/>
      <c r="U169" s="548"/>
      <c r="V169" s="564">
        <f>V167+V168</f>
        <v>0</v>
      </c>
      <c r="W169" s="565"/>
      <c r="X169" s="406"/>
    </row>
    <row r="170" spans="1:24" x14ac:dyDescent="0.3">
      <c r="A170" s="563"/>
      <c r="B170" s="548" t="s">
        <v>288</v>
      </c>
      <c r="C170" s="548"/>
      <c r="D170" s="548"/>
      <c r="E170" s="548"/>
      <c r="F170" s="548"/>
      <c r="G170" s="548"/>
      <c r="H170" s="548"/>
      <c r="I170" s="548"/>
      <c r="J170" s="548"/>
      <c r="K170" s="548"/>
      <c r="L170" s="548"/>
      <c r="M170" s="548"/>
      <c r="N170" s="548"/>
      <c r="O170" s="548"/>
      <c r="P170" s="548"/>
      <c r="Q170" s="548"/>
      <c r="R170" s="548"/>
      <c r="S170" s="548"/>
      <c r="T170" s="548"/>
      <c r="U170" s="548"/>
      <c r="V170" s="564">
        <v>0</v>
      </c>
      <c r="W170" s="565"/>
      <c r="X170" s="406"/>
    </row>
    <row r="171" spans="1:24" ht="16.2" thickBot="1" x14ac:dyDescent="0.35">
      <c r="A171" s="408"/>
      <c r="B171" s="518"/>
      <c r="C171" s="518"/>
      <c r="D171" s="518"/>
      <c r="E171" s="518"/>
      <c r="F171" s="518"/>
      <c r="G171" s="518"/>
      <c r="H171" s="518"/>
      <c r="I171" s="518"/>
      <c r="J171" s="518"/>
      <c r="K171" s="518"/>
      <c r="L171" s="518"/>
      <c r="M171" s="518"/>
      <c r="N171" s="518"/>
      <c r="O171" s="518"/>
      <c r="P171" s="518"/>
      <c r="Q171" s="518"/>
      <c r="R171" s="518"/>
      <c r="S171" s="518"/>
      <c r="T171" s="518"/>
      <c r="U171" s="518"/>
      <c r="V171" s="560"/>
      <c r="W171" s="411"/>
      <c r="X171" s="406"/>
    </row>
    <row r="172" spans="1:24" x14ac:dyDescent="0.3">
      <c r="A172" s="402"/>
      <c r="B172" s="404"/>
      <c r="C172" s="404"/>
      <c r="D172" s="404"/>
      <c r="E172" s="404"/>
      <c r="F172" s="404"/>
      <c r="G172" s="404"/>
      <c r="H172" s="404"/>
      <c r="I172" s="404"/>
      <c r="J172" s="404"/>
      <c r="K172" s="404"/>
      <c r="L172" s="404"/>
      <c r="M172" s="404"/>
      <c r="N172" s="404"/>
      <c r="O172" s="404"/>
      <c r="P172" s="404"/>
      <c r="Q172" s="404"/>
      <c r="R172" s="404"/>
      <c r="S172" s="404"/>
      <c r="T172" s="404"/>
      <c r="U172" s="404"/>
      <c r="V172" s="566"/>
      <c r="W172" s="405"/>
      <c r="X172" s="406"/>
    </row>
    <row r="173" spans="1:24" x14ac:dyDescent="0.3">
      <c r="A173" s="408"/>
      <c r="B173" s="557" t="s">
        <v>56</v>
      </c>
      <c r="C173" s="410"/>
      <c r="D173" s="410"/>
      <c r="E173" s="410"/>
      <c r="F173" s="410"/>
      <c r="G173" s="410"/>
      <c r="H173" s="410"/>
      <c r="I173" s="410"/>
      <c r="J173" s="410"/>
      <c r="K173" s="410"/>
      <c r="L173" s="410"/>
      <c r="M173" s="410"/>
      <c r="N173" s="410"/>
      <c r="O173" s="410"/>
      <c r="P173" s="410"/>
      <c r="Q173" s="410"/>
      <c r="R173" s="410"/>
      <c r="S173" s="410"/>
      <c r="T173" s="410"/>
      <c r="U173" s="410"/>
      <c r="V173" s="510"/>
      <c r="W173" s="411"/>
      <c r="X173" s="406"/>
    </row>
    <row r="174" spans="1:24" x14ac:dyDescent="0.3">
      <c r="A174" s="408"/>
      <c r="B174" s="556"/>
      <c r="C174" s="410"/>
      <c r="D174" s="410"/>
      <c r="E174" s="410"/>
      <c r="F174" s="410"/>
      <c r="G174" s="410"/>
      <c r="H174" s="410"/>
      <c r="I174" s="410"/>
      <c r="J174" s="410"/>
      <c r="K174" s="410"/>
      <c r="L174" s="410"/>
      <c r="M174" s="410"/>
      <c r="N174" s="410"/>
      <c r="O174" s="410"/>
      <c r="P174" s="410"/>
      <c r="Q174" s="410"/>
      <c r="R174" s="410"/>
      <c r="S174" s="410"/>
      <c r="T174" s="410"/>
      <c r="U174" s="410"/>
      <c r="V174" s="510"/>
      <c r="W174" s="411"/>
      <c r="X174" s="406"/>
    </row>
    <row r="175" spans="1:24" x14ac:dyDescent="0.3">
      <c r="A175" s="543"/>
      <c r="B175" s="444" t="s">
        <v>57</v>
      </c>
      <c r="C175" s="444"/>
      <c r="D175" s="444"/>
      <c r="E175" s="444"/>
      <c r="F175" s="444"/>
      <c r="G175" s="444"/>
      <c r="H175" s="444"/>
      <c r="I175" s="444"/>
      <c r="J175" s="444"/>
      <c r="K175" s="444"/>
      <c r="L175" s="444"/>
      <c r="M175" s="444"/>
      <c r="N175" s="444"/>
      <c r="O175" s="444"/>
      <c r="P175" s="444"/>
      <c r="Q175" s="444"/>
      <c r="R175" s="444"/>
      <c r="S175" s="444"/>
      <c r="T175" s="444"/>
      <c r="U175" s="444"/>
      <c r="V175" s="517">
        <f>V70</f>
        <v>770981</v>
      </c>
      <c r="W175" s="558"/>
      <c r="X175" s="406"/>
    </row>
    <row r="176" spans="1:24" x14ac:dyDescent="0.3">
      <c r="A176" s="543"/>
      <c r="B176" s="444" t="s">
        <v>58</v>
      </c>
      <c r="C176" s="444"/>
      <c r="D176" s="444"/>
      <c r="E176" s="444"/>
      <c r="F176" s="444"/>
      <c r="G176" s="444"/>
      <c r="H176" s="444"/>
      <c r="I176" s="444"/>
      <c r="J176" s="444"/>
      <c r="K176" s="444"/>
      <c r="L176" s="444"/>
      <c r="M176" s="444"/>
      <c r="N176" s="444"/>
      <c r="O176" s="444"/>
      <c r="P176" s="444"/>
      <c r="Q176" s="444"/>
      <c r="R176" s="444"/>
      <c r="S176" s="444"/>
      <c r="T176" s="444"/>
      <c r="U176" s="444"/>
      <c r="V176" s="517">
        <f>V83</f>
        <v>770981</v>
      </c>
      <c r="W176" s="558"/>
      <c r="X176" s="406"/>
    </row>
    <row r="177" spans="1:24" ht="16.2" thickBot="1" x14ac:dyDescent="0.35">
      <c r="A177" s="408"/>
      <c r="B177" s="518"/>
      <c r="C177" s="518"/>
      <c r="D177" s="518"/>
      <c r="E177" s="518"/>
      <c r="F177" s="518"/>
      <c r="G177" s="518"/>
      <c r="H177" s="518"/>
      <c r="I177" s="518"/>
      <c r="J177" s="518"/>
      <c r="K177" s="518"/>
      <c r="L177" s="518"/>
      <c r="M177" s="518"/>
      <c r="N177" s="518"/>
      <c r="O177" s="518"/>
      <c r="P177" s="518"/>
      <c r="Q177" s="518"/>
      <c r="R177" s="518"/>
      <c r="S177" s="518"/>
      <c r="T177" s="518"/>
      <c r="U177" s="518"/>
      <c r="V177" s="560"/>
      <c r="W177" s="411"/>
      <c r="X177" s="406"/>
    </row>
    <row r="178" spans="1:24" x14ac:dyDescent="0.3">
      <c r="A178" s="402"/>
      <c r="B178" s="404"/>
      <c r="C178" s="404"/>
      <c r="D178" s="404"/>
      <c r="E178" s="404"/>
      <c r="F178" s="404"/>
      <c r="G178" s="404"/>
      <c r="H178" s="404"/>
      <c r="I178" s="404"/>
      <c r="J178" s="404"/>
      <c r="K178" s="404"/>
      <c r="L178" s="404"/>
      <c r="M178" s="404"/>
      <c r="N178" s="404"/>
      <c r="O178" s="404"/>
      <c r="P178" s="404"/>
      <c r="Q178" s="404"/>
      <c r="R178" s="404"/>
      <c r="S178" s="404"/>
      <c r="T178" s="404"/>
      <c r="U178" s="404"/>
      <c r="V178" s="566"/>
      <c r="W178" s="405"/>
      <c r="X178" s="406"/>
    </row>
    <row r="179" spans="1:24" s="473" customFormat="1" x14ac:dyDescent="0.3">
      <c r="A179" s="511"/>
      <c r="B179" s="557" t="s">
        <v>59</v>
      </c>
      <c r="C179" s="567"/>
      <c r="D179" s="567"/>
      <c r="E179" s="567"/>
      <c r="F179" s="567"/>
      <c r="G179" s="567"/>
      <c r="H179" s="568"/>
      <c r="I179" s="568"/>
      <c r="J179" s="568"/>
      <c r="K179" s="568"/>
      <c r="L179" s="568"/>
      <c r="M179" s="568"/>
      <c r="N179" s="568"/>
      <c r="O179" s="568"/>
      <c r="P179" s="568"/>
      <c r="Q179" s="568"/>
      <c r="R179" s="568"/>
      <c r="S179" s="568" t="s">
        <v>102</v>
      </c>
      <c r="T179" s="568" t="s">
        <v>179</v>
      </c>
      <c r="U179" s="413"/>
      <c r="V179" s="569" t="s">
        <v>117</v>
      </c>
      <c r="W179" s="570"/>
      <c r="X179" s="472"/>
    </row>
    <row r="180" spans="1:24" s="426" customFormat="1" x14ac:dyDescent="0.3">
      <c r="A180" s="443"/>
      <c r="B180" s="444" t="s">
        <v>60</v>
      </c>
      <c r="C180" s="444"/>
      <c r="D180" s="444"/>
      <c r="E180" s="444"/>
      <c r="F180" s="444"/>
      <c r="G180" s="444"/>
      <c r="H180" s="444"/>
      <c r="I180" s="444"/>
      <c r="J180" s="444"/>
      <c r="K180" s="444"/>
      <c r="L180" s="444"/>
      <c r="M180" s="444"/>
      <c r="N180" s="444"/>
      <c r="O180" s="444"/>
      <c r="P180" s="444"/>
      <c r="Q180" s="444"/>
      <c r="R180" s="444"/>
      <c r="S180" s="517">
        <f>+V34*0.16</f>
        <v>240030.4</v>
      </c>
      <c r="T180" s="482"/>
      <c r="U180" s="444"/>
      <c r="V180" s="517"/>
      <c r="W180" s="446"/>
      <c r="X180" s="425"/>
    </row>
    <row r="181" spans="1:24" s="426" customFormat="1" x14ac:dyDescent="0.3">
      <c r="A181" s="443"/>
      <c r="B181" s="444" t="s">
        <v>61</v>
      </c>
      <c r="C181" s="444"/>
      <c r="D181" s="444"/>
      <c r="E181" s="444"/>
      <c r="F181" s="444"/>
      <c r="G181" s="444"/>
      <c r="H181" s="444"/>
      <c r="I181" s="444"/>
      <c r="J181" s="444"/>
      <c r="K181" s="444"/>
      <c r="L181" s="444"/>
      <c r="M181" s="444"/>
      <c r="N181" s="444"/>
      <c r="O181" s="444"/>
      <c r="P181" s="444"/>
      <c r="Q181" s="444"/>
      <c r="R181" s="444"/>
      <c r="S181" s="517">
        <f>+'Dec 17'!S183</f>
        <v>54817</v>
      </c>
      <c r="T181" s="517">
        <f>+'Dec 17'!T183</f>
        <v>9760</v>
      </c>
      <c r="U181" s="444"/>
      <c r="V181" s="517">
        <f>S181+T181</f>
        <v>64577</v>
      </c>
      <c r="W181" s="446"/>
      <c r="X181" s="425"/>
    </row>
    <row r="182" spans="1:24" s="426" customFormat="1" x14ac:dyDescent="0.3">
      <c r="A182" s="443"/>
      <c r="B182" s="444" t="s">
        <v>62</v>
      </c>
      <c r="C182" s="444"/>
      <c r="D182" s="444"/>
      <c r="E182" s="444"/>
      <c r="F182" s="444"/>
      <c r="G182" s="444"/>
      <c r="H182" s="444"/>
      <c r="I182" s="444"/>
      <c r="J182" s="444"/>
      <c r="K182" s="444"/>
      <c r="L182" s="444"/>
      <c r="M182" s="444"/>
      <c r="N182" s="444"/>
      <c r="O182" s="444"/>
      <c r="P182" s="444"/>
      <c r="Q182" s="444"/>
      <c r="R182" s="444"/>
      <c r="S182" s="516">
        <v>235</v>
      </c>
      <c r="T182" s="516">
        <v>0</v>
      </c>
      <c r="U182" s="444"/>
      <c r="V182" s="517">
        <f>S182+T182</f>
        <v>235</v>
      </c>
      <c r="W182" s="446"/>
      <c r="X182" s="425"/>
    </row>
    <row r="183" spans="1:24" s="426" customFormat="1" x14ac:dyDescent="0.3">
      <c r="A183" s="443"/>
      <c r="B183" s="444" t="s">
        <v>63</v>
      </c>
      <c r="C183" s="444"/>
      <c r="D183" s="444"/>
      <c r="E183" s="444"/>
      <c r="F183" s="444"/>
      <c r="G183" s="444"/>
      <c r="H183" s="444"/>
      <c r="I183" s="444"/>
      <c r="J183" s="444"/>
      <c r="K183" s="444"/>
      <c r="L183" s="444"/>
      <c r="M183" s="444"/>
      <c r="N183" s="444"/>
      <c r="O183" s="444"/>
      <c r="P183" s="444"/>
      <c r="Q183" s="444"/>
      <c r="R183" s="444"/>
      <c r="S183" s="517">
        <f>+S181+S182</f>
        <v>55052</v>
      </c>
      <c r="T183" s="517">
        <f>T182+T181</f>
        <v>9760</v>
      </c>
      <c r="U183" s="444"/>
      <c r="V183" s="517">
        <f>S183+T183</f>
        <v>64812</v>
      </c>
      <c r="W183" s="446"/>
      <c r="X183" s="425"/>
    </row>
    <row r="184" spans="1:24" s="426" customFormat="1" x14ac:dyDescent="0.3">
      <c r="A184" s="443"/>
      <c r="B184" s="444" t="s">
        <v>64</v>
      </c>
      <c r="C184" s="444"/>
      <c r="D184" s="444"/>
      <c r="E184" s="444"/>
      <c r="F184" s="444"/>
      <c r="G184" s="444"/>
      <c r="H184" s="444"/>
      <c r="I184" s="444"/>
      <c r="J184" s="444"/>
      <c r="K184" s="444"/>
      <c r="L184" s="444"/>
      <c r="M184" s="444"/>
      <c r="N184" s="444"/>
      <c r="O184" s="444"/>
      <c r="P184" s="444"/>
      <c r="Q184" s="444"/>
      <c r="R184" s="444"/>
      <c r="S184" s="517">
        <f>S180-S183-T183</f>
        <v>175218.4</v>
      </c>
      <c r="T184" s="482"/>
      <c r="U184" s="444"/>
      <c r="V184" s="517"/>
      <c r="W184" s="446"/>
      <c r="X184" s="425"/>
    </row>
    <row r="185" spans="1:24" ht="16.2" thickBot="1" x14ac:dyDescent="0.35">
      <c r="A185" s="408"/>
      <c r="B185" s="518"/>
      <c r="C185" s="518"/>
      <c r="D185" s="518"/>
      <c r="E185" s="518"/>
      <c r="F185" s="518"/>
      <c r="G185" s="518"/>
      <c r="H185" s="518"/>
      <c r="I185" s="518"/>
      <c r="J185" s="518"/>
      <c r="K185" s="518"/>
      <c r="L185" s="518"/>
      <c r="M185" s="518"/>
      <c r="N185" s="518"/>
      <c r="O185" s="518"/>
      <c r="P185" s="518"/>
      <c r="Q185" s="518"/>
      <c r="R185" s="518"/>
      <c r="S185" s="518"/>
      <c r="T185" s="518"/>
      <c r="U185" s="518"/>
      <c r="V185" s="560"/>
      <c r="W185" s="411"/>
      <c r="X185" s="406"/>
    </row>
    <row r="186" spans="1:24" x14ac:dyDescent="0.3">
      <c r="A186" s="402"/>
      <c r="B186" s="404"/>
      <c r="C186" s="404"/>
      <c r="D186" s="404"/>
      <c r="E186" s="404"/>
      <c r="F186" s="404"/>
      <c r="G186" s="404"/>
      <c r="H186" s="404"/>
      <c r="I186" s="404"/>
      <c r="J186" s="404"/>
      <c r="K186" s="404"/>
      <c r="L186" s="404"/>
      <c r="M186" s="404"/>
      <c r="N186" s="404"/>
      <c r="O186" s="404"/>
      <c r="P186" s="404"/>
      <c r="Q186" s="404"/>
      <c r="R186" s="404"/>
      <c r="S186" s="404"/>
      <c r="T186" s="404"/>
      <c r="U186" s="404"/>
      <c r="V186" s="566"/>
      <c r="W186" s="405"/>
      <c r="X186" s="406"/>
    </row>
    <row r="187" spans="1:24" x14ac:dyDescent="0.3">
      <c r="A187" s="408"/>
      <c r="B187" s="557" t="s">
        <v>65</v>
      </c>
      <c r="C187" s="410"/>
      <c r="D187" s="410"/>
      <c r="E187" s="410"/>
      <c r="F187" s="410"/>
      <c r="G187" s="410"/>
      <c r="H187" s="410"/>
      <c r="I187" s="410"/>
      <c r="J187" s="410"/>
      <c r="K187" s="410"/>
      <c r="L187" s="410"/>
      <c r="M187" s="410"/>
      <c r="N187" s="410"/>
      <c r="O187" s="410"/>
      <c r="P187" s="410"/>
      <c r="Q187" s="410"/>
      <c r="R187" s="410"/>
      <c r="S187" s="410"/>
      <c r="T187" s="410"/>
      <c r="U187" s="410"/>
      <c r="V187" s="571"/>
      <c r="W187" s="411"/>
      <c r="X187" s="406"/>
    </row>
    <row r="188" spans="1:24" s="426" customFormat="1" x14ac:dyDescent="0.3">
      <c r="A188" s="443"/>
      <c r="B188" s="444" t="s">
        <v>66</v>
      </c>
      <c r="C188" s="444"/>
      <c r="D188" s="444"/>
      <c r="E188" s="444"/>
      <c r="F188" s="444"/>
      <c r="G188" s="444"/>
      <c r="H188" s="444"/>
      <c r="I188" s="444"/>
      <c r="J188" s="444"/>
      <c r="K188" s="444"/>
      <c r="L188" s="444"/>
      <c r="M188" s="444"/>
      <c r="N188" s="444"/>
      <c r="O188" s="444"/>
      <c r="P188" s="444"/>
      <c r="Q188" s="444"/>
      <c r="R188" s="444"/>
      <c r="S188" s="444"/>
      <c r="T188" s="444"/>
      <c r="U188" s="444"/>
      <c r="V188" s="561">
        <f>(V99+V101+V102+V103+V104)/-(V105+V106)</f>
        <v>4.3945518453427068</v>
      </c>
      <c r="W188" s="446" t="s">
        <v>118</v>
      </c>
      <c r="X188" s="425"/>
    </row>
    <row r="189" spans="1:24" s="426" customFormat="1" x14ac:dyDescent="0.3">
      <c r="A189" s="443"/>
      <c r="B189" s="444" t="s">
        <v>67</v>
      </c>
      <c r="C189" s="444"/>
      <c r="D189" s="444"/>
      <c r="E189" s="444"/>
      <c r="F189" s="444"/>
      <c r="G189" s="444"/>
      <c r="H189" s="444"/>
      <c r="I189" s="444"/>
      <c r="J189" s="444"/>
      <c r="K189" s="444"/>
      <c r="L189" s="444"/>
      <c r="M189" s="444"/>
      <c r="N189" s="444"/>
      <c r="O189" s="444"/>
      <c r="P189" s="444"/>
      <c r="Q189" s="444"/>
      <c r="R189" s="444"/>
      <c r="S189" s="444"/>
      <c r="T189" s="444"/>
      <c r="U189" s="444"/>
      <c r="V189" s="572">
        <v>1.92</v>
      </c>
      <c r="W189" s="446" t="s">
        <v>118</v>
      </c>
      <c r="X189" s="425"/>
    </row>
    <row r="190" spans="1:24" s="426" customFormat="1" x14ac:dyDescent="0.3">
      <c r="A190" s="443"/>
      <c r="B190" s="444" t="s">
        <v>68</v>
      </c>
      <c r="C190" s="444"/>
      <c r="D190" s="444"/>
      <c r="E190" s="444"/>
      <c r="F190" s="444"/>
      <c r="G190" s="444"/>
      <c r="H190" s="444"/>
      <c r="I190" s="444"/>
      <c r="J190" s="444"/>
      <c r="K190" s="444"/>
      <c r="L190" s="444"/>
      <c r="M190" s="444"/>
      <c r="N190" s="444"/>
      <c r="O190" s="444"/>
      <c r="P190" s="444"/>
      <c r="Q190" s="444"/>
      <c r="R190" s="444"/>
      <c r="S190" s="444"/>
      <c r="T190" s="444"/>
      <c r="U190" s="444"/>
      <c r="V190" s="561">
        <f>(V99+V101+V102+V103+V104+V105+V106)/-(V108+V109)</f>
        <v>14.972868217054264</v>
      </c>
      <c r="W190" s="446" t="s">
        <v>118</v>
      </c>
      <c r="X190" s="425"/>
    </row>
    <row r="191" spans="1:24" s="426" customFormat="1" x14ac:dyDescent="0.3">
      <c r="A191" s="443"/>
      <c r="B191" s="444" t="s">
        <v>69</v>
      </c>
      <c r="C191" s="444"/>
      <c r="D191" s="444"/>
      <c r="E191" s="444"/>
      <c r="F191" s="444"/>
      <c r="G191" s="444"/>
      <c r="H191" s="444"/>
      <c r="I191" s="444"/>
      <c r="J191" s="444"/>
      <c r="K191" s="444"/>
      <c r="L191" s="444"/>
      <c r="M191" s="444"/>
      <c r="N191" s="444"/>
      <c r="O191" s="444"/>
      <c r="P191" s="444"/>
      <c r="Q191" s="444"/>
      <c r="R191" s="444"/>
      <c r="S191" s="444"/>
      <c r="T191" s="444"/>
      <c r="U191" s="444"/>
      <c r="V191" s="572">
        <v>7.9</v>
      </c>
      <c r="W191" s="446" t="s">
        <v>118</v>
      </c>
      <c r="X191" s="425"/>
    </row>
    <row r="192" spans="1:24" s="426" customFormat="1" x14ac:dyDescent="0.3">
      <c r="A192" s="443"/>
      <c r="B192" s="444" t="s">
        <v>201</v>
      </c>
      <c r="C192" s="444"/>
      <c r="D192" s="444"/>
      <c r="E192" s="444"/>
      <c r="F192" s="444"/>
      <c r="G192" s="444"/>
      <c r="H192" s="444"/>
      <c r="I192" s="444"/>
      <c r="J192" s="444"/>
      <c r="K192" s="444"/>
      <c r="L192" s="444"/>
      <c r="M192" s="444"/>
      <c r="N192" s="444"/>
      <c r="O192" s="444"/>
      <c r="P192" s="444"/>
      <c r="Q192" s="444"/>
      <c r="R192" s="444"/>
      <c r="S192" s="444"/>
      <c r="T192" s="444"/>
      <c r="U192" s="444"/>
      <c r="V192" s="561">
        <f>(V99+V101+V102+V103+V104+V105+V106+V108+V109)/-(V110+V111)</f>
        <v>16.022222222222222</v>
      </c>
      <c r="W192" s="446" t="s">
        <v>118</v>
      </c>
      <c r="X192" s="425"/>
    </row>
    <row r="193" spans="1:24" s="426" customFormat="1" x14ac:dyDescent="0.3">
      <c r="A193" s="443"/>
      <c r="B193" s="444" t="s">
        <v>202</v>
      </c>
      <c r="C193" s="444"/>
      <c r="D193" s="444"/>
      <c r="E193" s="444"/>
      <c r="F193" s="444"/>
      <c r="G193" s="444"/>
      <c r="H193" s="444"/>
      <c r="I193" s="444"/>
      <c r="J193" s="444"/>
      <c r="K193" s="444"/>
      <c r="L193" s="444"/>
      <c r="M193" s="444"/>
      <c r="N193" s="444"/>
      <c r="O193" s="444"/>
      <c r="P193" s="444"/>
      <c r="Q193" s="444"/>
      <c r="R193" s="444"/>
      <c r="S193" s="444"/>
      <c r="T193" s="444"/>
      <c r="U193" s="444"/>
      <c r="V193" s="572">
        <v>9.8699999999999992</v>
      </c>
      <c r="W193" s="446" t="s">
        <v>118</v>
      </c>
      <c r="X193" s="425"/>
    </row>
    <row r="194" spans="1:24" x14ac:dyDescent="0.3">
      <c r="A194" s="543"/>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547"/>
      <c r="X194" s="406"/>
    </row>
    <row r="195" spans="1:24" x14ac:dyDescent="0.3">
      <c r="A195" s="408"/>
      <c r="B195" s="518"/>
      <c r="C195" s="518"/>
      <c r="D195" s="518"/>
      <c r="E195" s="518"/>
      <c r="F195" s="518"/>
      <c r="G195" s="518"/>
      <c r="H195" s="518"/>
      <c r="I195" s="518"/>
      <c r="J195" s="518"/>
      <c r="K195" s="518"/>
      <c r="L195" s="518"/>
      <c r="M195" s="518"/>
      <c r="N195" s="518"/>
      <c r="O195" s="518"/>
      <c r="P195" s="518"/>
      <c r="Q195" s="518"/>
      <c r="R195" s="518"/>
      <c r="S195" s="518"/>
      <c r="T195" s="518"/>
      <c r="U195" s="518"/>
      <c r="V195" s="518"/>
      <c r="W195" s="411"/>
      <c r="X195" s="406"/>
    </row>
    <row r="196" spans="1:24" x14ac:dyDescent="0.3">
      <c r="A196" s="408"/>
      <c r="B196" s="410"/>
      <c r="C196" s="410"/>
      <c r="D196" s="410"/>
      <c r="E196" s="410"/>
      <c r="F196" s="410"/>
      <c r="G196" s="410"/>
      <c r="H196" s="410"/>
      <c r="I196" s="410"/>
      <c r="J196" s="410"/>
      <c r="K196" s="410"/>
      <c r="L196" s="410"/>
      <c r="M196" s="410"/>
      <c r="N196" s="410"/>
      <c r="O196" s="410"/>
      <c r="P196" s="410"/>
      <c r="Q196" s="410"/>
      <c r="R196" s="410"/>
      <c r="S196" s="410"/>
      <c r="T196" s="410"/>
      <c r="U196" s="410"/>
      <c r="V196" s="410"/>
      <c r="W196" s="411"/>
      <c r="X196" s="406"/>
    </row>
    <row r="197" spans="1:24" ht="18.600000000000001" thickBot="1" x14ac:dyDescent="0.4">
      <c r="A197" s="573"/>
      <c r="B197" s="501" t="str">
        <f>B137</f>
        <v>PM13 INVESTOR REPORT QUARTER ENDING MARCH 2018</v>
      </c>
      <c r="C197" s="574"/>
      <c r="D197" s="574"/>
      <c r="E197" s="574"/>
      <c r="F197" s="574"/>
      <c r="G197" s="574"/>
      <c r="H197" s="574"/>
      <c r="I197" s="574"/>
      <c r="J197" s="574"/>
      <c r="K197" s="574"/>
      <c r="L197" s="574"/>
      <c r="M197" s="574"/>
      <c r="N197" s="574"/>
      <c r="O197" s="574"/>
      <c r="P197" s="574"/>
      <c r="Q197" s="574"/>
      <c r="R197" s="574"/>
      <c r="S197" s="574"/>
      <c r="T197" s="574"/>
      <c r="U197" s="574"/>
      <c r="V197" s="574"/>
      <c r="W197" s="575"/>
      <c r="X197" s="406"/>
    </row>
    <row r="198" spans="1:24" x14ac:dyDescent="0.3">
      <c r="A198" s="505"/>
      <c r="B198" s="506" t="s">
        <v>70</v>
      </c>
      <c r="C198" s="576"/>
      <c r="D198" s="576"/>
      <c r="E198" s="576"/>
      <c r="F198" s="576"/>
      <c r="G198" s="577"/>
      <c r="H198" s="577"/>
      <c r="I198" s="577"/>
      <c r="J198" s="577"/>
      <c r="K198" s="577"/>
      <c r="L198" s="577"/>
      <c r="M198" s="577"/>
      <c r="N198" s="577"/>
      <c r="O198" s="577"/>
      <c r="P198" s="577"/>
      <c r="Q198" s="577"/>
      <c r="R198" s="577"/>
      <c r="S198" s="577"/>
      <c r="T198" s="577">
        <v>43188</v>
      </c>
      <c r="U198" s="507"/>
      <c r="V198" s="507"/>
      <c r="W198" s="509"/>
      <c r="X198" s="406"/>
    </row>
    <row r="199" spans="1:24" x14ac:dyDescent="0.3">
      <c r="A199" s="578"/>
      <c r="B199" s="579"/>
      <c r="C199" s="580"/>
      <c r="D199" s="580"/>
      <c r="E199" s="580"/>
      <c r="F199" s="580"/>
      <c r="G199" s="581"/>
      <c r="H199" s="581"/>
      <c r="I199" s="581"/>
      <c r="J199" s="581"/>
      <c r="K199" s="581"/>
      <c r="L199" s="581"/>
      <c r="M199" s="581"/>
      <c r="N199" s="581"/>
      <c r="O199" s="581"/>
      <c r="P199" s="581"/>
      <c r="Q199" s="581"/>
      <c r="R199" s="581"/>
      <c r="S199" s="581"/>
      <c r="T199" s="581"/>
      <c r="U199" s="410"/>
      <c r="V199" s="410"/>
      <c r="W199" s="411"/>
      <c r="X199" s="406"/>
    </row>
    <row r="200" spans="1:24" s="426" customFormat="1" x14ac:dyDescent="0.3">
      <c r="A200" s="443"/>
      <c r="B200" s="444" t="s">
        <v>71</v>
      </c>
      <c r="C200" s="582"/>
      <c r="D200" s="582"/>
      <c r="E200" s="582"/>
      <c r="F200" s="582"/>
      <c r="G200" s="488"/>
      <c r="H200" s="488"/>
      <c r="I200" s="488"/>
      <c r="J200" s="488"/>
      <c r="K200" s="488"/>
      <c r="L200" s="488"/>
      <c r="M200" s="488"/>
      <c r="N200" s="488"/>
      <c r="O200" s="488"/>
      <c r="P200" s="488"/>
      <c r="Q200" s="488"/>
      <c r="R200" s="488"/>
      <c r="S200" s="488"/>
      <c r="T200" s="479">
        <v>5.4539999999999998E-2</v>
      </c>
      <c r="U200" s="444"/>
      <c r="V200" s="444"/>
      <c r="W200" s="446"/>
      <c r="X200" s="425"/>
    </row>
    <row r="201" spans="1:24" s="426" customFormat="1" x14ac:dyDescent="0.3">
      <c r="A201" s="443"/>
      <c r="B201" s="444" t="s">
        <v>154</v>
      </c>
      <c r="C201" s="582"/>
      <c r="D201" s="582"/>
      <c r="E201" s="582"/>
      <c r="F201" s="582"/>
      <c r="G201" s="488"/>
      <c r="H201" s="488"/>
      <c r="I201" s="488"/>
      <c r="J201" s="488"/>
      <c r="K201" s="488"/>
      <c r="L201" s="488"/>
      <c r="M201" s="488"/>
      <c r="N201" s="488"/>
      <c r="O201" s="488"/>
      <c r="P201" s="488"/>
      <c r="Q201" s="488"/>
      <c r="R201" s="488"/>
      <c r="S201" s="488"/>
      <c r="T201" s="479">
        <f>'Dec 06'!T199</f>
        <v>5.238600504269459E-2</v>
      </c>
      <c r="U201" s="444"/>
      <c r="V201" s="444"/>
      <c r="W201" s="446"/>
      <c r="X201" s="425"/>
    </row>
    <row r="202" spans="1:24" s="426" customFormat="1" x14ac:dyDescent="0.3">
      <c r="A202" s="443"/>
      <c r="B202" s="444" t="s">
        <v>72</v>
      </c>
      <c r="C202" s="582"/>
      <c r="D202" s="582"/>
      <c r="E202" s="582"/>
      <c r="F202" s="582"/>
      <c r="G202" s="488"/>
      <c r="H202" s="488"/>
      <c r="I202" s="488"/>
      <c r="J202" s="488"/>
      <c r="K202" s="488"/>
      <c r="L202" s="488"/>
      <c r="M202" s="488"/>
      <c r="N202" s="488"/>
      <c r="O202" s="488"/>
      <c r="P202" s="488"/>
      <c r="Q202" s="488"/>
      <c r="R202" s="488"/>
      <c r="S202" s="488"/>
      <c r="T202" s="479">
        <f>+T200-T201</f>
        <v>2.1539949573054079E-3</v>
      </c>
      <c r="U202" s="444"/>
      <c r="V202" s="444"/>
      <c r="W202" s="446"/>
      <c r="X202" s="425"/>
    </row>
    <row r="203" spans="1:24" s="426" customFormat="1" x14ac:dyDescent="0.3">
      <c r="A203" s="443"/>
      <c r="B203" s="444" t="s">
        <v>73</v>
      </c>
      <c r="C203" s="582"/>
      <c r="D203" s="582"/>
      <c r="E203" s="582"/>
      <c r="F203" s="582"/>
      <c r="G203" s="488"/>
      <c r="H203" s="488"/>
      <c r="I203" s="488"/>
      <c r="J203" s="488"/>
      <c r="K203" s="488"/>
      <c r="L203" s="488"/>
      <c r="M203" s="488"/>
      <c r="N203" s="488"/>
      <c r="O203" s="488"/>
      <c r="P203" s="488"/>
      <c r="Q203" s="488"/>
      <c r="R203" s="488"/>
      <c r="S203" s="488"/>
      <c r="T203" s="479">
        <v>2.3109999999999999E-2</v>
      </c>
      <c r="U203" s="444"/>
      <c r="V203" s="444"/>
      <c r="W203" s="446"/>
      <c r="X203" s="425"/>
    </row>
    <row r="204" spans="1:24" s="426" customFormat="1" x14ac:dyDescent="0.3">
      <c r="A204" s="443"/>
      <c r="B204" s="444" t="s">
        <v>222</v>
      </c>
      <c r="C204" s="582"/>
      <c r="D204" s="582"/>
      <c r="E204" s="582"/>
      <c r="F204" s="582"/>
      <c r="G204" s="488"/>
      <c r="H204" s="488"/>
      <c r="I204" s="488"/>
      <c r="J204" s="488"/>
      <c r="K204" s="488"/>
      <c r="L204" s="488"/>
      <c r="M204" s="488"/>
      <c r="N204" s="488"/>
      <c r="O204" s="488"/>
      <c r="P204" s="488"/>
      <c r="Q204" s="488"/>
      <c r="R204" s="488"/>
      <c r="S204" s="488"/>
      <c r="T204" s="479">
        <f>V43</f>
        <v>8.4074491660667671E-3</v>
      </c>
      <c r="U204" s="444"/>
      <c r="V204" s="444"/>
      <c r="W204" s="446"/>
      <c r="X204" s="425"/>
    </row>
    <row r="205" spans="1:24" s="426" customFormat="1" x14ac:dyDescent="0.3">
      <c r="A205" s="443"/>
      <c r="B205" s="444" t="s">
        <v>74</v>
      </c>
      <c r="C205" s="582"/>
      <c r="D205" s="582"/>
      <c r="E205" s="582"/>
      <c r="F205" s="582"/>
      <c r="G205" s="488"/>
      <c r="H205" s="488"/>
      <c r="I205" s="488"/>
      <c r="J205" s="488"/>
      <c r="K205" s="488"/>
      <c r="L205" s="488"/>
      <c r="M205" s="488"/>
      <c r="N205" s="488"/>
      <c r="O205" s="488"/>
      <c r="P205" s="488"/>
      <c r="Q205" s="488"/>
      <c r="R205" s="488"/>
      <c r="S205" s="488"/>
      <c r="T205" s="479">
        <f>T203-T204</f>
        <v>1.4702550833933231E-2</v>
      </c>
      <c r="U205" s="444"/>
      <c r="V205" s="444"/>
      <c r="W205" s="446"/>
      <c r="X205" s="425"/>
    </row>
    <row r="206" spans="1:24" s="426" customFormat="1" x14ac:dyDescent="0.3">
      <c r="A206" s="443"/>
      <c r="B206" s="444" t="s">
        <v>274</v>
      </c>
      <c r="C206" s="582"/>
      <c r="D206" s="582"/>
      <c r="E206" s="582"/>
      <c r="F206" s="582"/>
      <c r="G206" s="488"/>
      <c r="H206" s="488"/>
      <c r="I206" s="488"/>
      <c r="J206" s="488"/>
      <c r="K206" s="488"/>
      <c r="L206" s="488"/>
      <c r="M206" s="488"/>
      <c r="N206" s="488"/>
      <c r="O206" s="488"/>
      <c r="P206" s="488"/>
      <c r="Q206" s="488"/>
      <c r="R206" s="488"/>
      <c r="S206" s="488"/>
      <c r="T206" s="479">
        <f>+V99/N70</f>
        <v>6.9959937034777923E-3</v>
      </c>
      <c r="U206" s="444"/>
      <c r="V206" s="444"/>
      <c r="W206" s="446"/>
      <c r="X206" s="425"/>
    </row>
    <row r="207" spans="1:24" s="426" customFormat="1" x14ac:dyDescent="0.3">
      <c r="A207" s="443"/>
      <c r="B207" s="444" t="s">
        <v>211</v>
      </c>
      <c r="C207" s="582"/>
      <c r="D207" s="582"/>
      <c r="E207" s="582"/>
      <c r="F207" s="582"/>
      <c r="G207" s="488"/>
      <c r="H207" s="488"/>
      <c r="I207" s="488"/>
      <c r="J207" s="488"/>
      <c r="K207" s="488"/>
      <c r="L207" s="488"/>
      <c r="M207" s="488"/>
      <c r="N207" s="488"/>
      <c r="O207" s="488"/>
      <c r="P207" s="488"/>
      <c r="Q207" s="488"/>
      <c r="R207" s="488"/>
      <c r="S207" s="488"/>
      <c r="T207" s="583">
        <v>50771</v>
      </c>
      <c r="U207" s="444"/>
      <c r="V207" s="444"/>
      <c r="W207" s="446"/>
      <c r="X207" s="425"/>
    </row>
    <row r="208" spans="1:24" s="426" customFormat="1" x14ac:dyDescent="0.3">
      <c r="A208" s="443"/>
      <c r="B208" s="444" t="s">
        <v>212</v>
      </c>
      <c r="C208" s="582"/>
      <c r="D208" s="582"/>
      <c r="E208" s="582"/>
      <c r="F208" s="582"/>
      <c r="G208" s="488"/>
      <c r="H208" s="488"/>
      <c r="I208" s="488"/>
      <c r="J208" s="488"/>
      <c r="K208" s="488"/>
      <c r="L208" s="488"/>
      <c r="M208" s="488"/>
      <c r="N208" s="488"/>
      <c r="O208" s="488"/>
      <c r="P208" s="488"/>
      <c r="Q208" s="488"/>
      <c r="R208" s="488"/>
      <c r="S208" s="488"/>
      <c r="T208" s="583">
        <v>50771</v>
      </c>
      <c r="U208" s="444"/>
      <c r="V208" s="444"/>
      <c r="W208" s="446"/>
      <c r="X208" s="425"/>
    </row>
    <row r="209" spans="1:24" s="426" customFormat="1" x14ac:dyDescent="0.3">
      <c r="A209" s="443"/>
      <c r="B209" s="444" t="s">
        <v>213</v>
      </c>
      <c r="C209" s="582"/>
      <c r="D209" s="582"/>
      <c r="E209" s="582"/>
      <c r="F209" s="582"/>
      <c r="G209" s="488"/>
      <c r="H209" s="488"/>
      <c r="I209" s="488"/>
      <c r="J209" s="488"/>
      <c r="K209" s="488"/>
      <c r="L209" s="488"/>
      <c r="M209" s="488"/>
      <c r="N209" s="488"/>
      <c r="O209" s="488"/>
      <c r="P209" s="488"/>
      <c r="Q209" s="488"/>
      <c r="R209" s="488"/>
      <c r="S209" s="488"/>
      <c r="T209" s="583">
        <v>50771</v>
      </c>
      <c r="U209" s="444"/>
      <c r="V209" s="444"/>
      <c r="W209" s="446"/>
      <c r="X209" s="425"/>
    </row>
    <row r="210" spans="1:24" s="426" customFormat="1" x14ac:dyDescent="0.3">
      <c r="A210" s="443"/>
      <c r="B210" s="444" t="s">
        <v>75</v>
      </c>
      <c r="C210" s="582"/>
      <c r="D210" s="582"/>
      <c r="E210" s="582"/>
      <c r="F210" s="582"/>
      <c r="G210" s="488"/>
      <c r="H210" s="488"/>
      <c r="I210" s="488"/>
      <c r="J210" s="488"/>
      <c r="K210" s="488"/>
      <c r="L210" s="488"/>
      <c r="M210" s="488"/>
      <c r="N210" s="488"/>
      <c r="O210" s="488"/>
      <c r="P210" s="488"/>
      <c r="Q210" s="488"/>
      <c r="R210" s="488"/>
      <c r="S210" s="488"/>
      <c r="T210" s="484">
        <v>20.66</v>
      </c>
      <c r="U210" s="444" t="s">
        <v>113</v>
      </c>
      <c r="V210" s="444"/>
      <c r="W210" s="446"/>
      <c r="X210" s="425"/>
    </row>
    <row r="211" spans="1:24" s="426" customFormat="1" x14ac:dyDescent="0.3">
      <c r="A211" s="443"/>
      <c r="B211" s="444" t="s">
        <v>76</v>
      </c>
      <c r="C211" s="582"/>
      <c r="D211" s="582"/>
      <c r="E211" s="582"/>
      <c r="F211" s="582"/>
      <c r="G211" s="488"/>
      <c r="H211" s="488"/>
      <c r="I211" s="488"/>
      <c r="J211" s="488"/>
      <c r="K211" s="488"/>
      <c r="L211" s="488"/>
      <c r="M211" s="488"/>
      <c r="N211" s="488"/>
      <c r="O211" s="488"/>
      <c r="P211" s="488"/>
      <c r="Q211" s="488"/>
      <c r="R211" s="488"/>
      <c r="S211" s="488"/>
      <c r="T211" s="484">
        <v>10.26</v>
      </c>
      <c r="U211" s="444" t="s">
        <v>113</v>
      </c>
      <c r="V211" s="444"/>
      <c r="W211" s="446"/>
      <c r="X211" s="425"/>
    </row>
    <row r="212" spans="1:24" s="426" customFormat="1" x14ac:dyDescent="0.3">
      <c r="A212" s="443"/>
      <c r="B212" s="444" t="s">
        <v>77</v>
      </c>
      <c r="C212" s="582"/>
      <c r="D212" s="582"/>
      <c r="E212" s="582"/>
      <c r="F212" s="582"/>
      <c r="G212" s="488"/>
      <c r="H212" s="488"/>
      <c r="I212" s="488"/>
      <c r="J212" s="488"/>
      <c r="K212" s="488"/>
      <c r="L212" s="488"/>
      <c r="M212" s="488"/>
      <c r="N212" s="488"/>
      <c r="O212" s="488"/>
      <c r="P212" s="488"/>
      <c r="Q212" s="488"/>
      <c r="R212" s="488"/>
      <c r="S212" s="488"/>
      <c r="T212" s="479">
        <f>P67/N67</f>
        <v>1.4415250780351885E-2</v>
      </c>
      <c r="U212" s="444"/>
      <c r="V212" s="444"/>
      <c r="W212" s="446"/>
      <c r="X212" s="425"/>
    </row>
    <row r="213" spans="1:24" s="426" customFormat="1" x14ac:dyDescent="0.3">
      <c r="A213" s="443"/>
      <c r="B213" s="444" t="s">
        <v>78</v>
      </c>
      <c r="C213" s="582"/>
      <c r="D213" s="582"/>
      <c r="E213" s="582"/>
      <c r="F213" s="582"/>
      <c r="G213" s="488"/>
      <c r="H213" s="488"/>
      <c r="I213" s="488"/>
      <c r="J213" s="488"/>
      <c r="K213" s="488"/>
      <c r="L213" s="488"/>
      <c r="M213" s="488"/>
      <c r="N213" s="488"/>
      <c r="O213" s="488"/>
      <c r="P213" s="488"/>
      <c r="Q213" s="488"/>
      <c r="R213" s="488"/>
      <c r="S213" s="488"/>
      <c r="T213" s="479">
        <v>6.3E-2</v>
      </c>
      <c r="U213" s="444"/>
      <c r="V213" s="444"/>
      <c r="W213" s="446"/>
      <c r="X213" s="425"/>
    </row>
    <row r="214" spans="1:24" s="426" customFormat="1" x14ac:dyDescent="0.3">
      <c r="A214" s="421"/>
      <c r="B214" s="494"/>
      <c r="C214" s="494"/>
      <c r="D214" s="494"/>
      <c r="E214" s="494"/>
      <c r="F214" s="494"/>
      <c r="G214" s="494"/>
      <c r="H214" s="494"/>
      <c r="I214" s="494"/>
      <c r="J214" s="494"/>
      <c r="K214" s="494"/>
      <c r="L214" s="494"/>
      <c r="M214" s="494"/>
      <c r="N214" s="494"/>
      <c r="O214" s="494"/>
      <c r="P214" s="494"/>
      <c r="Q214" s="494"/>
      <c r="R214" s="494"/>
      <c r="S214" s="494"/>
      <c r="T214" s="584"/>
      <c r="U214" s="494"/>
      <c r="V214" s="585"/>
      <c r="W214" s="424"/>
      <c r="X214" s="425"/>
    </row>
    <row r="215" spans="1:24" s="426" customFormat="1" x14ac:dyDescent="0.3">
      <c r="A215" s="586"/>
      <c r="B215" s="420" t="s">
        <v>79</v>
      </c>
      <c r="C215" s="429"/>
      <c r="D215" s="429"/>
      <c r="E215" s="429"/>
      <c r="F215" s="587"/>
      <c r="G215" s="429"/>
      <c r="H215" s="429"/>
      <c r="I215" s="429"/>
      <c r="J215" s="429"/>
      <c r="K215" s="429"/>
      <c r="L215" s="429"/>
      <c r="M215" s="429"/>
      <c r="N215" s="429"/>
      <c r="O215" s="429"/>
      <c r="P215" s="429"/>
      <c r="Q215" s="429"/>
      <c r="R215" s="429"/>
      <c r="S215" s="429" t="s">
        <v>103</v>
      </c>
      <c r="T215" s="587" t="s">
        <v>110</v>
      </c>
      <c r="U215" s="422"/>
      <c r="V215" s="422"/>
      <c r="W215" s="424"/>
      <c r="X215" s="425"/>
    </row>
    <row r="216" spans="1:24" s="426" customFormat="1" x14ac:dyDescent="0.3">
      <c r="A216" s="588"/>
      <c r="B216" s="444" t="s">
        <v>80</v>
      </c>
      <c r="C216" s="516"/>
      <c r="D216" s="516"/>
      <c r="E216" s="516"/>
      <c r="F216" s="444"/>
      <c r="G216" s="444"/>
      <c r="H216" s="450"/>
      <c r="I216" s="450"/>
      <c r="J216" s="450"/>
      <c r="K216" s="450"/>
      <c r="L216" s="450"/>
      <c r="M216" s="450"/>
      <c r="N216" s="450"/>
      <c r="O216" s="450"/>
      <c r="P216" s="450"/>
      <c r="Q216" s="450"/>
      <c r="R216" s="450"/>
      <c r="S216" s="450">
        <v>1</v>
      </c>
      <c r="T216" s="589">
        <v>60</v>
      </c>
      <c r="U216" s="444"/>
      <c r="V216" s="590"/>
      <c r="W216" s="591"/>
      <c r="X216" s="425"/>
    </row>
    <row r="217" spans="1:24" s="426" customFormat="1" x14ac:dyDescent="0.3">
      <c r="A217" s="588"/>
      <c r="B217" s="444" t="s">
        <v>148</v>
      </c>
      <c r="C217" s="516"/>
      <c r="D217" s="516"/>
      <c r="E217" s="516"/>
      <c r="F217" s="444"/>
      <c r="G217" s="444"/>
      <c r="H217" s="450"/>
      <c r="I217" s="450"/>
      <c r="J217" s="450"/>
      <c r="K217" s="450"/>
      <c r="L217" s="450"/>
      <c r="M217" s="450"/>
      <c r="N217" s="450"/>
      <c r="O217" s="450"/>
      <c r="P217" s="450"/>
      <c r="Q217" s="450"/>
      <c r="R217" s="450"/>
      <c r="S217" s="592">
        <f>+R269</f>
        <v>106</v>
      </c>
      <c r="T217" s="589">
        <f>+T269</f>
        <v>17791</v>
      </c>
      <c r="U217" s="444"/>
      <c r="V217" s="590"/>
      <c r="W217" s="591"/>
      <c r="X217" s="425"/>
    </row>
    <row r="218" spans="1:24" s="426" customFormat="1" x14ac:dyDescent="0.3">
      <c r="A218" s="588"/>
      <c r="B218" s="444" t="s">
        <v>81</v>
      </c>
      <c r="C218" s="516"/>
      <c r="D218" s="516"/>
      <c r="E218" s="516"/>
      <c r="F218" s="444"/>
      <c r="G218" s="444"/>
      <c r="H218" s="450"/>
      <c r="I218" s="450"/>
      <c r="J218" s="450"/>
      <c r="K218" s="450"/>
      <c r="L218" s="450"/>
      <c r="M218" s="450"/>
      <c r="N218" s="450"/>
      <c r="O218" s="450"/>
      <c r="P218" s="450"/>
      <c r="Q218" s="450"/>
      <c r="R218" s="450"/>
      <c r="S218" s="592">
        <f>+R281</f>
        <v>0</v>
      </c>
      <c r="T218" s="589">
        <f>+T281</f>
        <v>0</v>
      </c>
      <c r="U218" s="444"/>
      <c r="V218" s="590"/>
      <c r="W218" s="591"/>
      <c r="X218" s="425"/>
    </row>
    <row r="219" spans="1:24" x14ac:dyDescent="0.3">
      <c r="A219" s="593"/>
      <c r="B219" s="594" t="s">
        <v>82</v>
      </c>
      <c r="C219" s="595"/>
      <c r="D219" s="595"/>
      <c r="E219" s="595"/>
      <c r="F219" s="465"/>
      <c r="G219" s="465"/>
      <c r="H219" s="465"/>
      <c r="I219" s="465"/>
      <c r="J219" s="465"/>
      <c r="K219" s="465"/>
      <c r="L219" s="465"/>
      <c r="M219" s="465"/>
      <c r="N219" s="465"/>
      <c r="O219" s="465"/>
      <c r="P219" s="465"/>
      <c r="Q219" s="465"/>
      <c r="R219" s="465"/>
      <c r="S219" s="465"/>
      <c r="T219" s="589">
        <v>0</v>
      </c>
      <c r="U219" s="465"/>
      <c r="V219" s="596"/>
      <c r="W219" s="597"/>
      <c r="X219" s="406"/>
    </row>
    <row r="220" spans="1:24" x14ac:dyDescent="0.3">
      <c r="A220" s="593"/>
      <c r="B220" s="594" t="s">
        <v>275</v>
      </c>
      <c r="C220" s="595"/>
      <c r="D220" s="595"/>
      <c r="E220" s="595"/>
      <c r="F220" s="465"/>
      <c r="G220" s="465"/>
      <c r="H220" s="465"/>
      <c r="I220" s="465"/>
      <c r="J220" s="465"/>
      <c r="K220" s="465"/>
      <c r="L220" s="465"/>
      <c r="M220" s="465"/>
      <c r="N220" s="465"/>
      <c r="O220" s="465"/>
      <c r="P220" s="465"/>
      <c r="Q220" s="465"/>
      <c r="R220" s="465"/>
      <c r="S220" s="465"/>
      <c r="T220" s="589">
        <f>+N80</f>
        <v>0</v>
      </c>
      <c r="U220" s="465"/>
      <c r="V220" s="596"/>
      <c r="W220" s="597"/>
      <c r="X220" s="406"/>
    </row>
    <row r="221" spans="1:24" x14ac:dyDescent="0.3">
      <c r="A221" s="598"/>
      <c r="B221" s="594" t="s">
        <v>83</v>
      </c>
      <c r="C221" s="599"/>
      <c r="D221" s="599"/>
      <c r="E221" s="599"/>
      <c r="F221" s="599"/>
      <c r="G221" s="465"/>
      <c r="H221" s="465"/>
      <c r="I221" s="465"/>
      <c r="J221" s="465"/>
      <c r="K221" s="465"/>
      <c r="L221" s="465"/>
      <c r="M221" s="465"/>
      <c r="N221" s="465"/>
      <c r="O221" s="465"/>
      <c r="P221" s="465"/>
      <c r="Q221" s="465"/>
      <c r="R221" s="465"/>
      <c r="S221" s="465"/>
      <c r="T221" s="600"/>
      <c r="U221" s="465"/>
      <c r="V221" s="596"/>
      <c r="W221" s="601"/>
      <c r="X221" s="406"/>
    </row>
    <row r="222" spans="1:24" s="426" customFormat="1" x14ac:dyDescent="0.3">
      <c r="A222" s="602"/>
      <c r="B222" s="444" t="s">
        <v>84</v>
      </c>
      <c r="C222" s="444"/>
      <c r="D222" s="444"/>
      <c r="E222" s="444"/>
      <c r="F222" s="444"/>
      <c r="G222" s="444"/>
      <c r="H222" s="444"/>
      <c r="I222" s="444"/>
      <c r="J222" s="444"/>
      <c r="K222" s="444"/>
      <c r="L222" s="444"/>
      <c r="M222" s="444"/>
      <c r="N222" s="444"/>
      <c r="O222" s="444"/>
      <c r="P222" s="444"/>
      <c r="Q222" s="444"/>
      <c r="R222" s="444"/>
      <c r="S222" s="450"/>
      <c r="T222" s="589">
        <f>V166</f>
        <v>520</v>
      </c>
      <c r="U222" s="444"/>
      <c r="V222" s="590"/>
      <c r="W222" s="603"/>
      <c r="X222" s="425"/>
    </row>
    <row r="223" spans="1:24" s="426" customFormat="1" x14ac:dyDescent="0.3">
      <c r="A223" s="588"/>
      <c r="B223" s="444" t="s">
        <v>85</v>
      </c>
      <c r="C223" s="516"/>
      <c r="D223" s="516"/>
      <c r="E223" s="516"/>
      <c r="F223" s="516"/>
      <c r="G223" s="444"/>
      <c r="H223" s="444"/>
      <c r="I223" s="444"/>
      <c r="J223" s="444"/>
      <c r="K223" s="444"/>
      <c r="L223" s="444"/>
      <c r="M223" s="444"/>
      <c r="N223" s="444"/>
      <c r="O223" s="444"/>
      <c r="P223" s="444"/>
      <c r="Q223" s="444"/>
      <c r="R223" s="444"/>
      <c r="S223" s="450"/>
      <c r="T223" s="589">
        <f>'Dec 17'!T223+T222</f>
        <v>10561</v>
      </c>
      <c r="U223" s="444"/>
      <c r="V223" s="590"/>
      <c r="W223" s="603"/>
      <c r="X223" s="425"/>
    </row>
    <row r="224" spans="1:24" x14ac:dyDescent="0.3">
      <c r="A224" s="598"/>
      <c r="B224" s="594" t="s">
        <v>297</v>
      </c>
      <c r="C224" s="599"/>
      <c r="D224" s="599"/>
      <c r="E224" s="599"/>
      <c r="F224" s="599"/>
      <c r="G224" s="465"/>
      <c r="H224" s="465"/>
      <c r="I224" s="465"/>
      <c r="J224" s="465"/>
      <c r="K224" s="465"/>
      <c r="L224" s="465"/>
      <c r="M224" s="465"/>
      <c r="N224" s="465"/>
      <c r="O224" s="465"/>
      <c r="P224" s="465"/>
      <c r="Q224" s="465"/>
      <c r="R224" s="465"/>
      <c r="S224" s="604"/>
      <c r="T224" s="600"/>
      <c r="U224" s="465"/>
      <c r="V224" s="596"/>
      <c r="W224" s="601"/>
      <c r="X224" s="406"/>
    </row>
    <row r="225" spans="1:25" s="426" customFormat="1" x14ac:dyDescent="0.3">
      <c r="A225" s="602"/>
      <c r="B225" s="444" t="s">
        <v>295</v>
      </c>
      <c r="C225" s="444"/>
      <c r="D225" s="444"/>
      <c r="E225" s="444"/>
      <c r="F225" s="444"/>
      <c r="G225" s="444"/>
      <c r="H225" s="444"/>
      <c r="I225" s="444"/>
      <c r="J225" s="444"/>
      <c r="K225" s="444"/>
      <c r="L225" s="444"/>
      <c r="M225" s="444"/>
      <c r="N225" s="444"/>
      <c r="O225" s="444"/>
      <c r="P225" s="444"/>
      <c r="Q225" s="444"/>
      <c r="R225" s="444"/>
      <c r="S225" s="450">
        <v>1</v>
      </c>
      <c r="T225" s="589">
        <v>118</v>
      </c>
      <c r="U225" s="444"/>
      <c r="V225" s="590"/>
      <c r="W225" s="603"/>
      <c r="X225" s="425"/>
    </row>
    <row r="226" spans="1:25" s="426" customFormat="1" x14ac:dyDescent="0.3">
      <c r="A226" s="588"/>
      <c r="B226" s="444" t="s">
        <v>87</v>
      </c>
      <c r="C226" s="482"/>
      <c r="D226" s="482"/>
      <c r="E226" s="482"/>
      <c r="F226" s="605"/>
      <c r="G226" s="444"/>
      <c r="H226" s="444"/>
      <c r="I226" s="444"/>
      <c r="J226" s="444"/>
      <c r="K226" s="444"/>
      <c r="L226" s="444"/>
      <c r="M226" s="444"/>
      <c r="N226" s="444"/>
      <c r="O226" s="444"/>
      <c r="P226" s="444"/>
      <c r="Q226" s="444"/>
      <c r="R226" s="444"/>
      <c r="S226" s="444"/>
      <c r="T226" s="606">
        <v>6.42</v>
      </c>
      <c r="U226" s="444"/>
      <c r="V226" s="590"/>
      <c r="W226" s="603"/>
      <c r="X226" s="425"/>
    </row>
    <row r="227" spans="1:25" s="426" customFormat="1" x14ac:dyDescent="0.3">
      <c r="A227" s="588"/>
      <c r="B227" s="444" t="s">
        <v>88</v>
      </c>
      <c r="C227" s="482"/>
      <c r="D227" s="482"/>
      <c r="E227" s="482"/>
      <c r="F227" s="605"/>
      <c r="G227" s="444"/>
      <c r="H227" s="444"/>
      <c r="I227" s="444"/>
      <c r="J227" s="444"/>
      <c r="K227" s="444"/>
      <c r="L227" s="444"/>
      <c r="M227" s="444"/>
      <c r="N227" s="444"/>
      <c r="O227" s="444"/>
      <c r="P227" s="444"/>
      <c r="Q227" s="444"/>
      <c r="R227" s="444"/>
      <c r="S227" s="444"/>
      <c r="T227" s="606">
        <v>9.7200000000000006</v>
      </c>
      <c r="U227" s="444"/>
      <c r="V227" s="590"/>
      <c r="W227" s="603"/>
      <c r="X227" s="425"/>
    </row>
    <row r="228" spans="1:25" x14ac:dyDescent="0.3">
      <c r="A228" s="593"/>
      <c r="B228" s="594" t="s">
        <v>220</v>
      </c>
      <c r="C228" s="607"/>
      <c r="D228" s="607"/>
      <c r="E228" s="607"/>
      <c r="F228" s="608"/>
      <c r="G228" s="465"/>
      <c r="H228" s="465"/>
      <c r="I228" s="465"/>
      <c r="J228" s="465"/>
      <c r="K228" s="465"/>
      <c r="L228" s="465"/>
      <c r="M228" s="465"/>
      <c r="N228" s="465"/>
      <c r="O228" s="465"/>
      <c r="P228" s="465"/>
      <c r="Q228" s="465"/>
      <c r="R228" s="465"/>
      <c r="S228" s="609"/>
      <c r="T228" s="610"/>
      <c r="U228" s="465"/>
      <c r="V228" s="596"/>
      <c r="W228" s="601"/>
      <c r="X228" s="406"/>
    </row>
    <row r="229" spans="1:25" s="426" customFormat="1" x14ac:dyDescent="0.3">
      <c r="A229" s="588"/>
      <c r="B229" s="444" t="s">
        <v>295</v>
      </c>
      <c r="C229" s="482"/>
      <c r="D229" s="482"/>
      <c r="E229" s="482"/>
      <c r="F229" s="605"/>
      <c r="G229" s="444"/>
      <c r="H229" s="444"/>
      <c r="I229" s="444"/>
      <c r="J229" s="444"/>
      <c r="K229" s="444"/>
      <c r="L229" s="444"/>
      <c r="M229" s="444"/>
      <c r="N229" s="444"/>
      <c r="O229" s="444"/>
      <c r="P229" s="444"/>
      <c r="Q229" s="444"/>
      <c r="R229" s="444"/>
      <c r="S229" s="450">
        <v>8</v>
      </c>
      <c r="T229" s="589">
        <v>836</v>
      </c>
      <c r="U229" s="444"/>
      <c r="V229" s="590"/>
      <c r="W229" s="603"/>
      <c r="X229" s="425"/>
    </row>
    <row r="230" spans="1:25" s="426" customFormat="1" x14ac:dyDescent="0.3">
      <c r="A230" s="588"/>
      <c r="B230" s="444" t="s">
        <v>221</v>
      </c>
      <c r="C230" s="482"/>
      <c r="D230" s="482"/>
      <c r="E230" s="482"/>
      <c r="F230" s="605"/>
      <c r="G230" s="444"/>
      <c r="H230" s="444"/>
      <c r="I230" s="444"/>
      <c r="J230" s="444"/>
      <c r="K230" s="444"/>
      <c r="L230" s="444"/>
      <c r="M230" s="444"/>
      <c r="N230" s="444"/>
      <c r="O230" s="444"/>
      <c r="P230" s="444"/>
      <c r="Q230" s="444"/>
      <c r="R230" s="444"/>
      <c r="S230" s="444"/>
      <c r="T230" s="606">
        <v>1.93</v>
      </c>
      <c r="U230" s="444"/>
      <c r="V230" s="590"/>
      <c r="W230" s="603"/>
      <c r="X230" s="425"/>
    </row>
    <row r="231" spans="1:25" x14ac:dyDescent="0.3">
      <c r="A231" s="593"/>
      <c r="B231" s="599"/>
      <c r="C231" s="607"/>
      <c r="D231" s="607"/>
      <c r="E231" s="607"/>
      <c r="F231" s="608"/>
      <c r="G231" s="465"/>
      <c r="H231" s="465"/>
      <c r="I231" s="465"/>
      <c r="J231" s="465"/>
      <c r="K231" s="465"/>
      <c r="L231" s="465"/>
      <c r="M231" s="465"/>
      <c r="N231" s="465"/>
      <c r="O231" s="465"/>
      <c r="P231" s="465"/>
      <c r="Q231" s="465"/>
      <c r="R231" s="465"/>
      <c r="S231" s="465"/>
      <c r="T231" s="611"/>
      <c r="U231" s="465"/>
      <c r="V231" s="596"/>
      <c r="W231" s="601"/>
      <c r="X231" s="406"/>
    </row>
    <row r="232" spans="1:25" x14ac:dyDescent="0.3">
      <c r="A232" s="593"/>
      <c r="B232" s="599"/>
      <c r="C232" s="607"/>
      <c r="D232" s="607"/>
      <c r="E232" s="607"/>
      <c r="F232" s="608"/>
      <c r="G232" s="465"/>
      <c r="H232" s="465"/>
      <c r="I232" s="465"/>
      <c r="J232" s="465"/>
      <c r="K232" s="465"/>
      <c r="L232" s="465"/>
      <c r="M232" s="465"/>
      <c r="N232" s="465"/>
      <c r="O232" s="465"/>
      <c r="P232" s="465"/>
      <c r="Q232" s="465"/>
      <c r="R232" s="465"/>
      <c r="S232" s="465"/>
      <c r="T232" s="611"/>
      <c r="U232" s="465"/>
      <c r="V232" s="596"/>
      <c r="W232" s="601"/>
      <c r="X232" s="406"/>
    </row>
    <row r="233" spans="1:25" ht="18" x14ac:dyDescent="0.35">
      <c r="A233" s="593"/>
      <c r="B233" s="612" t="s">
        <v>171</v>
      </c>
      <c r="C233" s="607"/>
      <c r="D233" s="607"/>
      <c r="E233" s="607"/>
      <c r="F233" s="608"/>
      <c r="G233" s="465"/>
      <c r="H233" s="465"/>
      <c r="I233" s="465"/>
      <c r="J233" s="465"/>
      <c r="K233" s="465"/>
      <c r="L233" s="465"/>
      <c r="M233" s="465"/>
      <c r="N233" s="465"/>
      <c r="O233" s="465"/>
      <c r="P233" s="613" t="s">
        <v>370</v>
      </c>
      <c r="Q233" s="465"/>
      <c r="R233" s="465"/>
      <c r="S233" s="465"/>
      <c r="T233" s="611"/>
      <c r="U233" s="465"/>
      <c r="V233" s="596"/>
      <c r="W233" s="601"/>
      <c r="X233" s="406"/>
    </row>
    <row r="234" spans="1:25" x14ac:dyDescent="0.3">
      <c r="A234" s="614"/>
      <c r="B234" s="615"/>
      <c r="C234" s="616"/>
      <c r="D234" s="616"/>
      <c r="E234" s="616"/>
      <c r="F234" s="617"/>
      <c r="G234" s="518"/>
      <c r="H234" s="518"/>
      <c r="I234" s="518"/>
      <c r="J234" s="518"/>
      <c r="K234" s="518"/>
      <c r="L234" s="518"/>
      <c r="M234" s="518"/>
      <c r="N234" s="518"/>
      <c r="O234" s="518"/>
      <c r="P234" s="518"/>
      <c r="Q234" s="518"/>
      <c r="R234" s="518"/>
      <c r="S234" s="518"/>
      <c r="T234" s="618"/>
      <c r="U234" s="518"/>
      <c r="V234" s="619"/>
      <c r="W234" s="620"/>
      <c r="X234" s="406"/>
    </row>
    <row r="235" spans="1:25" x14ac:dyDescent="0.3">
      <c r="A235" s="533"/>
      <c r="B235" s="534" t="s">
        <v>310</v>
      </c>
      <c r="C235" s="535"/>
      <c r="D235" s="535"/>
      <c r="E235" s="535"/>
      <c r="F235" s="621"/>
      <c r="G235" s="535"/>
      <c r="H235" s="535"/>
      <c r="I235" s="535"/>
      <c r="J235" s="535"/>
      <c r="K235" s="535"/>
      <c r="L235" s="535"/>
      <c r="M235" s="535"/>
      <c r="N235" s="535"/>
      <c r="O235" s="535"/>
      <c r="P235" s="535"/>
      <c r="Q235" s="535"/>
      <c r="R235" s="621" t="s">
        <v>103</v>
      </c>
      <c r="S235" s="535" t="s">
        <v>104</v>
      </c>
      <c r="T235" s="621" t="s">
        <v>111</v>
      </c>
      <c r="U235" s="535" t="s">
        <v>104</v>
      </c>
      <c r="V235" s="622"/>
      <c r="W235" s="623"/>
      <c r="X235" s="406"/>
    </row>
    <row r="236" spans="1:25" s="426" customFormat="1" x14ac:dyDescent="0.3">
      <c r="A236" s="421"/>
      <c r="B236" s="552" t="s">
        <v>89</v>
      </c>
      <c r="C236" s="624"/>
      <c r="D236" s="624"/>
      <c r="E236" s="624"/>
      <c r="F236" s="494"/>
      <c r="G236" s="624"/>
      <c r="H236" s="624"/>
      <c r="I236" s="624"/>
      <c r="J236" s="624"/>
      <c r="K236" s="624"/>
      <c r="L236" s="624"/>
      <c r="M236" s="624"/>
      <c r="N236" s="624"/>
      <c r="O236" s="624"/>
      <c r="P236" s="624"/>
      <c r="Q236" s="624"/>
      <c r="R236" s="539">
        <f t="shared" ref="R236:R243" si="1">+R248+R260+R272</f>
        <v>5994</v>
      </c>
      <c r="S236" s="625">
        <f t="shared" ref="S236:S243" si="2">R236/$R$245</f>
        <v>0.99568106312292359</v>
      </c>
      <c r="T236" s="540">
        <f t="shared" ref="T236:T243" si="3">+T248+T260+T272</f>
        <v>767716</v>
      </c>
      <c r="U236" s="625">
        <f t="shared" ref="U236:U243" si="4">T236/$T$245</f>
        <v>0.99576513558699886</v>
      </c>
      <c r="V236" s="585"/>
      <c r="W236" s="626"/>
      <c r="X236" s="425"/>
    </row>
    <row r="237" spans="1:25" s="426" customFormat="1" x14ac:dyDescent="0.3">
      <c r="A237" s="443"/>
      <c r="B237" s="516" t="s">
        <v>90</v>
      </c>
      <c r="C237" s="627"/>
      <c r="D237" s="627"/>
      <c r="E237" s="627"/>
      <c r="F237" s="444"/>
      <c r="G237" s="628"/>
      <c r="H237" s="627"/>
      <c r="I237" s="627"/>
      <c r="J237" s="627"/>
      <c r="K237" s="627"/>
      <c r="L237" s="627"/>
      <c r="M237" s="627"/>
      <c r="N237" s="627"/>
      <c r="O237" s="627"/>
      <c r="P237" s="627"/>
      <c r="Q237" s="627"/>
      <c r="R237" s="516">
        <f t="shared" si="1"/>
        <v>1</v>
      </c>
      <c r="S237" s="628">
        <f t="shared" si="2"/>
        <v>1.6611295681063124E-4</v>
      </c>
      <c r="T237" s="517">
        <f t="shared" si="3"/>
        <v>81</v>
      </c>
      <c r="U237" s="628">
        <f t="shared" si="4"/>
        <v>1.0506095480952189E-4</v>
      </c>
      <c r="V237" s="590"/>
      <c r="W237" s="603"/>
      <c r="X237" s="425"/>
      <c r="Y237" s="549"/>
    </row>
    <row r="238" spans="1:25" s="426" customFormat="1" x14ac:dyDescent="0.3">
      <c r="A238" s="443"/>
      <c r="B238" s="516" t="s">
        <v>91</v>
      </c>
      <c r="C238" s="627"/>
      <c r="D238" s="627"/>
      <c r="E238" s="627"/>
      <c r="F238" s="444"/>
      <c r="G238" s="628"/>
      <c r="H238" s="627"/>
      <c r="I238" s="627"/>
      <c r="J238" s="627"/>
      <c r="K238" s="627"/>
      <c r="L238" s="627"/>
      <c r="M238" s="627"/>
      <c r="N238" s="627"/>
      <c r="O238" s="627"/>
      <c r="P238" s="627"/>
      <c r="Q238" s="627"/>
      <c r="R238" s="516">
        <f t="shared" si="1"/>
        <v>2</v>
      </c>
      <c r="S238" s="628">
        <f t="shared" si="2"/>
        <v>3.3222591362126248E-4</v>
      </c>
      <c r="T238" s="517">
        <f t="shared" si="3"/>
        <v>146</v>
      </c>
      <c r="U238" s="628">
        <f t="shared" si="4"/>
        <v>1.8936912842210118E-4</v>
      </c>
      <c r="V238" s="590"/>
      <c r="W238" s="603"/>
      <c r="X238" s="425"/>
    </row>
    <row r="239" spans="1:25" s="426" customFormat="1" x14ac:dyDescent="0.3">
      <c r="A239" s="443"/>
      <c r="B239" s="516" t="s">
        <v>159</v>
      </c>
      <c r="C239" s="627"/>
      <c r="D239" s="627"/>
      <c r="E239" s="627"/>
      <c r="F239" s="444"/>
      <c r="G239" s="628"/>
      <c r="H239" s="627"/>
      <c r="I239" s="627"/>
      <c r="J239" s="627"/>
      <c r="K239" s="627"/>
      <c r="L239" s="627"/>
      <c r="M239" s="627"/>
      <c r="N239" s="627"/>
      <c r="O239" s="627"/>
      <c r="P239" s="627"/>
      <c r="Q239" s="627"/>
      <c r="R239" s="516">
        <f t="shared" si="1"/>
        <v>1</v>
      </c>
      <c r="S239" s="628">
        <f t="shared" si="2"/>
        <v>1.6611295681063124E-4</v>
      </c>
      <c r="T239" s="517">
        <f t="shared" si="3"/>
        <v>110</v>
      </c>
      <c r="U239" s="628">
        <f t="shared" si="4"/>
        <v>1.4267537072898035E-4</v>
      </c>
      <c r="V239" s="590"/>
      <c r="W239" s="603"/>
      <c r="X239" s="425"/>
      <c r="Y239" s="549"/>
    </row>
    <row r="240" spans="1:25" s="426" customFormat="1" x14ac:dyDescent="0.3">
      <c r="A240" s="443"/>
      <c r="B240" s="516" t="s">
        <v>160</v>
      </c>
      <c r="C240" s="627"/>
      <c r="D240" s="627"/>
      <c r="E240" s="627"/>
      <c r="F240" s="444"/>
      <c r="G240" s="628"/>
      <c r="H240" s="627"/>
      <c r="I240" s="627"/>
      <c r="J240" s="627"/>
      <c r="K240" s="627"/>
      <c r="L240" s="627"/>
      <c r="M240" s="627"/>
      <c r="N240" s="627"/>
      <c r="O240" s="627"/>
      <c r="P240" s="627"/>
      <c r="Q240" s="627"/>
      <c r="R240" s="516">
        <f t="shared" si="1"/>
        <v>2</v>
      </c>
      <c r="S240" s="628">
        <f t="shared" si="2"/>
        <v>3.3222591362126248E-4</v>
      </c>
      <c r="T240" s="517">
        <f t="shared" si="3"/>
        <v>151</v>
      </c>
      <c r="U240" s="628">
        <f t="shared" si="4"/>
        <v>1.9585437254614576E-4</v>
      </c>
      <c r="V240" s="590"/>
      <c r="W240" s="603"/>
      <c r="X240" s="425"/>
    </row>
    <row r="241" spans="1:25" s="426" customFormat="1" x14ac:dyDescent="0.3">
      <c r="A241" s="443"/>
      <c r="B241" s="516" t="s">
        <v>161</v>
      </c>
      <c r="C241" s="627"/>
      <c r="D241" s="627"/>
      <c r="E241" s="627"/>
      <c r="F241" s="444"/>
      <c r="G241" s="628"/>
      <c r="H241" s="627"/>
      <c r="I241" s="627"/>
      <c r="J241" s="627"/>
      <c r="K241" s="627"/>
      <c r="L241" s="627"/>
      <c r="M241" s="627"/>
      <c r="N241" s="627"/>
      <c r="O241" s="627"/>
      <c r="P241" s="627"/>
      <c r="Q241" s="627"/>
      <c r="R241" s="516">
        <f t="shared" si="1"/>
        <v>2</v>
      </c>
      <c r="S241" s="628">
        <f t="shared" si="2"/>
        <v>3.3222591362126248E-4</v>
      </c>
      <c r="T241" s="517">
        <f t="shared" si="3"/>
        <v>259</v>
      </c>
      <c r="U241" s="628">
        <f t="shared" si="4"/>
        <v>3.3593564562550828E-4</v>
      </c>
      <c r="V241" s="590"/>
      <c r="W241" s="603"/>
      <c r="X241" s="425"/>
      <c r="Y241" s="549"/>
    </row>
    <row r="242" spans="1:25" s="426" customFormat="1" x14ac:dyDescent="0.3">
      <c r="A242" s="443"/>
      <c r="B242" s="516" t="s">
        <v>162</v>
      </c>
      <c r="C242" s="627"/>
      <c r="D242" s="627"/>
      <c r="E242" s="627"/>
      <c r="F242" s="444"/>
      <c r="G242" s="628"/>
      <c r="H242" s="627"/>
      <c r="I242" s="627"/>
      <c r="J242" s="627"/>
      <c r="K242" s="627"/>
      <c r="L242" s="627"/>
      <c r="M242" s="627"/>
      <c r="N242" s="627"/>
      <c r="O242" s="627"/>
      <c r="P242" s="627"/>
      <c r="Q242" s="627"/>
      <c r="R242" s="516">
        <f t="shared" si="1"/>
        <v>4</v>
      </c>
      <c r="S242" s="628">
        <f t="shared" si="2"/>
        <v>6.6445182724252495E-4</v>
      </c>
      <c r="T242" s="517">
        <f t="shared" si="3"/>
        <v>417</v>
      </c>
      <c r="U242" s="628">
        <f t="shared" si="4"/>
        <v>5.4086935994531642E-4</v>
      </c>
      <c r="V242" s="590"/>
      <c r="W242" s="603"/>
      <c r="X242" s="425"/>
    </row>
    <row r="243" spans="1:25" s="426" customFormat="1" x14ac:dyDescent="0.3">
      <c r="A243" s="443"/>
      <c r="B243" s="516" t="s">
        <v>163</v>
      </c>
      <c r="C243" s="627"/>
      <c r="D243" s="627"/>
      <c r="E243" s="627"/>
      <c r="F243" s="444"/>
      <c r="G243" s="628"/>
      <c r="H243" s="627"/>
      <c r="I243" s="627"/>
      <c r="J243" s="627"/>
      <c r="K243" s="627"/>
      <c r="L243" s="627"/>
      <c r="M243" s="627"/>
      <c r="N243" s="627"/>
      <c r="O243" s="627"/>
      <c r="P243" s="627"/>
      <c r="Q243" s="627"/>
      <c r="R243" s="516">
        <f t="shared" si="1"/>
        <v>14</v>
      </c>
      <c r="S243" s="628">
        <f t="shared" si="2"/>
        <v>2.3255813953488372E-3</v>
      </c>
      <c r="T243" s="517">
        <f t="shared" si="3"/>
        <v>2101</v>
      </c>
      <c r="U243" s="628">
        <f t="shared" si="4"/>
        <v>2.7250995809235249E-3</v>
      </c>
      <c r="V243" s="590"/>
      <c r="W243" s="603"/>
      <c r="X243" s="425"/>
      <c r="Y243" s="549"/>
    </row>
    <row r="244" spans="1:25" s="426" customFormat="1" x14ac:dyDescent="0.3">
      <c r="A244" s="443"/>
      <c r="B244" s="516"/>
      <c r="C244" s="627"/>
      <c r="D244" s="627"/>
      <c r="E244" s="627"/>
      <c r="F244" s="444"/>
      <c r="G244" s="628"/>
      <c r="H244" s="627"/>
      <c r="I244" s="627"/>
      <c r="J244" s="627"/>
      <c r="K244" s="627"/>
      <c r="L244" s="627"/>
      <c r="M244" s="627"/>
      <c r="N244" s="627"/>
      <c r="O244" s="627"/>
      <c r="P244" s="627"/>
      <c r="Q244" s="627"/>
      <c r="R244" s="516"/>
      <c r="S244" s="628"/>
      <c r="T244" s="517"/>
      <c r="U244" s="628"/>
      <c r="V244" s="590"/>
      <c r="W244" s="603"/>
      <c r="X244" s="425"/>
    </row>
    <row r="245" spans="1:25" s="426" customFormat="1" x14ac:dyDescent="0.3">
      <c r="A245" s="443"/>
      <c r="B245" s="444" t="s">
        <v>117</v>
      </c>
      <c r="C245" s="444"/>
      <c r="D245" s="444"/>
      <c r="E245" s="444"/>
      <c r="F245" s="444"/>
      <c r="G245" s="444"/>
      <c r="H245" s="629"/>
      <c r="I245" s="629"/>
      <c r="J245" s="629"/>
      <c r="K245" s="629"/>
      <c r="L245" s="629"/>
      <c r="M245" s="629"/>
      <c r="N245" s="629"/>
      <c r="O245" s="629"/>
      <c r="P245" s="629"/>
      <c r="Q245" s="629"/>
      <c r="R245" s="516">
        <f>SUM(R236:R244)</f>
        <v>6020</v>
      </c>
      <c r="S245" s="628">
        <f>SUM(S236:S244)</f>
        <v>1</v>
      </c>
      <c r="T245" s="517">
        <f>SUM(T236:T244)</f>
        <v>770981</v>
      </c>
      <c r="U245" s="628">
        <f>SUM(U236:U244)</f>
        <v>1</v>
      </c>
      <c r="V245" s="444"/>
      <c r="W245" s="446"/>
      <c r="X245" s="425"/>
    </row>
    <row r="246" spans="1:25" x14ac:dyDescent="0.3">
      <c r="A246" s="614"/>
      <c r="B246" s="615"/>
      <c r="C246" s="616"/>
      <c r="D246" s="616"/>
      <c r="E246" s="616"/>
      <c r="F246" s="617"/>
      <c r="G246" s="518"/>
      <c r="H246" s="518"/>
      <c r="I246" s="518"/>
      <c r="J246" s="518"/>
      <c r="K246" s="518"/>
      <c r="L246" s="518"/>
      <c r="M246" s="518"/>
      <c r="N246" s="518"/>
      <c r="O246" s="518"/>
      <c r="P246" s="518"/>
      <c r="Q246" s="518"/>
      <c r="R246" s="518"/>
      <c r="S246" s="518"/>
      <c r="T246" s="618"/>
      <c r="U246" s="518"/>
      <c r="V246" s="619"/>
      <c r="W246" s="620"/>
      <c r="X246" s="406"/>
    </row>
    <row r="247" spans="1:25" x14ac:dyDescent="0.3">
      <c r="A247" s="533"/>
      <c r="B247" s="534" t="s">
        <v>165</v>
      </c>
      <c r="C247" s="535"/>
      <c r="D247" s="535"/>
      <c r="E247" s="535"/>
      <c r="F247" s="621"/>
      <c r="G247" s="535"/>
      <c r="H247" s="535"/>
      <c r="I247" s="535"/>
      <c r="J247" s="535"/>
      <c r="K247" s="535"/>
      <c r="L247" s="535"/>
      <c r="M247" s="535"/>
      <c r="N247" s="535"/>
      <c r="O247" s="535"/>
      <c r="P247" s="535"/>
      <c r="Q247" s="535"/>
      <c r="R247" s="621" t="s">
        <v>103</v>
      </c>
      <c r="S247" s="535" t="s">
        <v>104</v>
      </c>
      <c r="T247" s="621" t="s">
        <v>111</v>
      </c>
      <c r="U247" s="535" t="s">
        <v>104</v>
      </c>
      <c r="V247" s="622"/>
      <c r="W247" s="623"/>
      <c r="X247" s="406"/>
    </row>
    <row r="248" spans="1:25" s="426" customFormat="1" x14ac:dyDescent="0.3">
      <c r="A248" s="421"/>
      <c r="B248" s="552" t="s">
        <v>89</v>
      </c>
      <c r="C248" s="624"/>
      <c r="D248" s="624"/>
      <c r="E248" s="624"/>
      <c r="F248" s="494"/>
      <c r="G248" s="624"/>
      <c r="H248" s="624"/>
      <c r="I248" s="624"/>
      <c r="J248" s="624"/>
      <c r="K248" s="624"/>
      <c r="L248" s="624"/>
      <c r="M248" s="624"/>
      <c r="N248" s="624"/>
      <c r="O248" s="624"/>
      <c r="P248" s="624"/>
      <c r="Q248" s="624"/>
      <c r="R248" s="552">
        <v>5910</v>
      </c>
      <c r="S248" s="630">
        <f t="shared" ref="S248:S255" si="5">R248/$R$257</f>
        <v>0.99932363882313158</v>
      </c>
      <c r="T248" s="631">
        <v>752764</v>
      </c>
      <c r="U248" s="630">
        <f t="shared" ref="U248:U255" si="6">T248/$T$257</f>
        <v>0.99943440566125408</v>
      </c>
      <c r="V248" s="585"/>
      <c r="W248" s="626"/>
      <c r="X248" s="425"/>
    </row>
    <row r="249" spans="1:25" s="426" customFormat="1" x14ac:dyDescent="0.3">
      <c r="A249" s="443"/>
      <c r="B249" s="516" t="s">
        <v>90</v>
      </c>
      <c r="C249" s="627"/>
      <c r="D249" s="627"/>
      <c r="E249" s="627"/>
      <c r="F249" s="444"/>
      <c r="G249" s="628"/>
      <c r="H249" s="627"/>
      <c r="I249" s="627"/>
      <c r="J249" s="627"/>
      <c r="K249" s="627"/>
      <c r="L249" s="627"/>
      <c r="M249" s="627"/>
      <c r="N249" s="627"/>
      <c r="O249" s="627"/>
      <c r="P249" s="627"/>
      <c r="Q249" s="627"/>
      <c r="R249" s="516">
        <v>1</v>
      </c>
      <c r="S249" s="628">
        <f t="shared" si="5"/>
        <v>1.6909029421711193E-4</v>
      </c>
      <c r="T249" s="517">
        <v>81</v>
      </c>
      <c r="U249" s="628">
        <f t="shared" si="6"/>
        <v>1.0754258553618609E-4</v>
      </c>
      <c r="V249" s="590"/>
      <c r="W249" s="603"/>
      <c r="X249" s="425"/>
      <c r="Y249" s="549"/>
    </row>
    <row r="250" spans="1:25" s="426" customFormat="1" x14ac:dyDescent="0.3">
      <c r="A250" s="443"/>
      <c r="B250" s="516" t="s">
        <v>91</v>
      </c>
      <c r="C250" s="627"/>
      <c r="D250" s="627"/>
      <c r="E250" s="627"/>
      <c r="F250" s="444"/>
      <c r="G250" s="628"/>
      <c r="H250" s="627"/>
      <c r="I250" s="627"/>
      <c r="J250" s="627"/>
      <c r="K250" s="627"/>
      <c r="L250" s="627"/>
      <c r="M250" s="627"/>
      <c r="N250" s="627"/>
      <c r="O250" s="627"/>
      <c r="P250" s="627"/>
      <c r="Q250" s="627"/>
      <c r="R250" s="516">
        <v>2</v>
      </c>
      <c r="S250" s="628">
        <f t="shared" si="5"/>
        <v>3.3818058843422386E-4</v>
      </c>
      <c r="T250" s="517">
        <v>146</v>
      </c>
      <c r="U250" s="628">
        <f t="shared" si="6"/>
        <v>1.9384219121337245E-4</v>
      </c>
      <c r="V250" s="590"/>
      <c r="W250" s="603"/>
      <c r="X250" s="425"/>
    </row>
    <row r="251" spans="1:25" s="426" customFormat="1" x14ac:dyDescent="0.3">
      <c r="A251" s="443"/>
      <c r="B251" s="516" t="s">
        <v>159</v>
      </c>
      <c r="C251" s="627"/>
      <c r="D251" s="627"/>
      <c r="E251" s="627"/>
      <c r="F251" s="444"/>
      <c r="G251" s="628"/>
      <c r="H251" s="627"/>
      <c r="I251" s="627"/>
      <c r="J251" s="627"/>
      <c r="K251" s="627"/>
      <c r="L251" s="627"/>
      <c r="M251" s="627"/>
      <c r="N251" s="627"/>
      <c r="O251" s="627"/>
      <c r="P251" s="627"/>
      <c r="Q251" s="627"/>
      <c r="R251" s="516">
        <v>0</v>
      </c>
      <c r="S251" s="628">
        <f t="shared" si="5"/>
        <v>0</v>
      </c>
      <c r="T251" s="517">
        <v>0</v>
      </c>
      <c r="U251" s="628">
        <f t="shared" si="6"/>
        <v>0</v>
      </c>
      <c r="V251" s="590"/>
      <c r="W251" s="603"/>
      <c r="X251" s="425"/>
      <c r="Y251" s="549"/>
    </row>
    <row r="252" spans="1:25" s="426" customFormat="1" x14ac:dyDescent="0.3">
      <c r="A252" s="443"/>
      <c r="B252" s="516" t="s">
        <v>160</v>
      </c>
      <c r="C252" s="627"/>
      <c r="D252" s="627"/>
      <c r="E252" s="627"/>
      <c r="F252" s="444"/>
      <c r="G252" s="628"/>
      <c r="H252" s="627"/>
      <c r="I252" s="627"/>
      <c r="J252" s="627"/>
      <c r="K252" s="627"/>
      <c r="L252" s="627"/>
      <c r="M252" s="627"/>
      <c r="N252" s="627"/>
      <c r="O252" s="627"/>
      <c r="P252" s="627"/>
      <c r="Q252" s="627"/>
      <c r="R252" s="516">
        <v>0</v>
      </c>
      <c r="S252" s="628">
        <f t="shared" si="5"/>
        <v>0</v>
      </c>
      <c r="T252" s="517">
        <v>0</v>
      </c>
      <c r="U252" s="628">
        <f t="shared" si="6"/>
        <v>0</v>
      </c>
      <c r="V252" s="590"/>
      <c r="W252" s="603"/>
      <c r="X252" s="425"/>
    </row>
    <row r="253" spans="1:25" s="426" customFormat="1" x14ac:dyDescent="0.3">
      <c r="A253" s="443"/>
      <c r="B253" s="516" t="s">
        <v>161</v>
      </c>
      <c r="C253" s="627"/>
      <c r="D253" s="627"/>
      <c r="E253" s="627"/>
      <c r="F253" s="444"/>
      <c r="G253" s="628"/>
      <c r="H253" s="627"/>
      <c r="I253" s="627"/>
      <c r="J253" s="627"/>
      <c r="K253" s="627"/>
      <c r="L253" s="627"/>
      <c r="M253" s="627"/>
      <c r="N253" s="627"/>
      <c r="O253" s="627"/>
      <c r="P253" s="627"/>
      <c r="Q253" s="627"/>
      <c r="R253" s="516">
        <v>1</v>
      </c>
      <c r="S253" s="628">
        <f t="shared" si="5"/>
        <v>1.6909029421711193E-4</v>
      </c>
      <c r="T253" s="517">
        <v>199</v>
      </c>
      <c r="U253" s="628">
        <f t="shared" si="6"/>
        <v>2.6420956199630903E-4</v>
      </c>
      <c r="V253" s="590"/>
      <c r="W253" s="603"/>
      <c r="X253" s="425"/>
      <c r="Y253" s="549"/>
    </row>
    <row r="254" spans="1:25" s="426" customFormat="1" x14ac:dyDescent="0.3">
      <c r="A254" s="443"/>
      <c r="B254" s="516" t="s">
        <v>162</v>
      </c>
      <c r="C254" s="627"/>
      <c r="D254" s="627"/>
      <c r="E254" s="627"/>
      <c r="F254" s="444"/>
      <c r="G254" s="628"/>
      <c r="H254" s="627"/>
      <c r="I254" s="627"/>
      <c r="J254" s="627"/>
      <c r="K254" s="627"/>
      <c r="L254" s="627"/>
      <c r="M254" s="627"/>
      <c r="N254" s="627"/>
      <c r="O254" s="627"/>
      <c r="P254" s="627"/>
      <c r="Q254" s="627"/>
      <c r="R254" s="516">
        <v>0</v>
      </c>
      <c r="S254" s="628">
        <f t="shared" si="5"/>
        <v>0</v>
      </c>
      <c r="T254" s="517">
        <v>0</v>
      </c>
      <c r="U254" s="628">
        <f t="shared" si="6"/>
        <v>0</v>
      </c>
      <c r="V254" s="590"/>
      <c r="W254" s="603"/>
      <c r="X254" s="425"/>
    </row>
    <row r="255" spans="1:25" s="426" customFormat="1" x14ac:dyDescent="0.3">
      <c r="A255" s="443"/>
      <c r="B255" s="516" t="s">
        <v>163</v>
      </c>
      <c r="C255" s="627"/>
      <c r="D255" s="627"/>
      <c r="E255" s="627"/>
      <c r="F255" s="444"/>
      <c r="G255" s="628"/>
      <c r="H255" s="627"/>
      <c r="I255" s="627"/>
      <c r="J255" s="627"/>
      <c r="K255" s="627"/>
      <c r="L255" s="627"/>
      <c r="M255" s="627"/>
      <c r="N255" s="627"/>
      <c r="O255" s="627"/>
      <c r="P255" s="627"/>
      <c r="Q255" s="627"/>
      <c r="R255" s="516">
        <v>0</v>
      </c>
      <c r="S255" s="628">
        <f t="shared" si="5"/>
        <v>0</v>
      </c>
      <c r="T255" s="517">
        <v>0</v>
      </c>
      <c r="U255" s="628">
        <f t="shared" si="6"/>
        <v>0</v>
      </c>
      <c r="V255" s="590"/>
      <c r="W255" s="603"/>
      <c r="X255" s="425"/>
      <c r="Y255" s="549"/>
    </row>
    <row r="256" spans="1:25" s="426" customFormat="1" x14ac:dyDescent="0.3">
      <c r="A256" s="443"/>
      <c r="B256" s="516"/>
      <c r="C256" s="627"/>
      <c r="D256" s="627"/>
      <c r="E256" s="627"/>
      <c r="F256" s="444"/>
      <c r="G256" s="628"/>
      <c r="H256" s="627"/>
      <c r="I256" s="627"/>
      <c r="J256" s="627"/>
      <c r="K256" s="627"/>
      <c r="L256" s="627"/>
      <c r="M256" s="627"/>
      <c r="N256" s="627"/>
      <c r="O256" s="627"/>
      <c r="P256" s="627"/>
      <c r="Q256" s="627"/>
      <c r="R256" s="516"/>
      <c r="S256" s="628"/>
      <c r="T256" s="517"/>
      <c r="U256" s="628"/>
      <c r="V256" s="590"/>
      <c r="W256" s="603"/>
      <c r="X256" s="425"/>
    </row>
    <row r="257" spans="1:24" s="426" customFormat="1" x14ac:dyDescent="0.3">
      <c r="A257" s="443"/>
      <c r="B257" s="444" t="s">
        <v>117</v>
      </c>
      <c r="C257" s="444"/>
      <c r="D257" s="444"/>
      <c r="E257" s="444"/>
      <c r="F257" s="444"/>
      <c r="G257" s="444"/>
      <c r="H257" s="629"/>
      <c r="I257" s="629"/>
      <c r="J257" s="629"/>
      <c r="K257" s="629"/>
      <c r="L257" s="629"/>
      <c r="M257" s="629"/>
      <c r="N257" s="629"/>
      <c r="O257" s="629"/>
      <c r="P257" s="629"/>
      <c r="Q257" s="629"/>
      <c r="R257" s="516">
        <f>SUM(R248:R256)</f>
        <v>5914</v>
      </c>
      <c r="S257" s="628">
        <f>SUM(S248:S256)</f>
        <v>1</v>
      </c>
      <c r="T257" s="517">
        <f>SUM(T248:T256)</f>
        <v>753190</v>
      </c>
      <c r="U257" s="628">
        <f>SUM(U248:U256)</f>
        <v>0.99999999999999989</v>
      </c>
      <c r="V257" s="444"/>
      <c r="W257" s="446"/>
      <c r="X257" s="425"/>
    </row>
    <row r="258" spans="1:24" x14ac:dyDescent="0.3">
      <c r="A258" s="408"/>
      <c r="B258" s="518"/>
      <c r="C258" s="518"/>
      <c r="D258" s="518"/>
      <c r="E258" s="518"/>
      <c r="F258" s="518"/>
      <c r="G258" s="518"/>
      <c r="H258" s="632"/>
      <c r="I258" s="632"/>
      <c r="J258" s="632"/>
      <c r="K258" s="632"/>
      <c r="L258" s="632"/>
      <c r="M258" s="632"/>
      <c r="N258" s="632"/>
      <c r="O258" s="632"/>
      <c r="P258" s="632"/>
      <c r="Q258" s="632"/>
      <c r="R258" s="519"/>
      <c r="S258" s="633"/>
      <c r="T258" s="634"/>
      <c r="U258" s="633"/>
      <c r="V258" s="518"/>
      <c r="W258" s="411"/>
      <c r="X258" s="406"/>
    </row>
    <row r="259" spans="1:24" x14ac:dyDescent="0.3">
      <c r="A259" s="533"/>
      <c r="B259" s="534" t="s">
        <v>279</v>
      </c>
      <c r="C259" s="535"/>
      <c r="D259" s="535"/>
      <c r="E259" s="535"/>
      <c r="F259" s="621"/>
      <c r="G259" s="535"/>
      <c r="H259" s="535"/>
      <c r="I259" s="535"/>
      <c r="J259" s="535"/>
      <c r="K259" s="535"/>
      <c r="L259" s="535"/>
      <c r="M259" s="535"/>
      <c r="N259" s="535"/>
      <c r="O259" s="535"/>
      <c r="P259" s="535"/>
      <c r="Q259" s="535"/>
      <c r="R259" s="621" t="s">
        <v>103</v>
      </c>
      <c r="S259" s="535" t="s">
        <v>104</v>
      </c>
      <c r="T259" s="621" t="s">
        <v>111</v>
      </c>
      <c r="U259" s="535" t="s">
        <v>104</v>
      </c>
      <c r="V259" s="622"/>
      <c r="W259" s="538"/>
      <c r="X259" s="406"/>
    </row>
    <row r="260" spans="1:24" s="426" customFormat="1" x14ac:dyDescent="0.3">
      <c r="A260" s="421"/>
      <c r="B260" s="552" t="s">
        <v>89</v>
      </c>
      <c r="C260" s="624"/>
      <c r="D260" s="624"/>
      <c r="E260" s="624"/>
      <c r="F260" s="494"/>
      <c r="G260" s="624"/>
      <c r="H260" s="624"/>
      <c r="I260" s="624"/>
      <c r="J260" s="624"/>
      <c r="K260" s="624"/>
      <c r="L260" s="624"/>
      <c r="M260" s="624"/>
      <c r="N260" s="624"/>
      <c r="O260" s="624"/>
      <c r="P260" s="624"/>
      <c r="Q260" s="624"/>
      <c r="R260" s="552">
        <v>84</v>
      </c>
      <c r="S260" s="630">
        <f>R260/$R$269</f>
        <v>0.79245283018867929</v>
      </c>
      <c r="T260" s="631">
        <v>14952</v>
      </c>
      <c r="U260" s="630">
        <f t="shared" ref="U260:U267" si="7">T260/$T$269</f>
        <v>0.84042493395537066</v>
      </c>
      <c r="V260" s="494"/>
      <c r="W260" s="424"/>
      <c r="X260" s="425"/>
    </row>
    <row r="261" spans="1:24" s="426" customFormat="1" x14ac:dyDescent="0.3">
      <c r="A261" s="443"/>
      <c r="B261" s="516" t="s">
        <v>90</v>
      </c>
      <c r="C261" s="627"/>
      <c r="D261" s="627"/>
      <c r="E261" s="627"/>
      <c r="F261" s="444"/>
      <c r="G261" s="628"/>
      <c r="H261" s="627"/>
      <c r="I261" s="627"/>
      <c r="J261" s="627"/>
      <c r="K261" s="627"/>
      <c r="L261" s="627"/>
      <c r="M261" s="627"/>
      <c r="N261" s="627"/>
      <c r="O261" s="627"/>
      <c r="P261" s="627"/>
      <c r="Q261" s="627"/>
      <c r="R261" s="516">
        <v>0</v>
      </c>
      <c r="S261" s="628">
        <f t="shared" ref="S261:S265" si="8">R261/$R$269</f>
        <v>0</v>
      </c>
      <c r="T261" s="517">
        <v>0</v>
      </c>
      <c r="U261" s="628">
        <f t="shared" si="7"/>
        <v>0</v>
      </c>
      <c r="V261" s="444"/>
      <c r="W261" s="446"/>
      <c r="X261" s="425"/>
    </row>
    <row r="262" spans="1:24" s="426" customFormat="1" x14ac:dyDescent="0.3">
      <c r="A262" s="443"/>
      <c r="B262" s="516" t="s">
        <v>91</v>
      </c>
      <c r="C262" s="627"/>
      <c r="D262" s="627"/>
      <c r="E262" s="627"/>
      <c r="F262" s="444"/>
      <c r="G262" s="628"/>
      <c r="H262" s="627"/>
      <c r="I262" s="627"/>
      <c r="J262" s="627"/>
      <c r="K262" s="627"/>
      <c r="L262" s="627"/>
      <c r="M262" s="627"/>
      <c r="N262" s="627"/>
      <c r="O262" s="627"/>
      <c r="P262" s="627"/>
      <c r="Q262" s="627"/>
      <c r="R262" s="516">
        <v>0</v>
      </c>
      <c r="S262" s="628">
        <f t="shared" si="8"/>
        <v>0</v>
      </c>
      <c r="T262" s="517">
        <v>0</v>
      </c>
      <c r="U262" s="628">
        <f t="shared" si="7"/>
        <v>0</v>
      </c>
      <c r="V262" s="444"/>
      <c r="W262" s="446"/>
      <c r="X262" s="425"/>
    </row>
    <row r="263" spans="1:24" s="426" customFormat="1" x14ac:dyDescent="0.3">
      <c r="A263" s="443"/>
      <c r="B263" s="516" t="s">
        <v>159</v>
      </c>
      <c r="C263" s="627"/>
      <c r="D263" s="627"/>
      <c r="E263" s="627"/>
      <c r="F263" s="444"/>
      <c r="G263" s="628"/>
      <c r="H263" s="627"/>
      <c r="I263" s="627"/>
      <c r="J263" s="627"/>
      <c r="K263" s="627"/>
      <c r="L263" s="627"/>
      <c r="M263" s="627"/>
      <c r="N263" s="627"/>
      <c r="O263" s="627"/>
      <c r="P263" s="627"/>
      <c r="Q263" s="627"/>
      <c r="R263" s="516">
        <v>1</v>
      </c>
      <c r="S263" s="628">
        <f t="shared" si="8"/>
        <v>9.433962264150943E-3</v>
      </c>
      <c r="T263" s="517">
        <v>110</v>
      </c>
      <c r="U263" s="628">
        <f t="shared" si="7"/>
        <v>6.1829014670338935E-3</v>
      </c>
      <c r="V263" s="444"/>
      <c r="W263" s="446"/>
      <c r="X263" s="425"/>
    </row>
    <row r="264" spans="1:24" s="426" customFormat="1" x14ac:dyDescent="0.3">
      <c r="A264" s="443"/>
      <c r="B264" s="516" t="s">
        <v>160</v>
      </c>
      <c r="C264" s="627"/>
      <c r="D264" s="627"/>
      <c r="E264" s="627"/>
      <c r="F264" s="444"/>
      <c r="G264" s="628"/>
      <c r="H264" s="627"/>
      <c r="I264" s="627"/>
      <c r="J264" s="627"/>
      <c r="K264" s="627"/>
      <c r="L264" s="627"/>
      <c r="M264" s="627"/>
      <c r="N264" s="627"/>
      <c r="O264" s="627"/>
      <c r="P264" s="627"/>
      <c r="Q264" s="627"/>
      <c r="R264" s="516">
        <v>2</v>
      </c>
      <c r="S264" s="628">
        <f t="shared" si="8"/>
        <v>1.8867924528301886E-2</v>
      </c>
      <c r="T264" s="517">
        <v>151</v>
      </c>
      <c r="U264" s="628">
        <f t="shared" si="7"/>
        <v>8.4874374683828902E-3</v>
      </c>
      <c r="V264" s="444"/>
      <c r="W264" s="446"/>
      <c r="X264" s="425"/>
    </row>
    <row r="265" spans="1:24" s="426" customFormat="1" x14ac:dyDescent="0.3">
      <c r="A265" s="443"/>
      <c r="B265" s="516" t="s">
        <v>161</v>
      </c>
      <c r="C265" s="627"/>
      <c r="D265" s="627"/>
      <c r="E265" s="627"/>
      <c r="F265" s="444"/>
      <c r="G265" s="628"/>
      <c r="H265" s="627"/>
      <c r="I265" s="627"/>
      <c r="J265" s="627"/>
      <c r="K265" s="627"/>
      <c r="L265" s="627"/>
      <c r="M265" s="627"/>
      <c r="N265" s="627"/>
      <c r="O265" s="627"/>
      <c r="P265" s="627"/>
      <c r="Q265" s="627"/>
      <c r="R265" s="516">
        <v>1</v>
      </c>
      <c r="S265" s="628">
        <f t="shared" si="8"/>
        <v>9.433962264150943E-3</v>
      </c>
      <c r="T265" s="517">
        <v>60</v>
      </c>
      <c r="U265" s="628">
        <f t="shared" si="7"/>
        <v>3.3724917092912148E-3</v>
      </c>
      <c r="V265" s="444"/>
      <c r="W265" s="446"/>
      <c r="X265" s="425"/>
    </row>
    <row r="266" spans="1:24" s="426" customFormat="1" x14ac:dyDescent="0.3">
      <c r="A266" s="443"/>
      <c r="B266" s="516" t="s">
        <v>162</v>
      </c>
      <c r="C266" s="627"/>
      <c r="D266" s="627"/>
      <c r="E266" s="627"/>
      <c r="F266" s="444"/>
      <c r="G266" s="628"/>
      <c r="H266" s="627"/>
      <c r="I266" s="627"/>
      <c r="J266" s="627"/>
      <c r="K266" s="627"/>
      <c r="L266" s="627"/>
      <c r="M266" s="627"/>
      <c r="N266" s="627"/>
      <c r="O266" s="627"/>
      <c r="P266" s="627"/>
      <c r="Q266" s="627"/>
      <c r="R266" s="516">
        <v>4</v>
      </c>
      <c r="S266" s="628">
        <f>R266/$R$269</f>
        <v>3.7735849056603772E-2</v>
      </c>
      <c r="T266" s="517">
        <v>417</v>
      </c>
      <c r="U266" s="628">
        <f t="shared" si="7"/>
        <v>2.3438817379573942E-2</v>
      </c>
      <c r="V266" s="444"/>
      <c r="W266" s="446"/>
      <c r="X266" s="425"/>
    </row>
    <row r="267" spans="1:24" s="426" customFormat="1" x14ac:dyDescent="0.3">
      <c r="A267" s="443"/>
      <c r="B267" s="516" t="s">
        <v>163</v>
      </c>
      <c r="C267" s="627"/>
      <c r="D267" s="627"/>
      <c r="E267" s="627"/>
      <c r="F267" s="444"/>
      <c r="G267" s="628"/>
      <c r="H267" s="627"/>
      <c r="I267" s="627"/>
      <c r="J267" s="627"/>
      <c r="K267" s="627"/>
      <c r="L267" s="627"/>
      <c r="M267" s="627"/>
      <c r="N267" s="627"/>
      <c r="O267" s="627"/>
      <c r="P267" s="627"/>
      <c r="Q267" s="627"/>
      <c r="R267" s="516">
        <v>14</v>
      </c>
      <c r="S267" s="628">
        <f>R267/$R$269</f>
        <v>0.13207547169811321</v>
      </c>
      <c r="T267" s="517">
        <v>2101</v>
      </c>
      <c r="U267" s="628">
        <f t="shared" si="7"/>
        <v>0.11809341802034737</v>
      </c>
      <c r="V267" s="444"/>
      <c r="W267" s="446"/>
      <c r="X267" s="425"/>
    </row>
    <row r="268" spans="1:24" s="426" customFormat="1" x14ac:dyDescent="0.3">
      <c r="A268" s="443"/>
      <c r="B268" s="516"/>
      <c r="C268" s="627"/>
      <c r="D268" s="627"/>
      <c r="E268" s="627"/>
      <c r="F268" s="444"/>
      <c r="G268" s="628"/>
      <c r="H268" s="627"/>
      <c r="I268" s="627"/>
      <c r="J268" s="627"/>
      <c r="K268" s="627"/>
      <c r="L268" s="627"/>
      <c r="M268" s="627"/>
      <c r="N268" s="627"/>
      <c r="O268" s="627"/>
      <c r="P268" s="627"/>
      <c r="Q268" s="627"/>
      <c r="R268" s="516"/>
      <c r="S268" s="628"/>
      <c r="T268" s="517"/>
      <c r="U268" s="628"/>
      <c r="V268" s="444"/>
      <c r="W268" s="446"/>
      <c r="X268" s="425"/>
    </row>
    <row r="269" spans="1:24" s="426" customFormat="1" x14ac:dyDescent="0.3">
      <c r="A269" s="443"/>
      <c r="B269" s="444" t="s">
        <v>117</v>
      </c>
      <c r="C269" s="444"/>
      <c r="D269" s="444"/>
      <c r="E269" s="444"/>
      <c r="F269" s="444"/>
      <c r="G269" s="444"/>
      <c r="H269" s="629"/>
      <c r="I269" s="629"/>
      <c r="J269" s="629"/>
      <c r="K269" s="629"/>
      <c r="L269" s="629"/>
      <c r="M269" s="629"/>
      <c r="N269" s="629"/>
      <c r="O269" s="629"/>
      <c r="P269" s="629"/>
      <c r="Q269" s="629"/>
      <c r="R269" s="516">
        <f>SUM(R260:R268)</f>
        <v>106</v>
      </c>
      <c r="S269" s="628">
        <f>SUM(S260:S268)</f>
        <v>1</v>
      </c>
      <c r="T269" s="517">
        <f>SUM(T260:T268)</f>
        <v>17791</v>
      </c>
      <c r="U269" s="628">
        <f>SUM(U260:U268)</f>
        <v>1</v>
      </c>
      <c r="V269" s="444"/>
      <c r="W269" s="446"/>
      <c r="X269" s="425"/>
    </row>
    <row r="270" spans="1:24" x14ac:dyDescent="0.3">
      <c r="A270" s="408"/>
      <c r="B270" s="518"/>
      <c r="C270" s="518"/>
      <c r="D270" s="518"/>
      <c r="E270" s="518"/>
      <c r="F270" s="518"/>
      <c r="G270" s="518"/>
      <c r="H270" s="632"/>
      <c r="I270" s="632"/>
      <c r="J270" s="632"/>
      <c r="K270" s="632"/>
      <c r="L270" s="632"/>
      <c r="M270" s="632"/>
      <c r="N270" s="632"/>
      <c r="O270" s="632"/>
      <c r="P270" s="632"/>
      <c r="Q270" s="632"/>
      <c r="R270" s="519"/>
      <c r="S270" s="633"/>
      <c r="T270" s="634"/>
      <c r="U270" s="633"/>
      <c r="V270" s="518"/>
      <c r="W270" s="411"/>
      <c r="X270" s="406"/>
    </row>
    <row r="271" spans="1:24" x14ac:dyDescent="0.3">
      <c r="A271" s="533"/>
      <c r="B271" s="534" t="s">
        <v>166</v>
      </c>
      <c r="C271" s="622"/>
      <c r="D271" s="622"/>
      <c r="E271" s="622"/>
      <c r="F271" s="622"/>
      <c r="G271" s="622"/>
      <c r="H271" s="635"/>
      <c r="I271" s="635"/>
      <c r="J271" s="635"/>
      <c r="K271" s="635"/>
      <c r="L271" s="635"/>
      <c r="M271" s="635"/>
      <c r="N271" s="635"/>
      <c r="O271" s="635"/>
      <c r="P271" s="635"/>
      <c r="Q271" s="635"/>
      <c r="R271" s="621" t="s">
        <v>103</v>
      </c>
      <c r="S271" s="535" t="s">
        <v>104</v>
      </c>
      <c r="T271" s="621" t="s">
        <v>111</v>
      </c>
      <c r="U271" s="535" t="s">
        <v>104</v>
      </c>
      <c r="V271" s="622"/>
      <c r="W271" s="538"/>
      <c r="X271" s="406"/>
    </row>
    <row r="272" spans="1:24" s="426" customFormat="1" x14ac:dyDescent="0.3">
      <c r="A272" s="421"/>
      <c r="B272" s="552" t="s">
        <v>89</v>
      </c>
      <c r="C272" s="494"/>
      <c r="D272" s="494"/>
      <c r="E272" s="494"/>
      <c r="F272" s="494"/>
      <c r="G272" s="494"/>
      <c r="H272" s="636"/>
      <c r="I272" s="636"/>
      <c r="J272" s="636"/>
      <c r="K272" s="636"/>
      <c r="L272" s="636"/>
      <c r="M272" s="636"/>
      <c r="N272" s="636"/>
      <c r="O272" s="636"/>
      <c r="P272" s="636"/>
      <c r="Q272" s="636"/>
      <c r="R272" s="552">
        <v>0</v>
      </c>
      <c r="S272" s="630">
        <v>0</v>
      </c>
      <c r="T272" s="631">
        <v>0</v>
      </c>
      <c r="U272" s="630">
        <v>0</v>
      </c>
      <c r="V272" s="494"/>
      <c r="W272" s="424"/>
      <c r="X272" s="425"/>
    </row>
    <row r="273" spans="1:24" s="426" customFormat="1" x14ac:dyDescent="0.3">
      <c r="A273" s="443"/>
      <c r="B273" s="516" t="s">
        <v>90</v>
      </c>
      <c r="C273" s="444"/>
      <c r="D273" s="444"/>
      <c r="E273" s="444"/>
      <c r="F273" s="444"/>
      <c r="G273" s="444"/>
      <c r="H273" s="629"/>
      <c r="I273" s="629"/>
      <c r="J273" s="629"/>
      <c r="K273" s="629"/>
      <c r="L273" s="629"/>
      <c r="M273" s="629"/>
      <c r="N273" s="629"/>
      <c r="O273" s="629"/>
      <c r="P273" s="629"/>
      <c r="Q273" s="629"/>
      <c r="R273" s="516">
        <v>0</v>
      </c>
      <c r="S273" s="628">
        <v>0</v>
      </c>
      <c r="T273" s="517">
        <v>0</v>
      </c>
      <c r="U273" s="628">
        <v>0</v>
      </c>
      <c r="V273" s="444"/>
      <c r="W273" s="446"/>
      <c r="X273" s="425"/>
    </row>
    <row r="274" spans="1:24" s="426" customFormat="1" x14ac:dyDescent="0.3">
      <c r="A274" s="443"/>
      <c r="B274" s="516" t="s">
        <v>91</v>
      </c>
      <c r="C274" s="444"/>
      <c r="D274" s="444"/>
      <c r="E274" s="444"/>
      <c r="F274" s="444"/>
      <c r="G274" s="444"/>
      <c r="H274" s="629"/>
      <c r="I274" s="629"/>
      <c r="J274" s="629"/>
      <c r="K274" s="629"/>
      <c r="L274" s="629"/>
      <c r="M274" s="629"/>
      <c r="N274" s="629"/>
      <c r="O274" s="629"/>
      <c r="P274" s="629"/>
      <c r="Q274" s="629"/>
      <c r="R274" s="516">
        <v>0</v>
      </c>
      <c r="S274" s="628">
        <v>0</v>
      </c>
      <c r="T274" s="517">
        <v>0</v>
      </c>
      <c r="U274" s="628">
        <v>0</v>
      </c>
      <c r="V274" s="444"/>
      <c r="W274" s="446"/>
      <c r="X274" s="425"/>
    </row>
    <row r="275" spans="1:24" s="426" customFormat="1" x14ac:dyDescent="0.3">
      <c r="A275" s="443"/>
      <c r="B275" s="516" t="s">
        <v>159</v>
      </c>
      <c r="C275" s="444"/>
      <c r="D275" s="444"/>
      <c r="E275" s="444"/>
      <c r="F275" s="444"/>
      <c r="G275" s="444"/>
      <c r="H275" s="629"/>
      <c r="I275" s="629"/>
      <c r="J275" s="629"/>
      <c r="K275" s="629"/>
      <c r="L275" s="629"/>
      <c r="M275" s="629"/>
      <c r="N275" s="629"/>
      <c r="O275" s="629"/>
      <c r="P275" s="629"/>
      <c r="Q275" s="629"/>
      <c r="R275" s="516">
        <v>0</v>
      </c>
      <c r="S275" s="628">
        <v>0</v>
      </c>
      <c r="T275" s="517">
        <v>0</v>
      </c>
      <c r="U275" s="628">
        <v>0</v>
      </c>
      <c r="V275" s="444"/>
      <c r="W275" s="446"/>
      <c r="X275" s="425"/>
    </row>
    <row r="276" spans="1:24" s="426" customFormat="1" x14ac:dyDescent="0.3">
      <c r="A276" s="443"/>
      <c r="B276" s="516" t="s">
        <v>160</v>
      </c>
      <c r="C276" s="444"/>
      <c r="D276" s="444"/>
      <c r="E276" s="444"/>
      <c r="F276" s="444"/>
      <c r="G276" s="444"/>
      <c r="H276" s="629"/>
      <c r="I276" s="629"/>
      <c r="J276" s="629"/>
      <c r="K276" s="629"/>
      <c r="L276" s="629"/>
      <c r="M276" s="629"/>
      <c r="N276" s="629"/>
      <c r="O276" s="629"/>
      <c r="P276" s="629"/>
      <c r="Q276" s="629"/>
      <c r="R276" s="516">
        <v>0</v>
      </c>
      <c r="S276" s="628">
        <v>0</v>
      </c>
      <c r="T276" s="517">
        <v>0</v>
      </c>
      <c r="U276" s="628">
        <v>0</v>
      </c>
      <c r="V276" s="444"/>
      <c r="W276" s="446"/>
      <c r="X276" s="425"/>
    </row>
    <row r="277" spans="1:24" s="426" customFormat="1" x14ac:dyDescent="0.3">
      <c r="A277" s="443"/>
      <c r="B277" s="516" t="s">
        <v>161</v>
      </c>
      <c r="C277" s="444"/>
      <c r="D277" s="444"/>
      <c r="E277" s="444"/>
      <c r="F277" s="444"/>
      <c r="G277" s="444"/>
      <c r="H277" s="629"/>
      <c r="I277" s="629"/>
      <c r="J277" s="629"/>
      <c r="K277" s="629"/>
      <c r="L277" s="629"/>
      <c r="M277" s="629"/>
      <c r="N277" s="629"/>
      <c r="O277" s="629"/>
      <c r="P277" s="629"/>
      <c r="Q277" s="629"/>
      <c r="R277" s="516">
        <v>0</v>
      </c>
      <c r="S277" s="628">
        <v>0</v>
      </c>
      <c r="T277" s="517">
        <v>0</v>
      </c>
      <c r="U277" s="628">
        <v>0</v>
      </c>
      <c r="V277" s="444"/>
      <c r="W277" s="446"/>
      <c r="X277" s="425"/>
    </row>
    <row r="278" spans="1:24" s="426" customFormat="1" x14ac:dyDescent="0.3">
      <c r="A278" s="443"/>
      <c r="B278" s="516" t="s">
        <v>162</v>
      </c>
      <c r="C278" s="444"/>
      <c r="D278" s="444"/>
      <c r="E278" s="444"/>
      <c r="F278" s="444"/>
      <c r="G278" s="444"/>
      <c r="H278" s="629"/>
      <c r="I278" s="629"/>
      <c r="J278" s="629"/>
      <c r="K278" s="629"/>
      <c r="L278" s="629"/>
      <c r="M278" s="629"/>
      <c r="N278" s="629"/>
      <c r="O278" s="629"/>
      <c r="P278" s="629"/>
      <c r="Q278" s="629"/>
      <c r="R278" s="516">
        <v>0</v>
      </c>
      <c r="S278" s="628">
        <v>0</v>
      </c>
      <c r="T278" s="517">
        <v>0</v>
      </c>
      <c r="U278" s="628">
        <v>0</v>
      </c>
      <c r="V278" s="444"/>
      <c r="W278" s="446"/>
      <c r="X278" s="425"/>
    </row>
    <row r="279" spans="1:24" s="426" customFormat="1" x14ac:dyDescent="0.3">
      <c r="A279" s="443"/>
      <c r="B279" s="516" t="s">
        <v>163</v>
      </c>
      <c r="C279" s="444"/>
      <c r="D279" s="444"/>
      <c r="E279" s="444"/>
      <c r="F279" s="444"/>
      <c r="G279" s="444"/>
      <c r="H279" s="629"/>
      <c r="I279" s="629"/>
      <c r="J279" s="629"/>
      <c r="K279" s="629"/>
      <c r="L279" s="629"/>
      <c r="M279" s="629"/>
      <c r="N279" s="629"/>
      <c r="O279" s="629"/>
      <c r="P279" s="629"/>
      <c r="Q279" s="629"/>
      <c r="R279" s="516">
        <v>0</v>
      </c>
      <c r="S279" s="628">
        <v>0</v>
      </c>
      <c r="T279" s="517">
        <v>0</v>
      </c>
      <c r="U279" s="628">
        <v>0</v>
      </c>
      <c r="V279" s="444"/>
      <c r="W279" s="446"/>
      <c r="X279" s="425"/>
    </row>
    <row r="280" spans="1:24" s="426" customFormat="1" x14ac:dyDescent="0.3">
      <c r="A280" s="443"/>
      <c r="B280" s="516"/>
      <c r="C280" s="444"/>
      <c r="D280" s="444"/>
      <c r="E280" s="444"/>
      <c r="F280" s="444"/>
      <c r="G280" s="444"/>
      <c r="H280" s="629"/>
      <c r="I280" s="629"/>
      <c r="J280" s="629"/>
      <c r="K280" s="629"/>
      <c r="L280" s="629"/>
      <c r="M280" s="629"/>
      <c r="N280" s="629"/>
      <c r="O280" s="629"/>
      <c r="P280" s="629"/>
      <c r="Q280" s="629"/>
      <c r="R280" s="516"/>
      <c r="S280" s="628"/>
      <c r="T280" s="517"/>
      <c r="U280" s="628"/>
      <c r="V280" s="444"/>
      <c r="W280" s="446"/>
      <c r="X280" s="425"/>
    </row>
    <row r="281" spans="1:24" s="426" customFormat="1" x14ac:dyDescent="0.3">
      <c r="A281" s="443"/>
      <c r="B281" s="444" t="s">
        <v>117</v>
      </c>
      <c r="C281" s="444"/>
      <c r="D281" s="444"/>
      <c r="E281" s="444"/>
      <c r="F281" s="444"/>
      <c r="G281" s="444"/>
      <c r="H281" s="629"/>
      <c r="I281" s="629"/>
      <c r="J281" s="629"/>
      <c r="K281" s="629"/>
      <c r="L281" s="629"/>
      <c r="M281" s="629"/>
      <c r="N281" s="629"/>
      <c r="O281" s="629"/>
      <c r="P281" s="629"/>
      <c r="Q281" s="629"/>
      <c r="R281" s="516">
        <f>SUM(R272:R279)</f>
        <v>0</v>
      </c>
      <c r="S281" s="628">
        <f>SUM(S272:S279)</f>
        <v>0</v>
      </c>
      <c r="T281" s="517">
        <f>SUM(T272:T279)</f>
        <v>0</v>
      </c>
      <c r="U281" s="628">
        <f>SUM(U272:U279)</f>
        <v>0</v>
      </c>
      <c r="V281" s="444"/>
      <c r="W281" s="446"/>
      <c r="X281" s="425"/>
    </row>
    <row r="282" spans="1:24" s="426" customFormat="1" x14ac:dyDescent="0.3">
      <c r="A282" s="443"/>
      <c r="B282" s="444"/>
      <c r="C282" s="444"/>
      <c r="D282" s="444"/>
      <c r="E282" s="444"/>
      <c r="F282" s="444"/>
      <c r="G282" s="444"/>
      <c r="H282" s="629"/>
      <c r="I282" s="629"/>
      <c r="J282" s="629"/>
      <c r="K282" s="629"/>
      <c r="L282" s="629"/>
      <c r="M282" s="629"/>
      <c r="N282" s="629"/>
      <c r="O282" s="629"/>
      <c r="P282" s="629"/>
      <c r="Q282" s="629"/>
      <c r="R282" s="516"/>
      <c r="S282" s="628"/>
      <c r="T282" s="517"/>
      <c r="U282" s="628"/>
      <c r="V282" s="444"/>
      <c r="W282" s="446"/>
      <c r="X282" s="425"/>
    </row>
    <row r="283" spans="1:24" s="426" customFormat="1" x14ac:dyDescent="0.3">
      <c r="A283" s="443"/>
      <c r="B283" s="449" t="s">
        <v>167</v>
      </c>
      <c r="C283" s="444"/>
      <c r="D283" s="444"/>
      <c r="E283" s="444"/>
      <c r="F283" s="444"/>
      <c r="G283" s="444"/>
      <c r="H283" s="629"/>
      <c r="I283" s="629"/>
      <c r="J283" s="629"/>
      <c r="K283" s="629"/>
      <c r="L283" s="629"/>
      <c r="M283" s="629"/>
      <c r="N283" s="629"/>
      <c r="O283" s="629"/>
      <c r="P283" s="629"/>
      <c r="Q283" s="629"/>
      <c r="R283" s="637">
        <f>R281+R269+R257</f>
        <v>6020</v>
      </c>
      <c r="S283" s="628"/>
      <c r="T283" s="638">
        <f>+T281+T269+T257</f>
        <v>770981</v>
      </c>
      <c r="U283" s="628"/>
      <c r="V283" s="444"/>
      <c r="W283" s="446"/>
      <c r="X283" s="425"/>
    </row>
    <row r="284" spans="1:24" s="426" customFormat="1" x14ac:dyDescent="0.3">
      <c r="A284" s="421"/>
      <c r="B284" s="494"/>
      <c r="C284" s="494"/>
      <c r="D284" s="494"/>
      <c r="E284" s="494"/>
      <c r="F284" s="494"/>
      <c r="G284" s="494"/>
      <c r="H284" s="636"/>
      <c r="I284" s="636"/>
      <c r="J284" s="636"/>
      <c r="K284" s="636"/>
      <c r="L284" s="636"/>
      <c r="M284" s="636"/>
      <c r="N284" s="636"/>
      <c r="O284" s="636"/>
      <c r="P284" s="636"/>
      <c r="Q284" s="636"/>
      <c r="R284" s="636"/>
      <c r="S284" s="636"/>
      <c r="T284" s="631"/>
      <c r="U284" s="636"/>
      <c r="V284" s="494"/>
      <c r="W284" s="424"/>
      <c r="X284" s="425"/>
    </row>
    <row r="285" spans="1:24" s="426" customFormat="1" x14ac:dyDescent="0.3">
      <c r="A285" s="421"/>
      <c r="B285" s="422"/>
      <c r="C285" s="422"/>
      <c r="D285" s="422"/>
      <c r="E285" s="422"/>
      <c r="F285" s="422"/>
      <c r="G285" s="422"/>
      <c r="H285" s="639"/>
      <c r="I285" s="639"/>
      <c r="J285" s="639"/>
      <c r="K285" s="639"/>
      <c r="L285" s="639"/>
      <c r="M285" s="639"/>
      <c r="N285" s="639"/>
      <c r="O285" s="639"/>
      <c r="P285" s="639"/>
      <c r="Q285" s="639"/>
      <c r="R285" s="639"/>
      <c r="S285" s="639"/>
      <c r="T285" s="640"/>
      <c r="U285" s="639"/>
      <c r="V285" s="422"/>
      <c r="W285" s="424"/>
      <c r="X285" s="425"/>
    </row>
    <row r="286" spans="1:24" s="426" customFormat="1" x14ac:dyDescent="0.3">
      <c r="A286" s="421"/>
      <c r="B286" s="420" t="s">
        <v>92</v>
      </c>
      <c r="C286" s="422"/>
      <c r="D286" s="422"/>
      <c r="E286" s="422"/>
      <c r="F286" s="429" t="s">
        <v>98</v>
      </c>
      <c r="G286" s="422"/>
      <c r="H286" s="420" t="s">
        <v>100</v>
      </c>
      <c r="I286" s="420"/>
      <c r="J286" s="420"/>
      <c r="K286" s="422"/>
      <c r="L286" s="422"/>
      <c r="M286" s="422"/>
      <c r="N286" s="422"/>
      <c r="O286" s="422"/>
      <c r="P286" s="422"/>
      <c r="Q286" s="422"/>
      <c r="R286" s="422"/>
      <c r="S286" s="422"/>
      <c r="T286" s="422"/>
      <c r="U286" s="422"/>
      <c r="V286" s="422"/>
      <c r="W286" s="424"/>
      <c r="X286" s="425"/>
    </row>
    <row r="287" spans="1:24" s="426" customFormat="1" x14ac:dyDescent="0.3">
      <c r="A287" s="421"/>
      <c r="B287" s="420" t="s">
        <v>336</v>
      </c>
      <c r="C287" s="420"/>
      <c r="D287" s="420"/>
      <c r="E287" s="420"/>
      <c r="F287" s="641" t="s">
        <v>282</v>
      </c>
      <c r="G287" s="420"/>
      <c r="H287" s="420" t="s">
        <v>371</v>
      </c>
      <c r="I287" s="422"/>
      <c r="J287" s="420"/>
      <c r="K287" s="422"/>
      <c r="L287" s="422"/>
      <c r="M287" s="422"/>
      <c r="N287" s="422"/>
      <c r="O287" s="422"/>
      <c r="P287" s="422"/>
      <c r="Q287" s="422"/>
      <c r="R287" s="422"/>
      <c r="S287" s="422"/>
      <c r="T287" s="422"/>
      <c r="U287" s="422"/>
      <c r="V287" s="422"/>
      <c r="W287" s="424"/>
      <c r="X287" s="425"/>
    </row>
    <row r="288" spans="1:24" s="426" customFormat="1" x14ac:dyDescent="0.3">
      <c r="A288" s="421"/>
      <c r="B288" s="420" t="s">
        <v>337</v>
      </c>
      <c r="C288" s="420"/>
      <c r="D288" s="420"/>
      <c r="E288" s="420"/>
      <c r="F288" s="641" t="s">
        <v>150</v>
      </c>
      <c r="G288" s="420"/>
      <c r="H288" s="420" t="s">
        <v>372</v>
      </c>
      <c r="I288" s="420"/>
      <c r="J288" s="420"/>
      <c r="K288" s="422"/>
      <c r="L288" s="422"/>
      <c r="M288" s="422"/>
      <c r="N288" s="422"/>
      <c r="O288" s="422"/>
      <c r="P288" s="422"/>
      <c r="Q288" s="422"/>
      <c r="R288" s="422"/>
      <c r="S288" s="422"/>
      <c r="T288" s="422"/>
      <c r="U288" s="422"/>
      <c r="V288" s="422"/>
      <c r="W288" s="424"/>
      <c r="X288" s="425"/>
    </row>
    <row r="289" spans="1:24" s="426" customFormat="1" x14ac:dyDescent="0.3">
      <c r="A289" s="421"/>
      <c r="B289" s="420"/>
      <c r="C289" s="420"/>
      <c r="D289" s="420"/>
      <c r="E289" s="420"/>
      <c r="F289" s="641"/>
      <c r="G289" s="420"/>
      <c r="H289" s="420"/>
      <c r="I289" s="420"/>
      <c r="J289" s="420"/>
      <c r="K289" s="422"/>
      <c r="L289" s="422"/>
      <c r="M289" s="422"/>
      <c r="N289" s="422"/>
      <c r="O289" s="422"/>
      <c r="P289" s="422"/>
      <c r="Q289" s="422"/>
      <c r="R289" s="422"/>
      <c r="S289" s="422"/>
      <c r="T289" s="422"/>
      <c r="U289" s="422"/>
      <c r="V289" s="422"/>
      <c r="W289" s="424"/>
      <c r="X289" s="425"/>
    </row>
    <row r="290" spans="1:24" s="426" customFormat="1" x14ac:dyDescent="0.3">
      <c r="A290" s="421"/>
      <c r="B290" s="494" t="s">
        <v>367</v>
      </c>
      <c r="C290" s="420"/>
      <c r="D290" s="420"/>
      <c r="E290" s="420"/>
      <c r="F290" s="641"/>
      <c r="G290" s="420"/>
      <c r="H290" s="420"/>
      <c r="I290" s="420"/>
      <c r="J290" s="420"/>
      <c r="K290" s="422"/>
      <c r="L290" s="422"/>
      <c r="M290" s="422"/>
      <c r="N290" s="422"/>
      <c r="O290" s="422"/>
      <c r="P290" s="422"/>
      <c r="Q290" s="422"/>
      <c r="R290" s="422"/>
      <c r="S290" s="422"/>
      <c r="T290" s="422"/>
      <c r="U290" s="422"/>
      <c r="V290" s="422"/>
      <c r="W290" s="424"/>
      <c r="X290" s="425"/>
    </row>
    <row r="291" spans="1:24" s="426" customFormat="1" x14ac:dyDescent="0.3">
      <c r="A291" s="421"/>
      <c r="B291" s="494" t="s">
        <v>373</v>
      </c>
      <c r="C291" s="420"/>
      <c r="D291" s="420"/>
      <c r="E291" s="420"/>
      <c r="F291" s="641"/>
      <c r="G291" s="420"/>
      <c r="H291" s="420"/>
      <c r="I291" s="420"/>
      <c r="J291" s="420"/>
      <c r="K291" s="422"/>
      <c r="L291" s="422"/>
      <c r="M291" s="422"/>
      <c r="N291" s="422"/>
      <c r="O291" s="422"/>
      <c r="P291" s="422"/>
      <c r="Q291" s="422"/>
      <c r="R291" s="422"/>
      <c r="S291" s="422"/>
      <c r="T291" s="422"/>
      <c r="U291" s="422"/>
      <c r="V291" s="422"/>
      <c r="W291" s="424"/>
      <c r="X291" s="425"/>
    </row>
    <row r="292" spans="1:24" s="426" customFormat="1" x14ac:dyDescent="0.3">
      <c r="A292" s="421"/>
      <c r="B292" s="494" t="s">
        <v>365</v>
      </c>
      <c r="C292" s="420"/>
      <c r="D292" s="420"/>
      <c r="E292" s="420"/>
      <c r="F292" s="641"/>
      <c r="G292" s="420"/>
      <c r="H292" s="420"/>
      <c r="I292" s="420"/>
      <c r="J292" s="420"/>
      <c r="K292" s="422"/>
      <c r="L292" s="422"/>
      <c r="M292" s="422"/>
      <c r="N292" s="422"/>
      <c r="O292" s="422"/>
      <c r="P292" s="422"/>
      <c r="Q292" s="422"/>
      <c r="R292" s="422"/>
      <c r="S292" s="422"/>
      <c r="T292" s="422"/>
      <c r="U292" s="422"/>
      <c r="V292" s="422"/>
      <c r="W292" s="424"/>
      <c r="X292" s="425"/>
    </row>
    <row r="293" spans="1:24" s="426" customFormat="1" x14ac:dyDescent="0.3">
      <c r="A293" s="421"/>
      <c r="B293" s="494" t="s">
        <v>366</v>
      </c>
      <c r="C293" s="420"/>
      <c r="D293" s="420"/>
      <c r="E293" s="420"/>
      <c r="F293" s="641"/>
      <c r="G293" s="420"/>
      <c r="H293" s="420"/>
      <c r="I293" s="420"/>
      <c r="J293" s="420"/>
      <c r="K293" s="422"/>
      <c r="L293" s="422"/>
      <c r="M293" s="422"/>
      <c r="N293" s="422"/>
      <c r="O293" s="422"/>
      <c r="P293" s="422"/>
      <c r="Q293" s="422"/>
      <c r="R293" s="422"/>
      <c r="S293" s="422"/>
      <c r="T293" s="422"/>
      <c r="U293" s="422"/>
      <c r="V293" s="422"/>
      <c r="W293" s="424"/>
      <c r="X293" s="425"/>
    </row>
    <row r="294" spans="1:24" x14ac:dyDescent="0.3">
      <c r="A294" s="408"/>
      <c r="B294" s="642"/>
      <c r="C294" s="642"/>
      <c r="D294" s="642"/>
      <c r="E294" s="642"/>
      <c r="F294" s="643"/>
      <c r="G294" s="642"/>
      <c r="H294" s="642"/>
      <c r="I294" s="642"/>
      <c r="J294" s="642"/>
      <c r="K294" s="531"/>
      <c r="L294" s="531"/>
      <c r="M294" s="531"/>
      <c r="N294" s="531"/>
      <c r="O294" s="531"/>
      <c r="P294" s="531"/>
      <c r="Q294" s="531"/>
      <c r="R294" s="531"/>
      <c r="S294" s="531"/>
      <c r="T294" s="531"/>
      <c r="U294" s="531"/>
      <c r="V294" s="531"/>
      <c r="W294" s="532"/>
      <c r="X294" s="406"/>
    </row>
    <row r="295" spans="1:24" ht="18" x14ac:dyDescent="0.35">
      <c r="A295" s="408"/>
      <c r="B295" s="644" t="s">
        <v>368</v>
      </c>
      <c r="C295" s="642"/>
      <c r="D295" s="642"/>
      <c r="E295" s="642"/>
      <c r="F295" s="642"/>
      <c r="G295" s="642"/>
      <c r="H295" s="531"/>
      <c r="I295" s="531"/>
      <c r="J295" s="531"/>
      <c r="K295" s="531"/>
      <c r="L295" s="410"/>
      <c r="M295" s="410"/>
      <c r="N295" s="645"/>
      <c r="O295" s="410"/>
      <c r="P295" s="646" t="s">
        <v>370</v>
      </c>
      <c r="Q295" s="531"/>
      <c r="R295" s="531"/>
      <c r="S295" s="531"/>
      <c r="T295" s="531"/>
      <c r="U295" s="531"/>
      <c r="V295" s="531"/>
      <c r="W295" s="532"/>
      <c r="X295" s="406"/>
    </row>
    <row r="296" spans="1:24" x14ac:dyDescent="0.3">
      <c r="A296" s="408"/>
      <c r="B296" s="642"/>
      <c r="C296" s="642"/>
      <c r="D296" s="642"/>
      <c r="E296" s="642"/>
      <c r="F296" s="642"/>
      <c r="G296" s="642"/>
      <c r="H296" s="531"/>
      <c r="I296" s="531"/>
      <c r="J296" s="531"/>
      <c r="K296" s="531"/>
      <c r="L296" s="531"/>
      <c r="M296" s="531"/>
      <c r="N296" s="531"/>
      <c r="O296" s="531"/>
      <c r="P296" s="531"/>
      <c r="Q296" s="531"/>
      <c r="R296" s="531"/>
      <c r="S296" s="531"/>
      <c r="T296" s="531"/>
      <c r="U296" s="531"/>
      <c r="V296" s="531"/>
      <c r="W296" s="532"/>
      <c r="X296" s="406"/>
    </row>
    <row r="297" spans="1:24" ht="18.600000000000001" thickBot="1" x14ac:dyDescent="0.4">
      <c r="A297" s="408"/>
      <c r="B297" s="647" t="str">
        <f>B197</f>
        <v>PM13 INVESTOR REPORT QUARTER ENDING MARCH 2018</v>
      </c>
      <c r="C297" s="642"/>
      <c r="D297" s="642"/>
      <c r="E297" s="642"/>
      <c r="F297" s="642"/>
      <c r="G297" s="642"/>
      <c r="H297" s="531"/>
      <c r="I297" s="531"/>
      <c r="J297" s="531"/>
      <c r="K297" s="531"/>
      <c r="L297" s="531"/>
      <c r="M297" s="531"/>
      <c r="N297" s="531"/>
      <c r="O297" s="531"/>
      <c r="P297" s="531"/>
      <c r="Q297" s="531"/>
      <c r="R297" s="531"/>
      <c r="S297" s="531"/>
      <c r="T297" s="531"/>
      <c r="U297" s="531"/>
      <c r="V297" s="531"/>
      <c r="W297" s="648"/>
      <c r="X297" s="406"/>
    </row>
    <row r="298" spans="1:24" x14ac:dyDescent="0.3">
      <c r="A298" s="649"/>
      <c r="B298" s="649"/>
      <c r="C298" s="649"/>
      <c r="D298" s="649"/>
      <c r="E298" s="649"/>
      <c r="F298" s="649"/>
      <c r="G298" s="649"/>
      <c r="H298" s="649"/>
      <c r="I298" s="649"/>
      <c r="J298" s="649"/>
      <c r="K298" s="649"/>
      <c r="L298" s="649"/>
      <c r="M298" s="649"/>
      <c r="N298" s="649"/>
      <c r="O298" s="649"/>
      <c r="P298" s="649"/>
      <c r="Q298" s="649"/>
      <c r="R298" s="649"/>
      <c r="S298" s="649"/>
      <c r="T298" s="649"/>
      <c r="U298" s="649"/>
      <c r="V298" s="649"/>
      <c r="W298" s="649"/>
    </row>
  </sheetData>
  <hyperlinks>
    <hyperlink ref="P233" r:id="rId1" display="http://www.paragon-group.co.uk" xr:uid="{00000000-0004-0000-2D00-000000000000}"/>
    <hyperlink ref="I9" r:id="rId2" display="http://www.paragon-group.co.uk" xr:uid="{00000000-0004-0000-2D00-000001000000}"/>
    <hyperlink ref="P295" r:id="rId3" display="http://www.paragon-group.co.uk" xr:uid="{00000000-0004-0000-2D00-000002000000}"/>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37" max="22" man="1"/>
    <brk id="197" max="22" man="1"/>
  </rowBreaks>
  <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89CB31"/>
  </sheetPr>
  <dimension ref="A1:Z298"/>
  <sheetViews>
    <sheetView showGridLines="0" showOutlineSymbols="0" zoomScale="70" zoomScaleNormal="70" workbookViewId="0"/>
  </sheetViews>
  <sheetFormatPr defaultColWidth="9.81640625" defaultRowHeight="15.6" x14ac:dyDescent="0.3"/>
  <cols>
    <col min="1" max="1" width="4" style="407" customWidth="1"/>
    <col min="2" max="2" width="71.08984375" style="407" customWidth="1"/>
    <col min="3" max="3" width="2.08984375" style="407" customWidth="1"/>
    <col min="4" max="4" width="19.1796875" style="407" customWidth="1"/>
    <col min="5" max="5" width="2.08984375" style="407" customWidth="1"/>
    <col min="6" max="6" width="25.08984375" style="407" customWidth="1"/>
    <col min="7" max="7" width="2.08984375" style="407" customWidth="1"/>
    <col min="8" max="8" width="16.08984375" style="407" customWidth="1"/>
    <col min="9" max="9" width="2.81640625" style="407" customWidth="1"/>
    <col min="10" max="10" width="16.08984375" style="407" customWidth="1"/>
    <col min="11" max="11" width="2.08984375" style="407" customWidth="1"/>
    <col min="12" max="12" width="17.81640625" style="407" customWidth="1"/>
    <col min="13" max="13" width="2.1796875" style="407" customWidth="1"/>
    <col min="14" max="14" width="14.81640625" style="407" customWidth="1"/>
    <col min="15" max="15" width="2.1796875" style="407" customWidth="1"/>
    <col min="16" max="16" width="15.54296875" style="407" customWidth="1"/>
    <col min="17" max="17" width="2.08984375" style="407" customWidth="1"/>
    <col min="18" max="18" width="15.54296875" style="407" customWidth="1"/>
    <col min="19" max="20" width="12.81640625" style="407" customWidth="1"/>
    <col min="21" max="21" width="7.81640625" style="407" customWidth="1"/>
    <col min="22" max="22" width="14.81640625" style="407" customWidth="1"/>
    <col min="23" max="23" width="11.81640625" style="407" customWidth="1"/>
    <col min="24" max="16384" width="9.81640625" style="407"/>
  </cols>
  <sheetData>
    <row r="1" spans="1:24" ht="21" x14ac:dyDescent="0.4">
      <c r="A1" s="402"/>
      <c r="B1" s="403" t="s">
        <v>238</v>
      </c>
      <c r="C1" s="404"/>
      <c r="D1" s="404"/>
      <c r="E1" s="404"/>
      <c r="F1" s="404"/>
      <c r="G1" s="404"/>
      <c r="H1" s="404"/>
      <c r="I1" s="404"/>
      <c r="J1" s="404"/>
      <c r="K1" s="404"/>
      <c r="L1" s="404"/>
      <c r="M1" s="404"/>
      <c r="N1" s="404"/>
      <c r="O1" s="404"/>
      <c r="P1" s="404"/>
      <c r="Q1" s="404"/>
      <c r="R1" s="404"/>
      <c r="S1" s="404"/>
      <c r="T1" s="404"/>
      <c r="U1" s="404"/>
      <c r="V1" s="404"/>
      <c r="W1" s="405"/>
      <c r="X1" s="406"/>
    </row>
    <row r="2" spans="1:24" x14ac:dyDescent="0.3">
      <c r="A2" s="408"/>
      <c r="B2" s="409"/>
      <c r="C2" s="410"/>
      <c r="D2" s="410"/>
      <c r="E2" s="410"/>
      <c r="F2" s="410"/>
      <c r="G2" s="410"/>
      <c r="H2" s="410"/>
      <c r="I2" s="410"/>
      <c r="J2" s="410"/>
      <c r="K2" s="410"/>
      <c r="L2" s="410"/>
      <c r="M2" s="410"/>
      <c r="N2" s="410"/>
      <c r="O2" s="410"/>
      <c r="P2" s="410"/>
      <c r="Q2" s="410"/>
      <c r="R2" s="410"/>
      <c r="S2" s="410"/>
      <c r="T2" s="410"/>
      <c r="U2" s="410"/>
      <c r="V2" s="410"/>
      <c r="W2" s="411"/>
      <c r="X2" s="406"/>
    </row>
    <row r="3" spans="1:24" x14ac:dyDescent="0.3">
      <c r="A3" s="412"/>
      <c r="B3" s="413" t="s">
        <v>239</v>
      </c>
      <c r="C3" s="410"/>
      <c r="D3" s="410"/>
      <c r="E3" s="410"/>
      <c r="F3" s="410"/>
      <c r="G3" s="410"/>
      <c r="H3" s="410"/>
      <c r="I3" s="410"/>
      <c r="J3" s="410"/>
      <c r="K3" s="410"/>
      <c r="L3" s="410"/>
      <c r="M3" s="410"/>
      <c r="N3" s="410"/>
      <c r="O3" s="410"/>
      <c r="P3" s="410"/>
      <c r="Q3" s="410"/>
      <c r="R3" s="410"/>
      <c r="S3" s="410"/>
      <c r="T3" s="410"/>
      <c r="U3" s="410"/>
      <c r="V3" s="410"/>
      <c r="W3" s="411"/>
      <c r="X3" s="406"/>
    </row>
    <row r="4" spans="1:24" x14ac:dyDescent="0.3">
      <c r="A4" s="408"/>
      <c r="B4" s="409"/>
      <c r="C4" s="410"/>
      <c r="D4" s="410"/>
      <c r="E4" s="410"/>
      <c r="F4" s="410"/>
      <c r="G4" s="410"/>
      <c r="H4" s="410"/>
      <c r="I4" s="410"/>
      <c r="J4" s="410"/>
      <c r="K4" s="410"/>
      <c r="L4" s="410"/>
      <c r="M4" s="410"/>
      <c r="N4" s="410"/>
      <c r="O4" s="410"/>
      <c r="P4" s="410"/>
      <c r="Q4" s="410"/>
      <c r="R4" s="410"/>
      <c r="S4" s="410"/>
      <c r="T4" s="410"/>
      <c r="U4" s="410"/>
      <c r="V4" s="410"/>
      <c r="W4" s="411"/>
      <c r="X4" s="406"/>
    </row>
    <row r="5" spans="1:24" x14ac:dyDescent="0.3">
      <c r="A5" s="408"/>
      <c r="B5" s="414" t="s">
        <v>140</v>
      </c>
      <c r="C5" s="410"/>
      <c r="D5" s="410"/>
      <c r="E5" s="410"/>
      <c r="F5" s="410"/>
      <c r="G5" s="410"/>
      <c r="H5" s="410"/>
      <c r="I5" s="410"/>
      <c r="J5" s="410"/>
      <c r="K5" s="410"/>
      <c r="L5" s="410"/>
      <c r="M5" s="410"/>
      <c r="N5" s="410"/>
      <c r="O5" s="410"/>
      <c r="P5" s="410"/>
      <c r="Q5" s="410"/>
      <c r="R5" s="410"/>
      <c r="S5" s="410"/>
      <c r="T5" s="410"/>
      <c r="U5" s="410"/>
      <c r="V5" s="410"/>
      <c r="W5" s="411"/>
      <c r="X5" s="406"/>
    </row>
    <row r="6" spans="1:24" x14ac:dyDescent="0.3">
      <c r="A6" s="408"/>
      <c r="B6" s="414" t="s">
        <v>142</v>
      </c>
      <c r="C6" s="410"/>
      <c r="D6" s="410"/>
      <c r="E6" s="410"/>
      <c r="F6" s="410"/>
      <c r="G6" s="410"/>
      <c r="H6" s="410"/>
      <c r="I6" s="410"/>
      <c r="J6" s="410"/>
      <c r="K6" s="410"/>
      <c r="L6" s="410"/>
      <c r="M6" s="410"/>
      <c r="N6" s="410"/>
      <c r="O6" s="410"/>
      <c r="P6" s="410"/>
      <c r="Q6" s="410"/>
      <c r="R6" s="410"/>
      <c r="S6" s="410"/>
      <c r="T6" s="410"/>
      <c r="U6" s="410"/>
      <c r="V6" s="410"/>
      <c r="W6" s="411"/>
      <c r="X6" s="406"/>
    </row>
    <row r="7" spans="1:24" x14ac:dyDescent="0.3">
      <c r="A7" s="408"/>
      <c r="B7" s="414" t="s">
        <v>141</v>
      </c>
      <c r="C7" s="410"/>
      <c r="D7" s="410"/>
      <c r="E7" s="410"/>
      <c r="F7" s="410"/>
      <c r="G7" s="410"/>
      <c r="H7" s="410"/>
      <c r="I7" s="410"/>
      <c r="J7" s="410"/>
      <c r="K7" s="410"/>
      <c r="L7" s="410"/>
      <c r="M7" s="410"/>
      <c r="N7" s="410"/>
      <c r="O7" s="410"/>
      <c r="P7" s="410"/>
      <c r="Q7" s="410"/>
      <c r="R7" s="410"/>
      <c r="S7" s="410"/>
      <c r="T7" s="410"/>
      <c r="U7" s="410"/>
      <c r="V7" s="410"/>
      <c r="W7" s="411"/>
      <c r="X7" s="406"/>
    </row>
    <row r="8" spans="1:24" x14ac:dyDescent="0.3">
      <c r="A8" s="408"/>
      <c r="B8" s="415"/>
      <c r="C8" s="410"/>
      <c r="D8" s="410"/>
      <c r="E8" s="410"/>
      <c r="F8" s="410"/>
      <c r="G8" s="410"/>
      <c r="H8" s="410"/>
      <c r="I8" s="410"/>
      <c r="J8" s="410"/>
      <c r="K8" s="410"/>
      <c r="L8" s="410"/>
      <c r="M8" s="410"/>
      <c r="N8" s="410"/>
      <c r="O8" s="410"/>
      <c r="P8" s="410"/>
      <c r="Q8" s="410"/>
      <c r="R8" s="410"/>
      <c r="S8" s="410"/>
      <c r="T8" s="410"/>
      <c r="U8" s="410"/>
      <c r="V8" s="410"/>
      <c r="W8" s="411"/>
      <c r="X8" s="406"/>
    </row>
    <row r="9" spans="1:24" ht="18" x14ac:dyDescent="0.35">
      <c r="A9" s="408"/>
      <c r="B9" s="413" t="s">
        <v>169</v>
      </c>
      <c r="C9" s="410"/>
      <c r="D9" s="410"/>
      <c r="E9" s="410"/>
      <c r="F9" s="410"/>
      <c r="G9" s="410"/>
      <c r="H9" s="410"/>
      <c r="I9" s="416" t="s">
        <v>370</v>
      </c>
      <c r="J9" s="410"/>
      <c r="K9" s="410"/>
      <c r="L9" s="417"/>
      <c r="M9" s="410"/>
      <c r="N9" s="418"/>
      <c r="O9" s="410"/>
      <c r="P9" s="410"/>
      <c r="Q9" s="410"/>
      <c r="R9" s="410"/>
      <c r="S9" s="410"/>
      <c r="T9" s="410"/>
      <c r="U9" s="410"/>
      <c r="V9" s="410"/>
      <c r="W9" s="411"/>
      <c r="X9" s="406"/>
    </row>
    <row r="10" spans="1:24" x14ac:dyDescent="0.3">
      <c r="A10" s="408"/>
      <c r="B10" s="415"/>
      <c r="C10" s="419"/>
      <c r="D10" s="419"/>
      <c r="E10" s="419"/>
      <c r="F10" s="410"/>
      <c r="G10" s="410"/>
      <c r="H10" s="410"/>
      <c r="I10" s="410"/>
      <c r="J10" s="410"/>
      <c r="K10" s="410"/>
      <c r="L10" s="410"/>
      <c r="M10" s="410"/>
      <c r="N10" s="410"/>
      <c r="O10" s="410"/>
      <c r="P10" s="410"/>
      <c r="Q10" s="410"/>
      <c r="R10" s="410"/>
      <c r="S10" s="410"/>
      <c r="T10" s="410"/>
      <c r="U10" s="410"/>
      <c r="V10" s="410"/>
      <c r="W10" s="411"/>
      <c r="X10" s="406"/>
    </row>
    <row r="11" spans="1:24" x14ac:dyDescent="0.3">
      <c r="A11" s="408"/>
      <c r="B11" s="420" t="s">
        <v>0</v>
      </c>
      <c r="C11" s="410"/>
      <c r="D11" s="410"/>
      <c r="E11" s="410"/>
      <c r="F11" s="410"/>
      <c r="G11" s="410"/>
      <c r="H11" s="410"/>
      <c r="I11" s="410"/>
      <c r="J11" s="410"/>
      <c r="K11" s="410"/>
      <c r="L11" s="410"/>
      <c r="M11" s="410"/>
      <c r="N11" s="410"/>
      <c r="O11" s="410"/>
      <c r="P11" s="410"/>
      <c r="Q11" s="410"/>
      <c r="R11" s="410"/>
      <c r="S11" s="410"/>
      <c r="T11" s="410"/>
      <c r="U11" s="410"/>
      <c r="V11" s="410"/>
      <c r="W11" s="411"/>
      <c r="X11" s="406"/>
    </row>
    <row r="12" spans="1:24" ht="16.2" thickBot="1" x14ac:dyDescent="0.35">
      <c r="A12" s="408"/>
      <c r="B12" s="419"/>
      <c r="C12" s="410"/>
      <c r="D12" s="410"/>
      <c r="E12" s="410"/>
      <c r="F12" s="410"/>
      <c r="G12" s="410"/>
      <c r="H12" s="410"/>
      <c r="I12" s="410"/>
      <c r="J12" s="410"/>
      <c r="K12" s="410"/>
      <c r="L12" s="410"/>
      <c r="M12" s="410"/>
      <c r="N12" s="410"/>
      <c r="O12" s="410"/>
      <c r="P12" s="410"/>
      <c r="Q12" s="410"/>
      <c r="R12" s="410"/>
      <c r="S12" s="410"/>
      <c r="T12" s="410"/>
      <c r="U12" s="410"/>
      <c r="V12" s="410"/>
      <c r="W12" s="411"/>
      <c r="X12" s="406"/>
    </row>
    <row r="13" spans="1:24" x14ac:dyDescent="0.3">
      <c r="A13" s="402"/>
      <c r="B13" s="404"/>
      <c r="C13" s="404"/>
      <c r="D13" s="404"/>
      <c r="E13" s="404"/>
      <c r="F13" s="404"/>
      <c r="G13" s="404"/>
      <c r="H13" s="404"/>
      <c r="I13" s="404"/>
      <c r="J13" s="404"/>
      <c r="K13" s="404"/>
      <c r="L13" s="404"/>
      <c r="M13" s="404"/>
      <c r="N13" s="404"/>
      <c r="O13" s="404"/>
      <c r="P13" s="404"/>
      <c r="Q13" s="404"/>
      <c r="R13" s="404"/>
      <c r="S13" s="404"/>
      <c r="T13" s="404"/>
      <c r="U13" s="404"/>
      <c r="V13" s="404"/>
      <c r="W13" s="405"/>
      <c r="X13" s="406"/>
    </row>
    <row r="14" spans="1:24" s="426" customFormat="1" x14ac:dyDescent="0.3">
      <c r="A14" s="421"/>
      <c r="B14" s="420" t="s">
        <v>1</v>
      </c>
      <c r="C14" s="422"/>
      <c r="D14" s="422"/>
      <c r="E14" s="422"/>
      <c r="F14" s="422"/>
      <c r="G14" s="422"/>
      <c r="H14" s="422"/>
      <c r="I14" s="422"/>
      <c r="J14" s="422"/>
      <c r="K14" s="422"/>
      <c r="L14" s="422"/>
      <c r="M14" s="422"/>
      <c r="N14" s="422"/>
      <c r="O14" s="422"/>
      <c r="P14" s="422"/>
      <c r="Q14" s="422"/>
      <c r="R14" s="422"/>
      <c r="S14" s="422"/>
      <c r="T14" s="422"/>
      <c r="U14" s="422"/>
      <c r="V14" s="423" t="s">
        <v>240</v>
      </c>
      <c r="W14" s="424"/>
      <c r="X14" s="425"/>
    </row>
    <row r="15" spans="1:24" s="426" customFormat="1" x14ac:dyDescent="0.3">
      <c r="A15" s="421"/>
      <c r="B15" s="420" t="s">
        <v>2</v>
      </c>
      <c r="C15" s="422"/>
      <c r="D15" s="422"/>
      <c r="E15" s="422"/>
      <c r="F15" s="422"/>
      <c r="G15" s="422"/>
      <c r="H15" s="427"/>
      <c r="I15" s="427"/>
      <c r="J15" s="427"/>
      <c r="K15" s="427"/>
      <c r="L15" s="427"/>
      <c r="M15" s="427"/>
      <c r="N15" s="427"/>
      <c r="O15" s="427"/>
      <c r="P15" s="427"/>
      <c r="Q15" s="427"/>
      <c r="R15" s="427" t="s">
        <v>105</v>
      </c>
      <c r="S15" s="428">
        <v>0.57609999999999995</v>
      </c>
      <c r="T15" s="429" t="s">
        <v>143</v>
      </c>
      <c r="U15" s="428">
        <v>0.4239</v>
      </c>
      <c r="V15" s="423"/>
      <c r="W15" s="424"/>
      <c r="X15" s="425"/>
    </row>
    <row r="16" spans="1:24" s="426" customFormat="1" x14ac:dyDescent="0.3">
      <c r="A16" s="421"/>
      <c r="B16" s="420" t="s">
        <v>3</v>
      </c>
      <c r="C16" s="422"/>
      <c r="D16" s="422"/>
      <c r="E16" s="422"/>
      <c r="F16" s="422"/>
      <c r="G16" s="422"/>
      <c r="H16" s="427"/>
      <c r="I16" s="427"/>
      <c r="J16" s="427"/>
      <c r="K16" s="427"/>
      <c r="L16" s="427"/>
      <c r="M16" s="427"/>
      <c r="N16" s="427"/>
      <c r="O16" s="427"/>
      <c r="P16" s="427"/>
      <c r="Q16" s="427"/>
      <c r="R16" s="427" t="s">
        <v>105</v>
      </c>
      <c r="S16" s="428">
        <v>0.67349999999999999</v>
      </c>
      <c r="T16" s="429" t="s">
        <v>143</v>
      </c>
      <c r="U16" s="428">
        <v>0.32650000000000001</v>
      </c>
      <c r="V16" s="423"/>
      <c r="W16" s="424"/>
      <c r="X16" s="425"/>
    </row>
    <row r="17" spans="1:24" s="426" customFormat="1" x14ac:dyDescent="0.3">
      <c r="A17" s="421"/>
      <c r="B17" s="420" t="s">
        <v>4</v>
      </c>
      <c r="C17" s="422"/>
      <c r="D17" s="422"/>
      <c r="E17" s="422"/>
      <c r="F17" s="422"/>
      <c r="G17" s="422"/>
      <c r="H17" s="422"/>
      <c r="I17" s="422"/>
      <c r="J17" s="422"/>
      <c r="K17" s="422"/>
      <c r="L17" s="422"/>
      <c r="M17" s="422"/>
      <c r="N17" s="422"/>
      <c r="O17" s="422"/>
      <c r="P17" s="422"/>
      <c r="Q17" s="422"/>
      <c r="R17" s="422"/>
      <c r="S17" s="422"/>
      <c r="T17" s="422"/>
      <c r="U17" s="422"/>
      <c r="V17" s="430">
        <v>39016</v>
      </c>
      <c r="W17" s="424"/>
      <c r="X17" s="425"/>
    </row>
    <row r="18" spans="1:24" s="426" customFormat="1" x14ac:dyDescent="0.3">
      <c r="A18" s="421"/>
      <c r="B18" s="420" t="s">
        <v>5</v>
      </c>
      <c r="C18" s="422"/>
      <c r="D18" s="422"/>
      <c r="E18" s="422"/>
      <c r="F18" s="422"/>
      <c r="G18" s="422"/>
      <c r="H18" s="422"/>
      <c r="I18" s="422"/>
      <c r="J18" s="422"/>
      <c r="K18" s="422"/>
      <c r="L18" s="422"/>
      <c r="M18" s="422"/>
      <c r="N18" s="422"/>
      <c r="O18" s="422"/>
      <c r="P18" s="422"/>
      <c r="Q18" s="422"/>
      <c r="R18" s="422"/>
      <c r="S18" s="422"/>
      <c r="T18" s="422"/>
      <c r="U18" s="422"/>
      <c r="V18" s="430">
        <v>43300</v>
      </c>
      <c r="W18" s="424"/>
      <c r="X18" s="425"/>
    </row>
    <row r="19" spans="1:24" s="426" customFormat="1" x14ac:dyDescent="0.3">
      <c r="A19" s="421"/>
      <c r="B19" s="422"/>
      <c r="C19" s="422"/>
      <c r="D19" s="422"/>
      <c r="E19" s="422"/>
      <c r="F19" s="422"/>
      <c r="G19" s="422"/>
      <c r="H19" s="422"/>
      <c r="I19" s="422"/>
      <c r="J19" s="422"/>
      <c r="K19" s="422"/>
      <c r="L19" s="422"/>
      <c r="M19" s="422"/>
      <c r="N19" s="422"/>
      <c r="O19" s="422"/>
      <c r="P19" s="422"/>
      <c r="Q19" s="422"/>
      <c r="R19" s="422"/>
      <c r="S19" s="422"/>
      <c r="T19" s="422"/>
      <c r="U19" s="422"/>
      <c r="V19" s="431"/>
      <c r="W19" s="424"/>
      <c r="X19" s="425"/>
    </row>
    <row r="20" spans="1:24" s="426" customFormat="1" x14ac:dyDescent="0.3">
      <c r="A20" s="421"/>
      <c r="B20" s="432" t="s">
        <v>6</v>
      </c>
      <c r="C20" s="422"/>
      <c r="D20" s="422"/>
      <c r="E20" s="422"/>
      <c r="F20" s="422"/>
      <c r="G20" s="422"/>
      <c r="H20" s="422"/>
      <c r="I20" s="422"/>
      <c r="J20" s="422"/>
      <c r="K20" s="422"/>
      <c r="L20" s="422"/>
      <c r="M20" s="422"/>
      <c r="N20" s="422"/>
      <c r="O20" s="422"/>
      <c r="P20" s="422"/>
      <c r="Q20" s="422"/>
      <c r="R20" s="422"/>
      <c r="S20" s="422"/>
      <c r="T20" s="431" t="s">
        <v>106</v>
      </c>
      <c r="U20" s="422"/>
      <c r="V20" s="422"/>
      <c r="W20" s="424"/>
      <c r="X20" s="425"/>
    </row>
    <row r="21" spans="1:24" x14ac:dyDescent="0.3">
      <c r="A21" s="408"/>
      <c r="B21" s="410"/>
      <c r="C21" s="410"/>
      <c r="D21" s="410"/>
      <c r="E21" s="410"/>
      <c r="F21" s="410"/>
      <c r="G21" s="410"/>
      <c r="H21" s="410"/>
      <c r="I21" s="410"/>
      <c r="J21" s="410"/>
      <c r="K21" s="410"/>
      <c r="L21" s="410"/>
      <c r="M21" s="410"/>
      <c r="N21" s="410"/>
      <c r="O21" s="410"/>
      <c r="P21" s="410"/>
      <c r="Q21" s="410"/>
      <c r="R21" s="410"/>
      <c r="S21" s="410"/>
      <c r="T21" s="410"/>
      <c r="U21" s="410"/>
      <c r="V21" s="433"/>
      <c r="W21" s="411"/>
      <c r="X21" s="406"/>
    </row>
    <row r="22" spans="1:24" x14ac:dyDescent="0.3">
      <c r="A22" s="434"/>
      <c r="B22" s="435"/>
      <c r="C22" s="436"/>
      <c r="D22" s="436" t="s">
        <v>180</v>
      </c>
      <c r="E22" s="436"/>
      <c r="F22" s="436" t="s">
        <v>181</v>
      </c>
      <c r="G22" s="436"/>
      <c r="H22" s="436" t="s">
        <v>182</v>
      </c>
      <c r="I22" s="436"/>
      <c r="J22" s="436" t="s">
        <v>223</v>
      </c>
      <c r="K22" s="436"/>
      <c r="L22" s="436" t="s">
        <v>183</v>
      </c>
      <c r="M22" s="436"/>
      <c r="N22" s="436" t="s">
        <v>184</v>
      </c>
      <c r="O22" s="436"/>
      <c r="P22" s="436" t="s">
        <v>224</v>
      </c>
      <c r="Q22" s="436"/>
      <c r="R22" s="436" t="s">
        <v>185</v>
      </c>
      <c r="S22" s="437"/>
      <c r="T22" s="437"/>
      <c r="U22" s="435"/>
      <c r="V22" s="435"/>
      <c r="W22" s="438"/>
      <c r="X22" s="406"/>
    </row>
    <row r="23" spans="1:24" s="426" customFormat="1" x14ac:dyDescent="0.3">
      <c r="A23" s="439"/>
      <c r="B23" s="440" t="s">
        <v>7</v>
      </c>
      <c r="C23" s="441"/>
      <c r="D23" s="441" t="s">
        <v>216</v>
      </c>
      <c r="E23" s="441"/>
      <c r="F23" s="441" t="s">
        <v>144</v>
      </c>
      <c r="G23" s="441"/>
      <c r="H23" s="441" t="s">
        <v>144</v>
      </c>
      <c r="I23" s="441"/>
      <c r="J23" s="441" t="s">
        <v>144</v>
      </c>
      <c r="K23" s="441"/>
      <c r="L23" s="441" t="s">
        <v>186</v>
      </c>
      <c r="M23" s="441"/>
      <c r="N23" s="441" t="s">
        <v>186</v>
      </c>
      <c r="O23" s="441"/>
      <c r="P23" s="441" t="s">
        <v>145</v>
      </c>
      <c r="Q23" s="441"/>
      <c r="R23" s="441" t="s">
        <v>145</v>
      </c>
      <c r="S23" s="441"/>
      <c r="T23" s="441"/>
      <c r="U23" s="440"/>
      <c r="V23" s="440"/>
      <c r="W23" s="442"/>
      <c r="X23" s="425"/>
    </row>
    <row r="24" spans="1:24" s="426" customFormat="1" x14ac:dyDescent="0.3">
      <c r="A24" s="443"/>
      <c r="B24" s="444" t="s">
        <v>8</v>
      </c>
      <c r="C24" s="445"/>
      <c r="D24" s="445" t="s">
        <v>217</v>
      </c>
      <c r="E24" s="445"/>
      <c r="F24" s="445" t="s">
        <v>146</v>
      </c>
      <c r="G24" s="445"/>
      <c r="H24" s="445" t="s">
        <v>146</v>
      </c>
      <c r="I24" s="445"/>
      <c r="J24" s="445" t="s">
        <v>146</v>
      </c>
      <c r="K24" s="445"/>
      <c r="L24" s="445" t="s">
        <v>168</v>
      </c>
      <c r="M24" s="445"/>
      <c r="N24" s="445" t="s">
        <v>168</v>
      </c>
      <c r="O24" s="445"/>
      <c r="P24" s="445" t="s">
        <v>147</v>
      </c>
      <c r="Q24" s="445"/>
      <c r="R24" s="445" t="s">
        <v>147</v>
      </c>
      <c r="S24" s="445"/>
      <c r="T24" s="445"/>
      <c r="U24" s="444"/>
      <c r="V24" s="444"/>
      <c r="W24" s="446"/>
      <c r="X24" s="425"/>
    </row>
    <row r="25" spans="1:24" s="426" customFormat="1" x14ac:dyDescent="0.3">
      <c r="A25" s="447"/>
      <c r="B25" s="444" t="s">
        <v>193</v>
      </c>
      <c r="C25" s="448"/>
      <c r="D25" s="445" t="s">
        <v>218</v>
      </c>
      <c r="E25" s="445"/>
      <c r="F25" s="445" t="s">
        <v>146</v>
      </c>
      <c r="G25" s="445"/>
      <c r="H25" s="445" t="s">
        <v>146</v>
      </c>
      <c r="I25" s="445"/>
      <c r="J25" s="445" t="s">
        <v>146</v>
      </c>
      <c r="K25" s="445"/>
      <c r="L25" s="445" t="s">
        <v>168</v>
      </c>
      <c r="M25" s="445"/>
      <c r="N25" s="445" t="s">
        <v>168</v>
      </c>
      <c r="O25" s="445"/>
      <c r="P25" s="445" t="s">
        <v>147</v>
      </c>
      <c r="Q25" s="445"/>
      <c r="R25" s="445" t="s">
        <v>147</v>
      </c>
      <c r="S25" s="448"/>
      <c r="T25" s="445"/>
      <c r="U25" s="444"/>
      <c r="V25" s="444"/>
      <c r="W25" s="446"/>
      <c r="X25" s="425"/>
    </row>
    <row r="26" spans="1:24" s="426" customFormat="1" x14ac:dyDescent="0.3">
      <c r="A26" s="447"/>
      <c r="B26" s="449" t="s">
        <v>9</v>
      </c>
      <c r="C26" s="448"/>
      <c r="D26" s="448" t="s">
        <v>144</v>
      </c>
      <c r="E26" s="448"/>
      <c r="F26" s="448" t="s">
        <v>144</v>
      </c>
      <c r="G26" s="448"/>
      <c r="H26" s="448" t="s">
        <v>144</v>
      </c>
      <c r="I26" s="448"/>
      <c r="J26" s="448" t="s">
        <v>144</v>
      </c>
      <c r="K26" s="448"/>
      <c r="L26" s="448" t="s">
        <v>186</v>
      </c>
      <c r="M26" s="448"/>
      <c r="N26" s="448" t="s">
        <v>186</v>
      </c>
      <c r="O26" s="448"/>
      <c r="P26" s="448" t="s">
        <v>145</v>
      </c>
      <c r="Q26" s="448"/>
      <c r="R26" s="448" t="s">
        <v>145</v>
      </c>
      <c r="S26" s="448"/>
      <c r="T26" s="445"/>
      <c r="U26" s="444"/>
      <c r="V26" s="444"/>
      <c r="W26" s="446"/>
      <c r="X26" s="425"/>
    </row>
    <row r="27" spans="1:24" s="426" customFormat="1" x14ac:dyDescent="0.3">
      <c r="A27" s="443"/>
      <c r="B27" s="449" t="s">
        <v>194</v>
      </c>
      <c r="C27" s="445"/>
      <c r="D27" s="448" t="s">
        <v>168</v>
      </c>
      <c r="E27" s="448"/>
      <c r="F27" s="448" t="s">
        <v>168</v>
      </c>
      <c r="G27" s="448"/>
      <c r="H27" s="448" t="s">
        <v>168</v>
      </c>
      <c r="I27" s="448"/>
      <c r="J27" s="448" t="s">
        <v>168</v>
      </c>
      <c r="K27" s="448"/>
      <c r="L27" s="448" t="s">
        <v>360</v>
      </c>
      <c r="M27" s="448"/>
      <c r="N27" s="448" t="s">
        <v>360</v>
      </c>
      <c r="O27" s="448"/>
      <c r="P27" s="448" t="s">
        <v>147</v>
      </c>
      <c r="Q27" s="448"/>
      <c r="R27" s="448" t="s">
        <v>147</v>
      </c>
      <c r="S27" s="445"/>
      <c r="T27" s="450"/>
      <c r="U27" s="444"/>
      <c r="V27" s="444"/>
      <c r="W27" s="446"/>
      <c r="X27" s="425"/>
    </row>
    <row r="28" spans="1:24" s="426" customFormat="1" x14ac:dyDescent="0.3">
      <c r="A28" s="443"/>
      <c r="B28" s="449" t="s">
        <v>195</v>
      </c>
      <c r="C28" s="445"/>
      <c r="D28" s="448" t="s">
        <v>146</v>
      </c>
      <c r="E28" s="448"/>
      <c r="F28" s="448" t="s">
        <v>146</v>
      </c>
      <c r="G28" s="448"/>
      <c r="H28" s="448" t="s">
        <v>146</v>
      </c>
      <c r="I28" s="448"/>
      <c r="J28" s="448" t="s">
        <v>146</v>
      </c>
      <c r="K28" s="448"/>
      <c r="L28" s="448" t="s">
        <v>146</v>
      </c>
      <c r="M28" s="448"/>
      <c r="N28" s="448" t="s">
        <v>146</v>
      </c>
      <c r="O28" s="448"/>
      <c r="P28" s="448" t="s">
        <v>147</v>
      </c>
      <c r="Q28" s="448"/>
      <c r="R28" s="448" t="s">
        <v>147</v>
      </c>
      <c r="S28" s="445"/>
      <c r="T28" s="450"/>
      <c r="U28" s="444"/>
      <c r="V28" s="444"/>
      <c r="W28" s="446"/>
      <c r="X28" s="425"/>
    </row>
    <row r="29" spans="1:24" s="426" customFormat="1" x14ac:dyDescent="0.3">
      <c r="A29" s="443"/>
      <c r="B29" s="444" t="s">
        <v>10</v>
      </c>
      <c r="C29" s="451"/>
      <c r="D29" s="445" t="s">
        <v>348</v>
      </c>
      <c r="E29" s="445"/>
      <c r="F29" s="450" t="s">
        <v>242</v>
      </c>
      <c r="G29" s="445"/>
      <c r="H29" s="445" t="s">
        <v>243</v>
      </c>
      <c r="I29" s="445"/>
      <c r="J29" s="445" t="s">
        <v>245</v>
      </c>
      <c r="K29" s="445"/>
      <c r="L29" s="445" t="s">
        <v>246</v>
      </c>
      <c r="M29" s="445"/>
      <c r="N29" s="445" t="s">
        <v>247</v>
      </c>
      <c r="O29" s="445"/>
      <c r="P29" s="445" t="s">
        <v>248</v>
      </c>
      <c r="Q29" s="445"/>
      <c r="R29" s="445" t="s">
        <v>249</v>
      </c>
      <c r="S29" s="452"/>
      <c r="T29" s="452"/>
      <c r="U29" s="451"/>
      <c r="V29" s="452"/>
      <c r="W29" s="453"/>
      <c r="X29" s="425"/>
    </row>
    <row r="30" spans="1:24" s="426" customFormat="1" x14ac:dyDescent="0.3">
      <c r="A30" s="443"/>
      <c r="B30" s="444" t="s">
        <v>10</v>
      </c>
      <c r="C30" s="451"/>
      <c r="D30" s="445" t="s">
        <v>241</v>
      </c>
      <c r="E30" s="445"/>
      <c r="F30" s="450" t="s">
        <v>121</v>
      </c>
      <c r="G30" s="445"/>
      <c r="H30" s="445" t="s">
        <v>121</v>
      </c>
      <c r="I30" s="445"/>
      <c r="J30" s="445" t="s">
        <v>244</v>
      </c>
      <c r="K30" s="445"/>
      <c r="L30" s="445" t="s">
        <v>121</v>
      </c>
      <c r="M30" s="445"/>
      <c r="N30" s="445" t="s">
        <v>121</v>
      </c>
      <c r="O30" s="445"/>
      <c r="P30" s="445" t="s">
        <v>121</v>
      </c>
      <c r="Q30" s="445"/>
      <c r="R30" s="445" t="s">
        <v>121</v>
      </c>
      <c r="S30" s="452"/>
      <c r="T30" s="452"/>
      <c r="U30" s="451"/>
      <c r="V30" s="452"/>
      <c r="W30" s="453"/>
      <c r="X30" s="425"/>
    </row>
    <row r="31" spans="1:24" s="426" customFormat="1" x14ac:dyDescent="0.3">
      <c r="A31" s="447"/>
      <c r="B31" s="444" t="s">
        <v>136</v>
      </c>
      <c r="C31" s="454"/>
      <c r="D31" s="455">
        <v>1500000</v>
      </c>
      <c r="E31" s="451"/>
      <c r="F31" s="452">
        <v>125000</v>
      </c>
      <c r="G31" s="452"/>
      <c r="H31" s="456">
        <v>315000</v>
      </c>
      <c r="I31" s="456"/>
      <c r="J31" s="455">
        <v>350000</v>
      </c>
      <c r="K31" s="452"/>
      <c r="L31" s="452">
        <v>56000</v>
      </c>
      <c r="M31" s="452"/>
      <c r="N31" s="456">
        <v>84000</v>
      </c>
      <c r="O31" s="452"/>
      <c r="P31" s="452">
        <v>13000</v>
      </c>
      <c r="Q31" s="452"/>
      <c r="R31" s="456">
        <v>81000</v>
      </c>
      <c r="S31" s="457"/>
      <c r="T31" s="457"/>
      <c r="U31" s="454"/>
      <c r="V31" s="457"/>
      <c r="W31" s="453"/>
      <c r="X31" s="425"/>
    </row>
    <row r="32" spans="1:24" s="426" customFormat="1" x14ac:dyDescent="0.3">
      <c r="A32" s="443"/>
      <c r="B32" s="444" t="s">
        <v>135</v>
      </c>
      <c r="C32" s="451"/>
      <c r="D32" s="458">
        <f>D34*D38</f>
        <v>357252.93267840001</v>
      </c>
      <c r="E32" s="451"/>
      <c r="F32" s="452">
        <f>F31*F38</f>
        <v>55969.875</v>
      </c>
      <c r="G32" s="452"/>
      <c r="H32" s="456">
        <f>H31*H38</f>
        <v>141044.08499999999</v>
      </c>
      <c r="I32" s="456"/>
      <c r="J32" s="455">
        <f>J31*J38</f>
        <v>156714.77499999999</v>
      </c>
      <c r="K32" s="452"/>
      <c r="L32" s="452">
        <f>L31*L38</f>
        <v>56000</v>
      </c>
      <c r="M32" s="452"/>
      <c r="N32" s="456">
        <f>N31*N38</f>
        <v>84000</v>
      </c>
      <c r="O32" s="452"/>
      <c r="P32" s="452">
        <f>P31*P38</f>
        <v>13000</v>
      </c>
      <c r="Q32" s="452"/>
      <c r="R32" s="456">
        <f>R31*R38</f>
        <v>81000</v>
      </c>
      <c r="S32" s="452"/>
      <c r="T32" s="452"/>
      <c r="U32" s="451"/>
      <c r="V32" s="452"/>
      <c r="W32" s="453"/>
      <c r="X32" s="425"/>
    </row>
    <row r="33" spans="1:24" s="426" customFormat="1" x14ac:dyDescent="0.3">
      <c r="A33" s="443"/>
      <c r="B33" s="449" t="s">
        <v>137</v>
      </c>
      <c r="C33" s="451"/>
      <c r="D33" s="459">
        <f>D34*D37</f>
        <v>351673.65314399998</v>
      </c>
      <c r="E33" s="454"/>
      <c r="F33" s="457">
        <f>F37*F31</f>
        <v>55095.8</v>
      </c>
      <c r="G33" s="457"/>
      <c r="H33" s="460">
        <f>H31*H37</f>
        <v>138841.416</v>
      </c>
      <c r="I33" s="460"/>
      <c r="J33" s="461">
        <f>J37*J31</f>
        <v>154267.36499999999</v>
      </c>
      <c r="K33" s="457"/>
      <c r="L33" s="457">
        <f>L31*L37</f>
        <v>56000</v>
      </c>
      <c r="M33" s="457"/>
      <c r="N33" s="460">
        <f>N31*N37</f>
        <v>84000</v>
      </c>
      <c r="O33" s="457"/>
      <c r="P33" s="457">
        <f>P31*P37</f>
        <v>13000</v>
      </c>
      <c r="Q33" s="457"/>
      <c r="R33" s="460">
        <f>R31*R37</f>
        <v>81000</v>
      </c>
      <c r="S33" s="452"/>
      <c r="T33" s="452"/>
      <c r="U33" s="451"/>
      <c r="V33" s="452"/>
      <c r="W33" s="453"/>
      <c r="X33" s="425"/>
    </row>
    <row r="34" spans="1:24" s="426" customFormat="1" x14ac:dyDescent="0.3">
      <c r="A34" s="447"/>
      <c r="B34" s="444" t="s">
        <v>298</v>
      </c>
      <c r="C34" s="454"/>
      <c r="D34" s="452">
        <v>797872</v>
      </c>
      <c r="E34" s="451"/>
      <c r="F34" s="452">
        <v>125000</v>
      </c>
      <c r="G34" s="452"/>
      <c r="H34" s="452">
        <v>211409</v>
      </c>
      <c r="I34" s="452"/>
      <c r="J34" s="452">
        <v>186170</v>
      </c>
      <c r="K34" s="452"/>
      <c r="L34" s="452">
        <v>56000</v>
      </c>
      <c r="M34" s="452"/>
      <c r="N34" s="452">
        <v>56376</v>
      </c>
      <c r="O34" s="452"/>
      <c r="P34" s="452">
        <v>13000</v>
      </c>
      <c r="Q34" s="452"/>
      <c r="R34" s="452">
        <v>54363</v>
      </c>
      <c r="S34" s="457"/>
      <c r="T34" s="457"/>
      <c r="U34" s="454"/>
      <c r="V34" s="452">
        <f>SUM(C34:R34)</f>
        <v>1500190</v>
      </c>
      <c r="W34" s="453"/>
      <c r="X34" s="425"/>
    </row>
    <row r="35" spans="1:24" s="426" customFormat="1" x14ac:dyDescent="0.3">
      <c r="A35" s="447"/>
      <c r="B35" s="444" t="s">
        <v>299</v>
      </c>
      <c r="C35" s="454"/>
      <c r="D35" s="452">
        <f>D34*D38</f>
        <v>357252.93267840001</v>
      </c>
      <c r="E35" s="451"/>
      <c r="F35" s="452">
        <f>F34*F38</f>
        <v>55969.875</v>
      </c>
      <c r="G35" s="452"/>
      <c r="H35" s="452">
        <f>H34*H38</f>
        <v>94660.282431</v>
      </c>
      <c r="I35" s="452"/>
      <c r="J35" s="452">
        <f>J34*J38</f>
        <v>83358.827604999999</v>
      </c>
      <c r="K35" s="452"/>
      <c r="L35" s="452">
        <f>L34*L38</f>
        <v>56000</v>
      </c>
      <c r="M35" s="452"/>
      <c r="N35" s="452">
        <f>N34*N38</f>
        <v>56376</v>
      </c>
      <c r="O35" s="452"/>
      <c r="P35" s="452">
        <f>P34*P38</f>
        <v>13000</v>
      </c>
      <c r="Q35" s="452"/>
      <c r="R35" s="452">
        <f>R34*R38</f>
        <v>54363</v>
      </c>
      <c r="S35" s="452"/>
      <c r="T35" s="452"/>
      <c r="U35" s="451"/>
      <c r="V35" s="452">
        <f>SUM(C35:R35)</f>
        <v>770980.91771439998</v>
      </c>
      <c r="W35" s="453"/>
      <c r="X35" s="425"/>
    </row>
    <row r="36" spans="1:24" s="426" customFormat="1" x14ac:dyDescent="0.3">
      <c r="A36" s="447"/>
      <c r="B36" s="449" t="s">
        <v>304</v>
      </c>
      <c r="C36" s="454"/>
      <c r="D36" s="457">
        <f>D34*D37</f>
        <v>351673.65314399998</v>
      </c>
      <c r="E36" s="454"/>
      <c r="F36" s="457">
        <f>F34*F37</f>
        <v>55095.8</v>
      </c>
      <c r="G36" s="457"/>
      <c r="H36" s="457">
        <f>H34*H37</f>
        <v>93181.983857600004</v>
      </c>
      <c r="I36" s="457"/>
      <c r="J36" s="457">
        <f>J34*J37</f>
        <v>82057.015262999994</v>
      </c>
      <c r="K36" s="457"/>
      <c r="L36" s="457">
        <v>56000</v>
      </c>
      <c r="M36" s="457"/>
      <c r="N36" s="457">
        <v>56376</v>
      </c>
      <c r="O36" s="457"/>
      <c r="P36" s="457">
        <v>13000</v>
      </c>
      <c r="Q36" s="457"/>
      <c r="R36" s="457">
        <v>54363</v>
      </c>
      <c r="S36" s="462"/>
      <c r="T36" s="462"/>
      <c r="U36" s="451"/>
      <c r="V36" s="457">
        <f>SUM(C36:R36)+1</f>
        <v>761748.45226459997</v>
      </c>
      <c r="W36" s="453"/>
      <c r="X36" s="425"/>
    </row>
    <row r="37" spans="1:24" s="473" customFormat="1" x14ac:dyDescent="0.3">
      <c r="A37" s="463"/>
      <c r="B37" s="464" t="s">
        <v>133</v>
      </c>
      <c r="C37" s="465"/>
      <c r="D37" s="466">
        <v>0.4407645</v>
      </c>
      <c r="E37" s="467"/>
      <c r="F37" s="466">
        <v>0.4407664</v>
      </c>
      <c r="G37" s="468"/>
      <c r="H37" s="466">
        <v>0.4407664</v>
      </c>
      <c r="I37" s="468"/>
      <c r="J37" s="466">
        <v>0.44076389999999999</v>
      </c>
      <c r="K37" s="468"/>
      <c r="L37" s="466">
        <v>1</v>
      </c>
      <c r="M37" s="468"/>
      <c r="N37" s="466">
        <v>1</v>
      </c>
      <c r="O37" s="468"/>
      <c r="P37" s="466">
        <v>1</v>
      </c>
      <c r="Q37" s="468"/>
      <c r="R37" s="466">
        <v>1</v>
      </c>
      <c r="S37" s="469"/>
      <c r="T37" s="469"/>
      <c r="U37" s="470"/>
      <c r="V37" s="470"/>
      <c r="W37" s="471"/>
      <c r="X37" s="472"/>
    </row>
    <row r="38" spans="1:24" s="473" customFormat="1" x14ac:dyDescent="0.3">
      <c r="A38" s="463"/>
      <c r="B38" s="465" t="s">
        <v>134</v>
      </c>
      <c r="C38" s="465"/>
      <c r="D38" s="474">
        <v>0.44775720000000002</v>
      </c>
      <c r="E38" s="475"/>
      <c r="F38" s="474">
        <v>0.44775900000000002</v>
      </c>
      <c r="G38" s="476"/>
      <c r="H38" s="474">
        <v>0.44775900000000002</v>
      </c>
      <c r="I38" s="476"/>
      <c r="J38" s="474">
        <v>0.4477565</v>
      </c>
      <c r="K38" s="476"/>
      <c r="L38" s="474">
        <v>1</v>
      </c>
      <c r="M38" s="476"/>
      <c r="N38" s="474">
        <v>1</v>
      </c>
      <c r="O38" s="476"/>
      <c r="P38" s="474">
        <v>1</v>
      </c>
      <c r="Q38" s="476"/>
      <c r="R38" s="474">
        <v>1</v>
      </c>
      <c r="S38" s="477"/>
      <c r="T38" s="478"/>
      <c r="U38" s="470"/>
      <c r="V38" s="477"/>
      <c r="W38" s="471"/>
      <c r="X38" s="472"/>
    </row>
    <row r="39" spans="1:24" s="426" customFormat="1" x14ac:dyDescent="0.3">
      <c r="A39" s="443"/>
      <c r="B39" s="444" t="s">
        <v>11</v>
      </c>
      <c r="C39" s="444"/>
      <c r="D39" s="450" t="s">
        <v>226</v>
      </c>
      <c r="E39" s="444"/>
      <c r="F39" s="450" t="s">
        <v>226</v>
      </c>
      <c r="G39" s="450"/>
      <c r="H39" s="450" t="s">
        <v>226</v>
      </c>
      <c r="I39" s="450"/>
      <c r="J39" s="450" t="s">
        <v>256</v>
      </c>
      <c r="K39" s="450"/>
      <c r="L39" s="450" t="s">
        <v>254</v>
      </c>
      <c r="M39" s="450"/>
      <c r="N39" s="450" t="s">
        <v>257</v>
      </c>
      <c r="O39" s="450"/>
      <c r="P39" s="450" t="s">
        <v>258</v>
      </c>
      <c r="Q39" s="450"/>
      <c r="R39" s="450" t="s">
        <v>259</v>
      </c>
      <c r="S39" s="479"/>
      <c r="T39" s="480"/>
      <c r="U39" s="444"/>
      <c r="V39" s="444"/>
      <c r="W39" s="446"/>
      <c r="X39" s="425"/>
    </row>
    <row r="40" spans="1:24" s="426" customFormat="1" x14ac:dyDescent="0.3">
      <c r="A40" s="443"/>
      <c r="B40" s="444" t="s">
        <v>12</v>
      </c>
      <c r="C40" s="444"/>
      <c r="D40" s="480">
        <v>1.02588E-2</v>
      </c>
      <c r="E40" s="444"/>
      <c r="F40" s="480">
        <v>1.02588E-2</v>
      </c>
      <c r="G40" s="479"/>
      <c r="H40" s="480">
        <v>0</v>
      </c>
      <c r="I40" s="480"/>
      <c r="J40" s="480">
        <v>2.5276900000000001E-2</v>
      </c>
      <c r="K40" s="479"/>
      <c r="L40" s="480">
        <v>1.1858799999999999E-2</v>
      </c>
      <c r="M40" s="479"/>
      <c r="N40" s="480">
        <v>5.1000000000000004E-4</v>
      </c>
      <c r="O40" s="479"/>
      <c r="P40" s="480">
        <v>1.5858799999999999E-2</v>
      </c>
      <c r="Q40" s="479"/>
      <c r="R40" s="480">
        <v>4.5100000000000001E-3</v>
      </c>
      <c r="S40" s="479"/>
      <c r="T40" s="480"/>
      <c r="U40" s="444"/>
      <c r="V40" s="450"/>
      <c r="W40" s="446"/>
      <c r="X40" s="425"/>
    </row>
    <row r="41" spans="1:24" s="426" customFormat="1" x14ac:dyDescent="0.3">
      <c r="A41" s="443"/>
      <c r="B41" s="444" t="s">
        <v>13</v>
      </c>
      <c r="C41" s="444"/>
      <c r="D41" s="480">
        <v>7.6156000000000001E-3</v>
      </c>
      <c r="E41" s="444"/>
      <c r="F41" s="480">
        <v>7.6156000000000001E-3</v>
      </c>
      <c r="G41" s="479"/>
      <c r="H41" s="480">
        <v>0</v>
      </c>
      <c r="I41" s="480"/>
      <c r="J41" s="480">
        <v>1.9015199999999999E-2</v>
      </c>
      <c r="K41" s="479"/>
      <c r="L41" s="480">
        <v>9.2155999999999991E-3</v>
      </c>
      <c r="M41" s="479"/>
      <c r="N41" s="480">
        <v>5.1000000000000004E-4</v>
      </c>
      <c r="O41" s="479"/>
      <c r="P41" s="480">
        <v>1.3215599999999999E-2</v>
      </c>
      <c r="Q41" s="479"/>
      <c r="R41" s="480">
        <v>4.5100000000000001E-3</v>
      </c>
      <c r="S41" s="479"/>
      <c r="T41" s="480"/>
      <c r="U41" s="444"/>
      <c r="V41" s="479" t="s">
        <v>196</v>
      </c>
      <c r="W41" s="446"/>
      <c r="X41" s="425"/>
    </row>
    <row r="42" spans="1:24" s="426" customFormat="1" x14ac:dyDescent="0.3">
      <c r="A42" s="443"/>
      <c r="B42" s="444" t="s">
        <v>300</v>
      </c>
      <c r="C42" s="444"/>
      <c r="D42" s="450" t="s">
        <v>226</v>
      </c>
      <c r="E42" s="444"/>
      <c r="F42" s="450" t="s">
        <v>226</v>
      </c>
      <c r="G42" s="450"/>
      <c r="H42" s="450" t="s">
        <v>227</v>
      </c>
      <c r="I42" s="450"/>
      <c r="J42" s="450" t="s">
        <v>237</v>
      </c>
      <c r="K42" s="450"/>
      <c r="L42" s="450" t="s">
        <v>254</v>
      </c>
      <c r="M42" s="450"/>
      <c r="N42" s="450" t="s">
        <v>260</v>
      </c>
      <c r="O42" s="450"/>
      <c r="P42" s="450" t="s">
        <v>258</v>
      </c>
      <c r="Q42" s="450"/>
      <c r="R42" s="450" t="s">
        <v>261</v>
      </c>
      <c r="S42" s="479"/>
      <c r="T42" s="480"/>
      <c r="U42" s="444"/>
      <c r="V42" s="444"/>
      <c r="W42" s="446"/>
      <c r="X42" s="425"/>
    </row>
    <row r="43" spans="1:24" s="426" customFormat="1" x14ac:dyDescent="0.3">
      <c r="A43" s="443"/>
      <c r="B43" s="444" t="s">
        <v>301</v>
      </c>
      <c r="C43" s="481"/>
      <c r="D43" s="480">
        <f>+D40</f>
        <v>1.02588E-2</v>
      </c>
      <c r="E43" s="480"/>
      <c r="F43" s="480">
        <f>+F40</f>
        <v>1.02588E-2</v>
      </c>
      <c r="G43" s="480"/>
      <c r="H43" s="480">
        <v>1.05028E-2</v>
      </c>
      <c r="I43" s="480"/>
      <c r="J43" s="480">
        <v>1.03388E-2</v>
      </c>
      <c r="K43" s="480"/>
      <c r="L43" s="480">
        <f>+L40</f>
        <v>1.1858799999999999E-2</v>
      </c>
      <c r="M43" s="480"/>
      <c r="N43" s="480">
        <v>1.2038800000000001E-2</v>
      </c>
      <c r="O43" s="480"/>
      <c r="P43" s="480">
        <f>+P40</f>
        <v>1.5858799999999999E-2</v>
      </c>
      <c r="Q43" s="479"/>
      <c r="R43" s="480">
        <v>1.62588E-2</v>
      </c>
      <c r="S43" s="450"/>
      <c r="T43" s="450"/>
      <c r="U43" s="444"/>
      <c r="V43" s="479">
        <f>SUMPRODUCT(D43:R43,D35:R35)/V35</f>
        <v>1.1061275237591744E-2</v>
      </c>
      <c r="W43" s="446"/>
      <c r="X43" s="425"/>
    </row>
    <row r="44" spans="1:24" s="426" customFormat="1" x14ac:dyDescent="0.3">
      <c r="A44" s="443"/>
      <c r="B44" s="444" t="s">
        <v>302</v>
      </c>
      <c r="C44" s="481"/>
      <c r="D44" s="480">
        <f>+D41</f>
        <v>7.6156000000000001E-3</v>
      </c>
      <c r="E44" s="480"/>
      <c r="F44" s="480">
        <f>+F41</f>
        <v>7.6156000000000001E-3</v>
      </c>
      <c r="G44" s="480"/>
      <c r="H44" s="480">
        <v>7.8595999999999996E-3</v>
      </c>
      <c r="I44" s="480"/>
      <c r="J44" s="480">
        <v>7.6956000000000004E-3</v>
      </c>
      <c r="K44" s="480"/>
      <c r="L44" s="480">
        <f>+L41</f>
        <v>9.2155999999999991E-3</v>
      </c>
      <c r="M44" s="480"/>
      <c r="N44" s="480">
        <v>9.3956000000000005E-3</v>
      </c>
      <c r="O44" s="480"/>
      <c r="P44" s="480">
        <f>+P41</f>
        <v>1.3215599999999999E-2</v>
      </c>
      <c r="Q44" s="479"/>
      <c r="R44" s="480">
        <v>1.36156E-2</v>
      </c>
      <c r="S44" s="450"/>
      <c r="T44" s="450"/>
      <c r="U44" s="444"/>
      <c r="V44" s="444"/>
      <c r="W44" s="446"/>
      <c r="X44" s="425"/>
    </row>
    <row r="45" spans="1:24" s="426" customFormat="1" x14ac:dyDescent="0.3">
      <c r="A45" s="443"/>
      <c r="B45" s="444" t="s">
        <v>14</v>
      </c>
      <c r="C45" s="444"/>
      <c r="D45" s="481">
        <v>40466</v>
      </c>
      <c r="E45" s="481"/>
      <c r="F45" s="481">
        <v>40466</v>
      </c>
      <c r="G45" s="481"/>
      <c r="H45" s="481">
        <v>40466</v>
      </c>
      <c r="I45" s="481"/>
      <c r="J45" s="481">
        <v>40466</v>
      </c>
      <c r="K45" s="481"/>
      <c r="L45" s="481">
        <v>40466</v>
      </c>
      <c r="M45" s="481"/>
      <c r="N45" s="481">
        <v>40466</v>
      </c>
      <c r="O45" s="481"/>
      <c r="P45" s="481">
        <v>40466</v>
      </c>
      <c r="Q45" s="481"/>
      <c r="R45" s="481">
        <v>40466</v>
      </c>
      <c r="S45" s="450"/>
      <c r="T45" s="450"/>
      <c r="U45" s="444"/>
      <c r="V45" s="444"/>
      <c r="W45" s="446"/>
      <c r="X45" s="425"/>
    </row>
    <row r="46" spans="1:24" s="426" customFormat="1" x14ac:dyDescent="0.3">
      <c r="A46" s="443"/>
      <c r="B46" s="444" t="s">
        <v>15</v>
      </c>
      <c r="C46" s="444"/>
      <c r="D46" s="481">
        <v>41105</v>
      </c>
      <c r="E46" s="481"/>
      <c r="F46" s="481">
        <v>40831</v>
      </c>
      <c r="G46" s="481"/>
      <c r="H46" s="481">
        <v>40831</v>
      </c>
      <c r="I46" s="481"/>
      <c r="J46" s="481">
        <v>40831</v>
      </c>
      <c r="K46" s="450"/>
      <c r="L46" s="481">
        <v>40831</v>
      </c>
      <c r="M46" s="450"/>
      <c r="N46" s="481">
        <v>40831</v>
      </c>
      <c r="O46" s="450"/>
      <c r="P46" s="481">
        <v>40831</v>
      </c>
      <c r="Q46" s="450"/>
      <c r="R46" s="481">
        <v>40831</v>
      </c>
      <c r="S46" s="450"/>
      <c r="T46" s="450"/>
      <c r="U46" s="444"/>
      <c r="V46" s="444"/>
      <c r="W46" s="446"/>
      <c r="X46" s="425"/>
    </row>
    <row r="47" spans="1:24" s="426" customFormat="1" x14ac:dyDescent="0.3">
      <c r="A47" s="443"/>
      <c r="B47" s="444" t="s">
        <v>122</v>
      </c>
      <c r="C47" s="444"/>
      <c r="D47" s="450" t="s">
        <v>226</v>
      </c>
      <c r="E47" s="444"/>
      <c r="F47" s="450" t="s">
        <v>226</v>
      </c>
      <c r="G47" s="450"/>
      <c r="H47" s="450" t="s">
        <v>226</v>
      </c>
      <c r="I47" s="450"/>
      <c r="J47" s="450" t="s">
        <v>256</v>
      </c>
      <c r="K47" s="450"/>
      <c r="L47" s="450" t="s">
        <v>254</v>
      </c>
      <c r="M47" s="450"/>
      <c r="N47" s="450" t="s">
        <v>257</v>
      </c>
      <c r="O47" s="450"/>
      <c r="P47" s="450" t="s">
        <v>258</v>
      </c>
      <c r="Q47" s="450"/>
      <c r="R47" s="450" t="s">
        <v>259</v>
      </c>
      <c r="S47" s="482"/>
      <c r="T47" s="482"/>
      <c r="U47" s="482"/>
      <c r="V47" s="482"/>
      <c r="W47" s="446"/>
      <c r="X47" s="425"/>
    </row>
    <row r="48" spans="1:24" s="426" customFormat="1" x14ac:dyDescent="0.3">
      <c r="A48" s="443"/>
      <c r="B48" s="444" t="s">
        <v>303</v>
      </c>
      <c r="C48" s="444"/>
      <c r="D48" s="450" t="s">
        <v>226</v>
      </c>
      <c r="E48" s="444"/>
      <c r="F48" s="450" t="s">
        <v>226</v>
      </c>
      <c r="G48" s="450"/>
      <c r="H48" s="450" t="s">
        <v>227</v>
      </c>
      <c r="I48" s="450"/>
      <c r="J48" s="450" t="s">
        <v>237</v>
      </c>
      <c r="K48" s="450"/>
      <c r="L48" s="450" t="s">
        <v>254</v>
      </c>
      <c r="M48" s="450"/>
      <c r="N48" s="450" t="s">
        <v>260</v>
      </c>
      <c r="O48" s="450"/>
      <c r="P48" s="450" t="s">
        <v>258</v>
      </c>
      <c r="Q48" s="450"/>
      <c r="R48" s="450" t="s">
        <v>261</v>
      </c>
      <c r="S48" s="444"/>
      <c r="T48" s="444"/>
      <c r="U48" s="444"/>
      <c r="V48" s="479"/>
      <c r="W48" s="446"/>
      <c r="X48" s="425"/>
    </row>
    <row r="49" spans="1:25" s="426" customFormat="1" x14ac:dyDescent="0.3">
      <c r="A49" s="443"/>
      <c r="B49" s="444"/>
      <c r="C49" s="444"/>
      <c r="D49" s="450"/>
      <c r="E49" s="444"/>
      <c r="F49" s="450"/>
      <c r="G49" s="450"/>
      <c r="H49" s="450"/>
      <c r="I49" s="450"/>
      <c r="J49" s="450"/>
      <c r="K49" s="450"/>
      <c r="L49" s="450"/>
      <c r="M49" s="450"/>
      <c r="N49" s="450"/>
      <c r="O49" s="450"/>
      <c r="P49" s="450"/>
      <c r="Q49" s="450"/>
      <c r="R49" s="450"/>
      <c r="S49" s="444"/>
      <c r="T49" s="444"/>
      <c r="U49" s="444"/>
      <c r="V49" s="479" t="s">
        <v>196</v>
      </c>
      <c r="W49" s="446"/>
      <c r="X49" s="425"/>
    </row>
    <row r="50" spans="1:25" s="426" customFormat="1" x14ac:dyDescent="0.3">
      <c r="A50" s="443"/>
      <c r="B50" s="444" t="s">
        <v>172</v>
      </c>
      <c r="C50" s="444"/>
      <c r="D50" s="450"/>
      <c r="E50" s="444"/>
      <c r="F50" s="450"/>
      <c r="G50" s="450"/>
      <c r="H50" s="450"/>
      <c r="I50" s="450"/>
      <c r="J50" s="450"/>
      <c r="K50" s="450"/>
      <c r="L50" s="450"/>
      <c r="M50" s="450"/>
      <c r="N50" s="450"/>
      <c r="O50" s="450"/>
      <c r="P50" s="450"/>
      <c r="Q50" s="450"/>
      <c r="R50" s="450"/>
      <c r="S50" s="444"/>
      <c r="T50" s="444"/>
      <c r="U50" s="444"/>
      <c r="V50" s="479">
        <f>SUM(L34:R34)/SUM(D34:J34)</f>
        <v>0.13611940162868597</v>
      </c>
      <c r="W50" s="446"/>
      <c r="X50" s="425"/>
    </row>
    <row r="51" spans="1:25" s="426" customFormat="1" x14ac:dyDescent="0.3">
      <c r="A51" s="443"/>
      <c r="B51" s="444" t="s">
        <v>173</v>
      </c>
      <c r="C51" s="444"/>
      <c r="D51" s="444"/>
      <c r="E51" s="444"/>
      <c r="F51" s="483"/>
      <c r="G51" s="444"/>
      <c r="H51" s="444"/>
      <c r="I51" s="444"/>
      <c r="J51" s="444"/>
      <c r="K51" s="444"/>
      <c r="L51" s="444"/>
      <c r="M51" s="444"/>
      <c r="N51" s="444"/>
      <c r="O51" s="444"/>
      <c r="P51" s="444"/>
      <c r="Q51" s="444"/>
      <c r="R51" s="444"/>
      <c r="S51" s="444"/>
      <c r="T51" s="444"/>
      <c r="U51" s="444"/>
      <c r="V51" s="479">
        <f>SUM(L36:R36)/SUM(D36:J36)</f>
        <v>0.3088254119001777</v>
      </c>
      <c r="W51" s="446"/>
      <c r="X51" s="425"/>
    </row>
    <row r="52" spans="1:25" s="426" customFormat="1" x14ac:dyDescent="0.3">
      <c r="A52" s="443"/>
      <c r="B52" s="444" t="s">
        <v>174</v>
      </c>
      <c r="C52" s="444"/>
      <c r="D52" s="444"/>
      <c r="E52" s="444"/>
      <c r="F52" s="444"/>
      <c r="G52" s="444"/>
      <c r="H52" s="444"/>
      <c r="I52" s="444"/>
      <c r="J52" s="444"/>
      <c r="K52" s="444"/>
      <c r="L52" s="444"/>
      <c r="M52" s="444"/>
      <c r="N52" s="444"/>
      <c r="O52" s="444"/>
      <c r="P52" s="444"/>
      <c r="Q52" s="444"/>
      <c r="R52" s="444"/>
      <c r="S52" s="444"/>
      <c r="T52" s="450" t="s">
        <v>107</v>
      </c>
      <c r="U52" s="450" t="s">
        <v>112</v>
      </c>
      <c r="V52" s="452">
        <f>+V34/2-SUM(L34:R34)</f>
        <v>570356</v>
      </c>
      <c r="W52" s="446"/>
      <c r="X52" s="425"/>
    </row>
    <row r="53" spans="1:25" s="426" customFormat="1" x14ac:dyDescent="0.3">
      <c r="A53" s="443"/>
      <c r="B53" s="444"/>
      <c r="C53" s="444"/>
      <c r="D53" s="444"/>
      <c r="E53" s="444"/>
      <c r="F53" s="444"/>
      <c r="G53" s="444"/>
      <c r="H53" s="444"/>
      <c r="I53" s="444"/>
      <c r="J53" s="444"/>
      <c r="K53" s="444"/>
      <c r="L53" s="444"/>
      <c r="M53" s="444"/>
      <c r="N53" s="444"/>
      <c r="O53" s="444"/>
      <c r="P53" s="444"/>
      <c r="Q53" s="444"/>
      <c r="R53" s="444"/>
      <c r="S53" s="444"/>
      <c r="T53" s="444"/>
      <c r="U53" s="444"/>
      <c r="V53" s="484"/>
      <c r="W53" s="446"/>
      <c r="X53" s="425"/>
    </row>
    <row r="54" spans="1:25" s="426" customFormat="1" x14ac:dyDescent="0.3">
      <c r="A54" s="443"/>
      <c r="B54" s="444" t="s">
        <v>358</v>
      </c>
      <c r="C54" s="444"/>
      <c r="D54" s="444"/>
      <c r="E54" s="444"/>
      <c r="F54" s="444"/>
      <c r="G54" s="444"/>
      <c r="H54" s="444"/>
      <c r="I54" s="444"/>
      <c r="J54" s="444"/>
      <c r="K54" s="444"/>
      <c r="L54" s="444"/>
      <c r="M54" s="444"/>
      <c r="N54" s="444"/>
      <c r="O54" s="444"/>
      <c r="P54" s="444"/>
      <c r="Q54" s="444"/>
      <c r="R54" s="444"/>
      <c r="S54" s="444"/>
      <c r="T54" s="450"/>
      <c r="U54" s="450"/>
      <c r="V54" s="485" t="s">
        <v>114</v>
      </c>
      <c r="W54" s="486"/>
      <c r="X54" s="487"/>
    </row>
    <row r="55" spans="1:25" s="426" customFormat="1" x14ac:dyDescent="0.3">
      <c r="A55" s="443"/>
      <c r="B55" s="449" t="s">
        <v>204</v>
      </c>
      <c r="C55" s="449"/>
      <c r="D55" s="449"/>
      <c r="E55" s="449"/>
      <c r="F55" s="449"/>
      <c r="G55" s="449"/>
      <c r="H55" s="449"/>
      <c r="I55" s="449"/>
      <c r="J55" s="449"/>
      <c r="K55" s="449"/>
      <c r="L55" s="449"/>
      <c r="M55" s="449"/>
      <c r="N55" s="449"/>
      <c r="O55" s="449"/>
      <c r="P55" s="449"/>
      <c r="Q55" s="449"/>
      <c r="R55" s="449"/>
      <c r="S55" s="449"/>
      <c r="T55" s="488"/>
      <c r="U55" s="488"/>
      <c r="V55" s="489">
        <v>43297</v>
      </c>
      <c r="W55" s="486"/>
      <c r="X55" s="487"/>
    </row>
    <row r="56" spans="1:25" s="426" customFormat="1" x14ac:dyDescent="0.3">
      <c r="A56" s="443"/>
      <c r="B56" s="444" t="s">
        <v>124</v>
      </c>
      <c r="C56" s="444"/>
      <c r="D56" s="444"/>
      <c r="E56" s="444"/>
      <c r="F56" s="444"/>
      <c r="G56" s="444"/>
      <c r="H56" s="490"/>
      <c r="I56" s="490"/>
      <c r="J56" s="490"/>
      <c r="K56" s="490"/>
      <c r="L56" s="490"/>
      <c r="M56" s="490"/>
      <c r="N56" s="490"/>
      <c r="O56" s="490"/>
      <c r="P56" s="490"/>
      <c r="Q56" s="490"/>
      <c r="R56" s="444">
        <f>+V56-T56+1</f>
        <v>90</v>
      </c>
      <c r="S56" s="490"/>
      <c r="T56" s="491">
        <v>43116</v>
      </c>
      <c r="U56" s="492"/>
      <c r="V56" s="491">
        <v>43205</v>
      </c>
      <c r="W56" s="486"/>
      <c r="X56" s="487"/>
    </row>
    <row r="57" spans="1:25" s="426" customFormat="1" x14ac:dyDescent="0.3">
      <c r="A57" s="443"/>
      <c r="B57" s="444" t="s">
        <v>125</v>
      </c>
      <c r="C57" s="444"/>
      <c r="D57" s="444"/>
      <c r="E57" s="444"/>
      <c r="F57" s="444"/>
      <c r="G57" s="444"/>
      <c r="H57" s="444"/>
      <c r="I57" s="444"/>
      <c r="J57" s="444"/>
      <c r="K57" s="444"/>
      <c r="L57" s="444"/>
      <c r="M57" s="444"/>
      <c r="N57" s="444"/>
      <c r="O57" s="444"/>
      <c r="P57" s="444"/>
      <c r="Q57" s="444"/>
      <c r="R57" s="444">
        <f>+V57-T57+1</f>
        <v>91</v>
      </c>
      <c r="S57" s="444"/>
      <c r="T57" s="491">
        <v>43206</v>
      </c>
      <c r="U57" s="492"/>
      <c r="V57" s="491">
        <v>43296</v>
      </c>
      <c r="W57" s="486"/>
      <c r="X57" s="487"/>
    </row>
    <row r="58" spans="1:25" s="426" customFormat="1" x14ac:dyDescent="0.3">
      <c r="A58" s="443"/>
      <c r="B58" s="444" t="s">
        <v>357</v>
      </c>
      <c r="C58" s="444"/>
      <c r="D58" s="444"/>
      <c r="E58" s="444"/>
      <c r="F58" s="444"/>
      <c r="G58" s="444"/>
      <c r="H58" s="444"/>
      <c r="I58" s="444"/>
      <c r="J58" s="444"/>
      <c r="K58" s="444"/>
      <c r="L58" s="444"/>
      <c r="M58" s="444"/>
      <c r="N58" s="444"/>
      <c r="O58" s="444"/>
      <c r="P58" s="444"/>
      <c r="Q58" s="444"/>
      <c r="R58" s="444"/>
      <c r="S58" s="444"/>
      <c r="T58" s="491"/>
      <c r="U58" s="492"/>
      <c r="V58" s="491" t="s">
        <v>123</v>
      </c>
      <c r="W58" s="486"/>
      <c r="X58" s="487"/>
    </row>
    <row r="59" spans="1:25" s="426" customFormat="1" x14ac:dyDescent="0.3">
      <c r="A59" s="443"/>
      <c r="B59" s="444" t="s">
        <v>356</v>
      </c>
      <c r="C59" s="444"/>
      <c r="D59" s="444"/>
      <c r="E59" s="444"/>
      <c r="F59" s="444"/>
      <c r="G59" s="444"/>
      <c r="H59" s="444"/>
      <c r="I59" s="444"/>
      <c r="J59" s="444"/>
      <c r="K59" s="444"/>
      <c r="L59" s="444"/>
      <c r="M59" s="444"/>
      <c r="N59" s="444"/>
      <c r="O59" s="444"/>
      <c r="P59" s="444"/>
      <c r="Q59" s="444"/>
      <c r="R59" s="444"/>
      <c r="S59" s="444"/>
      <c r="T59" s="491"/>
      <c r="U59" s="492"/>
      <c r="V59" s="491" t="s">
        <v>157</v>
      </c>
      <c r="W59" s="486"/>
      <c r="X59" s="487"/>
      <c r="Y59" s="493"/>
    </row>
    <row r="60" spans="1:25" s="426" customFormat="1" x14ac:dyDescent="0.3">
      <c r="A60" s="443"/>
      <c r="B60" s="444" t="s">
        <v>16</v>
      </c>
      <c r="C60" s="444"/>
      <c r="D60" s="444"/>
      <c r="E60" s="444"/>
      <c r="F60" s="444"/>
      <c r="G60" s="444"/>
      <c r="H60" s="444"/>
      <c r="I60" s="444"/>
      <c r="J60" s="444"/>
      <c r="K60" s="444"/>
      <c r="L60" s="444"/>
      <c r="M60" s="444"/>
      <c r="N60" s="444"/>
      <c r="O60" s="444"/>
      <c r="P60" s="444"/>
      <c r="Q60" s="444"/>
      <c r="R60" s="444"/>
      <c r="S60" s="444"/>
      <c r="T60" s="491"/>
      <c r="U60" s="492"/>
      <c r="V60" s="491">
        <v>43282</v>
      </c>
      <c r="W60" s="486"/>
      <c r="X60" s="487"/>
    </row>
    <row r="61" spans="1:25" s="426" customFormat="1" x14ac:dyDescent="0.3">
      <c r="A61" s="421"/>
      <c r="B61" s="494"/>
      <c r="C61" s="494"/>
      <c r="D61" s="494"/>
      <c r="E61" s="494"/>
      <c r="F61" s="494"/>
      <c r="G61" s="494"/>
      <c r="H61" s="494"/>
      <c r="I61" s="494"/>
      <c r="J61" s="494"/>
      <c r="K61" s="494"/>
      <c r="L61" s="494"/>
      <c r="M61" s="494"/>
      <c r="N61" s="494"/>
      <c r="O61" s="494"/>
      <c r="P61" s="494"/>
      <c r="Q61" s="494"/>
      <c r="R61" s="494"/>
      <c r="S61" s="494"/>
      <c r="T61" s="495"/>
      <c r="U61" s="496"/>
      <c r="V61" s="495"/>
      <c r="W61" s="497"/>
      <c r="X61" s="487"/>
    </row>
    <row r="62" spans="1:25" s="426" customFormat="1" x14ac:dyDescent="0.3">
      <c r="A62" s="421"/>
      <c r="B62" s="422"/>
      <c r="C62" s="422"/>
      <c r="D62" s="422"/>
      <c r="E62" s="422"/>
      <c r="F62" s="422"/>
      <c r="G62" s="422"/>
      <c r="H62" s="422"/>
      <c r="I62" s="422"/>
      <c r="J62" s="422"/>
      <c r="K62" s="422"/>
      <c r="L62" s="422"/>
      <c r="M62" s="422"/>
      <c r="N62" s="422"/>
      <c r="O62" s="422"/>
      <c r="P62" s="422"/>
      <c r="Q62" s="422"/>
      <c r="R62" s="422"/>
      <c r="S62" s="422"/>
      <c r="T62" s="498"/>
      <c r="U62" s="499"/>
      <c r="V62" s="498"/>
      <c r="W62" s="497"/>
      <c r="X62" s="487"/>
    </row>
    <row r="63" spans="1:25" s="426" customFormat="1" ht="18.600000000000001" thickBot="1" x14ac:dyDescent="0.4">
      <c r="A63" s="500"/>
      <c r="B63" s="501" t="s">
        <v>376</v>
      </c>
      <c r="C63" s="502"/>
      <c r="D63" s="502"/>
      <c r="E63" s="502"/>
      <c r="F63" s="502"/>
      <c r="G63" s="502"/>
      <c r="H63" s="502"/>
      <c r="I63" s="502"/>
      <c r="J63" s="502"/>
      <c r="K63" s="502"/>
      <c r="L63" s="502"/>
      <c r="M63" s="502"/>
      <c r="N63" s="502"/>
      <c r="O63" s="502"/>
      <c r="P63" s="502"/>
      <c r="Q63" s="502"/>
      <c r="R63" s="502"/>
      <c r="S63" s="502"/>
      <c r="T63" s="502"/>
      <c r="U63" s="502"/>
      <c r="V63" s="503"/>
      <c r="W63" s="504"/>
      <c r="X63" s="487"/>
    </row>
    <row r="64" spans="1:25" x14ac:dyDescent="0.3">
      <c r="A64" s="505"/>
      <c r="B64" s="506" t="s">
        <v>17</v>
      </c>
      <c r="C64" s="507"/>
      <c r="D64" s="507"/>
      <c r="E64" s="507"/>
      <c r="F64" s="507"/>
      <c r="G64" s="507"/>
      <c r="H64" s="507"/>
      <c r="I64" s="507"/>
      <c r="J64" s="507"/>
      <c r="K64" s="507"/>
      <c r="L64" s="507"/>
      <c r="M64" s="507"/>
      <c r="N64" s="507"/>
      <c r="O64" s="507"/>
      <c r="P64" s="507"/>
      <c r="Q64" s="507"/>
      <c r="R64" s="507"/>
      <c r="S64" s="507"/>
      <c r="T64" s="507"/>
      <c r="U64" s="507"/>
      <c r="V64" s="508"/>
      <c r="W64" s="509"/>
      <c r="X64" s="406"/>
    </row>
    <row r="65" spans="1:24" x14ac:dyDescent="0.3">
      <c r="A65" s="408"/>
      <c r="B65" s="419"/>
      <c r="C65" s="410"/>
      <c r="D65" s="410"/>
      <c r="E65" s="410"/>
      <c r="F65" s="410"/>
      <c r="G65" s="410"/>
      <c r="H65" s="410"/>
      <c r="I65" s="410"/>
      <c r="J65" s="410"/>
      <c r="K65" s="410"/>
      <c r="L65" s="410"/>
      <c r="M65" s="410"/>
      <c r="N65" s="410"/>
      <c r="O65" s="410"/>
      <c r="P65" s="410"/>
      <c r="Q65" s="410"/>
      <c r="R65" s="410"/>
      <c r="S65" s="410"/>
      <c r="T65" s="410"/>
      <c r="U65" s="410"/>
      <c r="V65" s="510"/>
      <c r="W65" s="411"/>
      <c r="X65" s="406"/>
    </row>
    <row r="66" spans="1:24" s="473" customFormat="1" ht="46.8" x14ac:dyDescent="0.3">
      <c r="A66" s="511"/>
      <c r="B66" s="512" t="s">
        <v>18</v>
      </c>
      <c r="C66" s="513"/>
      <c r="D66" s="513"/>
      <c r="E66" s="513"/>
      <c r="F66" s="513"/>
      <c r="G66" s="513"/>
      <c r="H66" s="513"/>
      <c r="I66" s="513"/>
      <c r="J66" s="513"/>
      <c r="K66" s="513"/>
      <c r="L66" s="513" t="s">
        <v>95</v>
      </c>
      <c r="M66" s="513"/>
      <c r="N66" s="513" t="s">
        <v>97</v>
      </c>
      <c r="O66" s="513"/>
      <c r="P66" s="513" t="s">
        <v>99</v>
      </c>
      <c r="Q66" s="513"/>
      <c r="R66" s="513" t="s">
        <v>101</v>
      </c>
      <c r="S66" s="513"/>
      <c r="T66" s="513" t="s">
        <v>108</v>
      </c>
      <c r="U66" s="513"/>
      <c r="V66" s="514" t="s">
        <v>115</v>
      </c>
      <c r="W66" s="515"/>
      <c r="X66" s="472"/>
    </row>
    <row r="67" spans="1:24" s="426" customFormat="1" x14ac:dyDescent="0.3">
      <c r="A67" s="443"/>
      <c r="B67" s="444" t="s">
        <v>19</v>
      </c>
      <c r="C67" s="516"/>
      <c r="D67" s="516"/>
      <c r="E67" s="516"/>
      <c r="F67" s="516"/>
      <c r="G67" s="516"/>
      <c r="H67" s="516"/>
      <c r="I67" s="516"/>
      <c r="J67" s="516"/>
      <c r="K67" s="516"/>
      <c r="L67" s="516">
        <f>1085286</f>
        <v>1085286</v>
      </c>
      <c r="M67" s="516"/>
      <c r="N67" s="517">
        <v>770981</v>
      </c>
      <c r="O67" s="516"/>
      <c r="P67" s="516">
        <f>9233+391+59</f>
        <v>9683</v>
      </c>
      <c r="Q67" s="516"/>
      <c r="R67" s="516">
        <f>391+59</f>
        <v>450</v>
      </c>
      <c r="S67" s="516"/>
      <c r="T67" s="516">
        <v>0</v>
      </c>
      <c r="U67" s="516"/>
      <c r="V67" s="517">
        <f>+N67-P67+R67-T67</f>
        <v>761748</v>
      </c>
      <c r="W67" s="446"/>
      <c r="X67" s="425"/>
    </row>
    <row r="68" spans="1:24" s="426" customFormat="1" x14ac:dyDescent="0.3">
      <c r="A68" s="443"/>
      <c r="B68" s="444" t="s">
        <v>20</v>
      </c>
      <c r="C68" s="516"/>
      <c r="D68" s="516"/>
      <c r="E68" s="516"/>
      <c r="F68" s="516"/>
      <c r="G68" s="516"/>
      <c r="H68" s="516"/>
      <c r="I68" s="516"/>
      <c r="J68" s="516"/>
      <c r="K68" s="516"/>
      <c r="L68" s="516">
        <v>35</v>
      </c>
      <c r="M68" s="516"/>
      <c r="N68" s="517">
        <v>0</v>
      </c>
      <c r="O68" s="516"/>
      <c r="P68" s="516">
        <v>0</v>
      </c>
      <c r="Q68" s="516"/>
      <c r="R68" s="516">
        <v>0</v>
      </c>
      <c r="S68" s="516"/>
      <c r="T68" s="516">
        <v>0</v>
      </c>
      <c r="U68" s="516"/>
      <c r="V68" s="517">
        <f>+N68-P68</f>
        <v>0</v>
      </c>
      <c r="W68" s="446"/>
      <c r="X68" s="425"/>
    </row>
    <row r="69" spans="1:24" s="426" customFormat="1" x14ac:dyDescent="0.3">
      <c r="A69" s="443"/>
      <c r="B69" s="444"/>
      <c r="C69" s="516"/>
      <c r="D69" s="516"/>
      <c r="E69" s="516"/>
      <c r="F69" s="516"/>
      <c r="G69" s="516"/>
      <c r="H69" s="516"/>
      <c r="I69" s="516"/>
      <c r="J69" s="516"/>
      <c r="K69" s="516"/>
      <c r="L69" s="516"/>
      <c r="M69" s="516"/>
      <c r="N69" s="517"/>
      <c r="O69" s="516"/>
      <c r="P69" s="516"/>
      <c r="Q69" s="516"/>
      <c r="R69" s="516"/>
      <c r="S69" s="516"/>
      <c r="T69" s="516"/>
      <c r="U69" s="516"/>
      <c r="V69" s="517"/>
      <c r="W69" s="446"/>
      <c r="X69" s="425"/>
    </row>
    <row r="70" spans="1:24" s="426" customFormat="1" x14ac:dyDescent="0.3">
      <c r="A70" s="443"/>
      <c r="B70" s="444" t="s">
        <v>21</v>
      </c>
      <c r="C70" s="516"/>
      <c r="D70" s="516"/>
      <c r="E70" s="516"/>
      <c r="F70" s="516"/>
      <c r="G70" s="516"/>
      <c r="H70" s="516"/>
      <c r="I70" s="516"/>
      <c r="J70" s="516"/>
      <c r="K70" s="516"/>
      <c r="L70" s="516">
        <f>SUM(L67:L69)</f>
        <v>1085321</v>
      </c>
      <c r="M70" s="516"/>
      <c r="N70" s="516">
        <f>N67+N68</f>
        <v>770981</v>
      </c>
      <c r="O70" s="516"/>
      <c r="P70" s="516">
        <f>SUM(P67:P69)</f>
        <v>9683</v>
      </c>
      <c r="Q70" s="516"/>
      <c r="R70" s="516">
        <f>SUM(R67:R69)</f>
        <v>450</v>
      </c>
      <c r="S70" s="516"/>
      <c r="T70" s="516">
        <f>SUM(T67:T69)</f>
        <v>0</v>
      </c>
      <c r="U70" s="516"/>
      <c r="V70" s="516">
        <f>SUM(V67:V69)</f>
        <v>761748</v>
      </c>
      <c r="W70" s="446"/>
      <c r="X70" s="425"/>
    </row>
    <row r="71" spans="1:24" x14ac:dyDescent="0.3">
      <c r="A71" s="408"/>
      <c r="B71" s="518"/>
      <c r="C71" s="519"/>
      <c r="D71" s="519"/>
      <c r="E71" s="519"/>
      <c r="F71" s="519"/>
      <c r="G71" s="519"/>
      <c r="H71" s="519"/>
      <c r="I71" s="519"/>
      <c r="J71" s="519"/>
      <c r="K71" s="519"/>
      <c r="L71" s="519"/>
      <c r="M71" s="519"/>
      <c r="N71" s="519"/>
      <c r="O71" s="519"/>
      <c r="P71" s="519"/>
      <c r="Q71" s="519"/>
      <c r="R71" s="519"/>
      <c r="S71" s="519"/>
      <c r="T71" s="519"/>
      <c r="U71" s="519"/>
      <c r="V71" s="520"/>
      <c r="W71" s="411"/>
      <c r="X71" s="406"/>
    </row>
    <row r="72" spans="1:24" x14ac:dyDescent="0.3">
      <c r="A72" s="408"/>
      <c r="B72" s="413" t="s">
        <v>22</v>
      </c>
      <c r="C72" s="521"/>
      <c r="D72" s="521"/>
      <c r="E72" s="521"/>
      <c r="F72" s="521"/>
      <c r="G72" s="521"/>
      <c r="H72" s="521"/>
      <c r="I72" s="521"/>
      <c r="J72" s="521"/>
      <c r="K72" s="521"/>
      <c r="L72" s="521"/>
      <c r="M72" s="521"/>
      <c r="N72" s="521"/>
      <c r="O72" s="521"/>
      <c r="P72" s="521"/>
      <c r="Q72" s="521"/>
      <c r="R72" s="521"/>
      <c r="S72" s="521"/>
      <c r="T72" s="521"/>
      <c r="U72" s="521"/>
      <c r="V72" s="522"/>
      <c r="W72" s="411"/>
      <c r="X72" s="406"/>
    </row>
    <row r="73" spans="1:24" x14ac:dyDescent="0.3">
      <c r="A73" s="408"/>
      <c r="B73" s="410"/>
      <c r="C73" s="521"/>
      <c r="D73" s="521"/>
      <c r="E73" s="521"/>
      <c r="F73" s="521"/>
      <c r="G73" s="521"/>
      <c r="H73" s="521"/>
      <c r="I73" s="521"/>
      <c r="J73" s="521"/>
      <c r="K73" s="521"/>
      <c r="L73" s="521"/>
      <c r="M73" s="521"/>
      <c r="N73" s="521"/>
      <c r="O73" s="521"/>
      <c r="P73" s="521"/>
      <c r="Q73" s="521"/>
      <c r="R73" s="521"/>
      <c r="S73" s="521"/>
      <c r="T73" s="521"/>
      <c r="U73" s="521"/>
      <c r="V73" s="522"/>
      <c r="W73" s="411"/>
      <c r="X73" s="406"/>
    </row>
    <row r="74" spans="1:24" s="426" customFormat="1" x14ac:dyDescent="0.3">
      <c r="A74" s="443"/>
      <c r="B74" s="444" t="s">
        <v>19</v>
      </c>
      <c r="C74" s="516"/>
      <c r="D74" s="516"/>
      <c r="E74" s="516"/>
      <c r="F74" s="516"/>
      <c r="G74" s="516"/>
      <c r="H74" s="516"/>
      <c r="I74" s="516"/>
      <c r="J74" s="516"/>
      <c r="K74" s="516"/>
      <c r="L74" s="516"/>
      <c r="M74" s="516"/>
      <c r="N74" s="516"/>
      <c r="O74" s="516"/>
      <c r="P74" s="516"/>
      <c r="Q74" s="516"/>
      <c r="R74" s="516"/>
      <c r="S74" s="516"/>
      <c r="T74" s="516"/>
      <c r="U74" s="516"/>
      <c r="V74" s="516"/>
      <c r="W74" s="446"/>
      <c r="X74" s="425"/>
    </row>
    <row r="75" spans="1:24" s="426" customFormat="1" x14ac:dyDescent="0.3">
      <c r="A75" s="443"/>
      <c r="B75" s="444" t="s">
        <v>20</v>
      </c>
      <c r="C75" s="516"/>
      <c r="D75" s="516"/>
      <c r="E75" s="516"/>
      <c r="F75" s="516"/>
      <c r="G75" s="516"/>
      <c r="H75" s="516"/>
      <c r="I75" s="516"/>
      <c r="J75" s="516"/>
      <c r="K75" s="516"/>
      <c r="L75" s="516"/>
      <c r="M75" s="516"/>
      <c r="N75" s="516"/>
      <c r="O75" s="516"/>
      <c r="P75" s="516"/>
      <c r="Q75" s="516"/>
      <c r="R75" s="516"/>
      <c r="S75" s="516"/>
      <c r="T75" s="516"/>
      <c r="U75" s="516"/>
      <c r="V75" s="516"/>
      <c r="W75" s="446"/>
      <c r="X75" s="425"/>
    </row>
    <row r="76" spans="1:24" s="426" customFormat="1" x14ac:dyDescent="0.3">
      <c r="A76" s="443"/>
      <c r="B76" s="444"/>
      <c r="C76" s="516"/>
      <c r="D76" s="516"/>
      <c r="E76" s="516"/>
      <c r="F76" s="516"/>
      <c r="G76" s="516"/>
      <c r="H76" s="516"/>
      <c r="I76" s="516"/>
      <c r="J76" s="516"/>
      <c r="K76" s="516"/>
      <c r="L76" s="516"/>
      <c r="M76" s="516"/>
      <c r="N76" s="516"/>
      <c r="O76" s="516"/>
      <c r="P76" s="516"/>
      <c r="Q76" s="516"/>
      <c r="R76" s="516"/>
      <c r="S76" s="516"/>
      <c r="T76" s="516"/>
      <c r="U76" s="516"/>
      <c r="V76" s="516"/>
      <c r="W76" s="446"/>
      <c r="X76" s="425"/>
    </row>
    <row r="77" spans="1:24" s="426" customFormat="1" x14ac:dyDescent="0.3">
      <c r="A77" s="443"/>
      <c r="B77" s="444" t="s">
        <v>21</v>
      </c>
      <c r="C77" s="516"/>
      <c r="D77" s="516"/>
      <c r="E77" s="516"/>
      <c r="F77" s="516"/>
      <c r="G77" s="516"/>
      <c r="H77" s="516"/>
      <c r="I77" s="516"/>
      <c r="J77" s="516"/>
      <c r="K77" s="516"/>
      <c r="L77" s="516"/>
      <c r="M77" s="516"/>
      <c r="N77" s="516"/>
      <c r="O77" s="516"/>
      <c r="P77" s="516"/>
      <c r="Q77" s="516"/>
      <c r="R77" s="516"/>
      <c r="S77" s="516"/>
      <c r="T77" s="516"/>
      <c r="U77" s="516"/>
      <c r="V77" s="516"/>
      <c r="W77" s="446"/>
      <c r="X77" s="425"/>
    </row>
    <row r="78" spans="1:24" s="426" customFormat="1" x14ac:dyDescent="0.3">
      <c r="A78" s="443"/>
      <c r="B78" s="444"/>
      <c r="C78" s="516"/>
      <c r="D78" s="516"/>
      <c r="E78" s="516"/>
      <c r="F78" s="516"/>
      <c r="G78" s="516"/>
      <c r="H78" s="516"/>
      <c r="I78" s="516"/>
      <c r="J78" s="516"/>
      <c r="K78" s="516"/>
      <c r="L78" s="516"/>
      <c r="M78" s="516"/>
      <c r="N78" s="516"/>
      <c r="O78" s="516"/>
      <c r="P78" s="516"/>
      <c r="Q78" s="516"/>
      <c r="R78" s="516"/>
      <c r="S78" s="516"/>
      <c r="T78" s="516"/>
      <c r="U78" s="516"/>
      <c r="V78" s="516"/>
      <c r="W78" s="446"/>
      <c r="X78" s="425"/>
    </row>
    <row r="79" spans="1:24" s="426" customFormat="1" x14ac:dyDescent="0.3">
      <c r="A79" s="443"/>
      <c r="B79" s="444" t="s">
        <v>23</v>
      </c>
      <c r="C79" s="516"/>
      <c r="D79" s="516"/>
      <c r="E79" s="516"/>
      <c r="F79" s="516"/>
      <c r="G79" s="516"/>
      <c r="H79" s="516"/>
      <c r="I79" s="516"/>
      <c r="J79" s="516"/>
      <c r="K79" s="516"/>
      <c r="L79" s="516">
        <v>0</v>
      </c>
      <c r="M79" s="516"/>
      <c r="N79" s="516">
        <v>0</v>
      </c>
      <c r="O79" s="516"/>
      <c r="P79" s="516"/>
      <c r="Q79" s="516"/>
      <c r="R79" s="516"/>
      <c r="S79" s="516"/>
      <c r="T79" s="516"/>
      <c r="U79" s="516"/>
      <c r="V79" s="517">
        <v>0</v>
      </c>
      <c r="W79" s="446"/>
      <c r="X79" s="425"/>
    </row>
    <row r="80" spans="1:24" s="426" customFormat="1" x14ac:dyDescent="0.3">
      <c r="A80" s="443"/>
      <c r="B80" s="444" t="s">
        <v>120</v>
      </c>
      <c r="C80" s="516"/>
      <c r="D80" s="516"/>
      <c r="E80" s="516"/>
      <c r="F80" s="516"/>
      <c r="G80" s="516"/>
      <c r="H80" s="516"/>
      <c r="I80" s="516"/>
      <c r="J80" s="516"/>
      <c r="K80" s="516"/>
      <c r="L80" s="516">
        <f>414862+7</f>
        <v>414869</v>
      </c>
      <c r="M80" s="516"/>
      <c r="N80" s="516">
        <v>0</v>
      </c>
      <c r="O80" s="516"/>
      <c r="P80" s="516">
        <v>0</v>
      </c>
      <c r="Q80" s="516"/>
      <c r="R80" s="516"/>
      <c r="S80" s="516"/>
      <c r="T80" s="516"/>
      <c r="U80" s="516"/>
      <c r="V80" s="516">
        <f>SUM(N80:R80)</f>
        <v>0</v>
      </c>
      <c r="W80" s="446"/>
      <c r="X80" s="425"/>
    </row>
    <row r="81" spans="1:24" s="426" customFormat="1" x14ac:dyDescent="0.3">
      <c r="A81" s="443"/>
      <c r="B81" s="444" t="s">
        <v>149</v>
      </c>
      <c r="C81" s="516"/>
      <c r="D81" s="516"/>
      <c r="E81" s="516"/>
      <c r="F81" s="516"/>
      <c r="G81" s="516"/>
      <c r="H81" s="516"/>
      <c r="I81" s="516"/>
      <c r="J81" s="516"/>
      <c r="K81" s="516"/>
      <c r="L81" s="516">
        <v>0</v>
      </c>
      <c r="M81" s="516"/>
      <c r="N81" s="516">
        <v>0</v>
      </c>
      <c r="O81" s="516"/>
      <c r="P81" s="516">
        <v>0</v>
      </c>
      <c r="Q81" s="516"/>
      <c r="R81" s="516"/>
      <c r="S81" s="516"/>
      <c r="T81" s="516"/>
      <c r="U81" s="516"/>
      <c r="V81" s="516">
        <f>+N81+P81</f>
        <v>0</v>
      </c>
      <c r="W81" s="446"/>
      <c r="X81" s="425"/>
    </row>
    <row r="82" spans="1:24" s="426" customFormat="1" x14ac:dyDescent="0.3">
      <c r="A82" s="443"/>
      <c r="B82" s="444" t="s">
        <v>25</v>
      </c>
      <c r="C82" s="516"/>
      <c r="D82" s="516"/>
      <c r="E82" s="516"/>
      <c r="F82" s="516"/>
      <c r="G82" s="516"/>
      <c r="H82" s="516"/>
      <c r="I82" s="516"/>
      <c r="J82" s="516"/>
      <c r="K82" s="516"/>
      <c r="L82" s="516">
        <v>0</v>
      </c>
      <c r="M82" s="516"/>
      <c r="N82" s="516">
        <v>0</v>
      </c>
      <c r="O82" s="516"/>
      <c r="P82" s="516"/>
      <c r="Q82" s="516"/>
      <c r="R82" s="516"/>
      <c r="S82" s="516"/>
      <c r="T82" s="516"/>
      <c r="U82" s="516"/>
      <c r="V82" s="516">
        <v>0</v>
      </c>
      <c r="W82" s="446"/>
      <c r="X82" s="425"/>
    </row>
    <row r="83" spans="1:24" s="426" customFormat="1" x14ac:dyDescent="0.3">
      <c r="A83" s="523"/>
      <c r="B83" s="524" t="s">
        <v>26</v>
      </c>
      <c r="C83" s="525"/>
      <c r="D83" s="525"/>
      <c r="E83" s="525"/>
      <c r="F83" s="525"/>
      <c r="G83" s="525"/>
      <c r="H83" s="525"/>
      <c r="I83" s="525"/>
      <c r="J83" s="525"/>
      <c r="K83" s="525"/>
      <c r="L83" s="525">
        <f>SUM(L70:L82)</f>
        <v>1500190</v>
      </c>
      <c r="M83" s="525"/>
      <c r="N83" s="525">
        <f>SUM(N70:N82)</f>
        <v>770981</v>
      </c>
      <c r="O83" s="525"/>
      <c r="P83" s="525"/>
      <c r="Q83" s="525"/>
      <c r="R83" s="525"/>
      <c r="S83" s="525"/>
      <c r="T83" s="525"/>
      <c r="U83" s="525"/>
      <c r="V83" s="525">
        <f>SUM(V70:V82)</f>
        <v>761748</v>
      </c>
      <c r="W83" s="526"/>
      <c r="X83" s="425"/>
    </row>
    <row r="84" spans="1:24" x14ac:dyDescent="0.3">
      <c r="A84" s="527"/>
      <c r="B84" s="528"/>
      <c r="C84" s="529"/>
      <c r="D84" s="529"/>
      <c r="E84" s="529"/>
      <c r="F84" s="529"/>
      <c r="G84" s="529"/>
      <c r="H84" s="529"/>
      <c r="I84" s="529"/>
      <c r="J84" s="529"/>
      <c r="K84" s="529"/>
      <c r="L84" s="529"/>
      <c r="M84" s="529"/>
      <c r="N84" s="529"/>
      <c r="O84" s="529"/>
      <c r="P84" s="529"/>
      <c r="Q84" s="529"/>
      <c r="R84" s="529"/>
      <c r="S84" s="529"/>
      <c r="T84" s="529"/>
      <c r="U84" s="529"/>
      <c r="V84" s="529"/>
      <c r="W84" s="530"/>
      <c r="X84" s="406"/>
    </row>
    <row r="85" spans="1:24" x14ac:dyDescent="0.3">
      <c r="A85" s="408"/>
      <c r="B85" s="531"/>
      <c r="C85" s="531"/>
      <c r="D85" s="531"/>
      <c r="E85" s="531"/>
      <c r="F85" s="531"/>
      <c r="G85" s="531"/>
      <c r="H85" s="531"/>
      <c r="I85" s="531"/>
      <c r="J85" s="531"/>
      <c r="K85" s="531"/>
      <c r="L85" s="531"/>
      <c r="M85" s="531"/>
      <c r="N85" s="531"/>
      <c r="O85" s="531"/>
      <c r="P85" s="531"/>
      <c r="Q85" s="531"/>
      <c r="R85" s="531"/>
      <c r="S85" s="531"/>
      <c r="T85" s="531"/>
      <c r="U85" s="531"/>
      <c r="V85" s="531"/>
      <c r="W85" s="532"/>
      <c r="X85" s="406"/>
    </row>
    <row r="86" spans="1:24" x14ac:dyDescent="0.3">
      <c r="A86" s="533"/>
      <c r="B86" s="534" t="s">
        <v>27</v>
      </c>
      <c r="C86" s="534"/>
      <c r="D86" s="534"/>
      <c r="E86" s="534"/>
      <c r="F86" s="534"/>
      <c r="G86" s="534"/>
      <c r="H86" s="535"/>
      <c r="I86" s="535"/>
      <c r="J86" s="535"/>
      <c r="K86" s="535"/>
      <c r="L86" s="536" t="s">
        <v>96</v>
      </c>
      <c r="M86" s="535"/>
      <c r="N86" s="537">
        <f>+T198</f>
        <v>43280</v>
      </c>
      <c r="O86" s="535"/>
      <c r="P86" s="535"/>
      <c r="Q86" s="535"/>
      <c r="R86" s="535"/>
      <c r="S86" s="535"/>
      <c r="T86" s="535" t="s">
        <v>109</v>
      </c>
      <c r="U86" s="535"/>
      <c r="V86" s="535" t="s">
        <v>116</v>
      </c>
      <c r="W86" s="538"/>
      <c r="X86" s="406"/>
    </row>
    <row r="87" spans="1:24" s="426" customFormat="1" x14ac:dyDescent="0.3">
      <c r="A87" s="439"/>
      <c r="B87" s="440" t="s">
        <v>28</v>
      </c>
      <c r="C87" s="440"/>
      <c r="D87" s="440"/>
      <c r="E87" s="440"/>
      <c r="F87" s="440"/>
      <c r="G87" s="440"/>
      <c r="H87" s="440"/>
      <c r="I87" s="440"/>
      <c r="J87" s="440"/>
      <c r="K87" s="440"/>
      <c r="L87" s="440"/>
      <c r="M87" s="440"/>
      <c r="N87" s="440"/>
      <c r="O87" s="440"/>
      <c r="P87" s="440"/>
      <c r="Q87" s="440"/>
      <c r="R87" s="440"/>
      <c r="S87" s="440"/>
      <c r="T87" s="539">
        <v>0</v>
      </c>
      <c r="U87" s="440"/>
      <c r="V87" s="540">
        <v>0</v>
      </c>
      <c r="W87" s="442"/>
      <c r="X87" s="425"/>
    </row>
    <row r="88" spans="1:24" s="426" customFormat="1" x14ac:dyDescent="0.3">
      <c r="A88" s="443"/>
      <c r="B88" s="444" t="s">
        <v>29</v>
      </c>
      <c r="C88" s="444"/>
      <c r="D88" s="444"/>
      <c r="E88" s="444"/>
      <c r="F88" s="444"/>
      <c r="G88" s="444"/>
      <c r="H88" s="482"/>
      <c r="I88" s="482"/>
      <c r="J88" s="482"/>
      <c r="K88" s="541"/>
      <c r="L88" s="482"/>
      <c r="M88" s="444"/>
      <c r="N88" s="542"/>
      <c r="O88" s="444"/>
      <c r="P88" s="444"/>
      <c r="Q88" s="444"/>
      <c r="R88" s="444"/>
      <c r="S88" s="444"/>
      <c r="T88" s="516">
        <f>9683-351</f>
        <v>9332</v>
      </c>
      <c r="U88" s="444"/>
      <c r="V88" s="517"/>
      <c r="W88" s="446"/>
      <c r="X88" s="425"/>
    </row>
    <row r="89" spans="1:24" s="426" customFormat="1" x14ac:dyDescent="0.3">
      <c r="A89" s="443"/>
      <c r="B89" s="444" t="s">
        <v>219</v>
      </c>
      <c r="C89" s="444"/>
      <c r="D89" s="444"/>
      <c r="E89" s="444"/>
      <c r="F89" s="444"/>
      <c r="G89" s="444"/>
      <c r="H89" s="482"/>
      <c r="I89" s="482"/>
      <c r="J89" s="482"/>
      <c r="K89" s="541"/>
      <c r="L89" s="482"/>
      <c r="M89" s="444"/>
      <c r="N89" s="542"/>
      <c r="O89" s="444"/>
      <c r="P89" s="444"/>
      <c r="Q89" s="444"/>
      <c r="R89" s="444"/>
      <c r="S89" s="444"/>
      <c r="T89" s="516"/>
      <c r="U89" s="444"/>
      <c r="V89" s="517">
        <f>3970+2397-894-856</f>
        <v>4617</v>
      </c>
      <c r="W89" s="446"/>
      <c r="X89" s="425"/>
    </row>
    <row r="90" spans="1:24" s="426" customFormat="1" x14ac:dyDescent="0.3">
      <c r="A90" s="443"/>
      <c r="B90" s="444" t="s">
        <v>214</v>
      </c>
      <c r="C90" s="444"/>
      <c r="D90" s="444"/>
      <c r="E90" s="444"/>
      <c r="F90" s="444"/>
      <c r="G90" s="444"/>
      <c r="H90" s="482"/>
      <c r="I90" s="482"/>
      <c r="J90" s="482"/>
      <c r="K90" s="541"/>
      <c r="L90" s="482"/>
      <c r="M90" s="444"/>
      <c r="N90" s="542"/>
      <c r="O90" s="444"/>
      <c r="P90" s="444"/>
      <c r="Q90" s="444"/>
      <c r="R90" s="444"/>
      <c r="S90" s="444"/>
      <c r="T90" s="516"/>
      <c r="U90" s="444"/>
      <c r="V90" s="517">
        <f>194+53</f>
        <v>247</v>
      </c>
      <c r="W90" s="446"/>
      <c r="X90" s="425"/>
    </row>
    <row r="91" spans="1:24" s="426" customFormat="1" x14ac:dyDescent="0.3">
      <c r="A91" s="443"/>
      <c r="B91" s="444" t="s">
        <v>215</v>
      </c>
      <c r="C91" s="444"/>
      <c r="D91" s="444"/>
      <c r="E91" s="444"/>
      <c r="F91" s="444"/>
      <c r="G91" s="444"/>
      <c r="H91" s="482"/>
      <c r="I91" s="482"/>
      <c r="J91" s="482"/>
      <c r="K91" s="541"/>
      <c r="L91" s="482"/>
      <c r="M91" s="444"/>
      <c r="N91" s="542"/>
      <c r="O91" s="444"/>
      <c r="P91" s="444"/>
      <c r="Q91" s="444"/>
      <c r="R91" s="444"/>
      <c r="S91" s="444"/>
      <c r="T91" s="516"/>
      <c r="U91" s="444"/>
      <c r="V91" s="517">
        <v>43</v>
      </c>
      <c r="W91" s="446"/>
      <c r="X91" s="425"/>
    </row>
    <row r="92" spans="1:24" s="426" customFormat="1" x14ac:dyDescent="0.3">
      <c r="A92" s="443"/>
      <c r="B92" s="444" t="s">
        <v>277</v>
      </c>
      <c r="C92" s="444"/>
      <c r="D92" s="444"/>
      <c r="E92" s="444"/>
      <c r="F92" s="444"/>
      <c r="G92" s="444"/>
      <c r="H92" s="482"/>
      <c r="I92" s="482"/>
      <c r="J92" s="482"/>
      <c r="K92" s="541"/>
      <c r="L92" s="482"/>
      <c r="M92" s="444"/>
      <c r="N92" s="542"/>
      <c r="O92" s="444"/>
      <c r="P92" s="444"/>
      <c r="Q92" s="444"/>
      <c r="R92" s="444"/>
      <c r="S92" s="444"/>
      <c r="T92" s="516"/>
      <c r="U92" s="444"/>
      <c r="V92" s="517">
        <v>0</v>
      </c>
      <c r="W92" s="446"/>
      <c r="X92" s="425"/>
    </row>
    <row r="93" spans="1:24" s="426" customFormat="1" x14ac:dyDescent="0.3">
      <c r="A93" s="443"/>
      <c r="B93" s="444" t="s">
        <v>138</v>
      </c>
      <c r="C93" s="444"/>
      <c r="D93" s="444"/>
      <c r="E93" s="444"/>
      <c r="F93" s="444"/>
      <c r="G93" s="444"/>
      <c r="H93" s="444"/>
      <c r="I93" s="444"/>
      <c r="J93" s="444"/>
      <c r="K93" s="444"/>
      <c r="L93" s="444"/>
      <c r="M93" s="444"/>
      <c r="N93" s="444"/>
      <c r="O93" s="444"/>
      <c r="P93" s="444"/>
      <c r="Q93" s="444"/>
      <c r="R93" s="444"/>
      <c r="S93" s="444"/>
      <c r="T93" s="516"/>
      <c r="U93" s="444"/>
      <c r="V93" s="517">
        <v>0</v>
      </c>
      <c r="W93" s="446"/>
      <c r="X93" s="425"/>
    </row>
    <row r="94" spans="1:24" s="426" customFormat="1" x14ac:dyDescent="0.3">
      <c r="A94" s="443"/>
      <c r="B94" s="444" t="s">
        <v>265</v>
      </c>
      <c r="C94" s="444"/>
      <c r="D94" s="444"/>
      <c r="E94" s="444"/>
      <c r="F94" s="444"/>
      <c r="G94" s="444"/>
      <c r="H94" s="444"/>
      <c r="I94" s="444"/>
      <c r="J94" s="444"/>
      <c r="K94" s="444"/>
      <c r="L94" s="444"/>
      <c r="M94" s="444"/>
      <c r="N94" s="444"/>
      <c r="O94" s="444"/>
      <c r="P94" s="444"/>
      <c r="Q94" s="444"/>
      <c r="R94" s="444"/>
      <c r="S94" s="444"/>
      <c r="T94" s="516"/>
      <c r="U94" s="444"/>
      <c r="V94" s="517">
        <v>427</v>
      </c>
      <c r="W94" s="446"/>
      <c r="X94" s="425"/>
    </row>
    <row r="95" spans="1:24" s="426" customFormat="1" x14ac:dyDescent="0.3">
      <c r="A95" s="443"/>
      <c r="B95" s="444" t="s">
        <v>30</v>
      </c>
      <c r="C95" s="444"/>
      <c r="D95" s="444"/>
      <c r="E95" s="444"/>
      <c r="F95" s="444"/>
      <c r="G95" s="444"/>
      <c r="H95" s="444"/>
      <c r="I95" s="444"/>
      <c r="J95" s="444"/>
      <c r="K95" s="444"/>
      <c r="L95" s="444"/>
      <c r="M95" s="444"/>
      <c r="N95" s="444"/>
      <c r="O95" s="444"/>
      <c r="P95" s="444"/>
      <c r="Q95" s="444"/>
      <c r="R95" s="444"/>
      <c r="S95" s="444"/>
      <c r="T95" s="516">
        <f>SUM(T87:T94)</f>
        <v>9332</v>
      </c>
      <c r="U95" s="444"/>
      <c r="V95" s="516">
        <f>SUM(V87:V94)</f>
        <v>5334</v>
      </c>
      <c r="W95" s="446"/>
      <c r="X95" s="425"/>
    </row>
    <row r="96" spans="1:24" s="426" customFormat="1" x14ac:dyDescent="0.3">
      <c r="A96" s="443"/>
      <c r="B96" s="444" t="s">
        <v>164</v>
      </c>
      <c r="C96" s="444"/>
      <c r="D96" s="444"/>
      <c r="E96" s="444"/>
      <c r="F96" s="444"/>
      <c r="G96" s="444"/>
      <c r="H96" s="444"/>
      <c r="I96" s="444"/>
      <c r="J96" s="444"/>
      <c r="K96" s="444"/>
      <c r="L96" s="444"/>
      <c r="M96" s="444"/>
      <c r="N96" s="444"/>
      <c r="O96" s="444"/>
      <c r="P96" s="444"/>
      <c r="Q96" s="444"/>
      <c r="R96" s="444"/>
      <c r="S96" s="444"/>
      <c r="T96" s="516">
        <f>-V96</f>
        <v>0</v>
      </c>
      <c r="U96" s="444"/>
      <c r="V96" s="516">
        <v>0</v>
      </c>
      <c r="W96" s="446"/>
      <c r="X96" s="425"/>
    </row>
    <row r="97" spans="1:26" s="426" customFormat="1" x14ac:dyDescent="0.3">
      <c r="A97" s="443"/>
      <c r="B97" s="444" t="s">
        <v>31</v>
      </c>
      <c r="C97" s="444"/>
      <c r="D97" s="444"/>
      <c r="E97" s="444"/>
      <c r="F97" s="444"/>
      <c r="G97" s="444"/>
      <c r="H97" s="444"/>
      <c r="I97" s="444"/>
      <c r="J97" s="444"/>
      <c r="K97" s="444"/>
      <c r="L97" s="444"/>
      <c r="M97" s="444"/>
      <c r="N97" s="444"/>
      <c r="O97" s="444"/>
      <c r="P97" s="444"/>
      <c r="Q97" s="444"/>
      <c r="R97" s="444"/>
      <c r="S97" s="444"/>
      <c r="T97" s="516">
        <f>-V97</f>
        <v>0</v>
      </c>
      <c r="U97" s="444"/>
      <c r="V97" s="517">
        <v>0</v>
      </c>
      <c r="W97" s="446"/>
      <c r="X97" s="425"/>
    </row>
    <row r="98" spans="1:26" s="426" customFormat="1" x14ac:dyDescent="0.3">
      <c r="A98" s="443"/>
      <c r="B98" s="444" t="s">
        <v>288</v>
      </c>
      <c r="C98" s="444"/>
      <c r="D98" s="444"/>
      <c r="E98" s="444"/>
      <c r="F98" s="444"/>
      <c r="G98" s="444"/>
      <c r="H98" s="444"/>
      <c r="I98" s="444"/>
      <c r="J98" s="444"/>
      <c r="K98" s="444"/>
      <c r="L98" s="444"/>
      <c r="M98" s="444"/>
      <c r="N98" s="444"/>
      <c r="O98" s="444"/>
      <c r="P98" s="444"/>
      <c r="Q98" s="444"/>
      <c r="R98" s="444"/>
      <c r="S98" s="444"/>
      <c r="T98" s="516"/>
      <c r="U98" s="444"/>
      <c r="V98" s="517">
        <v>-171</v>
      </c>
      <c r="W98" s="446"/>
      <c r="X98" s="425"/>
    </row>
    <row r="99" spans="1:26" s="426" customFormat="1" x14ac:dyDescent="0.3">
      <c r="A99" s="443"/>
      <c r="B99" s="444" t="s">
        <v>32</v>
      </c>
      <c r="C99" s="444"/>
      <c r="D99" s="444"/>
      <c r="E99" s="444"/>
      <c r="F99" s="444"/>
      <c r="G99" s="444"/>
      <c r="H99" s="444"/>
      <c r="I99" s="444"/>
      <c r="J99" s="444"/>
      <c r="K99" s="444"/>
      <c r="L99" s="444"/>
      <c r="M99" s="444"/>
      <c r="N99" s="444"/>
      <c r="O99" s="444"/>
      <c r="P99" s="444"/>
      <c r="Q99" s="444"/>
      <c r="R99" s="444"/>
      <c r="S99" s="444"/>
      <c r="T99" s="516">
        <f>T95+T97+T96</f>
        <v>9332</v>
      </c>
      <c r="U99" s="444"/>
      <c r="V99" s="516">
        <f>V95+V97+V96+V98</f>
        <v>5163</v>
      </c>
      <c r="W99" s="446"/>
      <c r="X99" s="425"/>
    </row>
    <row r="100" spans="1:26" x14ac:dyDescent="0.3">
      <c r="A100" s="543"/>
      <c r="B100" s="544" t="s">
        <v>33</v>
      </c>
      <c r="C100" s="465"/>
      <c r="D100" s="465"/>
      <c r="E100" s="465"/>
      <c r="F100" s="465"/>
      <c r="G100" s="465"/>
      <c r="H100" s="465"/>
      <c r="I100" s="465"/>
      <c r="J100" s="465"/>
      <c r="K100" s="465"/>
      <c r="L100" s="465"/>
      <c r="M100" s="465"/>
      <c r="N100" s="465"/>
      <c r="O100" s="465"/>
      <c r="P100" s="465"/>
      <c r="Q100" s="465"/>
      <c r="R100" s="465"/>
      <c r="S100" s="465"/>
      <c r="T100" s="545"/>
      <c r="U100" s="465"/>
      <c r="V100" s="546"/>
      <c r="W100" s="547"/>
      <c r="X100" s="406"/>
    </row>
    <row r="101" spans="1:26" s="426" customFormat="1" x14ac:dyDescent="0.3">
      <c r="A101" s="443">
        <v>1</v>
      </c>
      <c r="B101" s="444" t="s">
        <v>34</v>
      </c>
      <c r="C101" s="444"/>
      <c r="D101" s="444"/>
      <c r="E101" s="444"/>
      <c r="F101" s="444"/>
      <c r="G101" s="444"/>
      <c r="H101" s="444"/>
      <c r="I101" s="444"/>
      <c r="J101" s="444"/>
      <c r="K101" s="444"/>
      <c r="L101" s="444"/>
      <c r="M101" s="444"/>
      <c r="N101" s="444"/>
      <c r="O101" s="444"/>
      <c r="P101" s="444"/>
      <c r="Q101" s="444"/>
      <c r="R101" s="444"/>
      <c r="S101" s="444"/>
      <c r="T101" s="444"/>
      <c r="U101" s="444"/>
      <c r="V101" s="517">
        <v>0</v>
      </c>
      <c r="W101" s="446"/>
      <c r="X101" s="425"/>
    </row>
    <row r="102" spans="1:26" s="426" customFormat="1" x14ac:dyDescent="0.3">
      <c r="A102" s="443">
        <f>+A101+1</f>
        <v>2</v>
      </c>
      <c r="B102" s="444" t="s">
        <v>331</v>
      </c>
      <c r="C102" s="444"/>
      <c r="D102" s="444"/>
      <c r="E102" s="444"/>
      <c r="F102" s="444"/>
      <c r="G102" s="444"/>
      <c r="H102" s="444"/>
      <c r="I102" s="444"/>
      <c r="J102" s="444"/>
      <c r="K102" s="444"/>
      <c r="L102" s="444"/>
      <c r="M102" s="444"/>
      <c r="N102" s="444"/>
      <c r="O102" s="444"/>
      <c r="P102" s="444"/>
      <c r="Q102" s="444"/>
      <c r="R102" s="444"/>
      <c r="S102" s="444"/>
      <c r="T102" s="444"/>
      <c r="U102" s="444"/>
      <c r="V102" s="517">
        <f>-2</f>
        <v>-2</v>
      </c>
      <c r="W102" s="446"/>
      <c r="X102" s="425"/>
    </row>
    <row r="103" spans="1:26" s="426" customFormat="1" x14ac:dyDescent="0.3">
      <c r="A103" s="443">
        <f>+A102+1</f>
        <v>3</v>
      </c>
      <c r="B103" s="548" t="s">
        <v>332</v>
      </c>
      <c r="C103" s="444"/>
      <c r="D103" s="444"/>
      <c r="E103" s="444"/>
      <c r="F103" s="444"/>
      <c r="G103" s="444"/>
      <c r="H103" s="444"/>
      <c r="I103" s="444"/>
      <c r="J103" s="444"/>
      <c r="K103" s="444"/>
      <c r="L103" s="444"/>
      <c r="M103" s="444"/>
      <c r="N103" s="444"/>
      <c r="O103" s="444"/>
      <c r="P103" s="444"/>
      <c r="Q103" s="444"/>
      <c r="R103" s="444"/>
      <c r="S103" s="444"/>
      <c r="T103" s="444"/>
      <c r="U103" s="444"/>
      <c r="V103" s="517">
        <f>-294-92-10</f>
        <v>-396</v>
      </c>
      <c r="W103" s="446"/>
      <c r="X103" s="425"/>
    </row>
    <row r="104" spans="1:26" s="426" customFormat="1" x14ac:dyDescent="0.3">
      <c r="A104" s="443" t="s">
        <v>130</v>
      </c>
      <c r="B104" s="444" t="s">
        <v>119</v>
      </c>
      <c r="C104" s="444"/>
      <c r="D104" s="444"/>
      <c r="E104" s="444"/>
      <c r="F104" s="444"/>
      <c r="G104" s="444"/>
      <c r="H104" s="444"/>
      <c r="I104" s="444"/>
      <c r="J104" s="444"/>
      <c r="K104" s="444"/>
      <c r="L104" s="444"/>
      <c r="M104" s="444"/>
      <c r="N104" s="444"/>
      <c r="O104" s="444"/>
      <c r="P104" s="444"/>
      <c r="Q104" s="444"/>
      <c r="R104" s="444"/>
      <c r="S104" s="444"/>
      <c r="T104" s="444"/>
      <c r="U104" s="444"/>
      <c r="V104" s="517">
        <v>0</v>
      </c>
      <c r="W104" s="446"/>
      <c r="X104" s="425"/>
    </row>
    <row r="105" spans="1:26" s="426" customFormat="1" x14ac:dyDescent="0.3">
      <c r="A105" s="443" t="s">
        <v>131</v>
      </c>
      <c r="B105" s="444" t="s">
        <v>362</v>
      </c>
      <c r="C105" s="444"/>
      <c r="D105" s="444"/>
      <c r="E105" s="444"/>
      <c r="F105" s="444"/>
      <c r="G105" s="444"/>
      <c r="H105" s="444"/>
      <c r="I105" s="444"/>
      <c r="J105" s="444"/>
      <c r="K105" s="444"/>
      <c r="L105" s="444"/>
      <c r="M105" s="444"/>
      <c r="N105" s="444"/>
      <c r="O105" s="444"/>
      <c r="P105" s="444"/>
      <c r="Q105" s="444"/>
      <c r="R105" s="444"/>
      <c r="S105" s="444"/>
      <c r="T105" s="444"/>
      <c r="U105" s="444"/>
      <c r="V105" s="517">
        <f>-914-143</f>
        <v>-1057</v>
      </c>
      <c r="W105" s="446"/>
      <c r="X105" s="425"/>
      <c r="Y105" s="549"/>
      <c r="Z105" s="549"/>
    </row>
    <row r="106" spans="1:26" s="426" customFormat="1" x14ac:dyDescent="0.3">
      <c r="A106" s="443" t="s">
        <v>153</v>
      </c>
      <c r="B106" s="444" t="s">
        <v>363</v>
      </c>
      <c r="C106" s="444"/>
      <c r="D106" s="444"/>
      <c r="E106" s="444"/>
      <c r="F106" s="444"/>
      <c r="G106" s="444"/>
      <c r="H106" s="444"/>
      <c r="I106" s="444"/>
      <c r="J106" s="444"/>
      <c r="K106" s="444"/>
      <c r="L106" s="444"/>
      <c r="M106" s="444"/>
      <c r="N106" s="444"/>
      <c r="O106" s="444"/>
      <c r="P106" s="444"/>
      <c r="Q106" s="444"/>
      <c r="R106" s="444"/>
      <c r="S106" s="444"/>
      <c r="T106" s="444"/>
      <c r="U106" s="444"/>
      <c r="V106" s="517">
        <f>-248-215</f>
        <v>-463</v>
      </c>
      <c r="W106" s="446"/>
      <c r="X106" s="425"/>
      <c r="Y106" s="549"/>
    </row>
    <row r="107" spans="1:26" s="426" customFormat="1" x14ac:dyDescent="0.3">
      <c r="A107" s="443" t="s">
        <v>266</v>
      </c>
      <c r="B107" s="444" t="s">
        <v>269</v>
      </c>
      <c r="C107" s="444"/>
      <c r="D107" s="444"/>
      <c r="E107" s="444"/>
      <c r="F107" s="444"/>
      <c r="G107" s="444"/>
      <c r="H107" s="444"/>
      <c r="I107" s="444"/>
      <c r="J107" s="444"/>
      <c r="K107" s="444"/>
      <c r="L107" s="444"/>
      <c r="M107" s="444"/>
      <c r="N107" s="444"/>
      <c r="O107" s="444"/>
      <c r="P107" s="444"/>
      <c r="Q107" s="444"/>
      <c r="R107" s="444"/>
      <c r="S107" s="444"/>
      <c r="T107" s="444"/>
      <c r="U107" s="444"/>
      <c r="V107" s="517">
        <v>0</v>
      </c>
      <c r="W107" s="446"/>
      <c r="X107" s="425"/>
    </row>
    <row r="108" spans="1:26" s="426" customFormat="1" x14ac:dyDescent="0.3">
      <c r="A108" s="443" t="s">
        <v>208</v>
      </c>
      <c r="B108" s="444" t="s">
        <v>188</v>
      </c>
      <c r="C108" s="444"/>
      <c r="D108" s="444"/>
      <c r="E108" s="444"/>
      <c r="F108" s="444"/>
      <c r="G108" s="444"/>
      <c r="H108" s="444"/>
      <c r="I108" s="444"/>
      <c r="J108" s="444"/>
      <c r="K108" s="444"/>
      <c r="L108" s="444"/>
      <c r="M108" s="444"/>
      <c r="N108" s="444"/>
      <c r="O108" s="444"/>
      <c r="P108" s="444"/>
      <c r="Q108" s="444"/>
      <c r="R108" s="444"/>
      <c r="S108" s="444"/>
      <c r="T108" s="444"/>
      <c r="U108" s="444"/>
      <c r="V108" s="517">
        <v>-169</v>
      </c>
      <c r="W108" s="446"/>
      <c r="X108" s="425"/>
      <c r="Y108" s="549"/>
    </row>
    <row r="109" spans="1:26" s="426" customFormat="1" x14ac:dyDescent="0.3">
      <c r="A109" s="443" t="s">
        <v>209</v>
      </c>
      <c r="B109" s="444" t="s">
        <v>189</v>
      </c>
      <c r="C109" s="444"/>
      <c r="D109" s="444"/>
      <c r="E109" s="444"/>
      <c r="F109" s="444"/>
      <c r="G109" s="444"/>
      <c r="H109" s="444"/>
      <c r="I109" s="444"/>
      <c r="J109" s="444"/>
      <c r="K109" s="444"/>
      <c r="L109" s="444"/>
      <c r="M109" s="444"/>
      <c r="N109" s="444"/>
      <c r="O109" s="444"/>
      <c r="P109" s="444"/>
      <c r="Q109" s="444"/>
      <c r="R109" s="444"/>
      <c r="S109" s="444"/>
      <c r="T109" s="444"/>
      <c r="U109" s="444"/>
      <c r="V109" s="517">
        <v>-166</v>
      </c>
      <c r="W109" s="446"/>
      <c r="X109" s="425"/>
      <c r="Y109" s="549"/>
    </row>
    <row r="110" spans="1:26" s="426" customFormat="1" x14ac:dyDescent="0.3">
      <c r="A110" s="443" t="s">
        <v>210</v>
      </c>
      <c r="B110" s="444" t="s">
        <v>199</v>
      </c>
      <c r="C110" s="444"/>
      <c r="D110" s="444"/>
      <c r="E110" s="444"/>
      <c r="F110" s="444"/>
      <c r="G110" s="444"/>
      <c r="H110" s="444"/>
      <c r="I110" s="444"/>
      <c r="J110" s="444"/>
      <c r="K110" s="444"/>
      <c r="L110" s="444"/>
      <c r="M110" s="444"/>
      <c r="N110" s="444"/>
      <c r="O110" s="444"/>
      <c r="P110" s="444"/>
      <c r="Q110" s="444"/>
      <c r="R110" s="444"/>
      <c r="S110" s="444"/>
      <c r="T110" s="444"/>
      <c r="U110" s="444"/>
      <c r="V110" s="517">
        <v>-220</v>
      </c>
      <c r="W110" s="446"/>
      <c r="X110" s="425"/>
      <c r="Y110" s="549"/>
    </row>
    <row r="111" spans="1:26" s="426" customFormat="1" x14ac:dyDescent="0.3">
      <c r="A111" s="443" t="s">
        <v>230</v>
      </c>
      <c r="B111" s="444" t="s">
        <v>229</v>
      </c>
      <c r="C111" s="444"/>
      <c r="D111" s="444"/>
      <c r="E111" s="444"/>
      <c r="F111" s="444"/>
      <c r="G111" s="444"/>
      <c r="H111" s="444"/>
      <c r="I111" s="444"/>
      <c r="J111" s="444"/>
      <c r="K111" s="444"/>
      <c r="L111" s="444"/>
      <c r="M111" s="444"/>
      <c r="N111" s="444"/>
      <c r="O111" s="444"/>
      <c r="P111" s="444"/>
      <c r="Q111" s="444"/>
      <c r="R111" s="444"/>
      <c r="S111" s="444"/>
      <c r="T111" s="444"/>
      <c r="U111" s="444"/>
      <c r="V111" s="517">
        <v>-51</v>
      </c>
      <c r="W111" s="446"/>
      <c r="X111" s="425"/>
      <c r="Y111" s="549"/>
    </row>
    <row r="112" spans="1:26" s="426" customFormat="1" x14ac:dyDescent="0.3">
      <c r="A112" s="550">
        <v>7</v>
      </c>
      <c r="B112" s="548" t="s">
        <v>333</v>
      </c>
      <c r="C112" s="548"/>
      <c r="D112" s="548"/>
      <c r="E112" s="548"/>
      <c r="F112" s="548"/>
      <c r="G112" s="444"/>
      <c r="H112" s="444"/>
      <c r="I112" s="444"/>
      <c r="J112" s="444"/>
      <c r="K112" s="444"/>
      <c r="L112" s="444"/>
      <c r="M112" s="444"/>
      <c r="N112" s="444"/>
      <c r="O112" s="444"/>
      <c r="P112" s="444"/>
      <c r="Q112" s="444"/>
      <c r="R112" s="444"/>
      <c r="S112" s="444"/>
      <c r="T112" s="444"/>
      <c r="U112" s="444"/>
      <c r="V112" s="517">
        <v>0</v>
      </c>
      <c r="W112" s="446"/>
      <c r="X112" s="425"/>
      <c r="Y112" s="549"/>
    </row>
    <row r="113" spans="1:24" s="426" customFormat="1" x14ac:dyDescent="0.3">
      <c r="A113" s="443">
        <f t="shared" ref="A113:A120" si="0">+A112+1</f>
        <v>8</v>
      </c>
      <c r="B113" s="444" t="s">
        <v>35</v>
      </c>
      <c r="C113" s="444"/>
      <c r="D113" s="444"/>
      <c r="E113" s="444"/>
      <c r="F113" s="444"/>
      <c r="G113" s="444"/>
      <c r="H113" s="444"/>
      <c r="I113" s="444"/>
      <c r="J113" s="444"/>
      <c r="K113" s="444"/>
      <c r="L113" s="444"/>
      <c r="M113" s="444"/>
      <c r="N113" s="444"/>
      <c r="O113" s="444"/>
      <c r="P113" s="444"/>
      <c r="Q113" s="444"/>
      <c r="R113" s="444"/>
      <c r="S113" s="444"/>
      <c r="T113" s="444"/>
      <c r="U113" s="444"/>
      <c r="V113" s="517">
        <v>-38</v>
      </c>
      <c r="W113" s="446"/>
      <c r="X113" s="425"/>
    </row>
    <row r="114" spans="1:24" s="426" customFormat="1" x14ac:dyDescent="0.3">
      <c r="A114" s="443">
        <f t="shared" si="0"/>
        <v>9</v>
      </c>
      <c r="B114" s="444" t="s">
        <v>45</v>
      </c>
      <c r="C114" s="444"/>
      <c r="D114" s="444"/>
      <c r="E114" s="444"/>
      <c r="F114" s="444"/>
      <c r="G114" s="444"/>
      <c r="H114" s="444"/>
      <c r="I114" s="444"/>
      <c r="J114" s="444"/>
      <c r="K114" s="444"/>
      <c r="L114" s="444"/>
      <c r="M114" s="444"/>
      <c r="N114" s="444"/>
      <c r="O114" s="444"/>
      <c r="P114" s="444"/>
      <c r="Q114" s="444"/>
      <c r="R114" s="444"/>
      <c r="S114" s="444"/>
      <c r="T114" s="516">
        <f>-V114</f>
        <v>351</v>
      </c>
      <c r="U114" s="444"/>
      <c r="V114" s="517">
        <v>-351</v>
      </c>
      <c r="W114" s="446"/>
      <c r="X114" s="425"/>
    </row>
    <row r="115" spans="1:24" s="426" customFormat="1" x14ac:dyDescent="0.3">
      <c r="A115" s="443">
        <f t="shared" si="0"/>
        <v>10</v>
      </c>
      <c r="B115" s="444" t="s">
        <v>128</v>
      </c>
      <c r="C115" s="444"/>
      <c r="D115" s="444"/>
      <c r="E115" s="444"/>
      <c r="F115" s="444"/>
      <c r="G115" s="444"/>
      <c r="H115" s="444"/>
      <c r="I115" s="444"/>
      <c r="J115" s="444"/>
      <c r="K115" s="444"/>
      <c r="L115" s="444"/>
      <c r="M115" s="444"/>
      <c r="N115" s="444"/>
      <c r="O115" s="444"/>
      <c r="P115" s="444"/>
      <c r="Q115" s="444"/>
      <c r="R115" s="444"/>
      <c r="S115" s="444"/>
      <c r="T115" s="444"/>
      <c r="U115" s="444"/>
      <c r="V115" s="517">
        <v>0</v>
      </c>
      <c r="W115" s="446"/>
      <c r="X115" s="425"/>
    </row>
    <row r="116" spans="1:24" s="426" customFormat="1" x14ac:dyDescent="0.3">
      <c r="A116" s="443">
        <f t="shared" si="0"/>
        <v>11</v>
      </c>
      <c r="B116" s="444" t="s">
        <v>271</v>
      </c>
      <c r="C116" s="444"/>
      <c r="D116" s="444"/>
      <c r="E116" s="444"/>
      <c r="F116" s="444"/>
      <c r="G116" s="444"/>
      <c r="H116" s="444"/>
      <c r="I116" s="444"/>
      <c r="J116" s="444"/>
      <c r="K116" s="444"/>
      <c r="L116" s="444"/>
      <c r="M116" s="444"/>
      <c r="N116" s="444"/>
      <c r="O116" s="444"/>
      <c r="P116" s="444"/>
      <c r="Q116" s="444"/>
      <c r="R116" s="444"/>
      <c r="S116" s="444"/>
      <c r="T116" s="444"/>
      <c r="U116" s="444"/>
      <c r="V116" s="517">
        <v>0</v>
      </c>
      <c r="W116" s="446"/>
      <c r="X116" s="425"/>
    </row>
    <row r="117" spans="1:24" s="426" customFormat="1" x14ac:dyDescent="0.3">
      <c r="A117" s="443">
        <f t="shared" si="0"/>
        <v>12</v>
      </c>
      <c r="B117" s="444" t="s">
        <v>36</v>
      </c>
      <c r="C117" s="444"/>
      <c r="D117" s="444"/>
      <c r="E117" s="444"/>
      <c r="F117" s="444"/>
      <c r="G117" s="444"/>
      <c r="H117" s="444"/>
      <c r="I117" s="444"/>
      <c r="J117" s="444"/>
      <c r="K117" s="444"/>
      <c r="L117" s="444"/>
      <c r="M117" s="444"/>
      <c r="N117" s="444"/>
      <c r="O117" s="444"/>
      <c r="P117" s="444"/>
      <c r="Q117" s="444"/>
      <c r="R117" s="444"/>
      <c r="S117" s="444"/>
      <c r="T117" s="444"/>
      <c r="U117" s="444"/>
      <c r="V117" s="517">
        <v>0</v>
      </c>
      <c r="W117" s="446"/>
      <c r="X117" s="425"/>
    </row>
    <row r="118" spans="1:24" s="426" customFormat="1" x14ac:dyDescent="0.3">
      <c r="A118" s="443">
        <f t="shared" si="0"/>
        <v>13</v>
      </c>
      <c r="B118" s="444" t="s">
        <v>270</v>
      </c>
      <c r="C118" s="444"/>
      <c r="D118" s="444"/>
      <c r="E118" s="444"/>
      <c r="F118" s="444"/>
      <c r="G118" s="444"/>
      <c r="H118" s="444"/>
      <c r="I118" s="444"/>
      <c r="J118" s="444"/>
      <c r="K118" s="444"/>
      <c r="L118" s="444"/>
      <c r="M118" s="444"/>
      <c r="N118" s="444"/>
      <c r="O118" s="444"/>
      <c r="P118" s="444"/>
      <c r="Q118" s="444"/>
      <c r="R118" s="444"/>
      <c r="S118" s="444"/>
      <c r="T118" s="444"/>
      <c r="U118" s="444"/>
      <c r="V118" s="517">
        <v>0</v>
      </c>
      <c r="W118" s="446"/>
      <c r="X118" s="425"/>
    </row>
    <row r="119" spans="1:24" s="426" customFormat="1" x14ac:dyDescent="0.3">
      <c r="A119" s="443">
        <f t="shared" si="0"/>
        <v>14</v>
      </c>
      <c r="B119" s="444" t="s">
        <v>152</v>
      </c>
      <c r="C119" s="444"/>
      <c r="D119" s="444"/>
      <c r="E119" s="444"/>
      <c r="F119" s="444"/>
      <c r="G119" s="444"/>
      <c r="H119" s="444"/>
      <c r="I119" s="444"/>
      <c r="J119" s="444"/>
      <c r="K119" s="444"/>
      <c r="L119" s="444"/>
      <c r="M119" s="444"/>
      <c r="N119" s="444"/>
      <c r="O119" s="444"/>
      <c r="P119" s="444"/>
      <c r="Q119" s="444"/>
      <c r="R119" s="444"/>
      <c r="S119" s="444"/>
      <c r="T119" s="444"/>
      <c r="U119" s="444"/>
      <c r="V119" s="517">
        <v>-293</v>
      </c>
      <c r="W119" s="446"/>
      <c r="X119" s="425"/>
    </row>
    <row r="120" spans="1:24" s="426" customFormat="1" x14ac:dyDescent="0.3">
      <c r="A120" s="443">
        <f t="shared" si="0"/>
        <v>15</v>
      </c>
      <c r="B120" s="444" t="s">
        <v>129</v>
      </c>
      <c r="C120" s="444"/>
      <c r="D120" s="444"/>
      <c r="E120" s="444"/>
      <c r="F120" s="444"/>
      <c r="G120" s="444"/>
      <c r="H120" s="444"/>
      <c r="I120" s="444"/>
      <c r="J120" s="444"/>
      <c r="K120" s="444"/>
      <c r="L120" s="444"/>
      <c r="M120" s="444"/>
      <c r="N120" s="444"/>
      <c r="O120" s="444"/>
      <c r="P120" s="444"/>
      <c r="Q120" s="444"/>
      <c r="R120" s="444"/>
      <c r="S120" s="444"/>
      <c r="T120" s="444"/>
      <c r="U120" s="444"/>
      <c r="V120" s="517">
        <f>-V99-SUM(V101:V119)</f>
        <v>-1957</v>
      </c>
      <c r="W120" s="446"/>
      <c r="X120" s="425"/>
    </row>
    <row r="121" spans="1:24" x14ac:dyDescent="0.3">
      <c r="A121" s="543"/>
      <c r="B121" s="544" t="s">
        <v>37</v>
      </c>
      <c r="C121" s="465"/>
      <c r="D121" s="465"/>
      <c r="E121" s="465"/>
      <c r="F121" s="465"/>
      <c r="G121" s="465"/>
      <c r="H121" s="465"/>
      <c r="I121" s="465"/>
      <c r="J121" s="465"/>
      <c r="K121" s="465"/>
      <c r="L121" s="465"/>
      <c r="M121" s="465"/>
      <c r="N121" s="465"/>
      <c r="O121" s="465"/>
      <c r="P121" s="465"/>
      <c r="Q121" s="465"/>
      <c r="R121" s="465"/>
      <c r="S121" s="465"/>
      <c r="T121" s="465"/>
      <c r="U121" s="465"/>
      <c r="V121" s="551"/>
      <c r="W121" s="547"/>
      <c r="X121" s="406"/>
    </row>
    <row r="122" spans="1:24" s="426" customFormat="1" x14ac:dyDescent="0.3">
      <c r="A122" s="443"/>
      <c r="B122" s="444" t="s">
        <v>176</v>
      </c>
      <c r="C122" s="444"/>
      <c r="D122" s="444"/>
      <c r="E122" s="444"/>
      <c r="F122" s="444"/>
      <c r="G122" s="444"/>
      <c r="H122" s="444"/>
      <c r="I122" s="444"/>
      <c r="J122" s="444"/>
      <c r="K122" s="444"/>
      <c r="L122" s="444"/>
      <c r="M122" s="444"/>
      <c r="N122" s="444"/>
      <c r="O122" s="444"/>
      <c r="P122" s="444"/>
      <c r="Q122" s="444"/>
      <c r="R122" s="444"/>
      <c r="S122" s="444"/>
      <c r="T122" s="516">
        <f>-T182</f>
        <v>0</v>
      </c>
      <c r="U122" s="516"/>
      <c r="V122" s="517"/>
      <c r="W122" s="446"/>
      <c r="X122" s="425"/>
    </row>
    <row r="123" spans="1:24" s="426" customFormat="1" x14ac:dyDescent="0.3">
      <c r="A123" s="443"/>
      <c r="B123" s="444" t="s">
        <v>177</v>
      </c>
      <c r="C123" s="444"/>
      <c r="D123" s="444"/>
      <c r="E123" s="444"/>
      <c r="F123" s="444"/>
      <c r="G123" s="444"/>
      <c r="H123" s="444"/>
      <c r="I123" s="444"/>
      <c r="J123" s="444"/>
      <c r="K123" s="444"/>
      <c r="L123" s="444"/>
      <c r="M123" s="444"/>
      <c r="N123" s="444"/>
      <c r="O123" s="444"/>
      <c r="P123" s="444"/>
      <c r="Q123" s="444"/>
      <c r="R123" s="444"/>
      <c r="S123" s="444"/>
      <c r="T123" s="516">
        <v>0</v>
      </c>
      <c r="U123" s="516"/>
      <c r="V123" s="517"/>
      <c r="W123" s="446"/>
      <c r="X123" s="425"/>
    </row>
    <row r="124" spans="1:24" s="426" customFormat="1" x14ac:dyDescent="0.3">
      <c r="A124" s="443"/>
      <c r="B124" s="444" t="s">
        <v>38</v>
      </c>
      <c r="C124" s="444"/>
      <c r="D124" s="444"/>
      <c r="E124" s="444"/>
      <c r="F124" s="444"/>
      <c r="G124" s="444"/>
      <c r="H124" s="444"/>
      <c r="I124" s="444"/>
      <c r="J124" s="444"/>
      <c r="K124" s="444"/>
      <c r="L124" s="444"/>
      <c r="M124" s="444"/>
      <c r="N124" s="444"/>
      <c r="O124" s="444"/>
      <c r="P124" s="444"/>
      <c r="Q124" s="444"/>
      <c r="R124" s="444"/>
      <c r="S124" s="444"/>
      <c r="T124" s="516">
        <f>-S182</f>
        <v>-450</v>
      </c>
      <c r="U124" s="516"/>
      <c r="V124" s="517"/>
      <c r="W124" s="446"/>
      <c r="X124" s="425"/>
    </row>
    <row r="125" spans="1:24" s="426" customFormat="1" x14ac:dyDescent="0.3">
      <c r="A125" s="443"/>
      <c r="B125" s="444" t="s">
        <v>386</v>
      </c>
      <c r="C125" s="444"/>
      <c r="D125" s="444"/>
      <c r="E125" s="444"/>
      <c r="F125" s="444"/>
      <c r="G125" s="444"/>
      <c r="H125" s="444"/>
      <c r="I125" s="444"/>
      <c r="J125" s="444"/>
      <c r="K125" s="444"/>
      <c r="L125" s="444"/>
      <c r="M125" s="444"/>
      <c r="N125" s="444"/>
      <c r="O125" s="444"/>
      <c r="P125" s="444"/>
      <c r="Q125" s="444"/>
      <c r="R125" s="444"/>
      <c r="S125" s="444"/>
      <c r="T125" s="516">
        <v>-5579</v>
      </c>
      <c r="U125" s="516"/>
      <c r="V125" s="517"/>
      <c r="W125" s="446"/>
      <c r="X125" s="425"/>
    </row>
    <row r="126" spans="1:24" s="426" customFormat="1" x14ac:dyDescent="0.3">
      <c r="A126" s="443"/>
      <c r="B126" s="444" t="s">
        <v>198</v>
      </c>
      <c r="C126" s="444"/>
      <c r="D126" s="444"/>
      <c r="E126" s="444"/>
      <c r="F126" s="444"/>
      <c r="G126" s="444"/>
      <c r="H126" s="444"/>
      <c r="I126" s="444"/>
      <c r="J126" s="444"/>
      <c r="K126" s="444"/>
      <c r="L126" s="444"/>
      <c r="M126" s="444"/>
      <c r="N126" s="444"/>
      <c r="O126" s="444"/>
      <c r="P126" s="444"/>
      <c r="Q126" s="444"/>
      <c r="R126" s="444"/>
      <c r="S126" s="444"/>
      <c r="T126" s="516">
        <v>-874</v>
      </c>
      <c r="U126" s="516"/>
      <c r="V126" s="517"/>
      <c r="W126" s="446"/>
      <c r="X126" s="425"/>
    </row>
    <row r="127" spans="1:24" s="426" customFormat="1" x14ac:dyDescent="0.3">
      <c r="A127" s="443"/>
      <c r="B127" s="444" t="s">
        <v>197</v>
      </c>
      <c r="C127" s="444"/>
      <c r="D127" s="444"/>
      <c r="E127" s="444"/>
      <c r="F127" s="444"/>
      <c r="G127" s="444"/>
      <c r="H127" s="444"/>
      <c r="I127" s="444"/>
      <c r="J127" s="444"/>
      <c r="K127" s="444"/>
      <c r="L127" s="444"/>
      <c r="M127" s="444"/>
      <c r="N127" s="444"/>
      <c r="O127" s="444"/>
      <c r="P127" s="444"/>
      <c r="Q127" s="444"/>
      <c r="R127" s="444"/>
      <c r="S127" s="444"/>
      <c r="T127" s="516">
        <v>-1478</v>
      </c>
      <c r="U127" s="516"/>
      <c r="V127" s="517"/>
      <c r="W127" s="446"/>
      <c r="X127" s="425"/>
    </row>
    <row r="128" spans="1:24" s="426" customFormat="1" x14ac:dyDescent="0.3">
      <c r="A128" s="443"/>
      <c r="B128" s="444" t="s">
        <v>232</v>
      </c>
      <c r="C128" s="444"/>
      <c r="D128" s="444"/>
      <c r="E128" s="444"/>
      <c r="F128" s="444"/>
      <c r="G128" s="444"/>
      <c r="H128" s="444"/>
      <c r="I128" s="444"/>
      <c r="J128" s="444"/>
      <c r="K128" s="444"/>
      <c r="L128" s="444"/>
      <c r="M128" s="444"/>
      <c r="N128" s="444"/>
      <c r="O128" s="444"/>
      <c r="P128" s="444"/>
      <c r="Q128" s="444"/>
      <c r="R128" s="444"/>
      <c r="S128" s="444"/>
      <c r="T128" s="516">
        <v>-1302</v>
      </c>
      <c r="U128" s="516"/>
      <c r="V128" s="517"/>
      <c r="W128" s="446"/>
      <c r="X128" s="425"/>
    </row>
    <row r="129" spans="1:24" s="426" customFormat="1" x14ac:dyDescent="0.3">
      <c r="A129" s="443"/>
      <c r="B129" s="444" t="s">
        <v>192</v>
      </c>
      <c r="C129" s="444"/>
      <c r="D129" s="444"/>
      <c r="E129" s="444"/>
      <c r="F129" s="444"/>
      <c r="G129" s="444"/>
      <c r="H129" s="444"/>
      <c r="I129" s="444"/>
      <c r="J129" s="444"/>
      <c r="K129" s="444"/>
      <c r="L129" s="444"/>
      <c r="M129" s="444"/>
      <c r="N129" s="444"/>
      <c r="O129" s="444"/>
      <c r="P129" s="444"/>
      <c r="Q129" s="444"/>
      <c r="R129" s="444"/>
      <c r="S129" s="444"/>
      <c r="T129" s="516">
        <v>0</v>
      </c>
      <c r="U129" s="516"/>
      <c r="V129" s="517"/>
      <c r="W129" s="446"/>
      <c r="X129" s="425"/>
    </row>
    <row r="130" spans="1:24" s="426" customFormat="1" x14ac:dyDescent="0.3">
      <c r="A130" s="443"/>
      <c r="B130" s="444" t="s">
        <v>191</v>
      </c>
      <c r="C130" s="444"/>
      <c r="D130" s="444"/>
      <c r="E130" s="444"/>
      <c r="F130" s="444"/>
      <c r="G130" s="444"/>
      <c r="H130" s="444"/>
      <c r="I130" s="444"/>
      <c r="J130" s="444"/>
      <c r="K130" s="444"/>
      <c r="L130" s="444"/>
      <c r="M130" s="444"/>
      <c r="N130" s="444"/>
      <c r="O130" s="444"/>
      <c r="P130" s="444"/>
      <c r="Q130" s="444"/>
      <c r="R130" s="444"/>
      <c r="S130" s="444"/>
      <c r="T130" s="516">
        <v>0</v>
      </c>
      <c r="U130" s="516"/>
      <c r="V130" s="517"/>
      <c r="W130" s="446"/>
      <c r="X130" s="425"/>
    </row>
    <row r="131" spans="1:24" s="426" customFormat="1" x14ac:dyDescent="0.3">
      <c r="A131" s="443"/>
      <c r="B131" s="444" t="s">
        <v>233</v>
      </c>
      <c r="C131" s="444"/>
      <c r="D131" s="444"/>
      <c r="E131" s="444"/>
      <c r="F131" s="444"/>
      <c r="G131" s="444"/>
      <c r="H131" s="444"/>
      <c r="I131" s="444"/>
      <c r="J131" s="444"/>
      <c r="K131" s="444"/>
      <c r="L131" s="444"/>
      <c r="M131" s="444"/>
      <c r="N131" s="444"/>
      <c r="O131" s="444"/>
      <c r="P131" s="444"/>
      <c r="Q131" s="444"/>
      <c r="R131" s="444"/>
      <c r="S131" s="444"/>
      <c r="T131" s="516">
        <v>0</v>
      </c>
      <c r="U131" s="516"/>
      <c r="V131" s="517"/>
      <c r="W131" s="446"/>
      <c r="X131" s="425"/>
    </row>
    <row r="132" spans="1:24" s="426" customFormat="1" x14ac:dyDescent="0.3">
      <c r="A132" s="443"/>
      <c r="B132" s="444" t="s">
        <v>190</v>
      </c>
      <c r="C132" s="444"/>
      <c r="D132" s="444"/>
      <c r="E132" s="444"/>
      <c r="F132" s="444"/>
      <c r="G132" s="444"/>
      <c r="H132" s="444"/>
      <c r="I132" s="444"/>
      <c r="J132" s="444"/>
      <c r="K132" s="444"/>
      <c r="L132" s="444"/>
      <c r="M132" s="444"/>
      <c r="N132" s="444"/>
      <c r="O132" s="444"/>
      <c r="P132" s="444"/>
      <c r="Q132" s="444"/>
      <c r="R132" s="444"/>
      <c r="S132" s="444"/>
      <c r="T132" s="516">
        <v>0</v>
      </c>
      <c r="U132" s="516"/>
      <c r="V132" s="517"/>
      <c r="W132" s="446"/>
      <c r="X132" s="425"/>
    </row>
    <row r="133" spans="1:24" s="426" customFormat="1" x14ac:dyDescent="0.3">
      <c r="A133" s="443"/>
      <c r="B133" s="444" t="s">
        <v>39</v>
      </c>
      <c r="C133" s="444"/>
      <c r="D133" s="444"/>
      <c r="E133" s="444"/>
      <c r="F133" s="444"/>
      <c r="G133" s="444"/>
      <c r="H133" s="444"/>
      <c r="I133" s="444"/>
      <c r="J133" s="444"/>
      <c r="K133" s="444"/>
      <c r="L133" s="444"/>
      <c r="M133" s="444"/>
      <c r="N133" s="444"/>
      <c r="O133" s="444"/>
      <c r="P133" s="444"/>
      <c r="Q133" s="444"/>
      <c r="R133" s="444"/>
      <c r="S133" s="444"/>
      <c r="T133" s="516">
        <f>SUM(T122:T132)</f>
        <v>-9683</v>
      </c>
      <c r="U133" s="516"/>
      <c r="V133" s="516">
        <f>SUM(V100:V130)</f>
        <v>-5163</v>
      </c>
      <c r="W133" s="446"/>
      <c r="X133" s="425"/>
    </row>
    <row r="134" spans="1:24" s="426" customFormat="1" x14ac:dyDescent="0.3">
      <c r="A134" s="443"/>
      <c r="B134" s="444" t="s">
        <v>40</v>
      </c>
      <c r="C134" s="444"/>
      <c r="D134" s="444"/>
      <c r="E134" s="444"/>
      <c r="F134" s="444"/>
      <c r="G134" s="444"/>
      <c r="H134" s="444"/>
      <c r="I134" s="444"/>
      <c r="J134" s="444"/>
      <c r="K134" s="444"/>
      <c r="L134" s="444"/>
      <c r="M134" s="444"/>
      <c r="N134" s="444"/>
      <c r="O134" s="444"/>
      <c r="P134" s="444"/>
      <c r="Q134" s="444"/>
      <c r="R134" s="444"/>
      <c r="S134" s="444"/>
      <c r="T134" s="516">
        <f>T99+T133+T114</f>
        <v>0</v>
      </c>
      <c r="U134" s="516"/>
      <c r="V134" s="516">
        <f>V99+V133</f>
        <v>0</v>
      </c>
      <c r="W134" s="446"/>
      <c r="X134" s="425"/>
    </row>
    <row r="135" spans="1:24" s="426" customFormat="1" x14ac:dyDescent="0.3">
      <c r="A135" s="421"/>
      <c r="B135" s="494"/>
      <c r="C135" s="494"/>
      <c r="D135" s="494"/>
      <c r="E135" s="494"/>
      <c r="F135" s="494"/>
      <c r="G135" s="494"/>
      <c r="H135" s="494"/>
      <c r="I135" s="494"/>
      <c r="J135" s="494"/>
      <c r="K135" s="494"/>
      <c r="L135" s="494"/>
      <c r="M135" s="494"/>
      <c r="N135" s="494"/>
      <c r="O135" s="494"/>
      <c r="P135" s="494"/>
      <c r="Q135" s="494"/>
      <c r="R135" s="494"/>
      <c r="S135" s="494"/>
      <c r="T135" s="552"/>
      <c r="U135" s="552"/>
      <c r="V135" s="552"/>
      <c r="W135" s="424"/>
      <c r="X135" s="425"/>
    </row>
    <row r="136" spans="1:24" s="426" customFormat="1" x14ac:dyDescent="0.3">
      <c r="A136" s="421"/>
      <c r="B136" s="422"/>
      <c r="C136" s="422"/>
      <c r="D136" s="422"/>
      <c r="E136" s="422"/>
      <c r="F136" s="422"/>
      <c r="G136" s="422"/>
      <c r="H136" s="422"/>
      <c r="I136" s="422"/>
      <c r="J136" s="422"/>
      <c r="K136" s="422"/>
      <c r="L136" s="422"/>
      <c r="M136" s="422"/>
      <c r="N136" s="422"/>
      <c r="O136" s="422"/>
      <c r="P136" s="422"/>
      <c r="Q136" s="422"/>
      <c r="R136" s="422"/>
      <c r="S136" s="422"/>
      <c r="T136" s="422"/>
      <c r="U136" s="422"/>
      <c r="V136" s="553"/>
      <c r="W136" s="424"/>
      <c r="X136" s="425"/>
    </row>
    <row r="137" spans="1:24" s="426" customFormat="1" ht="18.600000000000001" thickBot="1" x14ac:dyDescent="0.4">
      <c r="A137" s="500"/>
      <c r="B137" s="501" t="str">
        <f>B63</f>
        <v>PM13 INVESTOR REPORT QUARTER ENDING JUNE 2018</v>
      </c>
      <c r="C137" s="502"/>
      <c r="D137" s="502"/>
      <c r="E137" s="502"/>
      <c r="F137" s="502"/>
      <c r="G137" s="502"/>
      <c r="H137" s="502"/>
      <c r="I137" s="502"/>
      <c r="J137" s="502"/>
      <c r="K137" s="502"/>
      <c r="L137" s="502"/>
      <c r="M137" s="502"/>
      <c r="N137" s="502"/>
      <c r="O137" s="502"/>
      <c r="P137" s="502"/>
      <c r="Q137" s="502"/>
      <c r="R137" s="502"/>
      <c r="S137" s="502"/>
      <c r="T137" s="502"/>
      <c r="U137" s="502"/>
      <c r="V137" s="554"/>
      <c r="W137" s="555"/>
      <c r="X137" s="425"/>
    </row>
    <row r="138" spans="1:24" x14ac:dyDescent="0.3">
      <c r="A138" s="505"/>
      <c r="B138" s="506" t="s">
        <v>41</v>
      </c>
      <c r="C138" s="507"/>
      <c r="D138" s="507"/>
      <c r="E138" s="507"/>
      <c r="F138" s="507"/>
      <c r="G138" s="507"/>
      <c r="H138" s="507"/>
      <c r="I138" s="507"/>
      <c r="J138" s="507"/>
      <c r="K138" s="507"/>
      <c r="L138" s="507"/>
      <c r="M138" s="507"/>
      <c r="N138" s="507"/>
      <c r="O138" s="507"/>
      <c r="P138" s="507"/>
      <c r="Q138" s="507"/>
      <c r="R138" s="507"/>
      <c r="S138" s="507"/>
      <c r="T138" s="507"/>
      <c r="U138" s="507"/>
      <c r="V138" s="508"/>
      <c r="W138" s="509"/>
      <c r="X138" s="406"/>
    </row>
    <row r="139" spans="1:24" x14ac:dyDescent="0.3">
      <c r="A139" s="408"/>
      <c r="B139" s="556"/>
      <c r="C139" s="410"/>
      <c r="D139" s="410"/>
      <c r="E139" s="410"/>
      <c r="F139" s="410"/>
      <c r="G139" s="410"/>
      <c r="H139" s="410"/>
      <c r="I139" s="410"/>
      <c r="J139" s="410"/>
      <c r="K139" s="410"/>
      <c r="L139" s="410"/>
      <c r="M139" s="410"/>
      <c r="N139" s="410"/>
      <c r="O139" s="410"/>
      <c r="P139" s="410"/>
      <c r="Q139" s="410"/>
      <c r="R139" s="410"/>
      <c r="S139" s="410"/>
      <c r="T139" s="410"/>
      <c r="U139" s="410"/>
      <c r="V139" s="510"/>
      <c r="W139" s="411"/>
      <c r="X139" s="406"/>
    </row>
    <row r="140" spans="1:24" x14ac:dyDescent="0.3">
      <c r="A140" s="408"/>
      <c r="B140" s="557" t="s">
        <v>42</v>
      </c>
      <c r="C140" s="410"/>
      <c r="D140" s="410"/>
      <c r="E140" s="410"/>
      <c r="F140" s="410"/>
      <c r="G140" s="410"/>
      <c r="H140" s="410"/>
      <c r="I140" s="410"/>
      <c r="J140" s="410"/>
      <c r="K140" s="410"/>
      <c r="L140" s="410"/>
      <c r="M140" s="410"/>
      <c r="N140" s="410"/>
      <c r="O140" s="410"/>
      <c r="P140" s="410"/>
      <c r="Q140" s="410"/>
      <c r="R140" s="410"/>
      <c r="S140" s="410"/>
      <c r="T140" s="410"/>
      <c r="U140" s="410"/>
      <c r="V140" s="510"/>
      <c r="W140" s="411"/>
      <c r="X140" s="406"/>
    </row>
    <row r="141" spans="1:24" x14ac:dyDescent="0.3">
      <c r="A141" s="543"/>
      <c r="B141" s="444" t="s">
        <v>43</v>
      </c>
      <c r="C141" s="444"/>
      <c r="D141" s="444"/>
      <c r="E141" s="444"/>
      <c r="F141" s="444"/>
      <c r="G141" s="444"/>
      <c r="H141" s="444"/>
      <c r="I141" s="444"/>
      <c r="J141" s="444"/>
      <c r="K141" s="444"/>
      <c r="L141" s="444"/>
      <c r="M141" s="444"/>
      <c r="N141" s="444"/>
      <c r="O141" s="444"/>
      <c r="P141" s="444"/>
      <c r="Q141" s="444"/>
      <c r="R141" s="444"/>
      <c r="S141" s="444"/>
      <c r="T141" s="444"/>
      <c r="U141" s="444"/>
      <c r="V141" s="517">
        <f>+V34*0.019</f>
        <v>28503.61</v>
      </c>
      <c r="W141" s="558"/>
      <c r="X141" s="406"/>
    </row>
    <row r="142" spans="1:24" x14ac:dyDescent="0.3">
      <c r="A142" s="543"/>
      <c r="B142" s="444" t="s">
        <v>44</v>
      </c>
      <c r="C142" s="444"/>
      <c r="D142" s="444"/>
      <c r="E142" s="444"/>
      <c r="F142" s="444"/>
      <c r="G142" s="444"/>
      <c r="H142" s="444"/>
      <c r="I142" s="444"/>
      <c r="J142" s="444"/>
      <c r="K142" s="444"/>
      <c r="L142" s="444"/>
      <c r="M142" s="444"/>
      <c r="N142" s="444"/>
      <c r="O142" s="444"/>
      <c r="P142" s="444"/>
      <c r="Q142" s="444"/>
      <c r="R142" s="444"/>
      <c r="S142" s="444"/>
      <c r="T142" s="444"/>
      <c r="U142" s="444"/>
      <c r="V142" s="517">
        <v>28504</v>
      </c>
      <c r="W142" s="558"/>
      <c r="X142" s="406"/>
    </row>
    <row r="143" spans="1:24" x14ac:dyDescent="0.3">
      <c r="A143" s="543"/>
      <c r="B143" s="444" t="s">
        <v>139</v>
      </c>
      <c r="C143" s="444"/>
      <c r="D143" s="444"/>
      <c r="E143" s="444"/>
      <c r="F143" s="444"/>
      <c r="G143" s="444"/>
      <c r="H143" s="444"/>
      <c r="I143" s="444"/>
      <c r="J143" s="444"/>
      <c r="K143" s="444"/>
      <c r="L143" s="444"/>
      <c r="M143" s="444"/>
      <c r="N143" s="444"/>
      <c r="O143" s="444"/>
      <c r="P143" s="444"/>
      <c r="Q143" s="444"/>
      <c r="R143" s="444"/>
      <c r="S143" s="444"/>
      <c r="T143" s="444"/>
      <c r="U143" s="444"/>
      <c r="V143" s="517"/>
      <c r="W143" s="558"/>
      <c r="X143" s="406"/>
    </row>
    <row r="144" spans="1:24" x14ac:dyDescent="0.3">
      <c r="A144" s="543"/>
      <c r="B144" s="444" t="s">
        <v>126</v>
      </c>
      <c r="C144" s="444"/>
      <c r="D144" s="444"/>
      <c r="E144" s="444"/>
      <c r="F144" s="444"/>
      <c r="G144" s="444"/>
      <c r="H144" s="444"/>
      <c r="I144" s="444"/>
      <c r="J144" s="444"/>
      <c r="K144" s="444"/>
      <c r="L144" s="444"/>
      <c r="M144" s="444"/>
      <c r="N144" s="444"/>
      <c r="O144" s="444"/>
      <c r="P144" s="444"/>
      <c r="Q144" s="444"/>
      <c r="R144" s="444"/>
      <c r="S144" s="444"/>
      <c r="T144" s="444"/>
      <c r="U144" s="444"/>
      <c r="V144" s="517">
        <v>0</v>
      </c>
      <c r="W144" s="558"/>
      <c r="X144" s="406"/>
    </row>
    <row r="145" spans="1:25" x14ac:dyDescent="0.3">
      <c r="A145" s="543"/>
      <c r="B145" s="444" t="s">
        <v>127</v>
      </c>
      <c r="C145" s="444"/>
      <c r="D145" s="444"/>
      <c r="E145" s="444"/>
      <c r="F145" s="444"/>
      <c r="G145" s="444"/>
      <c r="H145" s="444"/>
      <c r="I145" s="444"/>
      <c r="J145" s="444"/>
      <c r="K145" s="444"/>
      <c r="L145" s="444"/>
      <c r="M145" s="444"/>
      <c r="N145" s="444"/>
      <c r="O145" s="444"/>
      <c r="P145" s="444"/>
      <c r="Q145" s="444"/>
      <c r="R145" s="444"/>
      <c r="S145" s="444"/>
      <c r="T145" s="444"/>
      <c r="U145" s="444"/>
      <c r="V145" s="517">
        <v>0</v>
      </c>
      <c r="W145" s="558"/>
      <c r="X145" s="406"/>
    </row>
    <row r="146" spans="1:25" x14ac:dyDescent="0.3">
      <c r="A146" s="543"/>
      <c r="B146" s="444" t="s">
        <v>178</v>
      </c>
      <c r="C146" s="444"/>
      <c r="D146" s="444"/>
      <c r="E146" s="444"/>
      <c r="F146" s="444"/>
      <c r="G146" s="444"/>
      <c r="H146" s="444"/>
      <c r="I146" s="444"/>
      <c r="J146" s="444"/>
      <c r="K146" s="444"/>
      <c r="L146" s="444"/>
      <c r="M146" s="444"/>
      <c r="N146" s="444"/>
      <c r="O146" s="444"/>
      <c r="P146" s="444"/>
      <c r="Q146" s="444"/>
      <c r="R146" s="444"/>
      <c r="S146" s="444"/>
      <c r="T146" s="444"/>
      <c r="U146" s="444"/>
      <c r="V146" s="517">
        <v>0</v>
      </c>
      <c r="W146" s="558"/>
      <c r="X146" s="406"/>
    </row>
    <row r="147" spans="1:25" x14ac:dyDescent="0.3">
      <c r="A147" s="543"/>
      <c r="B147" s="444" t="s">
        <v>45</v>
      </c>
      <c r="C147" s="444"/>
      <c r="D147" s="444"/>
      <c r="E147" s="444"/>
      <c r="F147" s="444"/>
      <c r="G147" s="444"/>
      <c r="H147" s="444"/>
      <c r="I147" s="444"/>
      <c r="J147" s="444"/>
      <c r="K147" s="444"/>
      <c r="L147" s="444"/>
      <c r="M147" s="444"/>
      <c r="N147" s="444"/>
      <c r="O147" s="444"/>
      <c r="P147" s="444"/>
      <c r="Q147" s="444"/>
      <c r="R147" s="444"/>
      <c r="S147" s="444"/>
      <c r="T147" s="444"/>
      <c r="U147" s="444"/>
      <c r="V147" s="517">
        <v>0</v>
      </c>
      <c r="W147" s="558"/>
      <c r="X147" s="406"/>
    </row>
    <row r="148" spans="1:25" x14ac:dyDescent="0.3">
      <c r="A148" s="543"/>
      <c r="B148" s="444" t="s">
        <v>132</v>
      </c>
      <c r="C148" s="444"/>
      <c r="D148" s="444"/>
      <c r="E148" s="444"/>
      <c r="F148" s="444"/>
      <c r="G148" s="444"/>
      <c r="H148" s="444"/>
      <c r="I148" s="444"/>
      <c r="J148" s="444"/>
      <c r="K148" s="444"/>
      <c r="L148" s="444"/>
      <c r="M148" s="444"/>
      <c r="N148" s="444"/>
      <c r="O148" s="444"/>
      <c r="P148" s="444"/>
      <c r="Q148" s="444"/>
      <c r="R148" s="444"/>
      <c r="S148" s="444"/>
      <c r="T148" s="444"/>
      <c r="U148" s="444"/>
      <c r="V148" s="517">
        <v>0</v>
      </c>
      <c r="W148" s="558"/>
      <c r="X148" s="406"/>
    </row>
    <row r="149" spans="1:25" x14ac:dyDescent="0.3">
      <c r="A149" s="543"/>
      <c r="B149" s="444" t="s">
        <v>267</v>
      </c>
      <c r="C149" s="444"/>
      <c r="D149" s="444"/>
      <c r="E149" s="444"/>
      <c r="F149" s="444"/>
      <c r="G149" s="444"/>
      <c r="H149" s="444"/>
      <c r="I149" s="444"/>
      <c r="J149" s="444"/>
      <c r="K149" s="444"/>
      <c r="L149" s="444"/>
      <c r="M149" s="444"/>
      <c r="N149" s="444"/>
      <c r="O149" s="444"/>
      <c r="P149" s="444"/>
      <c r="Q149" s="444"/>
      <c r="R149" s="444"/>
      <c r="S149" s="444"/>
      <c r="T149" s="444"/>
      <c r="U149" s="444"/>
      <c r="V149" s="517">
        <v>0</v>
      </c>
      <c r="W149" s="558"/>
      <c r="X149" s="406"/>
      <c r="Y149" s="559"/>
    </row>
    <row r="150" spans="1:25" x14ac:dyDescent="0.3">
      <c r="A150" s="543"/>
      <c r="B150" s="444" t="s">
        <v>46</v>
      </c>
      <c r="C150" s="444"/>
      <c r="D150" s="444"/>
      <c r="E150" s="444"/>
      <c r="F150" s="444"/>
      <c r="G150" s="444"/>
      <c r="H150" s="444"/>
      <c r="I150" s="444"/>
      <c r="J150" s="444"/>
      <c r="K150" s="444"/>
      <c r="L150" s="444"/>
      <c r="M150" s="444"/>
      <c r="N150" s="444"/>
      <c r="O150" s="444"/>
      <c r="P150" s="444"/>
      <c r="Q150" s="444"/>
      <c r="R150" s="444"/>
      <c r="S150" s="444"/>
      <c r="T150" s="444"/>
      <c r="U150" s="444"/>
      <c r="V150" s="517">
        <f>SUM(V142:V149)</f>
        <v>28504</v>
      </c>
      <c r="W150" s="558"/>
      <c r="X150" s="406"/>
    </row>
    <row r="151" spans="1:25" x14ac:dyDescent="0.3">
      <c r="A151" s="543"/>
      <c r="B151" s="465"/>
      <c r="C151" s="465"/>
      <c r="D151" s="465"/>
      <c r="E151" s="465"/>
      <c r="F151" s="465"/>
      <c r="G151" s="465"/>
      <c r="H151" s="465"/>
      <c r="I151" s="465"/>
      <c r="J151" s="465"/>
      <c r="K151" s="465"/>
      <c r="L151" s="465"/>
      <c r="M151" s="465"/>
      <c r="N151" s="465"/>
      <c r="O151" s="465"/>
      <c r="P151" s="465"/>
      <c r="Q151" s="465"/>
      <c r="R151" s="465"/>
      <c r="S151" s="465"/>
      <c r="T151" s="465"/>
      <c r="U151" s="465"/>
      <c r="V151" s="546"/>
      <c r="W151" s="547"/>
      <c r="X151" s="406"/>
    </row>
    <row r="152" spans="1:25" x14ac:dyDescent="0.3">
      <c r="A152" s="543"/>
      <c r="B152" s="544" t="s">
        <v>268</v>
      </c>
      <c r="C152" s="465"/>
      <c r="D152" s="465"/>
      <c r="E152" s="465"/>
      <c r="F152" s="465"/>
      <c r="G152" s="465"/>
      <c r="H152" s="465"/>
      <c r="I152" s="465"/>
      <c r="J152" s="465"/>
      <c r="K152" s="465"/>
      <c r="L152" s="465"/>
      <c r="M152" s="465"/>
      <c r="N152" s="465"/>
      <c r="O152" s="465"/>
      <c r="P152" s="465"/>
      <c r="Q152" s="465"/>
      <c r="R152" s="465"/>
      <c r="S152" s="465"/>
      <c r="T152" s="465"/>
      <c r="U152" s="465"/>
      <c r="V152" s="546"/>
      <c r="W152" s="547"/>
      <c r="X152" s="406"/>
    </row>
    <row r="153" spans="1:25" x14ac:dyDescent="0.3">
      <c r="A153" s="543"/>
      <c r="B153" s="444" t="s">
        <v>158</v>
      </c>
      <c r="C153" s="444"/>
      <c r="D153" s="444"/>
      <c r="E153" s="444"/>
      <c r="F153" s="444"/>
      <c r="G153" s="444"/>
      <c r="H153" s="444"/>
      <c r="I153" s="444"/>
      <c r="J153" s="444"/>
      <c r="K153" s="444"/>
      <c r="L153" s="444"/>
      <c r="M153" s="444"/>
      <c r="N153" s="444"/>
      <c r="O153" s="444"/>
      <c r="P153" s="444"/>
      <c r="Q153" s="444"/>
      <c r="R153" s="444"/>
      <c r="S153" s="444"/>
      <c r="T153" s="444"/>
      <c r="U153" s="444"/>
      <c r="V153" s="517">
        <v>15000</v>
      </c>
      <c r="W153" s="558"/>
      <c r="X153" s="406"/>
    </row>
    <row r="154" spans="1:25" x14ac:dyDescent="0.3">
      <c r="A154" s="543"/>
      <c r="B154" s="444" t="s">
        <v>175</v>
      </c>
      <c r="C154" s="444"/>
      <c r="D154" s="444"/>
      <c r="E154" s="444"/>
      <c r="F154" s="444"/>
      <c r="G154" s="444"/>
      <c r="H154" s="444"/>
      <c r="I154" s="444"/>
      <c r="J154" s="444"/>
      <c r="K154" s="444"/>
      <c r="L154" s="444"/>
      <c r="M154" s="444"/>
      <c r="N154" s="444"/>
      <c r="O154" s="444"/>
      <c r="P154" s="444"/>
      <c r="Q154" s="444"/>
      <c r="R154" s="444"/>
      <c r="S154" s="444"/>
      <c r="T154" s="444"/>
      <c r="U154" s="444"/>
      <c r="V154" s="517">
        <v>0</v>
      </c>
      <c r="W154" s="558"/>
      <c r="X154" s="406"/>
    </row>
    <row r="155" spans="1:25" x14ac:dyDescent="0.3">
      <c r="A155" s="543"/>
      <c r="B155" s="444" t="s">
        <v>341</v>
      </c>
      <c r="C155" s="444"/>
      <c r="D155" s="444"/>
      <c r="E155" s="444"/>
      <c r="F155" s="444"/>
      <c r="G155" s="444"/>
      <c r="H155" s="444"/>
      <c r="I155" s="444"/>
      <c r="J155" s="444"/>
      <c r="K155" s="444"/>
      <c r="L155" s="444"/>
      <c r="M155" s="444"/>
      <c r="N155" s="444"/>
      <c r="O155" s="444"/>
      <c r="P155" s="444"/>
      <c r="Q155" s="444"/>
      <c r="R155" s="444"/>
      <c r="S155" s="444"/>
      <c r="T155" s="444"/>
      <c r="U155" s="444"/>
      <c r="V155" s="517">
        <v>0</v>
      </c>
      <c r="W155" s="558"/>
      <c r="X155" s="406"/>
    </row>
    <row r="156" spans="1:25" x14ac:dyDescent="0.3">
      <c r="A156" s="543"/>
      <c r="B156" s="465"/>
      <c r="C156" s="465"/>
      <c r="D156" s="465"/>
      <c r="E156" s="465"/>
      <c r="F156" s="465"/>
      <c r="G156" s="465"/>
      <c r="H156" s="465"/>
      <c r="I156" s="465"/>
      <c r="J156" s="465"/>
      <c r="K156" s="465"/>
      <c r="L156" s="465"/>
      <c r="M156" s="465"/>
      <c r="N156" s="465"/>
      <c r="O156" s="465"/>
      <c r="P156" s="465"/>
      <c r="Q156" s="465"/>
      <c r="R156" s="465"/>
      <c r="S156" s="465"/>
      <c r="T156" s="465"/>
      <c r="U156" s="465"/>
      <c r="V156" s="546"/>
      <c r="W156" s="547"/>
      <c r="X156" s="406"/>
    </row>
    <row r="157" spans="1:25" x14ac:dyDescent="0.3">
      <c r="A157" s="408"/>
      <c r="B157" s="518"/>
      <c r="C157" s="518"/>
      <c r="D157" s="518"/>
      <c r="E157" s="518"/>
      <c r="F157" s="518"/>
      <c r="G157" s="518"/>
      <c r="H157" s="518"/>
      <c r="I157" s="518"/>
      <c r="J157" s="518"/>
      <c r="K157" s="518"/>
      <c r="L157" s="518"/>
      <c r="M157" s="518"/>
      <c r="N157" s="518"/>
      <c r="O157" s="518"/>
      <c r="P157" s="518"/>
      <c r="Q157" s="518"/>
      <c r="R157" s="518"/>
      <c r="S157" s="518"/>
      <c r="T157" s="518"/>
      <c r="U157" s="518"/>
      <c r="V157" s="560"/>
      <c r="W157" s="411"/>
      <c r="X157" s="406"/>
    </row>
    <row r="158" spans="1:25" x14ac:dyDescent="0.3">
      <c r="A158" s="408"/>
      <c r="B158" s="557" t="s">
        <v>24</v>
      </c>
      <c r="C158" s="410"/>
      <c r="D158" s="410"/>
      <c r="E158" s="410"/>
      <c r="F158" s="410"/>
      <c r="G158" s="410"/>
      <c r="H158" s="410"/>
      <c r="I158" s="410"/>
      <c r="J158" s="410"/>
      <c r="K158" s="410"/>
      <c r="L158" s="410"/>
      <c r="M158" s="410"/>
      <c r="N158" s="410"/>
      <c r="O158" s="410"/>
      <c r="P158" s="410"/>
      <c r="Q158" s="410"/>
      <c r="R158" s="410"/>
      <c r="S158" s="410"/>
      <c r="T158" s="410"/>
      <c r="U158" s="410"/>
      <c r="V158" s="510"/>
      <c r="W158" s="411"/>
      <c r="X158" s="406"/>
    </row>
    <row r="159" spans="1:25" x14ac:dyDescent="0.3">
      <c r="A159" s="543"/>
      <c r="B159" s="444" t="s">
        <v>47</v>
      </c>
      <c r="C159" s="444"/>
      <c r="D159" s="444"/>
      <c r="E159" s="444"/>
      <c r="F159" s="444"/>
      <c r="G159" s="444"/>
      <c r="H159" s="444"/>
      <c r="I159" s="444"/>
      <c r="J159" s="444"/>
      <c r="K159" s="444"/>
      <c r="L159" s="444"/>
      <c r="M159" s="444"/>
      <c r="N159" s="444"/>
      <c r="O159" s="444"/>
      <c r="P159" s="444"/>
      <c r="Q159" s="444"/>
      <c r="R159" s="444"/>
      <c r="S159" s="444"/>
      <c r="T159" s="444"/>
      <c r="U159" s="444"/>
      <c r="V159" s="561" t="s">
        <v>121</v>
      </c>
      <c r="W159" s="558"/>
      <c r="X159" s="406"/>
    </row>
    <row r="160" spans="1:25" x14ac:dyDescent="0.3">
      <c r="A160" s="543"/>
      <c r="B160" s="444" t="s">
        <v>48</v>
      </c>
      <c r="C160" s="444"/>
      <c r="D160" s="444"/>
      <c r="E160" s="444"/>
      <c r="F160" s="444"/>
      <c r="G160" s="444"/>
      <c r="H160" s="444"/>
      <c r="I160" s="444"/>
      <c r="J160" s="444"/>
      <c r="K160" s="444"/>
      <c r="L160" s="444"/>
      <c r="M160" s="444"/>
      <c r="N160" s="444"/>
      <c r="O160" s="444"/>
      <c r="P160" s="444"/>
      <c r="Q160" s="444"/>
      <c r="R160" s="444"/>
      <c r="S160" s="444"/>
      <c r="T160" s="444"/>
      <c r="U160" s="444"/>
      <c r="V160" s="561" t="s">
        <v>121</v>
      </c>
      <c r="W160" s="558"/>
      <c r="X160" s="406"/>
    </row>
    <row r="161" spans="1:24" x14ac:dyDescent="0.3">
      <c r="A161" s="543"/>
      <c r="B161" s="444" t="s">
        <v>49</v>
      </c>
      <c r="C161" s="444"/>
      <c r="D161" s="444"/>
      <c r="E161" s="444"/>
      <c r="F161" s="444"/>
      <c r="G161" s="444"/>
      <c r="H161" s="444"/>
      <c r="I161" s="444"/>
      <c r="J161" s="444"/>
      <c r="K161" s="444"/>
      <c r="L161" s="444"/>
      <c r="M161" s="444"/>
      <c r="N161" s="444"/>
      <c r="O161" s="444"/>
      <c r="P161" s="444"/>
      <c r="Q161" s="444"/>
      <c r="R161" s="444"/>
      <c r="S161" s="444"/>
      <c r="T161" s="444"/>
      <c r="U161" s="444"/>
      <c r="V161" s="561" t="s">
        <v>121</v>
      </c>
      <c r="W161" s="558"/>
      <c r="X161" s="406"/>
    </row>
    <row r="162" spans="1:24" x14ac:dyDescent="0.3">
      <c r="A162" s="543"/>
      <c r="B162" s="444" t="s">
        <v>50</v>
      </c>
      <c r="C162" s="444"/>
      <c r="D162" s="444"/>
      <c r="E162" s="444"/>
      <c r="F162" s="444"/>
      <c r="G162" s="444"/>
      <c r="H162" s="444"/>
      <c r="I162" s="444"/>
      <c r="J162" s="444"/>
      <c r="K162" s="444"/>
      <c r="L162" s="444"/>
      <c r="M162" s="444"/>
      <c r="N162" s="444"/>
      <c r="O162" s="444"/>
      <c r="P162" s="444"/>
      <c r="Q162" s="444"/>
      <c r="R162" s="444"/>
      <c r="S162" s="444"/>
      <c r="T162" s="444"/>
      <c r="U162" s="444"/>
      <c r="V162" s="561" t="s">
        <v>121</v>
      </c>
      <c r="W162" s="558"/>
      <c r="X162" s="406"/>
    </row>
    <row r="163" spans="1:24" x14ac:dyDescent="0.3">
      <c r="A163" s="408"/>
      <c r="B163" s="518"/>
      <c r="C163" s="518"/>
      <c r="D163" s="518"/>
      <c r="E163" s="518"/>
      <c r="F163" s="518"/>
      <c r="G163" s="518"/>
      <c r="H163" s="518"/>
      <c r="I163" s="518"/>
      <c r="J163" s="518"/>
      <c r="K163" s="518"/>
      <c r="L163" s="518"/>
      <c r="M163" s="518"/>
      <c r="N163" s="518"/>
      <c r="O163" s="518"/>
      <c r="P163" s="518"/>
      <c r="Q163" s="518"/>
      <c r="R163" s="518"/>
      <c r="S163" s="518"/>
      <c r="T163" s="518"/>
      <c r="U163" s="518"/>
      <c r="V163" s="560"/>
      <c r="W163" s="411"/>
      <c r="X163" s="406"/>
    </row>
    <row r="164" spans="1:24" x14ac:dyDescent="0.3">
      <c r="A164" s="408"/>
      <c r="B164" s="557" t="s">
        <v>51</v>
      </c>
      <c r="C164" s="410"/>
      <c r="D164" s="410"/>
      <c r="E164" s="410"/>
      <c r="F164" s="410"/>
      <c r="G164" s="410"/>
      <c r="H164" s="410"/>
      <c r="I164" s="410"/>
      <c r="J164" s="410"/>
      <c r="K164" s="410"/>
      <c r="L164" s="410"/>
      <c r="M164" s="410"/>
      <c r="N164" s="410"/>
      <c r="O164" s="410"/>
      <c r="P164" s="410"/>
      <c r="Q164" s="410"/>
      <c r="R164" s="410"/>
      <c r="S164" s="410"/>
      <c r="T164" s="410"/>
      <c r="U164" s="410"/>
      <c r="V164" s="562"/>
      <c r="W164" s="411"/>
      <c r="X164" s="406"/>
    </row>
    <row r="165" spans="1:24" x14ac:dyDescent="0.3">
      <c r="A165" s="563"/>
      <c r="B165" s="548" t="s">
        <v>52</v>
      </c>
      <c r="C165" s="548"/>
      <c r="D165" s="548"/>
      <c r="E165" s="548"/>
      <c r="F165" s="548"/>
      <c r="G165" s="548"/>
      <c r="H165" s="548"/>
      <c r="I165" s="548"/>
      <c r="J165" s="548"/>
      <c r="K165" s="548"/>
      <c r="L165" s="548"/>
      <c r="M165" s="548"/>
      <c r="N165" s="548"/>
      <c r="O165" s="548"/>
      <c r="P165" s="548"/>
      <c r="Q165" s="548"/>
      <c r="R165" s="548"/>
      <c r="S165" s="548"/>
      <c r="T165" s="548"/>
      <c r="U165" s="548"/>
      <c r="V165" s="564">
        <v>0</v>
      </c>
      <c r="W165" s="565"/>
      <c r="X165" s="406"/>
    </row>
    <row r="166" spans="1:24" x14ac:dyDescent="0.3">
      <c r="A166" s="563"/>
      <c r="B166" s="548" t="s">
        <v>53</v>
      </c>
      <c r="C166" s="548"/>
      <c r="D166" s="548"/>
      <c r="E166" s="548"/>
      <c r="F166" s="548"/>
      <c r="G166" s="548"/>
      <c r="H166" s="548"/>
      <c r="I166" s="548"/>
      <c r="J166" s="548"/>
      <c r="K166" s="548"/>
      <c r="L166" s="548"/>
      <c r="M166" s="548"/>
      <c r="N166" s="548"/>
      <c r="O166" s="548"/>
      <c r="P166" s="548"/>
      <c r="Q166" s="548"/>
      <c r="R166" s="548"/>
      <c r="S166" s="548"/>
      <c r="T166" s="548"/>
      <c r="U166" s="548"/>
      <c r="V166" s="564">
        <v>351</v>
      </c>
      <c r="W166" s="565"/>
      <c r="X166" s="406"/>
    </row>
    <row r="167" spans="1:24" x14ac:dyDescent="0.3">
      <c r="A167" s="563"/>
      <c r="B167" s="548" t="s">
        <v>54</v>
      </c>
      <c r="C167" s="548"/>
      <c r="D167" s="548"/>
      <c r="E167" s="548"/>
      <c r="F167" s="548"/>
      <c r="G167" s="548"/>
      <c r="H167" s="548"/>
      <c r="I167" s="548"/>
      <c r="J167" s="548"/>
      <c r="K167" s="548"/>
      <c r="L167" s="548"/>
      <c r="M167" s="548"/>
      <c r="N167" s="548"/>
      <c r="O167" s="548"/>
      <c r="P167" s="548"/>
      <c r="Q167" s="548"/>
      <c r="R167" s="548"/>
      <c r="S167" s="548"/>
      <c r="T167" s="548"/>
      <c r="U167" s="548"/>
      <c r="V167" s="564">
        <f>V166+V165</f>
        <v>351</v>
      </c>
      <c r="W167" s="565"/>
      <c r="X167" s="406"/>
    </row>
    <row r="168" spans="1:24" x14ac:dyDescent="0.3">
      <c r="A168" s="563"/>
      <c r="B168" s="444" t="s">
        <v>318</v>
      </c>
      <c r="C168" s="548"/>
      <c r="D168" s="548"/>
      <c r="E168" s="548"/>
      <c r="F168" s="548"/>
      <c r="G168" s="548"/>
      <c r="H168" s="548"/>
      <c r="I168" s="548"/>
      <c r="J168" s="548"/>
      <c r="K168" s="548"/>
      <c r="L168" s="548"/>
      <c r="M168" s="548"/>
      <c r="N168" s="548"/>
      <c r="O168" s="548"/>
      <c r="P168" s="548"/>
      <c r="Q168" s="548"/>
      <c r="R168" s="548"/>
      <c r="S168" s="548"/>
      <c r="T168" s="548"/>
      <c r="U168" s="548"/>
      <c r="V168" s="564">
        <f>V114</f>
        <v>-351</v>
      </c>
      <c r="W168" s="565"/>
      <c r="X168" s="406"/>
    </row>
    <row r="169" spans="1:24" x14ac:dyDescent="0.3">
      <c r="A169" s="563"/>
      <c r="B169" s="548" t="s">
        <v>55</v>
      </c>
      <c r="C169" s="548"/>
      <c r="D169" s="548"/>
      <c r="E169" s="548"/>
      <c r="F169" s="548"/>
      <c r="G169" s="548"/>
      <c r="H169" s="548"/>
      <c r="I169" s="548"/>
      <c r="J169" s="548"/>
      <c r="K169" s="548"/>
      <c r="L169" s="548"/>
      <c r="M169" s="548"/>
      <c r="N169" s="548"/>
      <c r="O169" s="548"/>
      <c r="P169" s="548"/>
      <c r="Q169" s="548"/>
      <c r="R169" s="548"/>
      <c r="S169" s="548"/>
      <c r="T169" s="548"/>
      <c r="U169" s="548"/>
      <c r="V169" s="564">
        <f>V167+V168</f>
        <v>0</v>
      </c>
      <c r="W169" s="565"/>
      <c r="X169" s="406"/>
    </row>
    <row r="170" spans="1:24" x14ac:dyDescent="0.3">
      <c r="A170" s="563"/>
      <c r="B170" s="548" t="s">
        <v>288</v>
      </c>
      <c r="C170" s="548"/>
      <c r="D170" s="548"/>
      <c r="E170" s="548"/>
      <c r="F170" s="548"/>
      <c r="G170" s="548"/>
      <c r="H170" s="548"/>
      <c r="I170" s="548"/>
      <c r="J170" s="548"/>
      <c r="K170" s="548"/>
      <c r="L170" s="548"/>
      <c r="M170" s="548"/>
      <c r="N170" s="548"/>
      <c r="O170" s="548"/>
      <c r="P170" s="548"/>
      <c r="Q170" s="548"/>
      <c r="R170" s="548"/>
      <c r="S170" s="548"/>
      <c r="T170" s="548"/>
      <c r="U170" s="548"/>
      <c r="V170" s="564">
        <f>-V98</f>
        <v>171</v>
      </c>
      <c r="W170" s="565"/>
      <c r="X170" s="406"/>
    </row>
    <row r="171" spans="1:24" ht="16.2" thickBot="1" x14ac:dyDescent="0.35">
      <c r="A171" s="408"/>
      <c r="B171" s="518"/>
      <c r="C171" s="518"/>
      <c r="D171" s="518"/>
      <c r="E171" s="518"/>
      <c r="F171" s="518"/>
      <c r="G171" s="518"/>
      <c r="H171" s="518"/>
      <c r="I171" s="518"/>
      <c r="J171" s="518"/>
      <c r="K171" s="518"/>
      <c r="L171" s="518"/>
      <c r="M171" s="518"/>
      <c r="N171" s="518"/>
      <c r="O171" s="518"/>
      <c r="P171" s="518"/>
      <c r="Q171" s="518"/>
      <c r="R171" s="518"/>
      <c r="S171" s="518"/>
      <c r="T171" s="518"/>
      <c r="U171" s="518"/>
      <c r="V171" s="560"/>
      <c r="W171" s="411"/>
      <c r="X171" s="406"/>
    </row>
    <row r="172" spans="1:24" x14ac:dyDescent="0.3">
      <c r="A172" s="402"/>
      <c r="B172" s="404"/>
      <c r="C172" s="404"/>
      <c r="D172" s="404"/>
      <c r="E172" s="404"/>
      <c r="F172" s="404"/>
      <c r="G172" s="404"/>
      <c r="H172" s="404"/>
      <c r="I172" s="404"/>
      <c r="J172" s="404"/>
      <c r="K172" s="404"/>
      <c r="L172" s="404"/>
      <c r="M172" s="404"/>
      <c r="N172" s="404"/>
      <c r="O172" s="404"/>
      <c r="P172" s="404"/>
      <c r="Q172" s="404"/>
      <c r="R172" s="404"/>
      <c r="S172" s="404"/>
      <c r="T172" s="404"/>
      <c r="U172" s="404"/>
      <c r="V172" s="566"/>
      <c r="W172" s="405"/>
      <c r="X172" s="406"/>
    </row>
    <row r="173" spans="1:24" x14ac:dyDescent="0.3">
      <c r="A173" s="408"/>
      <c r="B173" s="557" t="s">
        <v>56</v>
      </c>
      <c r="C173" s="410"/>
      <c r="D173" s="410"/>
      <c r="E173" s="410"/>
      <c r="F173" s="410"/>
      <c r="G173" s="410"/>
      <c r="H173" s="410"/>
      <c r="I173" s="410"/>
      <c r="J173" s="410"/>
      <c r="K173" s="410"/>
      <c r="L173" s="410"/>
      <c r="M173" s="410"/>
      <c r="N173" s="410"/>
      <c r="O173" s="410"/>
      <c r="P173" s="410"/>
      <c r="Q173" s="410"/>
      <c r="R173" s="410"/>
      <c r="S173" s="410"/>
      <c r="T173" s="410"/>
      <c r="U173" s="410"/>
      <c r="V173" s="510"/>
      <c r="W173" s="411"/>
      <c r="X173" s="406"/>
    </row>
    <row r="174" spans="1:24" x14ac:dyDescent="0.3">
      <c r="A174" s="408"/>
      <c r="B174" s="556"/>
      <c r="C174" s="410"/>
      <c r="D174" s="410"/>
      <c r="E174" s="410"/>
      <c r="F174" s="410"/>
      <c r="G174" s="410"/>
      <c r="H174" s="410"/>
      <c r="I174" s="410"/>
      <c r="J174" s="410"/>
      <c r="K174" s="410"/>
      <c r="L174" s="410"/>
      <c r="M174" s="410"/>
      <c r="N174" s="410"/>
      <c r="O174" s="410"/>
      <c r="P174" s="410"/>
      <c r="Q174" s="410"/>
      <c r="R174" s="410"/>
      <c r="S174" s="410"/>
      <c r="T174" s="410"/>
      <c r="U174" s="410"/>
      <c r="V174" s="510"/>
      <c r="W174" s="411"/>
      <c r="X174" s="406"/>
    </row>
    <row r="175" spans="1:24" x14ac:dyDescent="0.3">
      <c r="A175" s="543"/>
      <c r="B175" s="444" t="s">
        <v>57</v>
      </c>
      <c r="C175" s="444"/>
      <c r="D175" s="444"/>
      <c r="E175" s="444"/>
      <c r="F175" s="444"/>
      <c r="G175" s="444"/>
      <c r="H175" s="444"/>
      <c r="I175" s="444"/>
      <c r="J175" s="444"/>
      <c r="K175" s="444"/>
      <c r="L175" s="444"/>
      <c r="M175" s="444"/>
      <c r="N175" s="444"/>
      <c r="O175" s="444"/>
      <c r="P175" s="444"/>
      <c r="Q175" s="444"/>
      <c r="R175" s="444"/>
      <c r="S175" s="444"/>
      <c r="T175" s="444"/>
      <c r="U175" s="444"/>
      <c r="V175" s="517">
        <f>V70</f>
        <v>761748</v>
      </c>
      <c r="W175" s="558"/>
      <c r="X175" s="406"/>
    </row>
    <row r="176" spans="1:24" x14ac:dyDescent="0.3">
      <c r="A176" s="543"/>
      <c r="B176" s="444" t="s">
        <v>58</v>
      </c>
      <c r="C176" s="444"/>
      <c r="D176" s="444"/>
      <c r="E176" s="444"/>
      <c r="F176" s="444"/>
      <c r="G176" s="444"/>
      <c r="H176" s="444"/>
      <c r="I176" s="444"/>
      <c r="J176" s="444"/>
      <c r="K176" s="444"/>
      <c r="L176" s="444"/>
      <c r="M176" s="444"/>
      <c r="N176" s="444"/>
      <c r="O176" s="444"/>
      <c r="P176" s="444"/>
      <c r="Q176" s="444"/>
      <c r="R176" s="444"/>
      <c r="S176" s="444"/>
      <c r="T176" s="444"/>
      <c r="U176" s="444"/>
      <c r="V176" s="517">
        <f>V83</f>
        <v>761748</v>
      </c>
      <c r="W176" s="558"/>
      <c r="X176" s="406"/>
    </row>
    <row r="177" spans="1:24" ht="16.2" thickBot="1" x14ac:dyDescent="0.35">
      <c r="A177" s="408"/>
      <c r="B177" s="518"/>
      <c r="C177" s="518"/>
      <c r="D177" s="518"/>
      <c r="E177" s="518"/>
      <c r="F177" s="518"/>
      <c r="G177" s="518"/>
      <c r="H177" s="518"/>
      <c r="I177" s="518"/>
      <c r="J177" s="518"/>
      <c r="K177" s="518"/>
      <c r="L177" s="518"/>
      <c r="M177" s="518"/>
      <c r="N177" s="518"/>
      <c r="O177" s="518"/>
      <c r="P177" s="518"/>
      <c r="Q177" s="518"/>
      <c r="R177" s="518"/>
      <c r="S177" s="518"/>
      <c r="T177" s="518"/>
      <c r="U177" s="518"/>
      <c r="V177" s="560"/>
      <c r="W177" s="411"/>
      <c r="X177" s="406"/>
    </row>
    <row r="178" spans="1:24" x14ac:dyDescent="0.3">
      <c r="A178" s="402"/>
      <c r="B178" s="404"/>
      <c r="C178" s="404"/>
      <c r="D178" s="404"/>
      <c r="E178" s="404"/>
      <c r="F178" s="404"/>
      <c r="G178" s="404"/>
      <c r="H178" s="404"/>
      <c r="I178" s="404"/>
      <c r="J178" s="404"/>
      <c r="K178" s="404"/>
      <c r="L178" s="404"/>
      <c r="M178" s="404"/>
      <c r="N178" s="404"/>
      <c r="O178" s="404"/>
      <c r="P178" s="404"/>
      <c r="Q178" s="404"/>
      <c r="R178" s="404"/>
      <c r="S178" s="404"/>
      <c r="T178" s="404"/>
      <c r="U178" s="404"/>
      <c r="V178" s="566"/>
      <c r="W178" s="405"/>
      <c r="X178" s="406"/>
    </row>
    <row r="179" spans="1:24" s="473" customFormat="1" x14ac:dyDescent="0.3">
      <c r="A179" s="511"/>
      <c r="B179" s="557" t="s">
        <v>59</v>
      </c>
      <c r="C179" s="567"/>
      <c r="D179" s="567"/>
      <c r="E179" s="567"/>
      <c r="F179" s="567"/>
      <c r="G179" s="567"/>
      <c r="H179" s="568"/>
      <c r="I179" s="568"/>
      <c r="J179" s="568"/>
      <c r="K179" s="568"/>
      <c r="L179" s="568"/>
      <c r="M179" s="568"/>
      <c r="N179" s="568"/>
      <c r="O179" s="568"/>
      <c r="P179" s="568"/>
      <c r="Q179" s="568"/>
      <c r="R179" s="568"/>
      <c r="S179" s="568" t="s">
        <v>102</v>
      </c>
      <c r="T179" s="568" t="s">
        <v>179</v>
      </c>
      <c r="U179" s="413"/>
      <c r="V179" s="569" t="s">
        <v>117</v>
      </c>
      <c r="W179" s="570"/>
      <c r="X179" s="472"/>
    </row>
    <row r="180" spans="1:24" s="426" customFormat="1" x14ac:dyDescent="0.3">
      <c r="A180" s="443"/>
      <c r="B180" s="444" t="s">
        <v>60</v>
      </c>
      <c r="C180" s="444"/>
      <c r="D180" s="444"/>
      <c r="E180" s="444"/>
      <c r="F180" s="444"/>
      <c r="G180" s="444"/>
      <c r="H180" s="444"/>
      <c r="I180" s="444"/>
      <c r="J180" s="444"/>
      <c r="K180" s="444"/>
      <c r="L180" s="444"/>
      <c r="M180" s="444"/>
      <c r="N180" s="444"/>
      <c r="O180" s="444"/>
      <c r="P180" s="444"/>
      <c r="Q180" s="444"/>
      <c r="R180" s="444"/>
      <c r="S180" s="517">
        <f>+V34*0.16</f>
        <v>240030.4</v>
      </c>
      <c r="T180" s="482"/>
      <c r="U180" s="444"/>
      <c r="V180" s="517"/>
      <c r="W180" s="446"/>
      <c r="X180" s="425"/>
    </row>
    <row r="181" spans="1:24" s="426" customFormat="1" x14ac:dyDescent="0.3">
      <c r="A181" s="443"/>
      <c r="B181" s="444" t="s">
        <v>61</v>
      </c>
      <c r="C181" s="444"/>
      <c r="D181" s="444"/>
      <c r="E181" s="444"/>
      <c r="F181" s="444"/>
      <c r="G181" s="444"/>
      <c r="H181" s="444"/>
      <c r="I181" s="444"/>
      <c r="J181" s="444"/>
      <c r="K181" s="444"/>
      <c r="L181" s="444"/>
      <c r="M181" s="444"/>
      <c r="N181" s="444"/>
      <c r="O181" s="444"/>
      <c r="P181" s="444"/>
      <c r="Q181" s="444"/>
      <c r="R181" s="444"/>
      <c r="S181" s="517">
        <f>+'March 18'!S183</f>
        <v>55052</v>
      </c>
      <c r="T181" s="517">
        <f>+'March 18'!T183</f>
        <v>9760</v>
      </c>
      <c r="U181" s="444"/>
      <c r="V181" s="517">
        <f>S181+T181</f>
        <v>64812</v>
      </c>
      <c r="W181" s="446"/>
      <c r="X181" s="425"/>
    </row>
    <row r="182" spans="1:24" s="426" customFormat="1" x14ac:dyDescent="0.3">
      <c r="A182" s="443"/>
      <c r="B182" s="444" t="s">
        <v>62</v>
      </c>
      <c r="C182" s="444"/>
      <c r="D182" s="444"/>
      <c r="E182" s="444"/>
      <c r="F182" s="444"/>
      <c r="G182" s="444"/>
      <c r="H182" s="444"/>
      <c r="I182" s="444"/>
      <c r="J182" s="444"/>
      <c r="K182" s="444"/>
      <c r="L182" s="444"/>
      <c r="M182" s="444"/>
      <c r="N182" s="444"/>
      <c r="O182" s="444"/>
      <c r="P182" s="444"/>
      <c r="Q182" s="444"/>
      <c r="R182" s="444"/>
      <c r="S182" s="516">
        <f>391+59</f>
        <v>450</v>
      </c>
      <c r="T182" s="516">
        <v>0</v>
      </c>
      <c r="U182" s="444"/>
      <c r="V182" s="517">
        <f>S182+T182</f>
        <v>450</v>
      </c>
      <c r="W182" s="446"/>
      <c r="X182" s="425"/>
    </row>
    <row r="183" spans="1:24" s="426" customFormat="1" x14ac:dyDescent="0.3">
      <c r="A183" s="443"/>
      <c r="B183" s="444" t="s">
        <v>63</v>
      </c>
      <c r="C183" s="444"/>
      <c r="D183" s="444"/>
      <c r="E183" s="444"/>
      <c r="F183" s="444"/>
      <c r="G183" s="444"/>
      <c r="H183" s="444"/>
      <c r="I183" s="444"/>
      <c r="J183" s="444"/>
      <c r="K183" s="444"/>
      <c r="L183" s="444"/>
      <c r="M183" s="444"/>
      <c r="N183" s="444"/>
      <c r="O183" s="444"/>
      <c r="P183" s="444"/>
      <c r="Q183" s="444"/>
      <c r="R183" s="444"/>
      <c r="S183" s="517">
        <f>+S181+S182</f>
        <v>55502</v>
      </c>
      <c r="T183" s="517">
        <f>T182+T181</f>
        <v>9760</v>
      </c>
      <c r="U183" s="444"/>
      <c r="V183" s="517">
        <f>S183+T183</f>
        <v>65262</v>
      </c>
      <c r="W183" s="446"/>
      <c r="X183" s="425"/>
    </row>
    <row r="184" spans="1:24" s="426" customFormat="1" x14ac:dyDescent="0.3">
      <c r="A184" s="443"/>
      <c r="B184" s="444" t="s">
        <v>64</v>
      </c>
      <c r="C184" s="444"/>
      <c r="D184" s="444"/>
      <c r="E184" s="444"/>
      <c r="F184" s="444"/>
      <c r="G184" s="444"/>
      <c r="H184" s="444"/>
      <c r="I184" s="444"/>
      <c r="J184" s="444"/>
      <c r="K184" s="444"/>
      <c r="L184" s="444"/>
      <c r="M184" s="444"/>
      <c r="N184" s="444"/>
      <c r="O184" s="444"/>
      <c r="P184" s="444"/>
      <c r="Q184" s="444"/>
      <c r="R184" s="444"/>
      <c r="S184" s="517">
        <f>S180-S183-T183</f>
        <v>174768.4</v>
      </c>
      <c r="T184" s="482"/>
      <c r="U184" s="444"/>
      <c r="V184" s="517"/>
      <c r="W184" s="446"/>
      <c r="X184" s="425"/>
    </row>
    <row r="185" spans="1:24" ht="16.2" thickBot="1" x14ac:dyDescent="0.35">
      <c r="A185" s="408"/>
      <c r="B185" s="518"/>
      <c r="C185" s="518"/>
      <c r="D185" s="518"/>
      <c r="E185" s="518"/>
      <c r="F185" s="518"/>
      <c r="G185" s="518"/>
      <c r="H185" s="518"/>
      <c r="I185" s="518"/>
      <c r="J185" s="518"/>
      <c r="K185" s="518"/>
      <c r="L185" s="518"/>
      <c r="M185" s="518"/>
      <c r="N185" s="518"/>
      <c r="O185" s="518"/>
      <c r="P185" s="518"/>
      <c r="Q185" s="518"/>
      <c r="R185" s="518"/>
      <c r="S185" s="518"/>
      <c r="T185" s="518"/>
      <c r="U185" s="518"/>
      <c r="V185" s="560"/>
      <c r="W185" s="411"/>
      <c r="X185" s="406"/>
    </row>
    <row r="186" spans="1:24" x14ac:dyDescent="0.3">
      <c r="A186" s="402"/>
      <c r="B186" s="404"/>
      <c r="C186" s="404"/>
      <c r="D186" s="404"/>
      <c r="E186" s="404"/>
      <c r="F186" s="404"/>
      <c r="G186" s="404"/>
      <c r="H186" s="404"/>
      <c r="I186" s="404"/>
      <c r="J186" s="404"/>
      <c r="K186" s="404"/>
      <c r="L186" s="404"/>
      <c r="M186" s="404"/>
      <c r="N186" s="404"/>
      <c r="O186" s="404"/>
      <c r="P186" s="404"/>
      <c r="Q186" s="404"/>
      <c r="R186" s="404"/>
      <c r="S186" s="404"/>
      <c r="T186" s="404"/>
      <c r="U186" s="404"/>
      <c r="V186" s="566"/>
      <c r="W186" s="405"/>
      <c r="X186" s="406"/>
    </row>
    <row r="187" spans="1:24" x14ac:dyDescent="0.3">
      <c r="A187" s="408"/>
      <c r="B187" s="557" t="s">
        <v>65</v>
      </c>
      <c r="C187" s="410"/>
      <c r="D187" s="410"/>
      <c r="E187" s="410"/>
      <c r="F187" s="410"/>
      <c r="G187" s="410"/>
      <c r="H187" s="410"/>
      <c r="I187" s="410"/>
      <c r="J187" s="410"/>
      <c r="K187" s="410"/>
      <c r="L187" s="410"/>
      <c r="M187" s="410"/>
      <c r="N187" s="410"/>
      <c r="O187" s="410"/>
      <c r="P187" s="410"/>
      <c r="Q187" s="410"/>
      <c r="R187" s="410"/>
      <c r="S187" s="410"/>
      <c r="T187" s="410"/>
      <c r="U187" s="410"/>
      <c r="V187" s="571"/>
      <c r="W187" s="411"/>
      <c r="X187" s="406"/>
    </row>
    <row r="188" spans="1:24" s="426" customFormat="1" x14ac:dyDescent="0.3">
      <c r="A188" s="443"/>
      <c r="B188" s="444" t="s">
        <v>66</v>
      </c>
      <c r="C188" s="444"/>
      <c r="D188" s="444"/>
      <c r="E188" s="444"/>
      <c r="F188" s="444"/>
      <c r="G188" s="444"/>
      <c r="H188" s="444"/>
      <c r="I188" s="444"/>
      <c r="J188" s="444"/>
      <c r="K188" s="444"/>
      <c r="L188" s="444"/>
      <c r="M188" s="444"/>
      <c r="N188" s="444"/>
      <c r="O188" s="444"/>
      <c r="P188" s="444"/>
      <c r="Q188" s="444"/>
      <c r="R188" s="444"/>
      <c r="S188" s="444"/>
      <c r="T188" s="444"/>
      <c r="U188" s="444"/>
      <c r="V188" s="561">
        <f>(V99+V101+V102+V103+V104)/-(V105+V106)</f>
        <v>3.1348684210526314</v>
      </c>
      <c r="W188" s="446" t="s">
        <v>118</v>
      </c>
      <c r="X188" s="425"/>
    </row>
    <row r="189" spans="1:24" s="426" customFormat="1" x14ac:dyDescent="0.3">
      <c r="A189" s="443"/>
      <c r="B189" s="444" t="s">
        <v>67</v>
      </c>
      <c r="C189" s="444"/>
      <c r="D189" s="444"/>
      <c r="E189" s="444"/>
      <c r="F189" s="444"/>
      <c r="G189" s="444"/>
      <c r="H189" s="444"/>
      <c r="I189" s="444"/>
      <c r="J189" s="444"/>
      <c r="K189" s="444"/>
      <c r="L189" s="444"/>
      <c r="M189" s="444"/>
      <c r="N189" s="444"/>
      <c r="O189" s="444"/>
      <c r="P189" s="444"/>
      <c r="Q189" s="444"/>
      <c r="R189" s="444"/>
      <c r="S189" s="444"/>
      <c r="T189" s="444"/>
      <c r="U189" s="444"/>
      <c r="V189" s="572">
        <v>1.93</v>
      </c>
      <c r="W189" s="446" t="s">
        <v>118</v>
      </c>
      <c r="X189" s="425"/>
    </row>
    <row r="190" spans="1:24" s="426" customFormat="1" x14ac:dyDescent="0.3">
      <c r="A190" s="443"/>
      <c r="B190" s="444" t="s">
        <v>68</v>
      </c>
      <c r="C190" s="444"/>
      <c r="D190" s="444"/>
      <c r="E190" s="444"/>
      <c r="F190" s="444"/>
      <c r="G190" s="444"/>
      <c r="H190" s="444"/>
      <c r="I190" s="444"/>
      <c r="J190" s="444"/>
      <c r="K190" s="444"/>
      <c r="L190" s="444"/>
      <c r="M190" s="444"/>
      <c r="N190" s="444"/>
      <c r="O190" s="444"/>
      <c r="P190" s="444"/>
      <c r="Q190" s="444"/>
      <c r="R190" s="444"/>
      <c r="S190" s="444"/>
      <c r="T190" s="444"/>
      <c r="U190" s="444"/>
      <c r="V190" s="561">
        <f>(V99+V101+V102+V103+V104+V105+V106)/-(V108+V109)</f>
        <v>9.6865671641791042</v>
      </c>
      <c r="W190" s="446" t="s">
        <v>118</v>
      </c>
      <c r="X190" s="425"/>
    </row>
    <row r="191" spans="1:24" s="426" customFormat="1" x14ac:dyDescent="0.3">
      <c r="A191" s="443"/>
      <c r="B191" s="444" t="s">
        <v>69</v>
      </c>
      <c r="C191" s="444"/>
      <c r="D191" s="444"/>
      <c r="E191" s="444"/>
      <c r="F191" s="444"/>
      <c r="G191" s="444"/>
      <c r="H191" s="444"/>
      <c r="I191" s="444"/>
      <c r="J191" s="444"/>
      <c r="K191" s="444"/>
      <c r="L191" s="444"/>
      <c r="M191" s="444"/>
      <c r="N191" s="444"/>
      <c r="O191" s="444"/>
      <c r="P191" s="444"/>
      <c r="Q191" s="444"/>
      <c r="R191" s="444"/>
      <c r="S191" s="444"/>
      <c r="T191" s="444"/>
      <c r="U191" s="444"/>
      <c r="V191" s="572">
        <v>7.92</v>
      </c>
      <c r="W191" s="446" t="s">
        <v>118</v>
      </c>
      <c r="X191" s="425"/>
    </row>
    <row r="192" spans="1:24" s="426" customFormat="1" x14ac:dyDescent="0.3">
      <c r="A192" s="443"/>
      <c r="B192" s="444" t="s">
        <v>201</v>
      </c>
      <c r="C192" s="444"/>
      <c r="D192" s="444"/>
      <c r="E192" s="444"/>
      <c r="F192" s="444"/>
      <c r="G192" s="444"/>
      <c r="H192" s="444"/>
      <c r="I192" s="444"/>
      <c r="J192" s="444"/>
      <c r="K192" s="444"/>
      <c r="L192" s="444"/>
      <c r="M192" s="444"/>
      <c r="N192" s="444"/>
      <c r="O192" s="444"/>
      <c r="P192" s="444"/>
      <c r="Q192" s="444"/>
      <c r="R192" s="444"/>
      <c r="S192" s="444"/>
      <c r="T192" s="444"/>
      <c r="U192" s="444"/>
      <c r="V192" s="561">
        <f>(V99+V101+V102+V103+V104+V105+V106+V108+V109)/-(V110+V111)</f>
        <v>10.738007380073801</v>
      </c>
      <c r="W192" s="446" t="s">
        <v>118</v>
      </c>
      <c r="X192" s="425"/>
    </row>
    <row r="193" spans="1:24" s="426" customFormat="1" x14ac:dyDescent="0.3">
      <c r="A193" s="443"/>
      <c r="B193" s="444" t="s">
        <v>202</v>
      </c>
      <c r="C193" s="444"/>
      <c r="D193" s="444"/>
      <c r="E193" s="444"/>
      <c r="F193" s="444"/>
      <c r="G193" s="444"/>
      <c r="H193" s="444"/>
      <c r="I193" s="444"/>
      <c r="J193" s="444"/>
      <c r="K193" s="444"/>
      <c r="L193" s="444"/>
      <c r="M193" s="444"/>
      <c r="N193" s="444"/>
      <c r="O193" s="444"/>
      <c r="P193" s="444"/>
      <c r="Q193" s="444"/>
      <c r="R193" s="444"/>
      <c r="S193" s="444"/>
      <c r="T193" s="444"/>
      <c r="U193" s="444"/>
      <c r="V193" s="572">
        <v>9.89</v>
      </c>
      <c r="W193" s="446" t="s">
        <v>118</v>
      </c>
      <c r="X193" s="425"/>
    </row>
    <row r="194" spans="1:24" x14ac:dyDescent="0.3">
      <c r="A194" s="543"/>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547"/>
      <c r="X194" s="406"/>
    </row>
    <row r="195" spans="1:24" x14ac:dyDescent="0.3">
      <c r="A195" s="408"/>
      <c r="B195" s="518"/>
      <c r="C195" s="518"/>
      <c r="D195" s="518"/>
      <c r="E195" s="518"/>
      <c r="F195" s="518"/>
      <c r="G195" s="518"/>
      <c r="H195" s="518"/>
      <c r="I195" s="518"/>
      <c r="J195" s="518"/>
      <c r="K195" s="518"/>
      <c r="L195" s="518"/>
      <c r="M195" s="518"/>
      <c r="N195" s="518"/>
      <c r="O195" s="518"/>
      <c r="P195" s="518"/>
      <c r="Q195" s="518"/>
      <c r="R195" s="518"/>
      <c r="S195" s="518"/>
      <c r="T195" s="518"/>
      <c r="U195" s="518"/>
      <c r="V195" s="518"/>
      <c r="W195" s="411"/>
      <c r="X195" s="406"/>
    </row>
    <row r="196" spans="1:24" x14ac:dyDescent="0.3">
      <c r="A196" s="408"/>
      <c r="B196" s="410"/>
      <c r="C196" s="410"/>
      <c r="D196" s="410"/>
      <c r="E196" s="410"/>
      <c r="F196" s="410"/>
      <c r="G196" s="410"/>
      <c r="H196" s="410"/>
      <c r="I196" s="410"/>
      <c r="J196" s="410"/>
      <c r="K196" s="410"/>
      <c r="L196" s="410"/>
      <c r="M196" s="410"/>
      <c r="N196" s="410"/>
      <c r="O196" s="410"/>
      <c r="P196" s="410"/>
      <c r="Q196" s="410"/>
      <c r="R196" s="410"/>
      <c r="S196" s="410"/>
      <c r="T196" s="410"/>
      <c r="U196" s="410"/>
      <c r="V196" s="410"/>
      <c r="W196" s="411"/>
      <c r="X196" s="406"/>
    </row>
    <row r="197" spans="1:24" ht="18.600000000000001" thickBot="1" x14ac:dyDescent="0.4">
      <c r="A197" s="573"/>
      <c r="B197" s="501" t="str">
        <f>B137</f>
        <v>PM13 INVESTOR REPORT QUARTER ENDING JUNE 2018</v>
      </c>
      <c r="C197" s="574"/>
      <c r="D197" s="574"/>
      <c r="E197" s="574"/>
      <c r="F197" s="574"/>
      <c r="G197" s="574"/>
      <c r="H197" s="574"/>
      <c r="I197" s="574"/>
      <c r="J197" s="574"/>
      <c r="K197" s="574"/>
      <c r="L197" s="574"/>
      <c r="M197" s="574"/>
      <c r="N197" s="574"/>
      <c r="O197" s="574"/>
      <c r="P197" s="574"/>
      <c r="Q197" s="574"/>
      <c r="R197" s="574"/>
      <c r="S197" s="574"/>
      <c r="T197" s="574"/>
      <c r="U197" s="574"/>
      <c r="V197" s="574"/>
      <c r="W197" s="575"/>
      <c r="X197" s="406"/>
    </row>
    <row r="198" spans="1:24" x14ac:dyDescent="0.3">
      <c r="A198" s="505"/>
      <c r="B198" s="506" t="s">
        <v>70</v>
      </c>
      <c r="C198" s="576"/>
      <c r="D198" s="576"/>
      <c r="E198" s="576"/>
      <c r="F198" s="576"/>
      <c r="G198" s="577"/>
      <c r="H198" s="577"/>
      <c r="I198" s="577"/>
      <c r="J198" s="577"/>
      <c r="K198" s="577"/>
      <c r="L198" s="577"/>
      <c r="M198" s="577"/>
      <c r="N198" s="577"/>
      <c r="O198" s="577"/>
      <c r="P198" s="577"/>
      <c r="Q198" s="577"/>
      <c r="R198" s="577"/>
      <c r="S198" s="577"/>
      <c r="T198" s="577">
        <v>43280</v>
      </c>
      <c r="U198" s="507"/>
      <c r="V198" s="507"/>
      <c r="W198" s="509"/>
      <c r="X198" s="406"/>
    </row>
    <row r="199" spans="1:24" x14ac:dyDescent="0.3">
      <c r="A199" s="578"/>
      <c r="B199" s="579"/>
      <c r="C199" s="580"/>
      <c r="D199" s="580"/>
      <c r="E199" s="580"/>
      <c r="F199" s="580"/>
      <c r="G199" s="581"/>
      <c r="H199" s="581"/>
      <c r="I199" s="581"/>
      <c r="J199" s="581"/>
      <c r="K199" s="581"/>
      <c r="L199" s="581"/>
      <c r="M199" s="581"/>
      <c r="N199" s="581"/>
      <c r="O199" s="581"/>
      <c r="P199" s="581"/>
      <c r="Q199" s="581"/>
      <c r="R199" s="581"/>
      <c r="S199" s="581"/>
      <c r="T199" s="581"/>
      <c r="U199" s="410"/>
      <c r="V199" s="410"/>
      <c r="W199" s="411"/>
      <c r="X199" s="406"/>
    </row>
    <row r="200" spans="1:24" s="426" customFormat="1" x14ac:dyDescent="0.3">
      <c r="A200" s="443"/>
      <c r="B200" s="444" t="s">
        <v>71</v>
      </c>
      <c r="C200" s="582"/>
      <c r="D200" s="582"/>
      <c r="E200" s="582"/>
      <c r="F200" s="582"/>
      <c r="G200" s="488"/>
      <c r="H200" s="488"/>
      <c r="I200" s="488"/>
      <c r="J200" s="488"/>
      <c r="K200" s="488"/>
      <c r="L200" s="488"/>
      <c r="M200" s="488"/>
      <c r="N200" s="488"/>
      <c r="O200" s="488"/>
      <c r="P200" s="488"/>
      <c r="Q200" s="488"/>
      <c r="R200" s="488"/>
      <c r="S200" s="488"/>
      <c r="T200" s="479">
        <v>5.4539999999999998E-2</v>
      </c>
      <c r="U200" s="444"/>
      <c r="V200" s="444"/>
      <c r="W200" s="446"/>
      <c r="X200" s="425"/>
    </row>
    <row r="201" spans="1:24" s="426" customFormat="1" x14ac:dyDescent="0.3">
      <c r="A201" s="443"/>
      <c r="B201" s="444" t="s">
        <v>154</v>
      </c>
      <c r="C201" s="582"/>
      <c r="D201" s="582"/>
      <c r="E201" s="582"/>
      <c r="F201" s="582"/>
      <c r="G201" s="488"/>
      <c r="H201" s="488"/>
      <c r="I201" s="488"/>
      <c r="J201" s="488"/>
      <c r="K201" s="488"/>
      <c r="L201" s="488"/>
      <c r="M201" s="488"/>
      <c r="N201" s="488"/>
      <c r="O201" s="488"/>
      <c r="P201" s="488"/>
      <c r="Q201" s="488"/>
      <c r="R201" s="488"/>
      <c r="S201" s="488"/>
      <c r="T201" s="479">
        <f>'Dec 06'!T199</f>
        <v>5.238600504269459E-2</v>
      </c>
      <c r="U201" s="444"/>
      <c r="V201" s="444"/>
      <c r="W201" s="446"/>
      <c r="X201" s="425"/>
    </row>
    <row r="202" spans="1:24" s="426" customFormat="1" x14ac:dyDescent="0.3">
      <c r="A202" s="443"/>
      <c r="B202" s="444" t="s">
        <v>72</v>
      </c>
      <c r="C202" s="582"/>
      <c r="D202" s="582"/>
      <c r="E202" s="582"/>
      <c r="F202" s="582"/>
      <c r="G202" s="488"/>
      <c r="H202" s="488"/>
      <c r="I202" s="488"/>
      <c r="J202" s="488"/>
      <c r="K202" s="488"/>
      <c r="L202" s="488"/>
      <c r="M202" s="488"/>
      <c r="N202" s="488"/>
      <c r="O202" s="488"/>
      <c r="P202" s="488"/>
      <c r="Q202" s="488"/>
      <c r="R202" s="488"/>
      <c r="S202" s="488"/>
      <c r="T202" s="479">
        <f>+T200-T201</f>
        <v>2.1539949573054079E-3</v>
      </c>
      <c r="U202" s="444"/>
      <c r="V202" s="444"/>
      <c r="W202" s="446"/>
      <c r="X202" s="425"/>
    </row>
    <row r="203" spans="1:24" s="426" customFormat="1" x14ac:dyDescent="0.3">
      <c r="A203" s="443"/>
      <c r="B203" s="444" t="s">
        <v>73</v>
      </c>
      <c r="C203" s="582"/>
      <c r="D203" s="582"/>
      <c r="E203" s="582"/>
      <c r="F203" s="582"/>
      <c r="G203" s="488"/>
      <c r="H203" s="488"/>
      <c r="I203" s="488"/>
      <c r="J203" s="488"/>
      <c r="K203" s="488"/>
      <c r="L203" s="488"/>
      <c r="M203" s="488"/>
      <c r="N203" s="488"/>
      <c r="O203" s="488"/>
      <c r="P203" s="488"/>
      <c r="Q203" s="488"/>
      <c r="R203" s="488"/>
      <c r="S203" s="488"/>
      <c r="T203" s="479">
        <v>2.4240000000000001E-2</v>
      </c>
      <c r="U203" s="444"/>
      <c r="V203" s="444"/>
      <c r="W203" s="446"/>
      <c r="X203" s="425"/>
    </row>
    <row r="204" spans="1:24" s="426" customFormat="1" x14ac:dyDescent="0.3">
      <c r="A204" s="443"/>
      <c r="B204" s="444" t="s">
        <v>222</v>
      </c>
      <c r="C204" s="582"/>
      <c r="D204" s="582"/>
      <c r="E204" s="582"/>
      <c r="F204" s="582"/>
      <c r="G204" s="488"/>
      <c r="H204" s="488"/>
      <c r="I204" s="488"/>
      <c r="J204" s="488"/>
      <c r="K204" s="488"/>
      <c r="L204" s="488"/>
      <c r="M204" s="488"/>
      <c r="N204" s="488"/>
      <c r="O204" s="488"/>
      <c r="P204" s="488"/>
      <c r="Q204" s="488"/>
      <c r="R204" s="488"/>
      <c r="S204" s="488"/>
      <c r="T204" s="479">
        <f>V43</f>
        <v>1.1061275237591744E-2</v>
      </c>
      <c r="U204" s="444"/>
      <c r="V204" s="444"/>
      <c r="W204" s="446"/>
      <c r="X204" s="425"/>
    </row>
    <row r="205" spans="1:24" s="426" customFormat="1" x14ac:dyDescent="0.3">
      <c r="A205" s="443"/>
      <c r="B205" s="444" t="s">
        <v>74</v>
      </c>
      <c r="C205" s="582"/>
      <c r="D205" s="582"/>
      <c r="E205" s="582"/>
      <c r="F205" s="582"/>
      <c r="G205" s="488"/>
      <c r="H205" s="488"/>
      <c r="I205" s="488"/>
      <c r="J205" s="488"/>
      <c r="K205" s="488"/>
      <c r="L205" s="488"/>
      <c r="M205" s="488"/>
      <c r="N205" s="488"/>
      <c r="O205" s="488"/>
      <c r="P205" s="488"/>
      <c r="Q205" s="488"/>
      <c r="R205" s="488"/>
      <c r="S205" s="488"/>
      <c r="T205" s="479">
        <f>T203-T204</f>
        <v>1.3178724762408257E-2</v>
      </c>
      <c r="U205" s="444"/>
      <c r="V205" s="444"/>
      <c r="W205" s="446"/>
      <c r="X205" s="425"/>
    </row>
    <row r="206" spans="1:24" s="426" customFormat="1" x14ac:dyDescent="0.3">
      <c r="A206" s="443"/>
      <c r="B206" s="444" t="s">
        <v>274</v>
      </c>
      <c r="C206" s="582"/>
      <c r="D206" s="582"/>
      <c r="E206" s="582"/>
      <c r="F206" s="582"/>
      <c r="G206" s="488"/>
      <c r="H206" s="488"/>
      <c r="I206" s="488"/>
      <c r="J206" s="488"/>
      <c r="K206" s="488"/>
      <c r="L206" s="488"/>
      <c r="M206" s="488"/>
      <c r="N206" s="488"/>
      <c r="O206" s="488"/>
      <c r="P206" s="488"/>
      <c r="Q206" s="488"/>
      <c r="R206" s="488"/>
      <c r="S206" s="488"/>
      <c r="T206" s="479">
        <f>+V99/N70</f>
        <v>6.6966630824884139E-3</v>
      </c>
      <c r="U206" s="444"/>
      <c r="V206" s="444"/>
      <c r="W206" s="446"/>
      <c r="X206" s="425"/>
    </row>
    <row r="207" spans="1:24" s="426" customFormat="1" x14ac:dyDescent="0.3">
      <c r="A207" s="443"/>
      <c r="B207" s="444" t="s">
        <v>211</v>
      </c>
      <c r="C207" s="582"/>
      <c r="D207" s="582"/>
      <c r="E207" s="582"/>
      <c r="F207" s="582"/>
      <c r="G207" s="488"/>
      <c r="H207" s="488"/>
      <c r="I207" s="488"/>
      <c r="J207" s="488"/>
      <c r="K207" s="488"/>
      <c r="L207" s="488"/>
      <c r="M207" s="488"/>
      <c r="N207" s="488"/>
      <c r="O207" s="488"/>
      <c r="P207" s="488"/>
      <c r="Q207" s="488"/>
      <c r="R207" s="488"/>
      <c r="S207" s="488"/>
      <c r="T207" s="583">
        <v>50771</v>
      </c>
      <c r="U207" s="444"/>
      <c r="V207" s="444"/>
      <c r="W207" s="446"/>
      <c r="X207" s="425"/>
    </row>
    <row r="208" spans="1:24" s="426" customFormat="1" x14ac:dyDescent="0.3">
      <c r="A208" s="443"/>
      <c r="B208" s="444" t="s">
        <v>212</v>
      </c>
      <c r="C208" s="582"/>
      <c r="D208" s="582"/>
      <c r="E208" s="582"/>
      <c r="F208" s="582"/>
      <c r="G208" s="488"/>
      <c r="H208" s="488"/>
      <c r="I208" s="488"/>
      <c r="J208" s="488"/>
      <c r="K208" s="488"/>
      <c r="L208" s="488"/>
      <c r="M208" s="488"/>
      <c r="N208" s="488"/>
      <c r="O208" s="488"/>
      <c r="P208" s="488"/>
      <c r="Q208" s="488"/>
      <c r="R208" s="488"/>
      <c r="S208" s="488"/>
      <c r="T208" s="583">
        <v>50771</v>
      </c>
      <c r="U208" s="444"/>
      <c r="V208" s="444"/>
      <c r="W208" s="446"/>
      <c r="X208" s="425"/>
    </row>
    <row r="209" spans="1:24" s="426" customFormat="1" x14ac:dyDescent="0.3">
      <c r="A209" s="443"/>
      <c r="B209" s="444" t="s">
        <v>213</v>
      </c>
      <c r="C209" s="582"/>
      <c r="D209" s="582"/>
      <c r="E209" s="582"/>
      <c r="F209" s="582"/>
      <c r="G209" s="488"/>
      <c r="H209" s="488"/>
      <c r="I209" s="488"/>
      <c r="J209" s="488"/>
      <c r="K209" s="488"/>
      <c r="L209" s="488"/>
      <c r="M209" s="488"/>
      <c r="N209" s="488"/>
      <c r="O209" s="488"/>
      <c r="P209" s="488"/>
      <c r="Q209" s="488"/>
      <c r="R209" s="488"/>
      <c r="S209" s="488"/>
      <c r="T209" s="583">
        <v>50771</v>
      </c>
      <c r="U209" s="444"/>
      <c r="V209" s="444"/>
      <c r="W209" s="446"/>
      <c r="X209" s="425"/>
    </row>
    <row r="210" spans="1:24" s="426" customFormat="1" x14ac:dyDescent="0.3">
      <c r="A210" s="443"/>
      <c r="B210" s="444" t="s">
        <v>75</v>
      </c>
      <c r="C210" s="582"/>
      <c r="D210" s="582"/>
      <c r="E210" s="582"/>
      <c r="F210" s="582"/>
      <c r="G210" s="488"/>
      <c r="H210" s="488"/>
      <c r="I210" s="488"/>
      <c r="J210" s="488"/>
      <c r="K210" s="488"/>
      <c r="L210" s="488"/>
      <c r="M210" s="488"/>
      <c r="N210" s="488"/>
      <c r="O210" s="488"/>
      <c r="P210" s="488"/>
      <c r="Q210" s="488"/>
      <c r="R210" s="488"/>
      <c r="S210" s="488"/>
      <c r="T210" s="484">
        <v>20.66</v>
      </c>
      <c r="U210" s="444" t="s">
        <v>113</v>
      </c>
      <c r="V210" s="444"/>
      <c r="W210" s="446"/>
      <c r="X210" s="425"/>
    </row>
    <row r="211" spans="1:24" s="426" customFormat="1" x14ac:dyDescent="0.3">
      <c r="A211" s="443"/>
      <c r="B211" s="444" t="s">
        <v>76</v>
      </c>
      <c r="C211" s="582"/>
      <c r="D211" s="582"/>
      <c r="E211" s="582"/>
      <c r="F211" s="582"/>
      <c r="G211" s="488"/>
      <c r="H211" s="488"/>
      <c r="I211" s="488"/>
      <c r="J211" s="488"/>
      <c r="K211" s="488"/>
      <c r="L211" s="488"/>
      <c r="M211" s="488"/>
      <c r="N211" s="488"/>
      <c r="O211" s="488"/>
      <c r="P211" s="488"/>
      <c r="Q211" s="488"/>
      <c r="R211" s="488"/>
      <c r="S211" s="488"/>
      <c r="T211" s="484">
        <v>10.08</v>
      </c>
      <c r="U211" s="444" t="s">
        <v>113</v>
      </c>
      <c r="V211" s="444"/>
      <c r="W211" s="446"/>
      <c r="X211" s="425"/>
    </row>
    <row r="212" spans="1:24" s="426" customFormat="1" x14ac:dyDescent="0.3">
      <c r="A212" s="443"/>
      <c r="B212" s="444" t="s">
        <v>77</v>
      </c>
      <c r="C212" s="582"/>
      <c r="D212" s="582"/>
      <c r="E212" s="582"/>
      <c r="F212" s="582"/>
      <c r="G212" s="488"/>
      <c r="H212" s="488"/>
      <c r="I212" s="488"/>
      <c r="J212" s="488"/>
      <c r="K212" s="488"/>
      <c r="L212" s="488"/>
      <c r="M212" s="488"/>
      <c r="N212" s="488"/>
      <c r="O212" s="488"/>
      <c r="P212" s="488"/>
      <c r="Q212" s="488"/>
      <c r="R212" s="488"/>
      <c r="S212" s="488"/>
      <c r="T212" s="479">
        <f>P67/N67</f>
        <v>1.2559323770624698E-2</v>
      </c>
      <c r="U212" s="444"/>
      <c r="V212" s="444"/>
      <c r="W212" s="446"/>
      <c r="X212" s="425"/>
    </row>
    <row r="213" spans="1:24" s="426" customFormat="1" x14ac:dyDescent="0.3">
      <c r="A213" s="443"/>
      <c r="B213" s="444" t="s">
        <v>78</v>
      </c>
      <c r="C213" s="582"/>
      <c r="D213" s="582"/>
      <c r="E213" s="582"/>
      <c r="F213" s="582"/>
      <c r="G213" s="488"/>
      <c r="H213" s="488"/>
      <c r="I213" s="488"/>
      <c r="J213" s="488"/>
      <c r="K213" s="488"/>
      <c r="L213" s="488"/>
      <c r="M213" s="488"/>
      <c r="N213" s="488"/>
      <c r="O213" s="488"/>
      <c r="P213" s="488"/>
      <c r="Q213" s="488"/>
      <c r="R213" s="488"/>
      <c r="S213" s="488"/>
      <c r="T213" s="479">
        <v>6.2700000000000006E-2</v>
      </c>
      <c r="U213" s="444"/>
      <c r="V213" s="444"/>
      <c r="W213" s="446"/>
      <c r="X213" s="425"/>
    </row>
    <row r="214" spans="1:24" s="426" customFormat="1" x14ac:dyDescent="0.3">
      <c r="A214" s="421"/>
      <c r="B214" s="494"/>
      <c r="C214" s="494"/>
      <c r="D214" s="494"/>
      <c r="E214" s="494"/>
      <c r="F214" s="494"/>
      <c r="G214" s="494"/>
      <c r="H214" s="494"/>
      <c r="I214" s="494"/>
      <c r="J214" s="494"/>
      <c r="K214" s="494"/>
      <c r="L214" s="494"/>
      <c r="M214" s="494"/>
      <c r="N214" s="494"/>
      <c r="O214" s="494"/>
      <c r="P214" s="494"/>
      <c r="Q214" s="494"/>
      <c r="R214" s="494"/>
      <c r="S214" s="494"/>
      <c r="T214" s="584"/>
      <c r="U214" s="494"/>
      <c r="V214" s="585"/>
      <c r="W214" s="424"/>
      <c r="X214" s="425"/>
    </row>
    <row r="215" spans="1:24" s="426" customFormat="1" x14ac:dyDescent="0.3">
      <c r="A215" s="586"/>
      <c r="B215" s="420" t="s">
        <v>79</v>
      </c>
      <c r="C215" s="429"/>
      <c r="D215" s="429"/>
      <c r="E215" s="429"/>
      <c r="F215" s="587"/>
      <c r="G215" s="429"/>
      <c r="H215" s="429"/>
      <c r="I215" s="429"/>
      <c r="J215" s="429"/>
      <c r="K215" s="429"/>
      <c r="L215" s="429"/>
      <c r="M215" s="429"/>
      <c r="N215" s="429"/>
      <c r="O215" s="429"/>
      <c r="P215" s="429"/>
      <c r="Q215" s="429"/>
      <c r="R215" s="429"/>
      <c r="S215" s="429" t="s">
        <v>103</v>
      </c>
      <c r="T215" s="587" t="s">
        <v>110</v>
      </c>
      <c r="U215" s="422"/>
      <c r="V215" s="422"/>
      <c r="W215" s="424"/>
      <c r="X215" s="425"/>
    </row>
    <row r="216" spans="1:24" s="426" customFormat="1" x14ac:dyDescent="0.3">
      <c r="A216" s="588"/>
      <c r="B216" s="444" t="s">
        <v>80</v>
      </c>
      <c r="C216" s="516"/>
      <c r="D216" s="516"/>
      <c r="E216" s="516"/>
      <c r="F216" s="444"/>
      <c r="G216" s="444"/>
      <c r="H216" s="450"/>
      <c r="I216" s="450"/>
      <c r="J216" s="450"/>
      <c r="K216" s="450"/>
      <c r="L216" s="450"/>
      <c r="M216" s="450"/>
      <c r="N216" s="450"/>
      <c r="O216" s="450"/>
      <c r="P216" s="450"/>
      <c r="Q216" s="450"/>
      <c r="R216" s="450"/>
      <c r="S216" s="450">
        <v>0</v>
      </c>
      <c r="T216" s="589">
        <v>0</v>
      </c>
      <c r="U216" s="444"/>
      <c r="V216" s="590"/>
      <c r="W216" s="591"/>
      <c r="X216" s="425"/>
    </row>
    <row r="217" spans="1:24" s="426" customFormat="1" x14ac:dyDescent="0.3">
      <c r="A217" s="588"/>
      <c r="B217" s="444" t="s">
        <v>148</v>
      </c>
      <c r="C217" s="516"/>
      <c r="D217" s="516"/>
      <c r="E217" s="516"/>
      <c r="F217" s="444"/>
      <c r="G217" s="444"/>
      <c r="H217" s="450"/>
      <c r="I217" s="450"/>
      <c r="J217" s="450"/>
      <c r="K217" s="450"/>
      <c r="L217" s="450"/>
      <c r="M217" s="450"/>
      <c r="N217" s="450"/>
      <c r="O217" s="450"/>
      <c r="P217" s="450"/>
      <c r="Q217" s="450"/>
      <c r="R217" s="450"/>
      <c r="S217" s="592">
        <f>+R269</f>
        <v>100</v>
      </c>
      <c r="T217" s="589">
        <f>+T269</f>
        <v>17140</v>
      </c>
      <c r="U217" s="444"/>
      <c r="V217" s="590"/>
      <c r="W217" s="591"/>
      <c r="X217" s="425"/>
    </row>
    <row r="218" spans="1:24" s="426" customFormat="1" x14ac:dyDescent="0.3">
      <c r="A218" s="588"/>
      <c r="B218" s="444" t="s">
        <v>81</v>
      </c>
      <c r="C218" s="516"/>
      <c r="D218" s="516"/>
      <c r="E218" s="516"/>
      <c r="F218" s="444"/>
      <c r="G218" s="444"/>
      <c r="H218" s="450"/>
      <c r="I218" s="450"/>
      <c r="J218" s="450"/>
      <c r="K218" s="450"/>
      <c r="L218" s="450"/>
      <c r="M218" s="450"/>
      <c r="N218" s="450"/>
      <c r="O218" s="450"/>
      <c r="P218" s="450"/>
      <c r="Q218" s="450"/>
      <c r="R218" s="450"/>
      <c r="S218" s="592">
        <f>+R281</f>
        <v>0</v>
      </c>
      <c r="T218" s="589">
        <f>+T281</f>
        <v>0</v>
      </c>
      <c r="U218" s="444"/>
      <c r="V218" s="590"/>
      <c r="W218" s="591"/>
      <c r="X218" s="425"/>
    </row>
    <row r="219" spans="1:24" x14ac:dyDescent="0.3">
      <c r="A219" s="593"/>
      <c r="B219" s="594" t="s">
        <v>82</v>
      </c>
      <c r="C219" s="595"/>
      <c r="D219" s="595"/>
      <c r="E219" s="595"/>
      <c r="F219" s="465"/>
      <c r="G219" s="465"/>
      <c r="H219" s="465"/>
      <c r="I219" s="465"/>
      <c r="J219" s="465"/>
      <c r="K219" s="465"/>
      <c r="L219" s="465"/>
      <c r="M219" s="465"/>
      <c r="N219" s="465"/>
      <c r="O219" s="465"/>
      <c r="P219" s="465"/>
      <c r="Q219" s="465"/>
      <c r="R219" s="465"/>
      <c r="S219" s="465"/>
      <c r="T219" s="589">
        <v>0</v>
      </c>
      <c r="U219" s="465"/>
      <c r="V219" s="596"/>
      <c r="W219" s="597"/>
      <c r="X219" s="406"/>
    </row>
    <row r="220" spans="1:24" x14ac:dyDescent="0.3">
      <c r="A220" s="593"/>
      <c r="B220" s="594" t="s">
        <v>275</v>
      </c>
      <c r="C220" s="595"/>
      <c r="D220" s="595"/>
      <c r="E220" s="595"/>
      <c r="F220" s="465"/>
      <c r="G220" s="465"/>
      <c r="H220" s="465"/>
      <c r="I220" s="465"/>
      <c r="J220" s="465"/>
      <c r="K220" s="465"/>
      <c r="L220" s="465"/>
      <c r="M220" s="465"/>
      <c r="N220" s="465"/>
      <c r="O220" s="465"/>
      <c r="P220" s="465"/>
      <c r="Q220" s="465"/>
      <c r="R220" s="465"/>
      <c r="S220" s="465"/>
      <c r="T220" s="589">
        <f>+N80</f>
        <v>0</v>
      </c>
      <c r="U220" s="465"/>
      <c r="V220" s="596"/>
      <c r="W220" s="597"/>
      <c r="X220" s="406"/>
    </row>
    <row r="221" spans="1:24" x14ac:dyDescent="0.3">
      <c r="A221" s="598"/>
      <c r="B221" s="594" t="s">
        <v>83</v>
      </c>
      <c r="C221" s="599"/>
      <c r="D221" s="599"/>
      <c r="E221" s="599"/>
      <c r="F221" s="599"/>
      <c r="G221" s="465"/>
      <c r="H221" s="465"/>
      <c r="I221" s="465"/>
      <c r="J221" s="465"/>
      <c r="K221" s="465"/>
      <c r="L221" s="465"/>
      <c r="M221" s="465"/>
      <c r="N221" s="465"/>
      <c r="O221" s="465"/>
      <c r="P221" s="465"/>
      <c r="Q221" s="465"/>
      <c r="R221" s="465"/>
      <c r="S221" s="465"/>
      <c r="T221" s="600"/>
      <c r="U221" s="465"/>
      <c r="V221" s="596"/>
      <c r="W221" s="601"/>
      <c r="X221" s="406"/>
    </row>
    <row r="222" spans="1:24" s="426" customFormat="1" x14ac:dyDescent="0.3">
      <c r="A222" s="602"/>
      <c r="B222" s="444" t="s">
        <v>84</v>
      </c>
      <c r="C222" s="444"/>
      <c r="D222" s="444"/>
      <c r="E222" s="444"/>
      <c r="F222" s="444"/>
      <c r="G222" s="444"/>
      <c r="H222" s="444"/>
      <c r="I222" s="444"/>
      <c r="J222" s="444"/>
      <c r="K222" s="444"/>
      <c r="L222" s="444"/>
      <c r="M222" s="444"/>
      <c r="N222" s="444"/>
      <c r="O222" s="444"/>
      <c r="P222" s="444"/>
      <c r="Q222" s="444"/>
      <c r="R222" s="444"/>
      <c r="S222" s="450"/>
      <c r="T222" s="589">
        <f>V166</f>
        <v>351</v>
      </c>
      <c r="U222" s="444"/>
      <c r="V222" s="590"/>
      <c r="W222" s="603"/>
      <c r="X222" s="425"/>
    </row>
    <row r="223" spans="1:24" s="426" customFormat="1" x14ac:dyDescent="0.3">
      <c r="A223" s="588"/>
      <c r="B223" s="444" t="s">
        <v>85</v>
      </c>
      <c r="C223" s="516"/>
      <c r="D223" s="516"/>
      <c r="E223" s="516"/>
      <c r="F223" s="516"/>
      <c r="G223" s="444"/>
      <c r="H223" s="444"/>
      <c r="I223" s="444"/>
      <c r="J223" s="444"/>
      <c r="K223" s="444"/>
      <c r="L223" s="444"/>
      <c r="M223" s="444"/>
      <c r="N223" s="444"/>
      <c r="O223" s="444"/>
      <c r="P223" s="444"/>
      <c r="Q223" s="444"/>
      <c r="R223" s="444"/>
      <c r="S223" s="450"/>
      <c r="T223" s="589">
        <f>'March 18'!T223+T222</f>
        <v>10912</v>
      </c>
      <c r="U223" s="444"/>
      <c r="V223" s="590"/>
      <c r="W223" s="603"/>
      <c r="X223" s="425"/>
    </row>
    <row r="224" spans="1:24" x14ac:dyDescent="0.3">
      <c r="A224" s="598"/>
      <c r="B224" s="594" t="s">
        <v>297</v>
      </c>
      <c r="C224" s="599"/>
      <c r="D224" s="599"/>
      <c r="E224" s="599"/>
      <c r="F224" s="599"/>
      <c r="G224" s="465"/>
      <c r="H224" s="465"/>
      <c r="I224" s="465"/>
      <c r="J224" s="465"/>
      <c r="K224" s="465"/>
      <c r="L224" s="465"/>
      <c r="M224" s="465"/>
      <c r="N224" s="465"/>
      <c r="O224" s="465"/>
      <c r="P224" s="465"/>
      <c r="Q224" s="465"/>
      <c r="R224" s="465"/>
      <c r="S224" s="604"/>
      <c r="T224" s="600"/>
      <c r="U224" s="465"/>
      <c r="V224" s="596"/>
      <c r="W224" s="601"/>
      <c r="X224" s="406"/>
    </row>
    <row r="225" spans="1:25" s="426" customFormat="1" x14ac:dyDescent="0.3">
      <c r="A225" s="602"/>
      <c r="B225" s="444" t="s">
        <v>295</v>
      </c>
      <c r="C225" s="444"/>
      <c r="D225" s="444"/>
      <c r="E225" s="444"/>
      <c r="F225" s="444"/>
      <c r="G225" s="444"/>
      <c r="H225" s="444"/>
      <c r="I225" s="444"/>
      <c r="J225" s="444"/>
      <c r="K225" s="444"/>
      <c r="L225" s="444"/>
      <c r="M225" s="444"/>
      <c r="N225" s="444"/>
      <c r="O225" s="444"/>
      <c r="P225" s="444"/>
      <c r="Q225" s="444"/>
      <c r="R225" s="444"/>
      <c r="S225" s="450">
        <v>0</v>
      </c>
      <c r="T225" s="589">
        <v>0</v>
      </c>
      <c r="U225" s="444"/>
      <c r="V225" s="590"/>
      <c r="W225" s="603"/>
      <c r="X225" s="425"/>
    </row>
    <row r="226" spans="1:25" s="426" customFormat="1" x14ac:dyDescent="0.3">
      <c r="A226" s="588"/>
      <c r="B226" s="444" t="s">
        <v>87</v>
      </c>
      <c r="C226" s="482"/>
      <c r="D226" s="482"/>
      <c r="E226" s="482"/>
      <c r="F226" s="605"/>
      <c r="G226" s="444"/>
      <c r="H226" s="444"/>
      <c r="I226" s="444"/>
      <c r="J226" s="444"/>
      <c r="K226" s="444"/>
      <c r="L226" s="444"/>
      <c r="M226" s="444"/>
      <c r="N226" s="444"/>
      <c r="O226" s="444"/>
      <c r="P226" s="444"/>
      <c r="Q226" s="444"/>
      <c r="R226" s="444"/>
      <c r="S226" s="444"/>
      <c r="T226" s="606">
        <v>0</v>
      </c>
      <c r="U226" s="444"/>
      <c r="V226" s="590"/>
      <c r="W226" s="603"/>
      <c r="X226" s="425"/>
    </row>
    <row r="227" spans="1:25" s="426" customFormat="1" x14ac:dyDescent="0.3">
      <c r="A227" s="588"/>
      <c r="B227" s="444" t="s">
        <v>88</v>
      </c>
      <c r="C227" s="482"/>
      <c r="D227" s="482"/>
      <c r="E227" s="482"/>
      <c r="F227" s="605"/>
      <c r="G227" s="444"/>
      <c r="H227" s="444"/>
      <c r="I227" s="444"/>
      <c r="J227" s="444"/>
      <c r="K227" s="444"/>
      <c r="L227" s="444"/>
      <c r="M227" s="444"/>
      <c r="N227" s="444"/>
      <c r="O227" s="444"/>
      <c r="P227" s="444"/>
      <c r="Q227" s="444"/>
      <c r="R227" s="444"/>
      <c r="S227" s="444"/>
      <c r="T227" s="606">
        <v>0</v>
      </c>
      <c r="U227" s="444"/>
      <c r="V227" s="590"/>
      <c r="W227" s="603"/>
      <c r="X227" s="425"/>
    </row>
    <row r="228" spans="1:25" x14ac:dyDescent="0.3">
      <c r="A228" s="593"/>
      <c r="B228" s="594" t="s">
        <v>220</v>
      </c>
      <c r="C228" s="607"/>
      <c r="D228" s="607"/>
      <c r="E228" s="607"/>
      <c r="F228" s="608"/>
      <c r="G228" s="465"/>
      <c r="H228" s="465"/>
      <c r="I228" s="465"/>
      <c r="J228" s="465"/>
      <c r="K228" s="465"/>
      <c r="L228" s="465"/>
      <c r="M228" s="465"/>
      <c r="N228" s="465"/>
      <c r="O228" s="465"/>
      <c r="P228" s="465"/>
      <c r="Q228" s="465"/>
      <c r="R228" s="465"/>
      <c r="S228" s="609"/>
      <c r="T228" s="610"/>
      <c r="U228" s="465"/>
      <c r="V228" s="596"/>
      <c r="W228" s="601"/>
      <c r="X228" s="406"/>
    </row>
    <row r="229" spans="1:25" s="426" customFormat="1" x14ac:dyDescent="0.3">
      <c r="A229" s="588"/>
      <c r="B229" s="444" t="s">
        <v>295</v>
      </c>
      <c r="C229" s="482"/>
      <c r="D229" s="482"/>
      <c r="E229" s="482"/>
      <c r="F229" s="605"/>
      <c r="G229" s="444"/>
      <c r="H229" s="444"/>
      <c r="I229" s="444"/>
      <c r="J229" s="444"/>
      <c r="K229" s="444"/>
      <c r="L229" s="444"/>
      <c r="M229" s="444"/>
      <c r="N229" s="444"/>
      <c r="O229" s="444"/>
      <c r="P229" s="444"/>
      <c r="Q229" s="444"/>
      <c r="R229" s="444"/>
      <c r="S229" s="450">
        <v>6</v>
      </c>
      <c r="T229" s="589">
        <v>609</v>
      </c>
      <c r="U229" s="444"/>
      <c r="V229" s="590"/>
      <c r="W229" s="603"/>
      <c r="X229" s="425"/>
    </row>
    <row r="230" spans="1:25" s="426" customFormat="1" x14ac:dyDescent="0.3">
      <c r="A230" s="588"/>
      <c r="B230" s="444" t="s">
        <v>221</v>
      </c>
      <c r="C230" s="482"/>
      <c r="D230" s="482"/>
      <c r="E230" s="482"/>
      <c r="F230" s="605"/>
      <c r="G230" s="444"/>
      <c r="H230" s="444"/>
      <c r="I230" s="444"/>
      <c r="J230" s="444"/>
      <c r="K230" s="444"/>
      <c r="L230" s="444"/>
      <c r="M230" s="444"/>
      <c r="N230" s="444"/>
      <c r="O230" s="444"/>
      <c r="P230" s="444"/>
      <c r="Q230" s="444"/>
      <c r="R230" s="444"/>
      <c r="S230" s="444"/>
      <c r="T230" s="606">
        <v>16.690000000000001</v>
      </c>
      <c r="U230" s="444"/>
      <c r="V230" s="590"/>
      <c r="W230" s="603"/>
      <c r="X230" s="425"/>
    </row>
    <row r="231" spans="1:25" x14ac:dyDescent="0.3">
      <c r="A231" s="593"/>
      <c r="B231" s="599"/>
      <c r="C231" s="607"/>
      <c r="D231" s="607"/>
      <c r="E231" s="607"/>
      <c r="F231" s="608"/>
      <c r="G231" s="465"/>
      <c r="H231" s="465"/>
      <c r="I231" s="465"/>
      <c r="J231" s="465"/>
      <c r="K231" s="465"/>
      <c r="L231" s="465"/>
      <c r="M231" s="465"/>
      <c r="N231" s="465"/>
      <c r="O231" s="465"/>
      <c r="P231" s="465"/>
      <c r="Q231" s="465"/>
      <c r="R231" s="465"/>
      <c r="S231" s="465"/>
      <c r="T231" s="611"/>
      <c r="U231" s="465"/>
      <c r="V231" s="596"/>
      <c r="W231" s="601"/>
      <c r="X231" s="406"/>
    </row>
    <row r="232" spans="1:25" x14ac:dyDescent="0.3">
      <c r="A232" s="593"/>
      <c r="B232" s="599"/>
      <c r="C232" s="607"/>
      <c r="D232" s="607"/>
      <c r="E232" s="607"/>
      <c r="F232" s="608"/>
      <c r="G232" s="465"/>
      <c r="H232" s="465"/>
      <c r="I232" s="465"/>
      <c r="J232" s="465"/>
      <c r="K232" s="465"/>
      <c r="L232" s="465"/>
      <c r="M232" s="465"/>
      <c r="N232" s="465"/>
      <c r="O232" s="465"/>
      <c r="P232" s="465"/>
      <c r="Q232" s="465"/>
      <c r="R232" s="465"/>
      <c r="S232" s="465"/>
      <c r="T232" s="611"/>
      <c r="U232" s="465"/>
      <c r="V232" s="596"/>
      <c r="W232" s="601"/>
      <c r="X232" s="406"/>
    </row>
    <row r="233" spans="1:25" ht="18" x14ac:dyDescent="0.35">
      <c r="A233" s="593"/>
      <c r="B233" s="612" t="s">
        <v>171</v>
      </c>
      <c r="C233" s="607"/>
      <c r="D233" s="607"/>
      <c r="E233" s="607"/>
      <c r="F233" s="608"/>
      <c r="G233" s="465"/>
      <c r="H233" s="465"/>
      <c r="I233" s="465"/>
      <c r="J233" s="465"/>
      <c r="K233" s="465"/>
      <c r="L233" s="465"/>
      <c r="M233" s="465"/>
      <c r="N233" s="465"/>
      <c r="O233" s="465"/>
      <c r="P233" s="613" t="s">
        <v>370</v>
      </c>
      <c r="Q233" s="465"/>
      <c r="R233" s="465"/>
      <c r="S233" s="465"/>
      <c r="T233" s="611"/>
      <c r="U233" s="465"/>
      <c r="V233" s="596"/>
      <c r="W233" s="601"/>
      <c r="X233" s="406"/>
    </row>
    <row r="234" spans="1:25" x14ac:dyDescent="0.3">
      <c r="A234" s="614"/>
      <c r="B234" s="615"/>
      <c r="C234" s="616"/>
      <c r="D234" s="616"/>
      <c r="E234" s="616"/>
      <c r="F234" s="617"/>
      <c r="G234" s="518"/>
      <c r="H234" s="518"/>
      <c r="I234" s="518"/>
      <c r="J234" s="518"/>
      <c r="K234" s="518"/>
      <c r="L234" s="518"/>
      <c r="M234" s="518"/>
      <c r="N234" s="518"/>
      <c r="O234" s="518"/>
      <c r="P234" s="518"/>
      <c r="Q234" s="518"/>
      <c r="R234" s="518"/>
      <c r="S234" s="518"/>
      <c r="T234" s="618"/>
      <c r="U234" s="518"/>
      <c r="V234" s="619"/>
      <c r="W234" s="620"/>
      <c r="X234" s="406"/>
    </row>
    <row r="235" spans="1:25" x14ac:dyDescent="0.3">
      <c r="A235" s="533"/>
      <c r="B235" s="534" t="s">
        <v>310</v>
      </c>
      <c r="C235" s="535"/>
      <c r="D235" s="535"/>
      <c r="E235" s="535"/>
      <c r="F235" s="621"/>
      <c r="G235" s="535"/>
      <c r="H235" s="535"/>
      <c r="I235" s="535"/>
      <c r="J235" s="535"/>
      <c r="K235" s="535"/>
      <c r="L235" s="535"/>
      <c r="M235" s="535"/>
      <c r="N235" s="535"/>
      <c r="O235" s="535"/>
      <c r="P235" s="535"/>
      <c r="Q235" s="535"/>
      <c r="R235" s="621" t="s">
        <v>103</v>
      </c>
      <c r="S235" s="535" t="s">
        <v>104</v>
      </c>
      <c r="T235" s="621" t="s">
        <v>111</v>
      </c>
      <c r="U235" s="535" t="s">
        <v>104</v>
      </c>
      <c r="V235" s="622"/>
      <c r="W235" s="623"/>
      <c r="X235" s="406"/>
    </row>
    <row r="236" spans="1:25" s="426" customFormat="1" x14ac:dyDescent="0.3">
      <c r="A236" s="421"/>
      <c r="B236" s="552" t="s">
        <v>89</v>
      </c>
      <c r="C236" s="624"/>
      <c r="D236" s="624"/>
      <c r="E236" s="624"/>
      <c r="F236" s="494"/>
      <c r="G236" s="624"/>
      <c r="H236" s="624"/>
      <c r="I236" s="624"/>
      <c r="J236" s="624"/>
      <c r="K236" s="624"/>
      <c r="L236" s="624"/>
      <c r="M236" s="624"/>
      <c r="N236" s="624"/>
      <c r="O236" s="624"/>
      <c r="P236" s="624"/>
      <c r="Q236" s="624"/>
      <c r="R236" s="539">
        <f t="shared" ref="R236:R243" si="1">+R248+R260+R272</f>
        <v>5916</v>
      </c>
      <c r="S236" s="625">
        <f t="shared" ref="S236:S243" si="2">R236/$R$245</f>
        <v>0.99528936742934049</v>
      </c>
      <c r="T236" s="540">
        <f t="shared" ref="T236:T243" si="3">+T248+T260+T272</f>
        <v>757418</v>
      </c>
      <c r="U236" s="625">
        <f t="shared" ref="U236:U243" si="4">T236/$T$245</f>
        <v>0.99431570545639769</v>
      </c>
      <c r="V236" s="585"/>
      <c r="W236" s="626"/>
      <c r="X236" s="425"/>
    </row>
    <row r="237" spans="1:25" s="426" customFormat="1" x14ac:dyDescent="0.3">
      <c r="A237" s="443"/>
      <c r="B237" s="516" t="s">
        <v>90</v>
      </c>
      <c r="C237" s="627"/>
      <c r="D237" s="627"/>
      <c r="E237" s="627"/>
      <c r="F237" s="444"/>
      <c r="G237" s="628"/>
      <c r="H237" s="627"/>
      <c r="I237" s="627"/>
      <c r="J237" s="627"/>
      <c r="K237" s="627"/>
      <c r="L237" s="627"/>
      <c r="M237" s="627"/>
      <c r="N237" s="627"/>
      <c r="O237" s="627"/>
      <c r="P237" s="627"/>
      <c r="Q237" s="627"/>
      <c r="R237" s="516">
        <f t="shared" si="1"/>
        <v>6</v>
      </c>
      <c r="S237" s="628">
        <f t="shared" si="2"/>
        <v>1.009421265141319E-3</v>
      </c>
      <c r="T237" s="517">
        <f t="shared" si="3"/>
        <v>1337</v>
      </c>
      <c r="U237" s="628">
        <f t="shared" si="4"/>
        <v>1.7551736269737499E-3</v>
      </c>
      <c r="V237" s="590"/>
      <c r="W237" s="603"/>
      <c r="X237" s="425"/>
      <c r="Y237" s="549"/>
    </row>
    <row r="238" spans="1:25" s="426" customFormat="1" x14ac:dyDescent="0.3">
      <c r="A238" s="443"/>
      <c r="B238" s="516" t="s">
        <v>91</v>
      </c>
      <c r="C238" s="627"/>
      <c r="D238" s="627"/>
      <c r="E238" s="627"/>
      <c r="F238" s="444"/>
      <c r="G238" s="628"/>
      <c r="H238" s="627"/>
      <c r="I238" s="627"/>
      <c r="J238" s="627"/>
      <c r="K238" s="627"/>
      <c r="L238" s="627"/>
      <c r="M238" s="627"/>
      <c r="N238" s="627"/>
      <c r="O238" s="627"/>
      <c r="P238" s="627"/>
      <c r="Q238" s="627"/>
      <c r="R238" s="516">
        <f t="shared" si="1"/>
        <v>1</v>
      </c>
      <c r="S238" s="628">
        <f t="shared" si="2"/>
        <v>1.6823687752355316E-4</v>
      </c>
      <c r="T238" s="517">
        <f t="shared" si="3"/>
        <v>212</v>
      </c>
      <c r="U238" s="628">
        <f t="shared" si="4"/>
        <v>2.7830726171909869E-4</v>
      </c>
      <c r="V238" s="590"/>
      <c r="W238" s="603"/>
      <c r="X238" s="425"/>
    </row>
    <row r="239" spans="1:25" s="426" customFormat="1" x14ac:dyDescent="0.3">
      <c r="A239" s="443"/>
      <c r="B239" s="516" t="s">
        <v>159</v>
      </c>
      <c r="C239" s="627"/>
      <c r="D239" s="627"/>
      <c r="E239" s="627"/>
      <c r="F239" s="444"/>
      <c r="G239" s="628"/>
      <c r="H239" s="627"/>
      <c r="I239" s="627"/>
      <c r="J239" s="627"/>
      <c r="K239" s="627"/>
      <c r="L239" s="627"/>
      <c r="M239" s="627"/>
      <c r="N239" s="627"/>
      <c r="O239" s="627"/>
      <c r="P239" s="627"/>
      <c r="Q239" s="627"/>
      <c r="R239" s="516">
        <f t="shared" si="1"/>
        <v>2</v>
      </c>
      <c r="S239" s="628">
        <f t="shared" si="2"/>
        <v>3.3647375504710633E-4</v>
      </c>
      <c r="T239" s="517">
        <f t="shared" si="3"/>
        <v>145</v>
      </c>
      <c r="U239" s="628">
        <f t="shared" si="4"/>
        <v>1.9035166485504394E-4</v>
      </c>
      <c r="V239" s="590"/>
      <c r="W239" s="603"/>
      <c r="X239" s="425"/>
      <c r="Y239" s="549"/>
    </row>
    <row r="240" spans="1:25" s="426" customFormat="1" x14ac:dyDescent="0.3">
      <c r="A240" s="443"/>
      <c r="B240" s="516" t="s">
        <v>160</v>
      </c>
      <c r="C240" s="627"/>
      <c r="D240" s="627"/>
      <c r="E240" s="627"/>
      <c r="F240" s="444"/>
      <c r="G240" s="628"/>
      <c r="H240" s="627"/>
      <c r="I240" s="627"/>
      <c r="J240" s="627"/>
      <c r="K240" s="627"/>
      <c r="L240" s="627"/>
      <c r="M240" s="627"/>
      <c r="N240" s="627"/>
      <c r="O240" s="627"/>
      <c r="P240" s="627"/>
      <c r="Q240" s="627"/>
      <c r="R240" s="516">
        <f t="shared" si="1"/>
        <v>1</v>
      </c>
      <c r="S240" s="628">
        <f t="shared" si="2"/>
        <v>1.6823687752355316E-4</v>
      </c>
      <c r="T240" s="517">
        <f t="shared" si="3"/>
        <v>110</v>
      </c>
      <c r="U240" s="628">
        <f t="shared" si="4"/>
        <v>1.4440471126934366E-4</v>
      </c>
      <c r="V240" s="590"/>
      <c r="W240" s="603"/>
      <c r="X240" s="425"/>
    </row>
    <row r="241" spans="1:25" s="426" customFormat="1" x14ac:dyDescent="0.3">
      <c r="A241" s="443"/>
      <c r="B241" s="516" t="s">
        <v>161</v>
      </c>
      <c r="C241" s="627"/>
      <c r="D241" s="627"/>
      <c r="E241" s="627"/>
      <c r="F241" s="444"/>
      <c r="G241" s="628"/>
      <c r="H241" s="627"/>
      <c r="I241" s="627"/>
      <c r="J241" s="627"/>
      <c r="K241" s="627"/>
      <c r="L241" s="627"/>
      <c r="M241" s="627"/>
      <c r="N241" s="627"/>
      <c r="O241" s="627"/>
      <c r="P241" s="627"/>
      <c r="Q241" s="627"/>
      <c r="R241" s="516">
        <f t="shared" si="1"/>
        <v>0</v>
      </c>
      <c r="S241" s="628">
        <f t="shared" si="2"/>
        <v>0</v>
      </c>
      <c r="T241" s="517">
        <f t="shared" si="3"/>
        <v>0</v>
      </c>
      <c r="U241" s="628">
        <f t="shared" si="4"/>
        <v>0</v>
      </c>
      <c r="V241" s="590"/>
      <c r="W241" s="603"/>
      <c r="X241" s="425"/>
      <c r="Y241" s="549"/>
    </row>
    <row r="242" spans="1:25" s="426" customFormat="1" x14ac:dyDescent="0.3">
      <c r="A242" s="443"/>
      <c r="B242" s="516" t="s">
        <v>162</v>
      </c>
      <c r="C242" s="627"/>
      <c r="D242" s="627"/>
      <c r="E242" s="627"/>
      <c r="F242" s="444"/>
      <c r="G242" s="628"/>
      <c r="H242" s="627"/>
      <c r="I242" s="627"/>
      <c r="J242" s="627"/>
      <c r="K242" s="627"/>
      <c r="L242" s="627"/>
      <c r="M242" s="627"/>
      <c r="N242" s="627"/>
      <c r="O242" s="627"/>
      <c r="P242" s="627"/>
      <c r="Q242" s="627"/>
      <c r="R242" s="516">
        <f t="shared" si="1"/>
        <v>6</v>
      </c>
      <c r="S242" s="628">
        <f t="shared" si="2"/>
        <v>1.009421265141319E-3</v>
      </c>
      <c r="T242" s="517">
        <f t="shared" si="3"/>
        <v>758</v>
      </c>
      <c r="U242" s="628">
        <f t="shared" si="4"/>
        <v>9.950797376560227E-4</v>
      </c>
      <c r="V242" s="590"/>
      <c r="W242" s="603"/>
      <c r="X242" s="425"/>
    </row>
    <row r="243" spans="1:25" s="426" customFormat="1" x14ac:dyDescent="0.3">
      <c r="A243" s="443"/>
      <c r="B243" s="516" t="s">
        <v>163</v>
      </c>
      <c r="C243" s="627"/>
      <c r="D243" s="627"/>
      <c r="E243" s="627"/>
      <c r="F243" s="444"/>
      <c r="G243" s="628"/>
      <c r="H243" s="627"/>
      <c r="I243" s="627"/>
      <c r="J243" s="627"/>
      <c r="K243" s="627"/>
      <c r="L243" s="627"/>
      <c r="M243" s="627"/>
      <c r="N243" s="627"/>
      <c r="O243" s="627"/>
      <c r="P243" s="627"/>
      <c r="Q243" s="627"/>
      <c r="R243" s="516">
        <f t="shared" si="1"/>
        <v>12</v>
      </c>
      <c r="S243" s="628">
        <f t="shared" si="2"/>
        <v>2.018842530282638E-3</v>
      </c>
      <c r="T243" s="517">
        <f t="shared" si="3"/>
        <v>1768</v>
      </c>
      <c r="U243" s="628">
        <f t="shared" si="4"/>
        <v>2.3209775411290874E-3</v>
      </c>
      <c r="V243" s="590"/>
      <c r="W243" s="603"/>
      <c r="X243" s="425"/>
      <c r="Y243" s="549"/>
    </row>
    <row r="244" spans="1:25" s="426" customFormat="1" x14ac:dyDescent="0.3">
      <c r="A244" s="443"/>
      <c r="B244" s="516"/>
      <c r="C244" s="627"/>
      <c r="D244" s="627"/>
      <c r="E244" s="627"/>
      <c r="F244" s="444"/>
      <c r="G244" s="628"/>
      <c r="H244" s="627"/>
      <c r="I244" s="627"/>
      <c r="J244" s="627"/>
      <c r="K244" s="627"/>
      <c r="L244" s="627"/>
      <c r="M244" s="627"/>
      <c r="N244" s="627"/>
      <c r="O244" s="627"/>
      <c r="P244" s="627"/>
      <c r="Q244" s="627"/>
      <c r="R244" s="516"/>
      <c r="S244" s="628"/>
      <c r="T244" s="517"/>
      <c r="U244" s="628"/>
      <c r="V244" s="590"/>
      <c r="W244" s="603"/>
      <c r="X244" s="425"/>
    </row>
    <row r="245" spans="1:25" s="426" customFormat="1" x14ac:dyDescent="0.3">
      <c r="A245" s="443"/>
      <c r="B245" s="444" t="s">
        <v>117</v>
      </c>
      <c r="C245" s="444"/>
      <c r="D245" s="444"/>
      <c r="E245" s="444"/>
      <c r="F245" s="444"/>
      <c r="G245" s="444"/>
      <c r="H245" s="629"/>
      <c r="I245" s="629"/>
      <c r="J245" s="629"/>
      <c r="K245" s="629"/>
      <c r="L245" s="629"/>
      <c r="M245" s="629"/>
      <c r="N245" s="629"/>
      <c r="O245" s="629"/>
      <c r="P245" s="629"/>
      <c r="Q245" s="629"/>
      <c r="R245" s="516">
        <f>SUM(R236:R244)</f>
        <v>5944</v>
      </c>
      <c r="S245" s="628">
        <f>SUM(S236:S244)</f>
        <v>1</v>
      </c>
      <c r="T245" s="517">
        <f>SUM(T236:T244)</f>
        <v>761748</v>
      </c>
      <c r="U245" s="628">
        <f>SUM(U236:U244)</f>
        <v>0.99999999999999989</v>
      </c>
      <c r="V245" s="444"/>
      <c r="W245" s="446"/>
      <c r="X245" s="425"/>
    </row>
    <row r="246" spans="1:25" x14ac:dyDescent="0.3">
      <c r="A246" s="614"/>
      <c r="B246" s="615"/>
      <c r="C246" s="616"/>
      <c r="D246" s="616"/>
      <c r="E246" s="616"/>
      <c r="F246" s="617"/>
      <c r="G246" s="518"/>
      <c r="H246" s="518"/>
      <c r="I246" s="518"/>
      <c r="J246" s="518"/>
      <c r="K246" s="518"/>
      <c r="L246" s="518"/>
      <c r="M246" s="518"/>
      <c r="N246" s="518"/>
      <c r="O246" s="518"/>
      <c r="P246" s="518"/>
      <c r="Q246" s="518"/>
      <c r="R246" s="518"/>
      <c r="S246" s="518"/>
      <c r="T246" s="618"/>
      <c r="U246" s="518"/>
      <c r="V246" s="619"/>
      <c r="W246" s="620"/>
      <c r="X246" s="406"/>
    </row>
    <row r="247" spans="1:25" x14ac:dyDescent="0.3">
      <c r="A247" s="533"/>
      <c r="B247" s="534" t="s">
        <v>165</v>
      </c>
      <c r="C247" s="535"/>
      <c r="D247" s="535"/>
      <c r="E247" s="535"/>
      <c r="F247" s="621"/>
      <c r="G247" s="535"/>
      <c r="H247" s="535"/>
      <c r="I247" s="535"/>
      <c r="J247" s="535"/>
      <c r="K247" s="535"/>
      <c r="L247" s="535"/>
      <c r="M247" s="535"/>
      <c r="N247" s="535"/>
      <c r="O247" s="535"/>
      <c r="P247" s="535"/>
      <c r="Q247" s="535"/>
      <c r="R247" s="621" t="s">
        <v>103</v>
      </c>
      <c r="S247" s="535" t="s">
        <v>104</v>
      </c>
      <c r="T247" s="621" t="s">
        <v>111</v>
      </c>
      <c r="U247" s="535" t="s">
        <v>104</v>
      </c>
      <c r="V247" s="622"/>
      <c r="W247" s="623"/>
      <c r="X247" s="406"/>
    </row>
    <row r="248" spans="1:25" s="426" customFormat="1" x14ac:dyDescent="0.3">
      <c r="A248" s="421"/>
      <c r="B248" s="552" t="s">
        <v>89</v>
      </c>
      <c r="C248" s="624"/>
      <c r="D248" s="624"/>
      <c r="E248" s="624"/>
      <c r="F248" s="494"/>
      <c r="G248" s="624"/>
      <c r="H248" s="624"/>
      <c r="I248" s="624"/>
      <c r="J248" s="624"/>
      <c r="K248" s="624"/>
      <c r="L248" s="624"/>
      <c r="M248" s="624"/>
      <c r="N248" s="624"/>
      <c r="O248" s="624"/>
      <c r="P248" s="624"/>
      <c r="Q248" s="624"/>
      <c r="R248" s="552">
        <v>5834</v>
      </c>
      <c r="S248" s="630">
        <f t="shared" ref="S248:S255" si="5">R248/$R$257</f>
        <v>0.99828884325804246</v>
      </c>
      <c r="T248" s="631">
        <v>742715</v>
      </c>
      <c r="U248" s="630">
        <f t="shared" ref="U248:U255" si="6">T248/$T$257</f>
        <v>0.99745772272121702</v>
      </c>
      <c r="V248" s="585"/>
      <c r="W248" s="626"/>
      <c r="X248" s="425"/>
    </row>
    <row r="249" spans="1:25" s="426" customFormat="1" x14ac:dyDescent="0.3">
      <c r="A249" s="443"/>
      <c r="B249" s="516" t="s">
        <v>90</v>
      </c>
      <c r="C249" s="627"/>
      <c r="D249" s="627"/>
      <c r="E249" s="627"/>
      <c r="F249" s="444"/>
      <c r="G249" s="628"/>
      <c r="H249" s="627"/>
      <c r="I249" s="627"/>
      <c r="J249" s="627"/>
      <c r="K249" s="627"/>
      <c r="L249" s="627"/>
      <c r="M249" s="627"/>
      <c r="N249" s="627"/>
      <c r="O249" s="627"/>
      <c r="P249" s="627"/>
      <c r="Q249" s="627"/>
      <c r="R249" s="516">
        <v>6</v>
      </c>
      <c r="S249" s="628">
        <f t="shared" si="5"/>
        <v>1.026694045174538E-3</v>
      </c>
      <c r="T249" s="517">
        <v>1337</v>
      </c>
      <c r="U249" s="628">
        <f t="shared" si="6"/>
        <v>1.795575658601573E-3</v>
      </c>
      <c r="V249" s="590"/>
      <c r="W249" s="603"/>
      <c r="X249" s="425"/>
      <c r="Y249" s="549"/>
    </row>
    <row r="250" spans="1:25" s="426" customFormat="1" x14ac:dyDescent="0.3">
      <c r="A250" s="443"/>
      <c r="B250" s="516" t="s">
        <v>91</v>
      </c>
      <c r="C250" s="627"/>
      <c r="D250" s="627"/>
      <c r="E250" s="627"/>
      <c r="F250" s="444"/>
      <c r="G250" s="628"/>
      <c r="H250" s="627"/>
      <c r="I250" s="627"/>
      <c r="J250" s="627"/>
      <c r="K250" s="627"/>
      <c r="L250" s="627"/>
      <c r="M250" s="627"/>
      <c r="N250" s="627"/>
      <c r="O250" s="627"/>
      <c r="P250" s="627"/>
      <c r="Q250" s="627"/>
      <c r="R250" s="516">
        <v>1</v>
      </c>
      <c r="S250" s="628">
        <f t="shared" si="5"/>
        <v>1.7111567419575633E-4</v>
      </c>
      <c r="T250" s="517">
        <v>212</v>
      </c>
      <c r="U250" s="628">
        <f t="shared" si="6"/>
        <v>2.8471356740728009E-4</v>
      </c>
      <c r="V250" s="590"/>
      <c r="W250" s="603"/>
      <c r="X250" s="425"/>
    </row>
    <row r="251" spans="1:25" s="426" customFormat="1" x14ac:dyDescent="0.3">
      <c r="A251" s="443"/>
      <c r="B251" s="516" t="s">
        <v>159</v>
      </c>
      <c r="C251" s="627"/>
      <c r="D251" s="627"/>
      <c r="E251" s="627"/>
      <c r="F251" s="444"/>
      <c r="G251" s="628"/>
      <c r="H251" s="627"/>
      <c r="I251" s="627"/>
      <c r="J251" s="627"/>
      <c r="K251" s="627"/>
      <c r="L251" s="627"/>
      <c r="M251" s="627"/>
      <c r="N251" s="627"/>
      <c r="O251" s="627"/>
      <c r="P251" s="627"/>
      <c r="Q251" s="627"/>
      <c r="R251" s="516">
        <v>2</v>
      </c>
      <c r="S251" s="628">
        <f t="shared" si="5"/>
        <v>3.4223134839151266E-4</v>
      </c>
      <c r="T251" s="517">
        <v>145</v>
      </c>
      <c r="U251" s="628">
        <f t="shared" si="6"/>
        <v>1.9473333619837553E-4</v>
      </c>
      <c r="V251" s="590"/>
      <c r="W251" s="603"/>
      <c r="X251" s="425"/>
      <c r="Y251" s="549"/>
    </row>
    <row r="252" spans="1:25" s="426" customFormat="1" x14ac:dyDescent="0.3">
      <c r="A252" s="443"/>
      <c r="B252" s="516" t="s">
        <v>160</v>
      </c>
      <c r="C252" s="627"/>
      <c r="D252" s="627"/>
      <c r="E252" s="627"/>
      <c r="F252" s="444"/>
      <c r="G252" s="628"/>
      <c r="H252" s="627"/>
      <c r="I252" s="627"/>
      <c r="J252" s="627"/>
      <c r="K252" s="627"/>
      <c r="L252" s="627"/>
      <c r="M252" s="627"/>
      <c r="N252" s="627"/>
      <c r="O252" s="627"/>
      <c r="P252" s="627"/>
      <c r="Q252" s="627"/>
      <c r="R252" s="516">
        <v>0</v>
      </c>
      <c r="S252" s="628">
        <f t="shared" si="5"/>
        <v>0</v>
      </c>
      <c r="T252" s="517">
        <v>0</v>
      </c>
      <c r="U252" s="628">
        <f t="shared" si="6"/>
        <v>0</v>
      </c>
      <c r="V252" s="590"/>
      <c r="W252" s="603"/>
      <c r="X252" s="425"/>
    </row>
    <row r="253" spans="1:25" s="426" customFormat="1" x14ac:dyDescent="0.3">
      <c r="A253" s="443"/>
      <c r="B253" s="516" t="s">
        <v>161</v>
      </c>
      <c r="C253" s="627"/>
      <c r="D253" s="627"/>
      <c r="E253" s="627"/>
      <c r="F253" s="444"/>
      <c r="G253" s="628"/>
      <c r="H253" s="627"/>
      <c r="I253" s="627"/>
      <c r="J253" s="627"/>
      <c r="K253" s="627"/>
      <c r="L253" s="627"/>
      <c r="M253" s="627"/>
      <c r="N253" s="627"/>
      <c r="O253" s="627"/>
      <c r="P253" s="627"/>
      <c r="Q253" s="627"/>
      <c r="R253" s="516">
        <v>0</v>
      </c>
      <c r="S253" s="628">
        <f t="shared" si="5"/>
        <v>0</v>
      </c>
      <c r="T253" s="517">
        <v>0</v>
      </c>
      <c r="U253" s="628">
        <f t="shared" si="6"/>
        <v>0</v>
      </c>
      <c r="V253" s="590"/>
      <c r="W253" s="603"/>
      <c r="X253" s="425"/>
      <c r="Y253" s="549"/>
    </row>
    <row r="254" spans="1:25" s="426" customFormat="1" x14ac:dyDescent="0.3">
      <c r="A254" s="443"/>
      <c r="B254" s="516" t="s">
        <v>162</v>
      </c>
      <c r="C254" s="627"/>
      <c r="D254" s="627"/>
      <c r="E254" s="627"/>
      <c r="F254" s="444"/>
      <c r="G254" s="628"/>
      <c r="H254" s="627"/>
      <c r="I254" s="627"/>
      <c r="J254" s="627"/>
      <c r="K254" s="627"/>
      <c r="L254" s="627"/>
      <c r="M254" s="627"/>
      <c r="N254" s="627"/>
      <c r="O254" s="627"/>
      <c r="P254" s="627"/>
      <c r="Q254" s="627"/>
      <c r="R254" s="516">
        <v>1</v>
      </c>
      <c r="S254" s="628">
        <f t="shared" si="5"/>
        <v>1.7111567419575633E-4</v>
      </c>
      <c r="T254" s="517">
        <v>199</v>
      </c>
      <c r="U254" s="628">
        <f t="shared" si="6"/>
        <v>2.6725471657570158E-4</v>
      </c>
      <c r="V254" s="590"/>
      <c r="W254" s="603"/>
      <c r="X254" s="425"/>
    </row>
    <row r="255" spans="1:25" s="426" customFormat="1" x14ac:dyDescent="0.3">
      <c r="A255" s="443"/>
      <c r="B255" s="516" t="s">
        <v>163</v>
      </c>
      <c r="C255" s="627"/>
      <c r="D255" s="627"/>
      <c r="E255" s="627"/>
      <c r="F255" s="444"/>
      <c r="G255" s="628"/>
      <c r="H255" s="627"/>
      <c r="I255" s="627"/>
      <c r="J255" s="627"/>
      <c r="K255" s="627"/>
      <c r="L255" s="627"/>
      <c r="M255" s="627"/>
      <c r="N255" s="627"/>
      <c r="O255" s="627"/>
      <c r="P255" s="627"/>
      <c r="Q255" s="627"/>
      <c r="R255" s="516">
        <v>0</v>
      </c>
      <c r="S255" s="628">
        <f t="shared" si="5"/>
        <v>0</v>
      </c>
      <c r="T255" s="517">
        <v>0</v>
      </c>
      <c r="U255" s="628">
        <f t="shared" si="6"/>
        <v>0</v>
      </c>
      <c r="V255" s="590"/>
      <c r="W255" s="603"/>
      <c r="X255" s="425"/>
      <c r="Y255" s="549"/>
    </row>
    <row r="256" spans="1:25" s="426" customFormat="1" x14ac:dyDescent="0.3">
      <c r="A256" s="443"/>
      <c r="B256" s="516"/>
      <c r="C256" s="627"/>
      <c r="D256" s="627"/>
      <c r="E256" s="627"/>
      <c r="F256" s="444"/>
      <c r="G256" s="628"/>
      <c r="H256" s="627"/>
      <c r="I256" s="627"/>
      <c r="J256" s="627"/>
      <c r="K256" s="627"/>
      <c r="L256" s="627"/>
      <c r="M256" s="627"/>
      <c r="N256" s="627"/>
      <c r="O256" s="627"/>
      <c r="P256" s="627"/>
      <c r="Q256" s="627"/>
      <c r="R256" s="516"/>
      <c r="S256" s="628"/>
      <c r="T256" s="517"/>
      <c r="U256" s="628"/>
      <c r="V256" s="590"/>
      <c r="W256" s="603"/>
      <c r="X256" s="425"/>
    </row>
    <row r="257" spans="1:24" s="426" customFormat="1" x14ac:dyDescent="0.3">
      <c r="A257" s="443"/>
      <c r="B257" s="444" t="s">
        <v>117</v>
      </c>
      <c r="C257" s="444"/>
      <c r="D257" s="444"/>
      <c r="E257" s="444"/>
      <c r="F257" s="444"/>
      <c r="G257" s="444"/>
      <c r="H257" s="629"/>
      <c r="I257" s="629"/>
      <c r="J257" s="629"/>
      <c r="K257" s="629"/>
      <c r="L257" s="629"/>
      <c r="M257" s="629"/>
      <c r="N257" s="629"/>
      <c r="O257" s="629"/>
      <c r="P257" s="629"/>
      <c r="Q257" s="629"/>
      <c r="R257" s="516">
        <f>SUM(R248:R256)</f>
        <v>5844</v>
      </c>
      <c r="S257" s="628">
        <f>SUM(S248:S256)</f>
        <v>1</v>
      </c>
      <c r="T257" s="517">
        <f>SUM(T248:T256)</f>
        <v>744608</v>
      </c>
      <c r="U257" s="628">
        <f>SUM(U248:U256)</f>
        <v>1</v>
      </c>
      <c r="V257" s="444"/>
      <c r="W257" s="446"/>
      <c r="X257" s="425"/>
    </row>
    <row r="258" spans="1:24" x14ac:dyDescent="0.3">
      <c r="A258" s="408"/>
      <c r="B258" s="518"/>
      <c r="C258" s="518"/>
      <c r="D258" s="518"/>
      <c r="E258" s="518"/>
      <c r="F258" s="518"/>
      <c r="G258" s="518"/>
      <c r="H258" s="632"/>
      <c r="I258" s="632"/>
      <c r="J258" s="632"/>
      <c r="K258" s="632"/>
      <c r="L258" s="632"/>
      <c r="M258" s="632"/>
      <c r="N258" s="632"/>
      <c r="O258" s="632"/>
      <c r="P258" s="632"/>
      <c r="Q258" s="632"/>
      <c r="R258" s="519"/>
      <c r="S258" s="633"/>
      <c r="T258" s="634"/>
      <c r="U258" s="633"/>
      <c r="V258" s="518"/>
      <c r="W258" s="411"/>
      <c r="X258" s="406"/>
    </row>
    <row r="259" spans="1:24" x14ac:dyDescent="0.3">
      <c r="A259" s="533"/>
      <c r="B259" s="534" t="s">
        <v>279</v>
      </c>
      <c r="C259" s="535"/>
      <c r="D259" s="535"/>
      <c r="E259" s="535"/>
      <c r="F259" s="621"/>
      <c r="G259" s="535"/>
      <c r="H259" s="535"/>
      <c r="I259" s="535"/>
      <c r="J259" s="535"/>
      <c r="K259" s="535"/>
      <c r="L259" s="535"/>
      <c r="M259" s="535"/>
      <c r="N259" s="535"/>
      <c r="O259" s="535"/>
      <c r="P259" s="535"/>
      <c r="Q259" s="535"/>
      <c r="R259" s="621" t="s">
        <v>103</v>
      </c>
      <c r="S259" s="535" t="s">
        <v>104</v>
      </c>
      <c r="T259" s="621" t="s">
        <v>111</v>
      </c>
      <c r="U259" s="535" t="s">
        <v>104</v>
      </c>
      <c r="V259" s="622"/>
      <c r="W259" s="538"/>
      <c r="X259" s="406"/>
    </row>
    <row r="260" spans="1:24" s="426" customFormat="1" x14ac:dyDescent="0.3">
      <c r="A260" s="421"/>
      <c r="B260" s="552" t="s">
        <v>89</v>
      </c>
      <c r="C260" s="624"/>
      <c r="D260" s="624"/>
      <c r="E260" s="624"/>
      <c r="F260" s="494"/>
      <c r="G260" s="624"/>
      <c r="H260" s="624"/>
      <c r="I260" s="624"/>
      <c r="J260" s="624"/>
      <c r="K260" s="624"/>
      <c r="L260" s="624"/>
      <c r="M260" s="624"/>
      <c r="N260" s="624"/>
      <c r="O260" s="624"/>
      <c r="P260" s="624"/>
      <c r="Q260" s="624"/>
      <c r="R260" s="552">
        <v>82</v>
      </c>
      <c r="S260" s="630">
        <f>R260/$R$269</f>
        <v>0.82</v>
      </c>
      <c r="T260" s="631">
        <v>14703</v>
      </c>
      <c r="U260" s="630">
        <f t="shared" ref="U260:U267" si="7">T260/$T$269</f>
        <v>0.85781796966161028</v>
      </c>
      <c r="V260" s="494"/>
      <c r="W260" s="424"/>
      <c r="X260" s="425"/>
    </row>
    <row r="261" spans="1:24" s="426" customFormat="1" x14ac:dyDescent="0.3">
      <c r="A261" s="443"/>
      <c r="B261" s="516" t="s">
        <v>90</v>
      </c>
      <c r="C261" s="627"/>
      <c r="D261" s="627"/>
      <c r="E261" s="627"/>
      <c r="F261" s="444"/>
      <c r="G261" s="628"/>
      <c r="H261" s="627"/>
      <c r="I261" s="627"/>
      <c r="J261" s="627"/>
      <c r="K261" s="627"/>
      <c r="L261" s="627"/>
      <c r="M261" s="627"/>
      <c r="N261" s="627"/>
      <c r="O261" s="627"/>
      <c r="P261" s="627"/>
      <c r="Q261" s="627"/>
      <c r="R261" s="516">
        <v>0</v>
      </c>
      <c r="S261" s="628">
        <f t="shared" ref="S261:S265" si="8">R261/$R$269</f>
        <v>0</v>
      </c>
      <c r="T261" s="517">
        <v>0</v>
      </c>
      <c r="U261" s="628">
        <f t="shared" si="7"/>
        <v>0</v>
      </c>
      <c r="V261" s="444"/>
      <c r="W261" s="446"/>
      <c r="X261" s="425"/>
    </row>
    <row r="262" spans="1:24" s="426" customFormat="1" x14ac:dyDescent="0.3">
      <c r="A262" s="443"/>
      <c r="B262" s="516" t="s">
        <v>91</v>
      </c>
      <c r="C262" s="627"/>
      <c r="D262" s="627"/>
      <c r="E262" s="627"/>
      <c r="F262" s="444"/>
      <c r="G262" s="628"/>
      <c r="H262" s="627"/>
      <c r="I262" s="627"/>
      <c r="J262" s="627"/>
      <c r="K262" s="627"/>
      <c r="L262" s="627"/>
      <c r="M262" s="627"/>
      <c r="N262" s="627"/>
      <c r="O262" s="627"/>
      <c r="P262" s="627"/>
      <c r="Q262" s="627"/>
      <c r="R262" s="516">
        <v>0</v>
      </c>
      <c r="S262" s="628">
        <f t="shared" si="8"/>
        <v>0</v>
      </c>
      <c r="T262" s="517">
        <v>0</v>
      </c>
      <c r="U262" s="628">
        <f t="shared" si="7"/>
        <v>0</v>
      </c>
      <c r="V262" s="444"/>
      <c r="W262" s="446"/>
      <c r="X262" s="425"/>
    </row>
    <row r="263" spans="1:24" s="426" customFormat="1" x14ac:dyDescent="0.3">
      <c r="A263" s="443"/>
      <c r="B263" s="516" t="s">
        <v>159</v>
      </c>
      <c r="C263" s="627"/>
      <c r="D263" s="627"/>
      <c r="E263" s="627"/>
      <c r="F263" s="444"/>
      <c r="G263" s="628"/>
      <c r="H263" s="627"/>
      <c r="I263" s="627"/>
      <c r="J263" s="627"/>
      <c r="K263" s="627"/>
      <c r="L263" s="627"/>
      <c r="M263" s="627"/>
      <c r="N263" s="627"/>
      <c r="O263" s="627"/>
      <c r="P263" s="627"/>
      <c r="Q263" s="627"/>
      <c r="R263" s="516">
        <v>0</v>
      </c>
      <c r="S263" s="628">
        <f t="shared" si="8"/>
        <v>0</v>
      </c>
      <c r="T263" s="517">
        <v>0</v>
      </c>
      <c r="U263" s="628">
        <f t="shared" si="7"/>
        <v>0</v>
      </c>
      <c r="V263" s="444"/>
      <c r="W263" s="446"/>
      <c r="X263" s="425"/>
    </row>
    <row r="264" spans="1:24" s="426" customFormat="1" x14ac:dyDescent="0.3">
      <c r="A264" s="443"/>
      <c r="B264" s="516" t="s">
        <v>160</v>
      </c>
      <c r="C264" s="627"/>
      <c r="D264" s="627"/>
      <c r="E264" s="627"/>
      <c r="F264" s="444"/>
      <c r="G264" s="628"/>
      <c r="H264" s="627"/>
      <c r="I264" s="627"/>
      <c r="J264" s="627"/>
      <c r="K264" s="627"/>
      <c r="L264" s="627"/>
      <c r="M264" s="627"/>
      <c r="N264" s="627"/>
      <c r="O264" s="627"/>
      <c r="P264" s="627"/>
      <c r="Q264" s="627"/>
      <c r="R264" s="516">
        <v>1</v>
      </c>
      <c r="S264" s="628">
        <f t="shared" si="8"/>
        <v>0.01</v>
      </c>
      <c r="T264" s="517">
        <v>110</v>
      </c>
      <c r="U264" s="628">
        <f t="shared" si="7"/>
        <v>6.4177362893815633E-3</v>
      </c>
      <c r="V264" s="444"/>
      <c r="W264" s="446"/>
      <c r="X264" s="425"/>
    </row>
    <row r="265" spans="1:24" s="426" customFormat="1" x14ac:dyDescent="0.3">
      <c r="A265" s="443"/>
      <c r="B265" s="516" t="s">
        <v>161</v>
      </c>
      <c r="C265" s="627"/>
      <c r="D265" s="627"/>
      <c r="E265" s="627"/>
      <c r="F265" s="444"/>
      <c r="G265" s="628"/>
      <c r="H265" s="627"/>
      <c r="I265" s="627"/>
      <c r="J265" s="627"/>
      <c r="K265" s="627"/>
      <c r="L265" s="627"/>
      <c r="M265" s="627"/>
      <c r="N265" s="627"/>
      <c r="O265" s="627"/>
      <c r="P265" s="627"/>
      <c r="Q265" s="627"/>
      <c r="R265" s="516">
        <v>0</v>
      </c>
      <c r="S265" s="628">
        <f t="shared" si="8"/>
        <v>0</v>
      </c>
      <c r="T265" s="517">
        <v>0</v>
      </c>
      <c r="U265" s="628">
        <f t="shared" si="7"/>
        <v>0</v>
      </c>
      <c r="V265" s="444"/>
      <c r="W265" s="446"/>
      <c r="X265" s="425"/>
    </row>
    <row r="266" spans="1:24" s="426" customFormat="1" x14ac:dyDescent="0.3">
      <c r="A266" s="443"/>
      <c r="B266" s="516" t="s">
        <v>162</v>
      </c>
      <c r="C266" s="627"/>
      <c r="D266" s="627"/>
      <c r="E266" s="627"/>
      <c r="F266" s="444"/>
      <c r="G266" s="628"/>
      <c r="H266" s="627"/>
      <c r="I266" s="627"/>
      <c r="J266" s="627"/>
      <c r="K266" s="627"/>
      <c r="L266" s="627"/>
      <c r="M266" s="627"/>
      <c r="N266" s="627"/>
      <c r="O266" s="627"/>
      <c r="P266" s="627"/>
      <c r="Q266" s="627"/>
      <c r="R266" s="516">
        <v>5</v>
      </c>
      <c r="S266" s="628">
        <f>R266/$R$269</f>
        <v>0.05</v>
      </c>
      <c r="T266" s="517">
        <v>559</v>
      </c>
      <c r="U266" s="628">
        <f t="shared" si="7"/>
        <v>3.2613768961493581E-2</v>
      </c>
      <c r="V266" s="444"/>
      <c r="W266" s="446"/>
      <c r="X266" s="425"/>
    </row>
    <row r="267" spans="1:24" s="426" customFormat="1" x14ac:dyDescent="0.3">
      <c r="A267" s="443"/>
      <c r="B267" s="516" t="s">
        <v>163</v>
      </c>
      <c r="C267" s="627"/>
      <c r="D267" s="627"/>
      <c r="E267" s="627"/>
      <c r="F267" s="444"/>
      <c r="G267" s="628"/>
      <c r="H267" s="627"/>
      <c r="I267" s="627"/>
      <c r="J267" s="627"/>
      <c r="K267" s="627"/>
      <c r="L267" s="627"/>
      <c r="M267" s="627"/>
      <c r="N267" s="627"/>
      <c r="O267" s="627"/>
      <c r="P267" s="627"/>
      <c r="Q267" s="627"/>
      <c r="R267" s="516">
        <v>12</v>
      </c>
      <c r="S267" s="628">
        <f>R267/$R$269</f>
        <v>0.12</v>
      </c>
      <c r="T267" s="517">
        <v>1768</v>
      </c>
      <c r="U267" s="628">
        <f t="shared" si="7"/>
        <v>0.10315052508751459</v>
      </c>
      <c r="V267" s="444"/>
      <c r="W267" s="446"/>
      <c r="X267" s="425"/>
    </row>
    <row r="268" spans="1:24" s="426" customFormat="1" x14ac:dyDescent="0.3">
      <c r="A268" s="443"/>
      <c r="B268" s="516"/>
      <c r="C268" s="627"/>
      <c r="D268" s="627"/>
      <c r="E268" s="627"/>
      <c r="F268" s="444"/>
      <c r="G268" s="628"/>
      <c r="H268" s="627"/>
      <c r="I268" s="627"/>
      <c r="J268" s="627"/>
      <c r="K268" s="627"/>
      <c r="L268" s="627"/>
      <c r="M268" s="627"/>
      <c r="N268" s="627"/>
      <c r="O268" s="627"/>
      <c r="P268" s="627"/>
      <c r="Q268" s="627"/>
      <c r="R268" s="516"/>
      <c r="S268" s="628"/>
      <c r="T268" s="517"/>
      <c r="U268" s="628"/>
      <c r="V268" s="444"/>
      <c r="W268" s="446"/>
      <c r="X268" s="425"/>
    </row>
    <row r="269" spans="1:24" s="426" customFormat="1" x14ac:dyDescent="0.3">
      <c r="A269" s="443"/>
      <c r="B269" s="444" t="s">
        <v>117</v>
      </c>
      <c r="C269" s="444"/>
      <c r="D269" s="444"/>
      <c r="E269" s="444"/>
      <c r="F269" s="444"/>
      <c r="G269" s="444"/>
      <c r="H269" s="629"/>
      <c r="I269" s="629"/>
      <c r="J269" s="629"/>
      <c r="K269" s="629"/>
      <c r="L269" s="629"/>
      <c r="M269" s="629"/>
      <c r="N269" s="629"/>
      <c r="O269" s="629"/>
      <c r="P269" s="629"/>
      <c r="Q269" s="629"/>
      <c r="R269" s="516">
        <f>SUM(R260:R268)</f>
        <v>100</v>
      </c>
      <c r="S269" s="628">
        <f>SUM(S260:S268)</f>
        <v>1</v>
      </c>
      <c r="T269" s="517">
        <f>SUM(T260:T268)</f>
        <v>17140</v>
      </c>
      <c r="U269" s="628">
        <f>SUM(U260:U268)</f>
        <v>1</v>
      </c>
      <c r="V269" s="444"/>
      <c r="W269" s="446"/>
      <c r="X269" s="425"/>
    </row>
    <row r="270" spans="1:24" x14ac:dyDescent="0.3">
      <c r="A270" s="408"/>
      <c r="B270" s="518"/>
      <c r="C270" s="518"/>
      <c r="D270" s="518"/>
      <c r="E270" s="518"/>
      <c r="F270" s="518"/>
      <c r="G270" s="518"/>
      <c r="H270" s="632"/>
      <c r="I270" s="632"/>
      <c r="J270" s="632"/>
      <c r="K270" s="632"/>
      <c r="L270" s="632"/>
      <c r="M270" s="632"/>
      <c r="N270" s="632"/>
      <c r="O270" s="632"/>
      <c r="P270" s="632"/>
      <c r="Q270" s="632"/>
      <c r="R270" s="519"/>
      <c r="S270" s="633"/>
      <c r="T270" s="634"/>
      <c r="U270" s="633"/>
      <c r="V270" s="518"/>
      <c r="W270" s="411"/>
      <c r="X270" s="406"/>
    </row>
    <row r="271" spans="1:24" x14ac:dyDescent="0.3">
      <c r="A271" s="533"/>
      <c r="B271" s="534" t="s">
        <v>166</v>
      </c>
      <c r="C271" s="622"/>
      <c r="D271" s="622"/>
      <c r="E271" s="622"/>
      <c r="F271" s="622"/>
      <c r="G271" s="622"/>
      <c r="H271" s="635"/>
      <c r="I271" s="635"/>
      <c r="J271" s="635"/>
      <c r="K271" s="635"/>
      <c r="L271" s="635"/>
      <c r="M271" s="635"/>
      <c r="N271" s="635"/>
      <c r="O271" s="635"/>
      <c r="P271" s="635"/>
      <c r="Q271" s="635"/>
      <c r="R271" s="621" t="s">
        <v>103</v>
      </c>
      <c r="S271" s="535" t="s">
        <v>104</v>
      </c>
      <c r="T271" s="621" t="s">
        <v>111</v>
      </c>
      <c r="U271" s="535" t="s">
        <v>104</v>
      </c>
      <c r="V271" s="622"/>
      <c r="W271" s="538"/>
      <c r="X271" s="406"/>
    </row>
    <row r="272" spans="1:24" s="426" customFormat="1" x14ac:dyDescent="0.3">
      <c r="A272" s="421"/>
      <c r="B272" s="552" t="s">
        <v>89</v>
      </c>
      <c r="C272" s="494"/>
      <c r="D272" s="494"/>
      <c r="E272" s="494"/>
      <c r="F272" s="494"/>
      <c r="G272" s="494"/>
      <c r="H272" s="636"/>
      <c r="I272" s="636"/>
      <c r="J272" s="636"/>
      <c r="K272" s="636"/>
      <c r="L272" s="636"/>
      <c r="M272" s="636"/>
      <c r="N272" s="636"/>
      <c r="O272" s="636"/>
      <c r="P272" s="636"/>
      <c r="Q272" s="636"/>
      <c r="R272" s="552">
        <v>0</v>
      </c>
      <c r="S272" s="630">
        <v>0</v>
      </c>
      <c r="T272" s="631">
        <v>0</v>
      </c>
      <c r="U272" s="630">
        <v>0</v>
      </c>
      <c r="V272" s="494"/>
      <c r="W272" s="424"/>
      <c r="X272" s="425"/>
    </row>
    <row r="273" spans="1:24" s="426" customFormat="1" x14ac:dyDescent="0.3">
      <c r="A273" s="443"/>
      <c r="B273" s="516" t="s">
        <v>90</v>
      </c>
      <c r="C273" s="444"/>
      <c r="D273" s="444"/>
      <c r="E273" s="444"/>
      <c r="F273" s="444"/>
      <c r="G273" s="444"/>
      <c r="H273" s="629"/>
      <c r="I273" s="629"/>
      <c r="J273" s="629"/>
      <c r="K273" s="629"/>
      <c r="L273" s="629"/>
      <c r="M273" s="629"/>
      <c r="N273" s="629"/>
      <c r="O273" s="629"/>
      <c r="P273" s="629"/>
      <c r="Q273" s="629"/>
      <c r="R273" s="516">
        <v>0</v>
      </c>
      <c r="S273" s="628">
        <v>0</v>
      </c>
      <c r="T273" s="517">
        <v>0</v>
      </c>
      <c r="U273" s="628">
        <v>0</v>
      </c>
      <c r="V273" s="444"/>
      <c r="W273" s="446"/>
      <c r="X273" s="425"/>
    </row>
    <row r="274" spans="1:24" s="426" customFormat="1" x14ac:dyDescent="0.3">
      <c r="A274" s="443"/>
      <c r="B274" s="516" t="s">
        <v>91</v>
      </c>
      <c r="C274" s="444"/>
      <c r="D274" s="444"/>
      <c r="E274" s="444"/>
      <c r="F274" s="444"/>
      <c r="G274" s="444"/>
      <c r="H274" s="629"/>
      <c r="I274" s="629"/>
      <c r="J274" s="629"/>
      <c r="K274" s="629"/>
      <c r="L274" s="629"/>
      <c r="M274" s="629"/>
      <c r="N274" s="629"/>
      <c r="O274" s="629"/>
      <c r="P274" s="629"/>
      <c r="Q274" s="629"/>
      <c r="R274" s="516">
        <v>0</v>
      </c>
      <c r="S274" s="628">
        <v>0</v>
      </c>
      <c r="T274" s="517">
        <v>0</v>
      </c>
      <c r="U274" s="628">
        <v>0</v>
      </c>
      <c r="V274" s="444"/>
      <c r="W274" s="446"/>
      <c r="X274" s="425"/>
    </row>
    <row r="275" spans="1:24" s="426" customFormat="1" x14ac:dyDescent="0.3">
      <c r="A275" s="443"/>
      <c r="B275" s="516" t="s">
        <v>159</v>
      </c>
      <c r="C275" s="444"/>
      <c r="D275" s="444"/>
      <c r="E275" s="444"/>
      <c r="F275" s="444"/>
      <c r="G275" s="444"/>
      <c r="H275" s="629"/>
      <c r="I275" s="629"/>
      <c r="J275" s="629"/>
      <c r="K275" s="629"/>
      <c r="L275" s="629"/>
      <c r="M275" s="629"/>
      <c r="N275" s="629"/>
      <c r="O275" s="629"/>
      <c r="P275" s="629"/>
      <c r="Q275" s="629"/>
      <c r="R275" s="516">
        <v>0</v>
      </c>
      <c r="S275" s="628">
        <v>0</v>
      </c>
      <c r="T275" s="517">
        <v>0</v>
      </c>
      <c r="U275" s="628">
        <v>0</v>
      </c>
      <c r="V275" s="444"/>
      <c r="W275" s="446"/>
      <c r="X275" s="425"/>
    </row>
    <row r="276" spans="1:24" s="426" customFormat="1" x14ac:dyDescent="0.3">
      <c r="A276" s="443"/>
      <c r="B276" s="516" t="s">
        <v>160</v>
      </c>
      <c r="C276" s="444"/>
      <c r="D276" s="444"/>
      <c r="E276" s="444"/>
      <c r="F276" s="444"/>
      <c r="G276" s="444"/>
      <c r="H276" s="629"/>
      <c r="I276" s="629"/>
      <c r="J276" s="629"/>
      <c r="K276" s="629"/>
      <c r="L276" s="629"/>
      <c r="M276" s="629"/>
      <c r="N276" s="629"/>
      <c r="O276" s="629"/>
      <c r="P276" s="629"/>
      <c r="Q276" s="629"/>
      <c r="R276" s="516">
        <v>0</v>
      </c>
      <c r="S276" s="628">
        <v>0</v>
      </c>
      <c r="T276" s="517">
        <v>0</v>
      </c>
      <c r="U276" s="628">
        <v>0</v>
      </c>
      <c r="V276" s="444"/>
      <c r="W276" s="446"/>
      <c r="X276" s="425"/>
    </row>
    <row r="277" spans="1:24" s="426" customFormat="1" x14ac:dyDescent="0.3">
      <c r="A277" s="443"/>
      <c r="B277" s="516" t="s">
        <v>161</v>
      </c>
      <c r="C277" s="444"/>
      <c r="D277" s="444"/>
      <c r="E277" s="444"/>
      <c r="F277" s="444"/>
      <c r="G277" s="444"/>
      <c r="H277" s="629"/>
      <c r="I277" s="629"/>
      <c r="J277" s="629"/>
      <c r="K277" s="629"/>
      <c r="L277" s="629"/>
      <c r="M277" s="629"/>
      <c r="N277" s="629"/>
      <c r="O277" s="629"/>
      <c r="P277" s="629"/>
      <c r="Q277" s="629"/>
      <c r="R277" s="516">
        <v>0</v>
      </c>
      <c r="S277" s="628">
        <v>0</v>
      </c>
      <c r="T277" s="517">
        <v>0</v>
      </c>
      <c r="U277" s="628">
        <v>0</v>
      </c>
      <c r="V277" s="444"/>
      <c r="W277" s="446"/>
      <c r="X277" s="425"/>
    </row>
    <row r="278" spans="1:24" s="426" customFormat="1" x14ac:dyDescent="0.3">
      <c r="A278" s="443"/>
      <c r="B278" s="516" t="s">
        <v>162</v>
      </c>
      <c r="C278" s="444"/>
      <c r="D278" s="444"/>
      <c r="E278" s="444"/>
      <c r="F278" s="444"/>
      <c r="G278" s="444"/>
      <c r="H278" s="629"/>
      <c r="I278" s="629"/>
      <c r="J278" s="629"/>
      <c r="K278" s="629"/>
      <c r="L278" s="629"/>
      <c r="M278" s="629"/>
      <c r="N278" s="629"/>
      <c r="O278" s="629"/>
      <c r="P278" s="629"/>
      <c r="Q278" s="629"/>
      <c r="R278" s="516">
        <v>0</v>
      </c>
      <c r="S278" s="628">
        <v>0</v>
      </c>
      <c r="T278" s="517">
        <v>0</v>
      </c>
      <c r="U278" s="628">
        <v>0</v>
      </c>
      <c r="V278" s="444"/>
      <c r="W278" s="446"/>
      <c r="X278" s="425"/>
    </row>
    <row r="279" spans="1:24" s="426" customFormat="1" x14ac:dyDescent="0.3">
      <c r="A279" s="443"/>
      <c r="B279" s="516" t="s">
        <v>163</v>
      </c>
      <c r="C279" s="444"/>
      <c r="D279" s="444"/>
      <c r="E279" s="444"/>
      <c r="F279" s="444"/>
      <c r="G279" s="444"/>
      <c r="H279" s="629"/>
      <c r="I279" s="629"/>
      <c r="J279" s="629"/>
      <c r="K279" s="629"/>
      <c r="L279" s="629"/>
      <c r="M279" s="629"/>
      <c r="N279" s="629"/>
      <c r="O279" s="629"/>
      <c r="P279" s="629"/>
      <c r="Q279" s="629"/>
      <c r="R279" s="516">
        <v>0</v>
      </c>
      <c r="S279" s="628">
        <v>0</v>
      </c>
      <c r="T279" s="517">
        <v>0</v>
      </c>
      <c r="U279" s="628">
        <v>0</v>
      </c>
      <c r="V279" s="444"/>
      <c r="W279" s="446"/>
      <c r="X279" s="425"/>
    </row>
    <row r="280" spans="1:24" s="426" customFormat="1" x14ac:dyDescent="0.3">
      <c r="A280" s="443"/>
      <c r="B280" s="516"/>
      <c r="C280" s="444"/>
      <c r="D280" s="444"/>
      <c r="E280" s="444"/>
      <c r="F280" s="444"/>
      <c r="G280" s="444"/>
      <c r="H280" s="629"/>
      <c r="I280" s="629"/>
      <c r="J280" s="629"/>
      <c r="K280" s="629"/>
      <c r="L280" s="629"/>
      <c r="M280" s="629"/>
      <c r="N280" s="629"/>
      <c r="O280" s="629"/>
      <c r="P280" s="629"/>
      <c r="Q280" s="629"/>
      <c r="R280" s="516"/>
      <c r="S280" s="628"/>
      <c r="T280" s="517"/>
      <c r="U280" s="628"/>
      <c r="V280" s="444"/>
      <c r="W280" s="446"/>
      <c r="X280" s="425"/>
    </row>
    <row r="281" spans="1:24" s="426" customFormat="1" x14ac:dyDescent="0.3">
      <c r="A281" s="443"/>
      <c r="B281" s="444" t="s">
        <v>117</v>
      </c>
      <c r="C281" s="444"/>
      <c r="D281" s="444"/>
      <c r="E281" s="444"/>
      <c r="F281" s="444"/>
      <c r="G281" s="444"/>
      <c r="H281" s="629"/>
      <c r="I281" s="629"/>
      <c r="J281" s="629"/>
      <c r="K281" s="629"/>
      <c r="L281" s="629"/>
      <c r="M281" s="629"/>
      <c r="N281" s="629"/>
      <c r="O281" s="629"/>
      <c r="P281" s="629"/>
      <c r="Q281" s="629"/>
      <c r="R281" s="516">
        <f>SUM(R272:R279)</f>
        <v>0</v>
      </c>
      <c r="S281" s="628">
        <f>SUM(S272:S279)</f>
        <v>0</v>
      </c>
      <c r="T281" s="517">
        <f>SUM(T272:T279)</f>
        <v>0</v>
      </c>
      <c r="U281" s="628">
        <f>SUM(U272:U279)</f>
        <v>0</v>
      </c>
      <c r="V281" s="444"/>
      <c r="W281" s="446"/>
      <c r="X281" s="425"/>
    </row>
    <row r="282" spans="1:24" s="426" customFormat="1" x14ac:dyDescent="0.3">
      <c r="A282" s="443"/>
      <c r="B282" s="444"/>
      <c r="C282" s="444"/>
      <c r="D282" s="444"/>
      <c r="E282" s="444"/>
      <c r="F282" s="444"/>
      <c r="G282" s="444"/>
      <c r="H282" s="629"/>
      <c r="I282" s="629"/>
      <c r="J282" s="629"/>
      <c r="K282" s="629"/>
      <c r="L282" s="629"/>
      <c r="M282" s="629"/>
      <c r="N282" s="629"/>
      <c r="O282" s="629"/>
      <c r="P282" s="629"/>
      <c r="Q282" s="629"/>
      <c r="R282" s="516"/>
      <c r="S282" s="628"/>
      <c r="T282" s="517"/>
      <c r="U282" s="628"/>
      <c r="V282" s="444"/>
      <c r="W282" s="446"/>
      <c r="X282" s="425"/>
    </row>
    <row r="283" spans="1:24" s="426" customFormat="1" x14ac:dyDescent="0.3">
      <c r="A283" s="443"/>
      <c r="B283" s="449" t="s">
        <v>167</v>
      </c>
      <c r="C283" s="444"/>
      <c r="D283" s="444"/>
      <c r="E283" s="444"/>
      <c r="F283" s="444"/>
      <c r="G283" s="444"/>
      <c r="H283" s="629"/>
      <c r="I283" s="629"/>
      <c r="J283" s="629"/>
      <c r="K283" s="629"/>
      <c r="L283" s="629"/>
      <c r="M283" s="629"/>
      <c r="N283" s="629"/>
      <c r="O283" s="629"/>
      <c r="P283" s="629"/>
      <c r="Q283" s="629"/>
      <c r="R283" s="637">
        <f>R281+R269+R257</f>
        <v>5944</v>
      </c>
      <c r="S283" s="628"/>
      <c r="T283" s="638">
        <f>+T281+T269+T257</f>
        <v>761748</v>
      </c>
      <c r="U283" s="628"/>
      <c r="V283" s="444"/>
      <c r="W283" s="446"/>
      <c r="X283" s="425"/>
    </row>
    <row r="284" spans="1:24" s="426" customFormat="1" x14ac:dyDescent="0.3">
      <c r="A284" s="421"/>
      <c r="B284" s="494"/>
      <c r="C284" s="494"/>
      <c r="D284" s="494"/>
      <c r="E284" s="494"/>
      <c r="F284" s="494"/>
      <c r="G284" s="494"/>
      <c r="H284" s="636"/>
      <c r="I284" s="636"/>
      <c r="J284" s="636"/>
      <c r="K284" s="636"/>
      <c r="L284" s="636"/>
      <c r="M284" s="636"/>
      <c r="N284" s="636"/>
      <c r="O284" s="636"/>
      <c r="P284" s="636"/>
      <c r="Q284" s="636"/>
      <c r="R284" s="636"/>
      <c r="S284" s="636"/>
      <c r="T284" s="631"/>
      <c r="U284" s="636"/>
      <c r="V284" s="494"/>
      <c r="W284" s="424"/>
      <c r="X284" s="425"/>
    </row>
    <row r="285" spans="1:24" s="426" customFormat="1" x14ac:dyDescent="0.3">
      <c r="A285" s="421"/>
      <c r="B285" s="422"/>
      <c r="C285" s="422"/>
      <c r="D285" s="422"/>
      <c r="E285" s="422"/>
      <c r="F285" s="422"/>
      <c r="G285" s="422"/>
      <c r="H285" s="639"/>
      <c r="I285" s="639"/>
      <c r="J285" s="639"/>
      <c r="K285" s="639"/>
      <c r="L285" s="639"/>
      <c r="M285" s="639"/>
      <c r="N285" s="639"/>
      <c r="O285" s="639"/>
      <c r="P285" s="639"/>
      <c r="Q285" s="639"/>
      <c r="R285" s="639"/>
      <c r="S285" s="639"/>
      <c r="T285" s="640"/>
      <c r="U285" s="639"/>
      <c r="V285" s="422"/>
      <c r="W285" s="424"/>
      <c r="X285" s="425"/>
    </row>
    <row r="286" spans="1:24" s="426" customFormat="1" x14ac:dyDescent="0.3">
      <c r="A286" s="421"/>
      <c r="B286" s="420" t="s">
        <v>92</v>
      </c>
      <c r="C286" s="422"/>
      <c r="D286" s="422"/>
      <c r="E286" s="422"/>
      <c r="F286" s="429" t="s">
        <v>98</v>
      </c>
      <c r="G286" s="422"/>
      <c r="H286" s="420" t="s">
        <v>100</v>
      </c>
      <c r="I286" s="420"/>
      <c r="J286" s="420"/>
      <c r="K286" s="422"/>
      <c r="L286" s="422"/>
      <c r="M286" s="422"/>
      <c r="N286" s="422"/>
      <c r="O286" s="422"/>
      <c r="P286" s="422"/>
      <c r="Q286" s="422"/>
      <c r="R286" s="422"/>
      <c r="S286" s="422"/>
      <c r="T286" s="422"/>
      <c r="U286" s="422"/>
      <c r="V286" s="422"/>
      <c r="W286" s="424"/>
      <c r="X286" s="425"/>
    </row>
    <row r="287" spans="1:24" s="426" customFormat="1" x14ac:dyDescent="0.3">
      <c r="A287" s="421"/>
      <c r="B287" s="420" t="s">
        <v>336</v>
      </c>
      <c r="C287" s="420"/>
      <c r="D287" s="420"/>
      <c r="E287" s="420"/>
      <c r="F287" s="641" t="s">
        <v>282</v>
      </c>
      <c r="G287" s="420"/>
      <c r="H287" s="420" t="s">
        <v>371</v>
      </c>
      <c r="I287" s="422"/>
      <c r="J287" s="420"/>
      <c r="K287" s="422"/>
      <c r="L287" s="422"/>
      <c r="M287" s="422"/>
      <c r="N287" s="422"/>
      <c r="O287" s="422"/>
      <c r="P287" s="422"/>
      <c r="Q287" s="422"/>
      <c r="R287" s="422"/>
      <c r="S287" s="422"/>
      <c r="T287" s="422"/>
      <c r="U287" s="422"/>
      <c r="V287" s="422"/>
      <c r="W287" s="424"/>
      <c r="X287" s="425"/>
    </row>
    <row r="288" spans="1:24" s="426" customFormat="1" x14ac:dyDescent="0.3">
      <c r="A288" s="421"/>
      <c r="B288" s="420" t="s">
        <v>337</v>
      </c>
      <c r="C288" s="420"/>
      <c r="D288" s="420"/>
      <c r="E288" s="420"/>
      <c r="F288" s="641" t="s">
        <v>150</v>
      </c>
      <c r="G288" s="420"/>
      <c r="H288" s="420" t="s">
        <v>372</v>
      </c>
      <c r="I288" s="420"/>
      <c r="J288" s="420"/>
      <c r="K288" s="422"/>
      <c r="L288" s="422"/>
      <c r="M288" s="422"/>
      <c r="N288" s="422"/>
      <c r="O288" s="422"/>
      <c r="P288" s="422"/>
      <c r="Q288" s="422"/>
      <c r="R288" s="422"/>
      <c r="S288" s="422"/>
      <c r="T288" s="422"/>
      <c r="U288" s="422"/>
      <c r="V288" s="422"/>
      <c r="W288" s="424"/>
      <c r="X288" s="425"/>
    </row>
    <row r="289" spans="1:24" s="426" customFormat="1" x14ac:dyDescent="0.3">
      <c r="A289" s="421"/>
      <c r="B289" s="420"/>
      <c r="C289" s="420"/>
      <c r="D289" s="420"/>
      <c r="E289" s="420"/>
      <c r="F289" s="641"/>
      <c r="G289" s="420"/>
      <c r="H289" s="420"/>
      <c r="I289" s="420"/>
      <c r="J289" s="420"/>
      <c r="K289" s="422"/>
      <c r="L289" s="422"/>
      <c r="M289" s="422"/>
      <c r="N289" s="422"/>
      <c r="O289" s="422"/>
      <c r="P289" s="422"/>
      <c r="Q289" s="422"/>
      <c r="R289" s="422"/>
      <c r="S289" s="422"/>
      <c r="T289" s="422"/>
      <c r="U289" s="422"/>
      <c r="V289" s="422"/>
      <c r="W289" s="424"/>
      <c r="X289" s="425"/>
    </row>
    <row r="290" spans="1:24" s="426" customFormat="1" x14ac:dyDescent="0.3">
      <c r="A290" s="421"/>
      <c r="B290" s="494" t="s">
        <v>367</v>
      </c>
      <c r="C290" s="420"/>
      <c r="D290" s="420"/>
      <c r="E290" s="420"/>
      <c r="F290" s="641"/>
      <c r="G290" s="420"/>
      <c r="H290" s="420"/>
      <c r="I290" s="420"/>
      <c r="J290" s="420"/>
      <c r="K290" s="422"/>
      <c r="L290" s="422"/>
      <c r="M290" s="422"/>
      <c r="N290" s="422"/>
      <c r="O290" s="422"/>
      <c r="P290" s="422"/>
      <c r="Q290" s="422"/>
      <c r="R290" s="422"/>
      <c r="S290" s="422"/>
      <c r="T290" s="422"/>
      <c r="U290" s="422"/>
      <c r="V290" s="422"/>
      <c r="W290" s="424"/>
      <c r="X290" s="425"/>
    </row>
    <row r="291" spans="1:24" s="426" customFormat="1" x14ac:dyDescent="0.3">
      <c r="A291" s="421"/>
      <c r="B291" s="494" t="s">
        <v>373</v>
      </c>
      <c r="C291" s="420"/>
      <c r="D291" s="420"/>
      <c r="E291" s="420"/>
      <c r="F291" s="641"/>
      <c r="G291" s="420"/>
      <c r="H291" s="420"/>
      <c r="I291" s="420"/>
      <c r="J291" s="420"/>
      <c r="K291" s="422"/>
      <c r="L291" s="422"/>
      <c r="M291" s="422"/>
      <c r="N291" s="422"/>
      <c r="O291" s="422"/>
      <c r="P291" s="422"/>
      <c r="Q291" s="422"/>
      <c r="R291" s="422"/>
      <c r="S291" s="422"/>
      <c r="T291" s="422"/>
      <c r="U291" s="422"/>
      <c r="V291" s="422"/>
      <c r="W291" s="424"/>
      <c r="X291" s="425"/>
    </row>
    <row r="292" spans="1:24" s="426" customFormat="1" x14ac:dyDescent="0.3">
      <c r="A292" s="421"/>
      <c r="B292" s="494" t="s">
        <v>365</v>
      </c>
      <c r="C292" s="420"/>
      <c r="D292" s="420"/>
      <c r="E292" s="420"/>
      <c r="F292" s="641"/>
      <c r="G292" s="420"/>
      <c r="H292" s="420"/>
      <c r="I292" s="420"/>
      <c r="J292" s="420"/>
      <c r="K292" s="422"/>
      <c r="L292" s="422"/>
      <c r="M292" s="422"/>
      <c r="N292" s="422"/>
      <c r="O292" s="422"/>
      <c r="P292" s="422"/>
      <c r="Q292" s="422"/>
      <c r="R292" s="422"/>
      <c r="S292" s="422"/>
      <c r="T292" s="422"/>
      <c r="U292" s="422"/>
      <c r="V292" s="422"/>
      <c r="W292" s="424"/>
      <c r="X292" s="425"/>
    </row>
    <row r="293" spans="1:24" s="426" customFormat="1" x14ac:dyDescent="0.3">
      <c r="A293" s="421"/>
      <c r="B293" s="494" t="s">
        <v>366</v>
      </c>
      <c r="C293" s="420"/>
      <c r="D293" s="420"/>
      <c r="E293" s="420"/>
      <c r="F293" s="641"/>
      <c r="G293" s="420"/>
      <c r="H293" s="420"/>
      <c r="I293" s="420"/>
      <c r="J293" s="420"/>
      <c r="K293" s="422"/>
      <c r="L293" s="422"/>
      <c r="M293" s="422"/>
      <c r="N293" s="422"/>
      <c r="O293" s="422"/>
      <c r="P293" s="422"/>
      <c r="Q293" s="422"/>
      <c r="R293" s="422"/>
      <c r="S293" s="422"/>
      <c r="T293" s="422"/>
      <c r="U293" s="422"/>
      <c r="V293" s="422"/>
      <c r="W293" s="424"/>
      <c r="X293" s="425"/>
    </row>
    <row r="294" spans="1:24" x14ac:dyDescent="0.3">
      <c r="A294" s="408"/>
      <c r="B294" s="642"/>
      <c r="C294" s="642"/>
      <c r="D294" s="642"/>
      <c r="E294" s="642"/>
      <c r="F294" s="643"/>
      <c r="G294" s="642"/>
      <c r="H294" s="642"/>
      <c r="I294" s="642"/>
      <c r="J294" s="642"/>
      <c r="K294" s="531"/>
      <c r="L294" s="531"/>
      <c r="M294" s="531"/>
      <c r="N294" s="531"/>
      <c r="O294" s="531"/>
      <c r="P294" s="531"/>
      <c r="Q294" s="531"/>
      <c r="R294" s="531"/>
      <c r="S294" s="531"/>
      <c r="T294" s="531"/>
      <c r="U294" s="531"/>
      <c r="V294" s="531"/>
      <c r="W294" s="532"/>
      <c r="X294" s="406"/>
    </row>
    <row r="295" spans="1:24" ht="18" x14ac:dyDescent="0.35">
      <c r="A295" s="408"/>
      <c r="B295" s="644" t="s">
        <v>368</v>
      </c>
      <c r="C295" s="642"/>
      <c r="D295" s="642"/>
      <c r="E295" s="642"/>
      <c r="F295" s="642"/>
      <c r="G295" s="642"/>
      <c r="H295" s="531"/>
      <c r="I295" s="531"/>
      <c r="J295" s="531"/>
      <c r="K295" s="531"/>
      <c r="L295" s="410"/>
      <c r="M295" s="410"/>
      <c r="N295" s="645"/>
      <c r="O295" s="410"/>
      <c r="P295" s="646" t="s">
        <v>370</v>
      </c>
      <c r="Q295" s="531"/>
      <c r="R295" s="531"/>
      <c r="S295" s="531"/>
      <c r="T295" s="531"/>
      <c r="U295" s="531"/>
      <c r="V295" s="531"/>
      <c r="W295" s="532"/>
      <c r="X295" s="406"/>
    </row>
    <row r="296" spans="1:24" x14ac:dyDescent="0.3">
      <c r="A296" s="408"/>
      <c r="B296" s="642"/>
      <c r="C296" s="642"/>
      <c r="D296" s="642"/>
      <c r="E296" s="642"/>
      <c r="F296" s="642"/>
      <c r="G296" s="642"/>
      <c r="H296" s="531"/>
      <c r="I296" s="531"/>
      <c r="J296" s="531"/>
      <c r="K296" s="531"/>
      <c r="L296" s="531"/>
      <c r="M296" s="531"/>
      <c r="N296" s="531"/>
      <c r="O296" s="531"/>
      <c r="P296" s="531"/>
      <c r="Q296" s="531"/>
      <c r="R296" s="531"/>
      <c r="S296" s="531"/>
      <c r="T296" s="531"/>
      <c r="U296" s="531"/>
      <c r="V296" s="531"/>
      <c r="W296" s="532"/>
      <c r="X296" s="406"/>
    </row>
    <row r="297" spans="1:24" ht="18.600000000000001" thickBot="1" x14ac:dyDescent="0.4">
      <c r="A297" s="408"/>
      <c r="B297" s="647" t="str">
        <f>B197</f>
        <v>PM13 INVESTOR REPORT QUARTER ENDING JUNE 2018</v>
      </c>
      <c r="C297" s="642"/>
      <c r="D297" s="642"/>
      <c r="E297" s="642"/>
      <c r="F297" s="642"/>
      <c r="G297" s="642"/>
      <c r="H297" s="531"/>
      <c r="I297" s="531"/>
      <c r="J297" s="531"/>
      <c r="K297" s="531"/>
      <c r="L297" s="531"/>
      <c r="M297" s="531"/>
      <c r="N297" s="531"/>
      <c r="O297" s="531"/>
      <c r="P297" s="531"/>
      <c r="Q297" s="531"/>
      <c r="R297" s="531"/>
      <c r="S297" s="531"/>
      <c r="T297" s="531"/>
      <c r="U297" s="531"/>
      <c r="V297" s="531"/>
      <c r="W297" s="648"/>
      <c r="X297" s="406"/>
    </row>
    <row r="298" spans="1:24" x14ac:dyDescent="0.3">
      <c r="A298" s="649"/>
      <c r="B298" s="649"/>
      <c r="C298" s="649"/>
      <c r="D298" s="649"/>
      <c r="E298" s="649"/>
      <c r="F298" s="649"/>
      <c r="G298" s="649"/>
      <c r="H298" s="649"/>
      <c r="I298" s="649"/>
      <c r="J298" s="649"/>
      <c r="K298" s="649"/>
      <c r="L298" s="649"/>
      <c r="M298" s="649"/>
      <c r="N298" s="649"/>
      <c r="O298" s="649"/>
      <c r="P298" s="649"/>
      <c r="Q298" s="649"/>
      <c r="R298" s="649"/>
      <c r="S298" s="649"/>
      <c r="T298" s="649"/>
      <c r="U298" s="649"/>
      <c r="V298" s="649"/>
      <c r="W298" s="649"/>
    </row>
  </sheetData>
  <hyperlinks>
    <hyperlink ref="P233" r:id="rId1" display="http://www.paragon-group.co.uk" xr:uid="{00000000-0004-0000-2E00-000000000000}"/>
    <hyperlink ref="I9" r:id="rId2" display="http://www.paragon-group.co.uk" xr:uid="{00000000-0004-0000-2E00-000001000000}"/>
    <hyperlink ref="P295" r:id="rId3" display="http://www.paragon-group.co.uk" xr:uid="{00000000-0004-0000-2E00-000002000000}"/>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37" max="22" man="1"/>
    <brk id="197" max="22" man="1"/>
  </rowBreaks>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2D2926"/>
  </sheetPr>
  <dimension ref="A1:Z298"/>
  <sheetViews>
    <sheetView showGridLines="0" showOutlineSymbols="0" zoomScale="70" zoomScaleNormal="70" workbookViewId="0"/>
  </sheetViews>
  <sheetFormatPr defaultColWidth="9.81640625" defaultRowHeight="15.6" x14ac:dyDescent="0.3"/>
  <cols>
    <col min="1" max="1" width="4" style="407" customWidth="1"/>
    <col min="2" max="2" width="71.08984375" style="407" customWidth="1"/>
    <col min="3" max="3" width="2.08984375" style="407" customWidth="1"/>
    <col min="4" max="4" width="19.1796875" style="407" customWidth="1"/>
    <col min="5" max="5" width="2.08984375" style="407" customWidth="1"/>
    <col min="6" max="6" width="25.08984375" style="407" customWidth="1"/>
    <col min="7" max="7" width="2.08984375" style="407" customWidth="1"/>
    <col min="8" max="8" width="16.08984375" style="407" customWidth="1"/>
    <col min="9" max="9" width="2.81640625" style="407" customWidth="1"/>
    <col min="10" max="10" width="16.08984375" style="407" customWidth="1"/>
    <col min="11" max="11" width="2.08984375" style="407" customWidth="1"/>
    <col min="12" max="12" width="17.81640625" style="407" customWidth="1"/>
    <col min="13" max="13" width="2.1796875" style="407" customWidth="1"/>
    <col min="14" max="14" width="14.81640625" style="407" customWidth="1"/>
    <col min="15" max="15" width="2.1796875" style="407" customWidth="1"/>
    <col min="16" max="16" width="15.54296875" style="407" customWidth="1"/>
    <col min="17" max="17" width="2.08984375" style="407" customWidth="1"/>
    <col min="18" max="18" width="15.54296875" style="407" customWidth="1"/>
    <col min="19" max="20" width="12.81640625" style="407" customWidth="1"/>
    <col min="21" max="21" width="7.81640625" style="407" customWidth="1"/>
    <col min="22" max="22" width="14.81640625" style="407" customWidth="1"/>
    <col min="23" max="23" width="11.81640625" style="407" customWidth="1"/>
    <col min="24" max="16384" width="9.81640625" style="407"/>
  </cols>
  <sheetData>
    <row r="1" spans="1:24" ht="21" x14ac:dyDescent="0.4">
      <c r="A1" s="402"/>
      <c r="B1" s="403" t="s">
        <v>238</v>
      </c>
      <c r="C1" s="404"/>
      <c r="D1" s="404"/>
      <c r="E1" s="404"/>
      <c r="F1" s="404"/>
      <c r="G1" s="404"/>
      <c r="H1" s="404"/>
      <c r="I1" s="404"/>
      <c r="J1" s="404"/>
      <c r="K1" s="404"/>
      <c r="L1" s="404"/>
      <c r="M1" s="404"/>
      <c r="N1" s="404"/>
      <c r="O1" s="404"/>
      <c r="P1" s="404"/>
      <c r="Q1" s="404"/>
      <c r="R1" s="404"/>
      <c r="S1" s="404"/>
      <c r="T1" s="404"/>
      <c r="U1" s="404"/>
      <c r="V1" s="404"/>
      <c r="W1" s="405"/>
      <c r="X1" s="406"/>
    </row>
    <row r="2" spans="1:24" x14ac:dyDescent="0.3">
      <c r="A2" s="408"/>
      <c r="B2" s="409"/>
      <c r="C2" s="410"/>
      <c r="D2" s="410"/>
      <c r="E2" s="410"/>
      <c r="F2" s="410"/>
      <c r="G2" s="410"/>
      <c r="H2" s="410"/>
      <c r="I2" s="410"/>
      <c r="J2" s="410"/>
      <c r="K2" s="410"/>
      <c r="L2" s="410"/>
      <c r="M2" s="410"/>
      <c r="N2" s="410"/>
      <c r="O2" s="410"/>
      <c r="P2" s="410"/>
      <c r="Q2" s="410"/>
      <c r="R2" s="410"/>
      <c r="S2" s="410"/>
      <c r="T2" s="410"/>
      <c r="U2" s="410"/>
      <c r="V2" s="410"/>
      <c r="W2" s="411"/>
      <c r="X2" s="406"/>
    </row>
    <row r="3" spans="1:24" x14ac:dyDescent="0.3">
      <c r="A3" s="412"/>
      <c r="B3" s="413" t="s">
        <v>239</v>
      </c>
      <c r="C3" s="410"/>
      <c r="D3" s="410"/>
      <c r="E3" s="410"/>
      <c r="F3" s="410"/>
      <c r="G3" s="410"/>
      <c r="H3" s="410"/>
      <c r="I3" s="410"/>
      <c r="J3" s="410"/>
      <c r="K3" s="410"/>
      <c r="L3" s="410"/>
      <c r="M3" s="410"/>
      <c r="N3" s="410"/>
      <c r="O3" s="410"/>
      <c r="P3" s="410"/>
      <c r="Q3" s="410"/>
      <c r="R3" s="410"/>
      <c r="S3" s="410"/>
      <c r="T3" s="410"/>
      <c r="U3" s="410"/>
      <c r="V3" s="410"/>
      <c r="W3" s="411"/>
      <c r="X3" s="406"/>
    </row>
    <row r="4" spans="1:24" x14ac:dyDescent="0.3">
      <c r="A4" s="408"/>
      <c r="B4" s="409"/>
      <c r="C4" s="410"/>
      <c r="D4" s="410"/>
      <c r="E4" s="410"/>
      <c r="F4" s="410"/>
      <c r="G4" s="410"/>
      <c r="H4" s="410"/>
      <c r="I4" s="410"/>
      <c r="J4" s="410"/>
      <c r="K4" s="410"/>
      <c r="L4" s="410"/>
      <c r="M4" s="410"/>
      <c r="N4" s="410"/>
      <c r="O4" s="410"/>
      <c r="P4" s="410"/>
      <c r="Q4" s="410"/>
      <c r="R4" s="410"/>
      <c r="S4" s="410"/>
      <c r="T4" s="410"/>
      <c r="U4" s="410"/>
      <c r="V4" s="410"/>
      <c r="W4" s="411"/>
      <c r="X4" s="406"/>
    </row>
    <row r="5" spans="1:24" x14ac:dyDescent="0.3">
      <c r="A5" s="408"/>
      <c r="B5" s="414" t="s">
        <v>140</v>
      </c>
      <c r="C5" s="410"/>
      <c r="D5" s="410"/>
      <c r="E5" s="410"/>
      <c r="F5" s="410"/>
      <c r="G5" s="410"/>
      <c r="H5" s="410"/>
      <c r="I5" s="410"/>
      <c r="J5" s="410"/>
      <c r="K5" s="410"/>
      <c r="L5" s="410"/>
      <c r="M5" s="410"/>
      <c r="N5" s="410"/>
      <c r="O5" s="410"/>
      <c r="P5" s="410"/>
      <c r="Q5" s="410"/>
      <c r="R5" s="410"/>
      <c r="S5" s="410"/>
      <c r="T5" s="410"/>
      <c r="U5" s="410"/>
      <c r="V5" s="410"/>
      <c r="W5" s="411"/>
      <c r="X5" s="406"/>
    </row>
    <row r="6" spans="1:24" x14ac:dyDescent="0.3">
      <c r="A6" s="408"/>
      <c r="B6" s="414" t="s">
        <v>142</v>
      </c>
      <c r="C6" s="410"/>
      <c r="D6" s="410"/>
      <c r="E6" s="410"/>
      <c r="F6" s="410"/>
      <c r="G6" s="410"/>
      <c r="H6" s="410"/>
      <c r="I6" s="410"/>
      <c r="J6" s="410"/>
      <c r="K6" s="410"/>
      <c r="L6" s="410"/>
      <c r="M6" s="410"/>
      <c r="N6" s="410"/>
      <c r="O6" s="410"/>
      <c r="P6" s="410"/>
      <c r="Q6" s="410"/>
      <c r="R6" s="410"/>
      <c r="S6" s="410"/>
      <c r="T6" s="410"/>
      <c r="U6" s="410"/>
      <c r="V6" s="410"/>
      <c r="W6" s="411"/>
      <c r="X6" s="406"/>
    </row>
    <row r="7" spans="1:24" x14ac:dyDescent="0.3">
      <c r="A7" s="408"/>
      <c r="B7" s="414" t="s">
        <v>141</v>
      </c>
      <c r="C7" s="410"/>
      <c r="D7" s="410"/>
      <c r="E7" s="410"/>
      <c r="F7" s="410"/>
      <c r="G7" s="410"/>
      <c r="H7" s="410"/>
      <c r="I7" s="410"/>
      <c r="J7" s="410"/>
      <c r="K7" s="410"/>
      <c r="L7" s="410"/>
      <c r="M7" s="410"/>
      <c r="N7" s="410"/>
      <c r="O7" s="410"/>
      <c r="P7" s="410"/>
      <c r="Q7" s="410"/>
      <c r="R7" s="410"/>
      <c r="S7" s="410"/>
      <c r="T7" s="410"/>
      <c r="U7" s="410"/>
      <c r="V7" s="410"/>
      <c r="W7" s="411"/>
      <c r="X7" s="406"/>
    </row>
    <row r="8" spans="1:24" x14ac:dyDescent="0.3">
      <c r="A8" s="408"/>
      <c r="B8" s="415"/>
      <c r="C8" s="410"/>
      <c r="D8" s="410"/>
      <c r="E8" s="410"/>
      <c r="F8" s="410"/>
      <c r="G8" s="410"/>
      <c r="H8" s="410"/>
      <c r="I8" s="410"/>
      <c r="J8" s="410"/>
      <c r="K8" s="410"/>
      <c r="L8" s="410"/>
      <c r="M8" s="410"/>
      <c r="N8" s="410"/>
      <c r="O8" s="410"/>
      <c r="P8" s="410"/>
      <c r="Q8" s="410"/>
      <c r="R8" s="410"/>
      <c r="S8" s="410"/>
      <c r="T8" s="410"/>
      <c r="U8" s="410"/>
      <c r="V8" s="410"/>
      <c r="W8" s="411"/>
      <c r="X8" s="406"/>
    </row>
    <row r="9" spans="1:24" ht="18" x14ac:dyDescent="0.35">
      <c r="A9" s="408"/>
      <c r="B9" s="413" t="s">
        <v>169</v>
      </c>
      <c r="C9" s="410"/>
      <c r="D9" s="410"/>
      <c r="E9" s="410"/>
      <c r="F9" s="410"/>
      <c r="G9" s="410"/>
      <c r="H9" s="410"/>
      <c r="I9" s="416" t="s">
        <v>370</v>
      </c>
      <c r="J9" s="410"/>
      <c r="K9" s="410"/>
      <c r="L9" s="417"/>
      <c r="M9" s="410"/>
      <c r="N9" s="418"/>
      <c r="O9" s="410"/>
      <c r="P9" s="410"/>
      <c r="Q9" s="410"/>
      <c r="R9" s="410"/>
      <c r="S9" s="410"/>
      <c r="T9" s="410"/>
      <c r="U9" s="410"/>
      <c r="V9" s="410"/>
      <c r="W9" s="411"/>
      <c r="X9" s="406"/>
    </row>
    <row r="10" spans="1:24" x14ac:dyDescent="0.3">
      <c r="A10" s="408"/>
      <c r="B10" s="415"/>
      <c r="C10" s="419"/>
      <c r="D10" s="419"/>
      <c r="E10" s="419"/>
      <c r="F10" s="410"/>
      <c r="G10" s="410"/>
      <c r="H10" s="410"/>
      <c r="I10" s="410"/>
      <c r="J10" s="410"/>
      <c r="K10" s="410"/>
      <c r="L10" s="410"/>
      <c r="M10" s="410"/>
      <c r="N10" s="410"/>
      <c r="O10" s="410"/>
      <c r="P10" s="410"/>
      <c r="Q10" s="410"/>
      <c r="R10" s="410"/>
      <c r="S10" s="410"/>
      <c r="T10" s="410"/>
      <c r="U10" s="410"/>
      <c r="V10" s="410"/>
      <c r="W10" s="411"/>
      <c r="X10" s="406"/>
    </row>
    <row r="11" spans="1:24" x14ac:dyDescent="0.3">
      <c r="A11" s="408"/>
      <c r="B11" s="420" t="s">
        <v>0</v>
      </c>
      <c r="C11" s="410"/>
      <c r="D11" s="410"/>
      <c r="E11" s="410"/>
      <c r="F11" s="410"/>
      <c r="G11" s="410"/>
      <c r="H11" s="410"/>
      <c r="I11" s="410"/>
      <c r="J11" s="410"/>
      <c r="K11" s="410"/>
      <c r="L11" s="410"/>
      <c r="M11" s="410"/>
      <c r="N11" s="410"/>
      <c r="O11" s="410"/>
      <c r="P11" s="410"/>
      <c r="Q11" s="410"/>
      <c r="R11" s="410"/>
      <c r="S11" s="410"/>
      <c r="T11" s="410"/>
      <c r="U11" s="410"/>
      <c r="V11" s="410"/>
      <c r="W11" s="411"/>
      <c r="X11" s="406"/>
    </row>
    <row r="12" spans="1:24" ht="16.2" thickBot="1" x14ac:dyDescent="0.35">
      <c r="A12" s="408"/>
      <c r="B12" s="419"/>
      <c r="C12" s="410"/>
      <c r="D12" s="410"/>
      <c r="E12" s="410"/>
      <c r="F12" s="410"/>
      <c r="G12" s="410"/>
      <c r="H12" s="410"/>
      <c r="I12" s="410"/>
      <c r="J12" s="410"/>
      <c r="K12" s="410"/>
      <c r="L12" s="410"/>
      <c r="M12" s="410"/>
      <c r="N12" s="410"/>
      <c r="O12" s="410"/>
      <c r="P12" s="410"/>
      <c r="Q12" s="410"/>
      <c r="R12" s="410"/>
      <c r="S12" s="410"/>
      <c r="T12" s="410"/>
      <c r="U12" s="410"/>
      <c r="V12" s="410"/>
      <c r="W12" s="411"/>
      <c r="X12" s="406"/>
    </row>
    <row r="13" spans="1:24" x14ac:dyDescent="0.3">
      <c r="A13" s="402"/>
      <c r="B13" s="404"/>
      <c r="C13" s="404"/>
      <c r="D13" s="404"/>
      <c r="E13" s="404"/>
      <c r="F13" s="404"/>
      <c r="G13" s="404"/>
      <c r="H13" s="404"/>
      <c r="I13" s="404"/>
      <c r="J13" s="404"/>
      <c r="K13" s="404"/>
      <c r="L13" s="404"/>
      <c r="M13" s="404"/>
      <c r="N13" s="404"/>
      <c r="O13" s="404"/>
      <c r="P13" s="404"/>
      <c r="Q13" s="404"/>
      <c r="R13" s="404"/>
      <c r="S13" s="404"/>
      <c r="T13" s="404"/>
      <c r="U13" s="404"/>
      <c r="V13" s="404"/>
      <c r="W13" s="405"/>
      <c r="X13" s="406"/>
    </row>
    <row r="14" spans="1:24" s="426" customFormat="1" x14ac:dyDescent="0.3">
      <c r="A14" s="421"/>
      <c r="B14" s="420" t="s">
        <v>1</v>
      </c>
      <c r="C14" s="422"/>
      <c r="D14" s="422"/>
      <c r="E14" s="422"/>
      <c r="F14" s="422"/>
      <c r="G14" s="422"/>
      <c r="H14" s="422"/>
      <c r="I14" s="422"/>
      <c r="J14" s="422"/>
      <c r="K14" s="422"/>
      <c r="L14" s="422"/>
      <c r="M14" s="422"/>
      <c r="N14" s="422"/>
      <c r="O14" s="422"/>
      <c r="P14" s="422"/>
      <c r="Q14" s="422"/>
      <c r="R14" s="422"/>
      <c r="S14" s="422"/>
      <c r="T14" s="422"/>
      <c r="U14" s="422"/>
      <c r="V14" s="423" t="s">
        <v>240</v>
      </c>
      <c r="W14" s="424"/>
      <c r="X14" s="425"/>
    </row>
    <row r="15" spans="1:24" s="426" customFormat="1" x14ac:dyDescent="0.3">
      <c r="A15" s="421"/>
      <c r="B15" s="420" t="s">
        <v>2</v>
      </c>
      <c r="C15" s="422"/>
      <c r="D15" s="422"/>
      <c r="E15" s="422"/>
      <c r="F15" s="422"/>
      <c r="G15" s="422"/>
      <c r="H15" s="427"/>
      <c r="I15" s="427"/>
      <c r="J15" s="427"/>
      <c r="K15" s="427"/>
      <c r="L15" s="427"/>
      <c r="M15" s="427"/>
      <c r="N15" s="427"/>
      <c r="O15" s="427"/>
      <c r="P15" s="427"/>
      <c r="Q15" s="427"/>
      <c r="R15" s="427" t="s">
        <v>105</v>
      </c>
      <c r="S15" s="428">
        <v>0.57609999999999995</v>
      </c>
      <c r="T15" s="429" t="s">
        <v>143</v>
      </c>
      <c r="U15" s="428">
        <v>0.4239</v>
      </c>
      <c r="V15" s="423"/>
      <c r="W15" s="424"/>
      <c r="X15" s="425"/>
    </row>
    <row r="16" spans="1:24" s="426" customFormat="1" x14ac:dyDescent="0.3">
      <c r="A16" s="421"/>
      <c r="B16" s="420" t="s">
        <v>3</v>
      </c>
      <c r="C16" s="422"/>
      <c r="D16" s="422"/>
      <c r="E16" s="422"/>
      <c r="F16" s="422"/>
      <c r="G16" s="422"/>
      <c r="H16" s="427"/>
      <c r="I16" s="427"/>
      <c r="J16" s="427"/>
      <c r="K16" s="427"/>
      <c r="L16" s="427"/>
      <c r="M16" s="427"/>
      <c r="N16" s="427"/>
      <c r="O16" s="427"/>
      <c r="P16" s="427"/>
      <c r="Q16" s="427"/>
      <c r="R16" s="427" t="s">
        <v>105</v>
      </c>
      <c r="S16" s="428">
        <v>0.67620000000000002</v>
      </c>
      <c r="T16" s="429" t="s">
        <v>143</v>
      </c>
      <c r="U16" s="428">
        <v>0.32379999999999998</v>
      </c>
      <c r="V16" s="423"/>
      <c r="W16" s="424"/>
      <c r="X16" s="425"/>
    </row>
    <row r="17" spans="1:24" s="426" customFormat="1" x14ac:dyDescent="0.3">
      <c r="A17" s="421"/>
      <c r="B17" s="420" t="s">
        <v>4</v>
      </c>
      <c r="C17" s="422"/>
      <c r="D17" s="422"/>
      <c r="E17" s="422"/>
      <c r="F17" s="422"/>
      <c r="G17" s="422"/>
      <c r="H17" s="422"/>
      <c r="I17" s="422"/>
      <c r="J17" s="422"/>
      <c r="K17" s="422"/>
      <c r="L17" s="422"/>
      <c r="M17" s="422"/>
      <c r="N17" s="422"/>
      <c r="O17" s="422"/>
      <c r="P17" s="422"/>
      <c r="Q17" s="422"/>
      <c r="R17" s="422"/>
      <c r="S17" s="422"/>
      <c r="T17" s="422"/>
      <c r="U17" s="422"/>
      <c r="V17" s="430">
        <v>39016</v>
      </c>
      <c r="W17" s="424"/>
      <c r="X17" s="425"/>
    </row>
    <row r="18" spans="1:24" s="426" customFormat="1" x14ac:dyDescent="0.3">
      <c r="A18" s="421"/>
      <c r="B18" s="420" t="s">
        <v>5</v>
      </c>
      <c r="C18" s="422"/>
      <c r="D18" s="422"/>
      <c r="E18" s="422"/>
      <c r="F18" s="422"/>
      <c r="G18" s="422"/>
      <c r="H18" s="422"/>
      <c r="I18" s="422"/>
      <c r="J18" s="422"/>
      <c r="K18" s="422"/>
      <c r="L18" s="422"/>
      <c r="M18" s="422"/>
      <c r="N18" s="422"/>
      <c r="O18" s="422"/>
      <c r="P18" s="422"/>
      <c r="Q18" s="422"/>
      <c r="R18" s="422"/>
      <c r="S18" s="422"/>
      <c r="T18" s="422"/>
      <c r="U18" s="422"/>
      <c r="V18" s="430">
        <v>43391</v>
      </c>
      <c r="W18" s="424"/>
      <c r="X18" s="425"/>
    </row>
    <row r="19" spans="1:24" s="426" customFormat="1" x14ac:dyDescent="0.3">
      <c r="A19" s="421"/>
      <c r="B19" s="422"/>
      <c r="C19" s="422"/>
      <c r="D19" s="422"/>
      <c r="E19" s="422"/>
      <c r="F19" s="422"/>
      <c r="G19" s="422"/>
      <c r="H19" s="422"/>
      <c r="I19" s="422"/>
      <c r="J19" s="422"/>
      <c r="K19" s="422"/>
      <c r="L19" s="422"/>
      <c r="M19" s="422"/>
      <c r="N19" s="422"/>
      <c r="O19" s="422"/>
      <c r="P19" s="422"/>
      <c r="Q19" s="422"/>
      <c r="R19" s="422"/>
      <c r="S19" s="422"/>
      <c r="T19" s="422"/>
      <c r="U19" s="422"/>
      <c r="V19" s="431"/>
      <c r="W19" s="424"/>
      <c r="X19" s="425"/>
    </row>
    <row r="20" spans="1:24" s="426" customFormat="1" x14ac:dyDescent="0.3">
      <c r="A20" s="421"/>
      <c r="B20" s="432" t="s">
        <v>6</v>
      </c>
      <c r="C20" s="422"/>
      <c r="D20" s="422"/>
      <c r="E20" s="422"/>
      <c r="F20" s="422"/>
      <c r="G20" s="422"/>
      <c r="H20" s="422"/>
      <c r="I20" s="422"/>
      <c r="J20" s="422"/>
      <c r="K20" s="422"/>
      <c r="L20" s="422"/>
      <c r="M20" s="422"/>
      <c r="N20" s="422"/>
      <c r="O20" s="422"/>
      <c r="P20" s="422"/>
      <c r="Q20" s="422"/>
      <c r="R20" s="422"/>
      <c r="S20" s="422"/>
      <c r="T20" s="431" t="s">
        <v>106</v>
      </c>
      <c r="U20" s="422"/>
      <c r="V20" s="422"/>
      <c r="W20" s="424"/>
      <c r="X20" s="425"/>
    </row>
    <row r="21" spans="1:24" x14ac:dyDescent="0.3">
      <c r="A21" s="408"/>
      <c r="B21" s="410"/>
      <c r="C21" s="410"/>
      <c r="D21" s="410"/>
      <c r="E21" s="410"/>
      <c r="F21" s="410"/>
      <c r="G21" s="410"/>
      <c r="H21" s="410"/>
      <c r="I21" s="410"/>
      <c r="J21" s="410"/>
      <c r="K21" s="410"/>
      <c r="L21" s="410"/>
      <c r="M21" s="410"/>
      <c r="N21" s="410"/>
      <c r="O21" s="410"/>
      <c r="P21" s="410"/>
      <c r="Q21" s="410"/>
      <c r="R21" s="410"/>
      <c r="S21" s="410"/>
      <c r="T21" s="410"/>
      <c r="U21" s="410"/>
      <c r="V21" s="433"/>
      <c r="W21" s="411"/>
      <c r="X21" s="406"/>
    </row>
    <row r="22" spans="1:24" x14ac:dyDescent="0.3">
      <c r="A22" s="434"/>
      <c r="B22" s="435"/>
      <c r="C22" s="436"/>
      <c r="D22" s="436" t="s">
        <v>180</v>
      </c>
      <c r="E22" s="436"/>
      <c r="F22" s="436" t="s">
        <v>181</v>
      </c>
      <c r="G22" s="436"/>
      <c r="H22" s="436" t="s">
        <v>182</v>
      </c>
      <c r="I22" s="436"/>
      <c r="J22" s="436" t="s">
        <v>223</v>
      </c>
      <c r="K22" s="436"/>
      <c r="L22" s="436" t="s">
        <v>183</v>
      </c>
      <c r="M22" s="436"/>
      <c r="N22" s="436" t="s">
        <v>184</v>
      </c>
      <c r="O22" s="436"/>
      <c r="P22" s="436" t="s">
        <v>224</v>
      </c>
      <c r="Q22" s="436"/>
      <c r="R22" s="436" t="s">
        <v>185</v>
      </c>
      <c r="S22" s="437"/>
      <c r="T22" s="437"/>
      <c r="U22" s="435"/>
      <c r="V22" s="435"/>
      <c r="W22" s="438"/>
      <c r="X22" s="406"/>
    </row>
    <row r="23" spans="1:24" s="426" customFormat="1" x14ac:dyDescent="0.3">
      <c r="A23" s="439"/>
      <c r="B23" s="440" t="s">
        <v>7</v>
      </c>
      <c r="C23" s="441"/>
      <c r="D23" s="441" t="s">
        <v>216</v>
      </c>
      <c r="E23" s="441"/>
      <c r="F23" s="441" t="s">
        <v>144</v>
      </c>
      <c r="G23" s="441"/>
      <c r="H23" s="441" t="s">
        <v>144</v>
      </c>
      <c r="I23" s="441"/>
      <c r="J23" s="441" t="s">
        <v>144</v>
      </c>
      <c r="K23" s="441"/>
      <c r="L23" s="441" t="s">
        <v>186</v>
      </c>
      <c r="M23" s="441"/>
      <c r="N23" s="441" t="s">
        <v>186</v>
      </c>
      <c r="O23" s="441"/>
      <c r="P23" s="441" t="s">
        <v>145</v>
      </c>
      <c r="Q23" s="441"/>
      <c r="R23" s="441" t="s">
        <v>145</v>
      </c>
      <c r="S23" s="441"/>
      <c r="T23" s="441"/>
      <c r="U23" s="440"/>
      <c r="V23" s="440"/>
      <c r="W23" s="442"/>
      <c r="X23" s="425"/>
    </row>
    <row r="24" spans="1:24" s="426" customFormat="1" x14ac:dyDescent="0.3">
      <c r="A24" s="443"/>
      <c r="B24" s="444" t="s">
        <v>8</v>
      </c>
      <c r="C24" s="445"/>
      <c r="D24" s="445" t="s">
        <v>217</v>
      </c>
      <c r="E24" s="445"/>
      <c r="F24" s="445" t="s">
        <v>146</v>
      </c>
      <c r="G24" s="445"/>
      <c r="H24" s="445" t="s">
        <v>146</v>
      </c>
      <c r="I24" s="445"/>
      <c r="J24" s="445" t="s">
        <v>146</v>
      </c>
      <c r="K24" s="445"/>
      <c r="L24" s="445" t="s">
        <v>168</v>
      </c>
      <c r="M24" s="445"/>
      <c r="N24" s="445" t="s">
        <v>168</v>
      </c>
      <c r="O24" s="445"/>
      <c r="P24" s="445" t="s">
        <v>147</v>
      </c>
      <c r="Q24" s="445"/>
      <c r="R24" s="445" t="s">
        <v>147</v>
      </c>
      <c r="S24" s="445"/>
      <c r="T24" s="445"/>
      <c r="U24" s="444"/>
      <c r="V24" s="444"/>
      <c r="W24" s="446"/>
      <c r="X24" s="425"/>
    </row>
    <row r="25" spans="1:24" s="426" customFormat="1" x14ac:dyDescent="0.3">
      <c r="A25" s="447"/>
      <c r="B25" s="444" t="s">
        <v>193</v>
      </c>
      <c r="C25" s="448"/>
      <c r="D25" s="445" t="s">
        <v>218</v>
      </c>
      <c r="E25" s="445"/>
      <c r="F25" s="445" t="s">
        <v>146</v>
      </c>
      <c r="G25" s="445"/>
      <c r="H25" s="445" t="s">
        <v>146</v>
      </c>
      <c r="I25" s="445"/>
      <c r="J25" s="445" t="s">
        <v>146</v>
      </c>
      <c r="K25" s="445"/>
      <c r="L25" s="445" t="s">
        <v>168</v>
      </c>
      <c r="M25" s="445"/>
      <c r="N25" s="445" t="s">
        <v>168</v>
      </c>
      <c r="O25" s="445"/>
      <c r="P25" s="445" t="s">
        <v>147</v>
      </c>
      <c r="Q25" s="445"/>
      <c r="R25" s="445" t="s">
        <v>147</v>
      </c>
      <c r="S25" s="448"/>
      <c r="T25" s="445"/>
      <c r="U25" s="444"/>
      <c r="V25" s="444"/>
      <c r="W25" s="446"/>
      <c r="X25" s="425"/>
    </row>
    <row r="26" spans="1:24" s="426" customFormat="1" x14ac:dyDescent="0.3">
      <c r="A26" s="447"/>
      <c r="B26" s="449" t="s">
        <v>9</v>
      </c>
      <c r="C26" s="448"/>
      <c r="D26" s="448" t="s">
        <v>144</v>
      </c>
      <c r="E26" s="448"/>
      <c r="F26" s="448" t="s">
        <v>144</v>
      </c>
      <c r="G26" s="448"/>
      <c r="H26" s="448" t="s">
        <v>144</v>
      </c>
      <c r="I26" s="448"/>
      <c r="J26" s="448" t="s">
        <v>144</v>
      </c>
      <c r="K26" s="448"/>
      <c r="L26" s="448" t="s">
        <v>186</v>
      </c>
      <c r="M26" s="448"/>
      <c r="N26" s="448" t="s">
        <v>186</v>
      </c>
      <c r="O26" s="448"/>
      <c r="P26" s="448" t="s">
        <v>145</v>
      </c>
      <c r="Q26" s="448"/>
      <c r="R26" s="448" t="s">
        <v>145</v>
      </c>
      <c r="S26" s="448"/>
      <c r="T26" s="445"/>
      <c r="U26" s="444"/>
      <c r="V26" s="444"/>
      <c r="W26" s="446"/>
      <c r="X26" s="425"/>
    </row>
    <row r="27" spans="1:24" s="426" customFormat="1" x14ac:dyDescent="0.3">
      <c r="A27" s="443"/>
      <c r="B27" s="449" t="s">
        <v>194</v>
      </c>
      <c r="C27" s="445"/>
      <c r="D27" s="448" t="s">
        <v>168</v>
      </c>
      <c r="E27" s="448"/>
      <c r="F27" s="448" t="s">
        <v>168</v>
      </c>
      <c r="G27" s="448"/>
      <c r="H27" s="448" t="s">
        <v>168</v>
      </c>
      <c r="I27" s="448"/>
      <c r="J27" s="448" t="s">
        <v>168</v>
      </c>
      <c r="K27" s="448"/>
      <c r="L27" s="448" t="s">
        <v>360</v>
      </c>
      <c r="M27" s="448"/>
      <c r="N27" s="448" t="s">
        <v>360</v>
      </c>
      <c r="O27" s="448"/>
      <c r="P27" s="448" t="s">
        <v>147</v>
      </c>
      <c r="Q27" s="448"/>
      <c r="R27" s="448" t="s">
        <v>147</v>
      </c>
      <c r="S27" s="445"/>
      <c r="T27" s="450"/>
      <c r="U27" s="444"/>
      <c r="V27" s="444"/>
      <c r="W27" s="446"/>
      <c r="X27" s="425"/>
    </row>
    <row r="28" spans="1:24" s="426" customFormat="1" x14ac:dyDescent="0.3">
      <c r="A28" s="443"/>
      <c r="B28" s="449" t="s">
        <v>195</v>
      </c>
      <c r="C28" s="445"/>
      <c r="D28" s="448" t="s">
        <v>146</v>
      </c>
      <c r="E28" s="448"/>
      <c r="F28" s="448" t="s">
        <v>146</v>
      </c>
      <c r="G28" s="448"/>
      <c r="H28" s="448" t="s">
        <v>146</v>
      </c>
      <c r="I28" s="448"/>
      <c r="J28" s="448" t="s">
        <v>146</v>
      </c>
      <c r="K28" s="448"/>
      <c r="L28" s="448" t="s">
        <v>146</v>
      </c>
      <c r="M28" s="448"/>
      <c r="N28" s="448" t="s">
        <v>146</v>
      </c>
      <c r="O28" s="448"/>
      <c r="P28" s="448" t="s">
        <v>147</v>
      </c>
      <c r="Q28" s="448"/>
      <c r="R28" s="448" t="s">
        <v>147</v>
      </c>
      <c r="S28" s="445"/>
      <c r="T28" s="450"/>
      <c r="U28" s="444"/>
      <c r="V28" s="444"/>
      <c r="W28" s="446"/>
      <c r="X28" s="425"/>
    </row>
    <row r="29" spans="1:24" s="426" customFormat="1" x14ac:dyDescent="0.3">
      <c r="A29" s="443"/>
      <c r="B29" s="444" t="s">
        <v>10</v>
      </c>
      <c r="C29" s="451"/>
      <c r="D29" s="445" t="s">
        <v>348</v>
      </c>
      <c r="E29" s="445"/>
      <c r="F29" s="450" t="s">
        <v>242</v>
      </c>
      <c r="G29" s="445"/>
      <c r="H29" s="445" t="s">
        <v>243</v>
      </c>
      <c r="I29" s="445"/>
      <c r="J29" s="445" t="s">
        <v>245</v>
      </c>
      <c r="K29" s="445"/>
      <c r="L29" s="445" t="s">
        <v>246</v>
      </c>
      <c r="M29" s="445"/>
      <c r="N29" s="445" t="s">
        <v>247</v>
      </c>
      <c r="O29" s="445"/>
      <c r="P29" s="445" t="s">
        <v>248</v>
      </c>
      <c r="Q29" s="445"/>
      <c r="R29" s="445" t="s">
        <v>249</v>
      </c>
      <c r="S29" s="452"/>
      <c r="T29" s="452"/>
      <c r="U29" s="451"/>
      <c r="V29" s="452"/>
      <c r="W29" s="453"/>
      <c r="X29" s="425"/>
    </row>
    <row r="30" spans="1:24" s="426" customFormat="1" x14ac:dyDescent="0.3">
      <c r="A30" s="443"/>
      <c r="B30" s="444" t="s">
        <v>10</v>
      </c>
      <c r="C30" s="451"/>
      <c r="D30" s="445" t="s">
        <v>241</v>
      </c>
      <c r="E30" s="445"/>
      <c r="F30" s="450" t="s">
        <v>121</v>
      </c>
      <c r="G30" s="445"/>
      <c r="H30" s="445" t="s">
        <v>121</v>
      </c>
      <c r="I30" s="445"/>
      <c r="J30" s="445" t="s">
        <v>244</v>
      </c>
      <c r="K30" s="445"/>
      <c r="L30" s="445" t="s">
        <v>121</v>
      </c>
      <c r="M30" s="445"/>
      <c r="N30" s="445" t="s">
        <v>121</v>
      </c>
      <c r="O30" s="445"/>
      <c r="P30" s="445" t="s">
        <v>121</v>
      </c>
      <c r="Q30" s="445"/>
      <c r="R30" s="445" t="s">
        <v>121</v>
      </c>
      <c r="S30" s="452"/>
      <c r="T30" s="452"/>
      <c r="U30" s="451"/>
      <c r="V30" s="452"/>
      <c r="W30" s="453"/>
      <c r="X30" s="425"/>
    </row>
    <row r="31" spans="1:24" s="426" customFormat="1" x14ac:dyDescent="0.3">
      <c r="A31" s="447"/>
      <c r="B31" s="444" t="s">
        <v>136</v>
      </c>
      <c r="C31" s="454"/>
      <c r="D31" s="455">
        <v>1500000</v>
      </c>
      <c r="E31" s="451"/>
      <c r="F31" s="452">
        <v>125000</v>
      </c>
      <c r="G31" s="452"/>
      <c r="H31" s="456">
        <v>315000</v>
      </c>
      <c r="I31" s="456"/>
      <c r="J31" s="455">
        <v>350000</v>
      </c>
      <c r="K31" s="452"/>
      <c r="L31" s="452">
        <v>56000</v>
      </c>
      <c r="M31" s="452"/>
      <c r="N31" s="456">
        <v>84000</v>
      </c>
      <c r="O31" s="452"/>
      <c r="P31" s="452">
        <v>13000</v>
      </c>
      <c r="Q31" s="452"/>
      <c r="R31" s="456">
        <v>81000</v>
      </c>
      <c r="S31" s="457"/>
      <c r="T31" s="457"/>
      <c r="U31" s="454"/>
      <c r="V31" s="457"/>
      <c r="W31" s="453"/>
      <c r="X31" s="425"/>
    </row>
    <row r="32" spans="1:24" s="426" customFormat="1" x14ac:dyDescent="0.3">
      <c r="A32" s="443"/>
      <c r="B32" s="444" t="s">
        <v>135</v>
      </c>
      <c r="C32" s="451"/>
      <c r="D32" s="458">
        <f>D34*D38</f>
        <v>351673.65314399998</v>
      </c>
      <c r="E32" s="451"/>
      <c r="F32" s="452">
        <f>F31*F38</f>
        <v>55095.8</v>
      </c>
      <c r="G32" s="452"/>
      <c r="H32" s="456">
        <f>H31*H38</f>
        <v>138841.416</v>
      </c>
      <c r="I32" s="456"/>
      <c r="J32" s="455">
        <f>J31*J38</f>
        <v>154267.36499999999</v>
      </c>
      <c r="K32" s="452"/>
      <c r="L32" s="452">
        <f>L31*L38</f>
        <v>56000</v>
      </c>
      <c r="M32" s="452"/>
      <c r="N32" s="456">
        <f>N31*N38</f>
        <v>84000</v>
      </c>
      <c r="O32" s="452"/>
      <c r="P32" s="452">
        <f>P31*P38</f>
        <v>13000</v>
      </c>
      <c r="Q32" s="452"/>
      <c r="R32" s="456">
        <f>R31*R38</f>
        <v>81000</v>
      </c>
      <c r="S32" s="452"/>
      <c r="T32" s="452"/>
      <c r="U32" s="451"/>
      <c r="V32" s="452"/>
      <c r="W32" s="453"/>
      <c r="X32" s="425"/>
    </row>
    <row r="33" spans="1:24" s="426" customFormat="1" x14ac:dyDescent="0.3">
      <c r="A33" s="443"/>
      <c r="B33" s="449" t="s">
        <v>137</v>
      </c>
      <c r="C33" s="451"/>
      <c r="D33" s="459">
        <f>D34*D37</f>
        <v>344600.43807679997</v>
      </c>
      <c r="E33" s="454"/>
      <c r="F33" s="457">
        <f>F37*F31</f>
        <v>53987.65</v>
      </c>
      <c r="G33" s="457"/>
      <c r="H33" s="460">
        <f>H31*H37</f>
        <v>136048.878</v>
      </c>
      <c r="I33" s="460"/>
      <c r="J33" s="461">
        <f>J37*J31</f>
        <v>151164.54500000001</v>
      </c>
      <c r="K33" s="457"/>
      <c r="L33" s="457">
        <f>L31*L37</f>
        <v>56000</v>
      </c>
      <c r="M33" s="457"/>
      <c r="N33" s="460">
        <f>N31*N37</f>
        <v>84000</v>
      </c>
      <c r="O33" s="457"/>
      <c r="P33" s="457">
        <f>P31*P37</f>
        <v>13000</v>
      </c>
      <c r="Q33" s="457"/>
      <c r="R33" s="460">
        <f>R31*R37</f>
        <v>81000</v>
      </c>
      <c r="S33" s="452"/>
      <c r="T33" s="452"/>
      <c r="U33" s="451"/>
      <c r="V33" s="452"/>
      <c r="W33" s="453"/>
      <c r="X33" s="425"/>
    </row>
    <row r="34" spans="1:24" s="426" customFormat="1" x14ac:dyDescent="0.3">
      <c r="A34" s="447"/>
      <c r="B34" s="444" t="s">
        <v>298</v>
      </c>
      <c r="C34" s="454"/>
      <c r="D34" s="452">
        <v>797872</v>
      </c>
      <c r="E34" s="451"/>
      <c r="F34" s="452">
        <v>125000</v>
      </c>
      <c r="G34" s="452"/>
      <c r="H34" s="452">
        <v>211409</v>
      </c>
      <c r="I34" s="452"/>
      <c r="J34" s="452">
        <v>186170</v>
      </c>
      <c r="K34" s="452"/>
      <c r="L34" s="452">
        <v>56000</v>
      </c>
      <c r="M34" s="452"/>
      <c r="N34" s="452">
        <v>56376</v>
      </c>
      <c r="O34" s="452"/>
      <c r="P34" s="452">
        <v>13000</v>
      </c>
      <c r="Q34" s="452"/>
      <c r="R34" s="452">
        <v>54363</v>
      </c>
      <c r="S34" s="457"/>
      <c r="T34" s="457"/>
      <c r="U34" s="454"/>
      <c r="V34" s="452">
        <f>SUM(C34:R34)</f>
        <v>1500190</v>
      </c>
      <c r="W34" s="453"/>
      <c r="X34" s="425"/>
    </row>
    <row r="35" spans="1:24" s="426" customFormat="1" x14ac:dyDescent="0.3">
      <c r="A35" s="447"/>
      <c r="B35" s="444" t="s">
        <v>299</v>
      </c>
      <c r="C35" s="454"/>
      <c r="D35" s="452">
        <f>D34*D38</f>
        <v>351673.65314399998</v>
      </c>
      <c r="E35" s="451"/>
      <c r="F35" s="452">
        <f>F34*F38</f>
        <v>55095.8</v>
      </c>
      <c r="G35" s="452"/>
      <c r="H35" s="452">
        <f>H34*H38</f>
        <v>93181.983857600004</v>
      </c>
      <c r="I35" s="452"/>
      <c r="J35" s="452">
        <f>J34*J38</f>
        <v>82057.015262999994</v>
      </c>
      <c r="K35" s="452"/>
      <c r="L35" s="452">
        <f>L34*L38</f>
        <v>56000</v>
      </c>
      <c r="M35" s="452"/>
      <c r="N35" s="452">
        <f>N34*N38</f>
        <v>56376</v>
      </c>
      <c r="O35" s="452"/>
      <c r="P35" s="452">
        <f>P34*P38</f>
        <v>13000</v>
      </c>
      <c r="Q35" s="452"/>
      <c r="R35" s="452">
        <f>R34*R38</f>
        <v>54363</v>
      </c>
      <c r="S35" s="452"/>
      <c r="T35" s="452"/>
      <c r="U35" s="451"/>
      <c r="V35" s="452">
        <f>SUM(C35:R35)+1</f>
        <v>761748.45226459997</v>
      </c>
      <c r="W35" s="453"/>
      <c r="X35" s="425"/>
    </row>
    <row r="36" spans="1:24" s="426" customFormat="1" x14ac:dyDescent="0.3">
      <c r="A36" s="447"/>
      <c r="B36" s="449" t="s">
        <v>304</v>
      </c>
      <c r="C36" s="454"/>
      <c r="D36" s="457">
        <f>D34*D37</f>
        <v>344600.43807679997</v>
      </c>
      <c r="E36" s="454"/>
      <c r="F36" s="457">
        <f>F34*F37</f>
        <v>53987.65</v>
      </c>
      <c r="G36" s="457"/>
      <c r="H36" s="457">
        <f>H34*H37</f>
        <v>91307.8007908</v>
      </c>
      <c r="I36" s="457"/>
      <c r="J36" s="457">
        <f>J34*J37</f>
        <v>80406.580979000006</v>
      </c>
      <c r="K36" s="457"/>
      <c r="L36" s="457">
        <v>56000</v>
      </c>
      <c r="M36" s="457"/>
      <c r="N36" s="457">
        <v>56376</v>
      </c>
      <c r="O36" s="457"/>
      <c r="P36" s="457">
        <v>13000</v>
      </c>
      <c r="Q36" s="457"/>
      <c r="R36" s="457">
        <v>54363</v>
      </c>
      <c r="S36" s="462"/>
      <c r="T36" s="462"/>
      <c r="U36" s="451"/>
      <c r="V36" s="457">
        <f>SUM(C36:R36)+1</f>
        <v>750042.46984659997</v>
      </c>
      <c r="W36" s="453"/>
      <c r="X36" s="425"/>
    </row>
    <row r="37" spans="1:24" s="473" customFormat="1" x14ac:dyDescent="0.3">
      <c r="A37" s="463"/>
      <c r="B37" s="464" t="s">
        <v>133</v>
      </c>
      <c r="C37" s="465"/>
      <c r="D37" s="466">
        <v>0.43189939999999999</v>
      </c>
      <c r="E37" s="467"/>
      <c r="F37" s="466">
        <v>0.43190119999999999</v>
      </c>
      <c r="G37" s="468"/>
      <c r="H37" s="466">
        <v>0.43190119999999999</v>
      </c>
      <c r="I37" s="468"/>
      <c r="J37" s="466">
        <v>0.43189870000000002</v>
      </c>
      <c r="K37" s="468"/>
      <c r="L37" s="466">
        <v>1</v>
      </c>
      <c r="M37" s="468"/>
      <c r="N37" s="466">
        <v>1</v>
      </c>
      <c r="O37" s="468"/>
      <c r="P37" s="466">
        <v>1</v>
      </c>
      <c r="Q37" s="468"/>
      <c r="R37" s="466">
        <v>1</v>
      </c>
      <c r="S37" s="469"/>
      <c r="T37" s="469"/>
      <c r="U37" s="470"/>
      <c r="V37" s="470"/>
      <c r="W37" s="471"/>
      <c r="X37" s="472"/>
    </row>
    <row r="38" spans="1:24" s="473" customFormat="1" x14ac:dyDescent="0.3">
      <c r="A38" s="463"/>
      <c r="B38" s="465" t="s">
        <v>134</v>
      </c>
      <c r="C38" s="465"/>
      <c r="D38" s="474">
        <v>0.4407645</v>
      </c>
      <c r="E38" s="475"/>
      <c r="F38" s="474">
        <v>0.4407664</v>
      </c>
      <c r="G38" s="476"/>
      <c r="H38" s="474">
        <v>0.4407664</v>
      </c>
      <c r="I38" s="476"/>
      <c r="J38" s="474">
        <v>0.44076389999999999</v>
      </c>
      <c r="K38" s="476"/>
      <c r="L38" s="474">
        <v>1</v>
      </c>
      <c r="M38" s="476"/>
      <c r="N38" s="474">
        <v>1</v>
      </c>
      <c r="O38" s="476"/>
      <c r="P38" s="474">
        <v>1</v>
      </c>
      <c r="Q38" s="476"/>
      <c r="R38" s="474">
        <v>1</v>
      </c>
      <c r="S38" s="477"/>
      <c r="T38" s="478"/>
      <c r="U38" s="470"/>
      <c r="V38" s="477"/>
      <c r="W38" s="471"/>
      <c r="X38" s="472"/>
    </row>
    <row r="39" spans="1:24" s="426" customFormat="1" x14ac:dyDescent="0.3">
      <c r="A39" s="443"/>
      <c r="B39" s="444" t="s">
        <v>11</v>
      </c>
      <c r="C39" s="444"/>
      <c r="D39" s="450" t="s">
        <v>226</v>
      </c>
      <c r="E39" s="444"/>
      <c r="F39" s="450" t="s">
        <v>226</v>
      </c>
      <c r="G39" s="450"/>
      <c r="H39" s="450" t="s">
        <v>226</v>
      </c>
      <c r="I39" s="450"/>
      <c r="J39" s="450" t="s">
        <v>256</v>
      </c>
      <c r="K39" s="450"/>
      <c r="L39" s="450" t="s">
        <v>254</v>
      </c>
      <c r="M39" s="450"/>
      <c r="N39" s="450" t="s">
        <v>257</v>
      </c>
      <c r="O39" s="450"/>
      <c r="P39" s="450" t="s">
        <v>258</v>
      </c>
      <c r="Q39" s="450"/>
      <c r="R39" s="450" t="s">
        <v>259</v>
      </c>
      <c r="S39" s="479"/>
      <c r="T39" s="480"/>
      <c r="U39" s="444"/>
      <c r="V39" s="444"/>
      <c r="W39" s="446"/>
      <c r="X39" s="425"/>
    </row>
    <row r="40" spans="1:24" s="426" customFormat="1" x14ac:dyDescent="0.3">
      <c r="A40" s="443"/>
      <c r="B40" s="444" t="s">
        <v>12</v>
      </c>
      <c r="C40" s="444"/>
      <c r="D40" s="480">
        <v>9.9305999999999995E-3</v>
      </c>
      <c r="E40" s="444"/>
      <c r="F40" s="480">
        <v>9.9305999999999995E-3</v>
      </c>
      <c r="G40" s="479"/>
      <c r="H40" s="480">
        <v>0</v>
      </c>
      <c r="I40" s="480"/>
      <c r="J40" s="480">
        <v>2.51919E-2</v>
      </c>
      <c r="K40" s="479"/>
      <c r="L40" s="480">
        <v>1.15306E-2</v>
      </c>
      <c r="M40" s="479"/>
      <c r="N40" s="480">
        <v>5.9000000000000003E-4</v>
      </c>
      <c r="O40" s="479"/>
      <c r="P40" s="480">
        <v>1.55306E-2</v>
      </c>
      <c r="Q40" s="479"/>
      <c r="R40" s="480">
        <v>4.5900000000000003E-3</v>
      </c>
      <c r="S40" s="479"/>
      <c r="T40" s="480"/>
      <c r="U40" s="444"/>
      <c r="V40" s="450"/>
      <c r="W40" s="446"/>
      <c r="X40" s="425"/>
    </row>
    <row r="41" spans="1:24" s="426" customFormat="1" x14ac:dyDescent="0.3">
      <c r="A41" s="443"/>
      <c r="B41" s="444" t="s">
        <v>13</v>
      </c>
      <c r="C41" s="444"/>
      <c r="D41" s="480">
        <v>1.02588E-2</v>
      </c>
      <c r="E41" s="444"/>
      <c r="F41" s="480">
        <v>1.02588E-2</v>
      </c>
      <c r="G41" s="479"/>
      <c r="H41" s="480">
        <v>0</v>
      </c>
      <c r="I41" s="480"/>
      <c r="J41" s="480">
        <v>2.5276900000000001E-2</v>
      </c>
      <c r="K41" s="479"/>
      <c r="L41" s="480">
        <v>1.1858799999999999E-2</v>
      </c>
      <c r="M41" s="479"/>
      <c r="N41" s="480">
        <v>5.1000000000000004E-4</v>
      </c>
      <c r="O41" s="479"/>
      <c r="P41" s="480">
        <v>1.5858799999999999E-2</v>
      </c>
      <c r="Q41" s="479"/>
      <c r="R41" s="480">
        <v>4.5100000000000001E-3</v>
      </c>
      <c r="S41" s="479"/>
      <c r="T41" s="480"/>
      <c r="U41" s="444"/>
      <c r="V41" s="479" t="s">
        <v>196</v>
      </c>
      <c r="W41" s="446"/>
      <c r="X41" s="425"/>
    </row>
    <row r="42" spans="1:24" s="426" customFormat="1" x14ac:dyDescent="0.3">
      <c r="A42" s="443"/>
      <c r="B42" s="444" t="s">
        <v>300</v>
      </c>
      <c r="C42" s="444"/>
      <c r="D42" s="450" t="s">
        <v>226</v>
      </c>
      <c r="E42" s="444"/>
      <c r="F42" s="450" t="s">
        <v>226</v>
      </c>
      <c r="G42" s="450"/>
      <c r="H42" s="450" t="s">
        <v>227</v>
      </c>
      <c r="I42" s="450"/>
      <c r="J42" s="450" t="s">
        <v>237</v>
      </c>
      <c r="K42" s="450"/>
      <c r="L42" s="450" t="s">
        <v>254</v>
      </c>
      <c r="M42" s="450"/>
      <c r="N42" s="450" t="s">
        <v>260</v>
      </c>
      <c r="O42" s="450"/>
      <c r="P42" s="450" t="s">
        <v>258</v>
      </c>
      <c r="Q42" s="450"/>
      <c r="R42" s="450" t="s">
        <v>261</v>
      </c>
      <c r="S42" s="479"/>
      <c r="T42" s="480"/>
      <c r="U42" s="444"/>
      <c r="V42" s="444"/>
      <c r="W42" s="446"/>
      <c r="X42" s="425"/>
    </row>
    <row r="43" spans="1:24" s="426" customFormat="1" x14ac:dyDescent="0.3">
      <c r="A43" s="443"/>
      <c r="B43" s="444" t="s">
        <v>301</v>
      </c>
      <c r="C43" s="481"/>
      <c r="D43" s="480">
        <f>+D40</f>
        <v>9.9305999999999995E-3</v>
      </c>
      <c r="E43" s="480"/>
      <c r="F43" s="480">
        <f>+F40</f>
        <v>9.9305999999999995E-3</v>
      </c>
      <c r="G43" s="480"/>
      <c r="H43" s="480">
        <v>1.0174600000000001E-2</v>
      </c>
      <c r="I43" s="480"/>
      <c r="J43" s="480">
        <v>1.00106E-2</v>
      </c>
      <c r="K43" s="480"/>
      <c r="L43" s="480">
        <f>+L40</f>
        <v>1.15306E-2</v>
      </c>
      <c r="M43" s="480"/>
      <c r="N43" s="480">
        <v>1.17106E-2</v>
      </c>
      <c r="O43" s="480"/>
      <c r="P43" s="480">
        <f>+P40</f>
        <v>1.55306E-2</v>
      </c>
      <c r="Q43" s="479"/>
      <c r="R43" s="480">
        <v>1.59306E-2</v>
      </c>
      <c r="S43" s="450"/>
      <c r="T43" s="450"/>
      <c r="U43" s="444"/>
      <c r="V43" s="479">
        <f>SUMPRODUCT(D43:R43,D35:R35)/V35</f>
        <v>1.07421780384514E-2</v>
      </c>
      <c r="W43" s="446"/>
      <c r="X43" s="425"/>
    </row>
    <row r="44" spans="1:24" s="426" customFormat="1" x14ac:dyDescent="0.3">
      <c r="A44" s="443"/>
      <c r="B44" s="444" t="s">
        <v>302</v>
      </c>
      <c r="C44" s="481"/>
      <c r="D44" s="480">
        <f>+D41</f>
        <v>1.02588E-2</v>
      </c>
      <c r="E44" s="480"/>
      <c r="F44" s="480">
        <f>+F41</f>
        <v>1.02588E-2</v>
      </c>
      <c r="G44" s="480"/>
      <c r="H44" s="480">
        <v>1.05028E-2</v>
      </c>
      <c r="I44" s="480"/>
      <c r="J44" s="480">
        <v>1.03388E-2</v>
      </c>
      <c r="K44" s="480"/>
      <c r="L44" s="480">
        <f>+L41</f>
        <v>1.1858799999999999E-2</v>
      </c>
      <c r="M44" s="480"/>
      <c r="N44" s="480">
        <v>1.2038800000000001E-2</v>
      </c>
      <c r="O44" s="480"/>
      <c r="P44" s="480">
        <f>+P41</f>
        <v>1.5858799999999999E-2</v>
      </c>
      <c r="Q44" s="479"/>
      <c r="R44" s="480">
        <v>1.62588E-2</v>
      </c>
      <c r="S44" s="450"/>
      <c r="T44" s="450"/>
      <c r="U44" s="444"/>
      <c r="V44" s="444"/>
      <c r="W44" s="446"/>
      <c r="X44" s="425"/>
    </row>
    <row r="45" spans="1:24" s="426" customFormat="1" x14ac:dyDescent="0.3">
      <c r="A45" s="443"/>
      <c r="B45" s="444" t="s">
        <v>14</v>
      </c>
      <c r="C45" s="444"/>
      <c r="D45" s="481">
        <v>40466</v>
      </c>
      <c r="E45" s="481"/>
      <c r="F45" s="481">
        <v>40466</v>
      </c>
      <c r="G45" s="481"/>
      <c r="H45" s="481">
        <v>40466</v>
      </c>
      <c r="I45" s="481"/>
      <c r="J45" s="481">
        <v>40466</v>
      </c>
      <c r="K45" s="481"/>
      <c r="L45" s="481">
        <v>40466</v>
      </c>
      <c r="M45" s="481"/>
      <c r="N45" s="481">
        <v>40466</v>
      </c>
      <c r="O45" s="481"/>
      <c r="P45" s="481">
        <v>40466</v>
      </c>
      <c r="Q45" s="481"/>
      <c r="R45" s="481">
        <v>40466</v>
      </c>
      <c r="S45" s="450"/>
      <c r="T45" s="450"/>
      <c r="U45" s="444"/>
      <c r="V45" s="444"/>
      <c r="W45" s="446"/>
      <c r="X45" s="425"/>
    </row>
    <row r="46" spans="1:24" s="426" customFormat="1" x14ac:dyDescent="0.3">
      <c r="A46" s="443"/>
      <c r="B46" s="444" t="s">
        <v>15</v>
      </c>
      <c r="C46" s="444"/>
      <c r="D46" s="481">
        <v>41105</v>
      </c>
      <c r="E46" s="481"/>
      <c r="F46" s="481">
        <v>40831</v>
      </c>
      <c r="G46" s="481"/>
      <c r="H46" s="481">
        <v>40831</v>
      </c>
      <c r="I46" s="481"/>
      <c r="J46" s="481">
        <v>40831</v>
      </c>
      <c r="K46" s="450"/>
      <c r="L46" s="481">
        <v>40831</v>
      </c>
      <c r="M46" s="450"/>
      <c r="N46" s="481">
        <v>40831</v>
      </c>
      <c r="O46" s="450"/>
      <c r="P46" s="481">
        <v>40831</v>
      </c>
      <c r="Q46" s="450"/>
      <c r="R46" s="481">
        <v>40831</v>
      </c>
      <c r="S46" s="450"/>
      <c r="T46" s="450"/>
      <c r="U46" s="444"/>
      <c r="V46" s="444"/>
      <c r="W46" s="446"/>
      <c r="X46" s="425"/>
    </row>
    <row r="47" spans="1:24" s="426" customFormat="1" x14ac:dyDescent="0.3">
      <c r="A47" s="443"/>
      <c r="B47" s="444" t="s">
        <v>122</v>
      </c>
      <c r="C47" s="444"/>
      <c r="D47" s="450" t="s">
        <v>226</v>
      </c>
      <c r="E47" s="444"/>
      <c r="F47" s="450" t="s">
        <v>226</v>
      </c>
      <c r="G47" s="450"/>
      <c r="H47" s="450" t="s">
        <v>226</v>
      </c>
      <c r="I47" s="450"/>
      <c r="J47" s="450" t="s">
        <v>256</v>
      </c>
      <c r="K47" s="450"/>
      <c r="L47" s="450" t="s">
        <v>254</v>
      </c>
      <c r="M47" s="450"/>
      <c r="N47" s="450" t="s">
        <v>257</v>
      </c>
      <c r="O47" s="450"/>
      <c r="P47" s="450" t="s">
        <v>258</v>
      </c>
      <c r="Q47" s="450"/>
      <c r="R47" s="450" t="s">
        <v>259</v>
      </c>
      <c r="S47" s="482"/>
      <c r="T47" s="482"/>
      <c r="U47" s="482"/>
      <c r="V47" s="482"/>
      <c r="W47" s="446"/>
      <c r="X47" s="425"/>
    </row>
    <row r="48" spans="1:24" s="426" customFormat="1" x14ac:dyDescent="0.3">
      <c r="A48" s="443"/>
      <c r="B48" s="444" t="s">
        <v>303</v>
      </c>
      <c r="C48" s="444"/>
      <c r="D48" s="450" t="s">
        <v>226</v>
      </c>
      <c r="E48" s="444"/>
      <c r="F48" s="450" t="s">
        <v>226</v>
      </c>
      <c r="G48" s="450"/>
      <c r="H48" s="450" t="s">
        <v>227</v>
      </c>
      <c r="I48" s="450"/>
      <c r="J48" s="450" t="s">
        <v>237</v>
      </c>
      <c r="K48" s="450"/>
      <c r="L48" s="450" t="s">
        <v>254</v>
      </c>
      <c r="M48" s="450"/>
      <c r="N48" s="450" t="s">
        <v>260</v>
      </c>
      <c r="O48" s="450"/>
      <c r="P48" s="450" t="s">
        <v>258</v>
      </c>
      <c r="Q48" s="450"/>
      <c r="R48" s="450" t="s">
        <v>261</v>
      </c>
      <c r="S48" s="444"/>
      <c r="T48" s="444"/>
      <c r="U48" s="444"/>
      <c r="V48" s="479"/>
      <c r="W48" s="446"/>
      <c r="X48" s="425"/>
    </row>
    <row r="49" spans="1:25" s="426" customFormat="1" x14ac:dyDescent="0.3">
      <c r="A49" s="443"/>
      <c r="B49" s="444"/>
      <c r="C49" s="444"/>
      <c r="D49" s="450"/>
      <c r="E49" s="444"/>
      <c r="F49" s="450"/>
      <c r="G49" s="450"/>
      <c r="H49" s="450"/>
      <c r="I49" s="450"/>
      <c r="J49" s="450"/>
      <c r="K49" s="450"/>
      <c r="L49" s="450"/>
      <c r="M49" s="450"/>
      <c r="N49" s="450"/>
      <c r="O49" s="450"/>
      <c r="P49" s="450"/>
      <c r="Q49" s="450"/>
      <c r="R49" s="450"/>
      <c r="S49" s="444"/>
      <c r="T49" s="444"/>
      <c r="U49" s="444"/>
      <c r="V49" s="479" t="s">
        <v>196</v>
      </c>
      <c r="W49" s="446"/>
      <c r="X49" s="425"/>
    </row>
    <row r="50" spans="1:25" s="426" customFormat="1" x14ac:dyDescent="0.3">
      <c r="A50" s="443"/>
      <c r="B50" s="444" t="s">
        <v>172</v>
      </c>
      <c r="C50" s="444"/>
      <c r="D50" s="450"/>
      <c r="E50" s="444"/>
      <c r="F50" s="450"/>
      <c r="G50" s="450"/>
      <c r="H50" s="450"/>
      <c r="I50" s="450"/>
      <c r="J50" s="450"/>
      <c r="K50" s="450"/>
      <c r="L50" s="450"/>
      <c r="M50" s="450"/>
      <c r="N50" s="450"/>
      <c r="O50" s="450"/>
      <c r="P50" s="450"/>
      <c r="Q50" s="450"/>
      <c r="R50" s="450"/>
      <c r="S50" s="444"/>
      <c r="T50" s="444"/>
      <c r="U50" s="444"/>
      <c r="V50" s="479">
        <f>SUM(L34:R34)/SUM(D34:J34)</f>
        <v>0.13611940162868597</v>
      </c>
      <c r="W50" s="446"/>
      <c r="X50" s="425"/>
    </row>
    <row r="51" spans="1:25" s="426" customFormat="1" x14ac:dyDescent="0.3">
      <c r="A51" s="443"/>
      <c r="B51" s="444" t="s">
        <v>173</v>
      </c>
      <c r="C51" s="444"/>
      <c r="D51" s="444"/>
      <c r="E51" s="444"/>
      <c r="F51" s="483"/>
      <c r="G51" s="444"/>
      <c r="H51" s="444"/>
      <c r="I51" s="444"/>
      <c r="J51" s="444"/>
      <c r="K51" s="444"/>
      <c r="L51" s="444"/>
      <c r="M51" s="444"/>
      <c r="N51" s="444"/>
      <c r="O51" s="444"/>
      <c r="P51" s="444"/>
      <c r="Q51" s="444"/>
      <c r="R51" s="444"/>
      <c r="S51" s="444"/>
      <c r="T51" s="444"/>
      <c r="U51" s="444"/>
      <c r="V51" s="479">
        <f>SUM(L36:R36)/SUM(D36:J36)</f>
        <v>0.3151643373530299</v>
      </c>
      <c r="W51" s="446"/>
      <c r="X51" s="425"/>
    </row>
    <row r="52" spans="1:25" s="426" customFormat="1" x14ac:dyDescent="0.3">
      <c r="A52" s="443"/>
      <c r="B52" s="444" t="s">
        <v>174</v>
      </c>
      <c r="C52" s="444"/>
      <c r="D52" s="444"/>
      <c r="E52" s="444"/>
      <c r="F52" s="444"/>
      <c r="G52" s="444"/>
      <c r="H52" s="444"/>
      <c r="I52" s="444"/>
      <c r="J52" s="444"/>
      <c r="K52" s="444"/>
      <c r="L52" s="444"/>
      <c r="M52" s="444"/>
      <c r="N52" s="444"/>
      <c r="O52" s="444"/>
      <c r="P52" s="444"/>
      <c r="Q52" s="444"/>
      <c r="R52" s="444"/>
      <c r="S52" s="444"/>
      <c r="T52" s="450" t="s">
        <v>107</v>
      </c>
      <c r="U52" s="450" t="s">
        <v>112</v>
      </c>
      <c r="V52" s="452">
        <f>+V34/2-SUM(L34:R34)</f>
        <v>570356</v>
      </c>
      <c r="W52" s="446"/>
      <c r="X52" s="425"/>
    </row>
    <row r="53" spans="1:25" s="426" customFormat="1" x14ac:dyDescent="0.3">
      <c r="A53" s="443"/>
      <c r="B53" s="444"/>
      <c r="C53" s="444"/>
      <c r="D53" s="444"/>
      <c r="E53" s="444"/>
      <c r="F53" s="444"/>
      <c r="G53" s="444"/>
      <c r="H53" s="444"/>
      <c r="I53" s="444"/>
      <c r="J53" s="444"/>
      <c r="K53" s="444"/>
      <c r="L53" s="444"/>
      <c r="M53" s="444"/>
      <c r="N53" s="444"/>
      <c r="O53" s="444"/>
      <c r="P53" s="444"/>
      <c r="Q53" s="444"/>
      <c r="R53" s="444"/>
      <c r="S53" s="444"/>
      <c r="T53" s="444"/>
      <c r="U53" s="444"/>
      <c r="V53" s="484"/>
      <c r="W53" s="446"/>
      <c r="X53" s="425"/>
    </row>
    <row r="54" spans="1:25" s="426" customFormat="1" x14ac:dyDescent="0.3">
      <c r="A54" s="443"/>
      <c r="B54" s="444" t="s">
        <v>358</v>
      </c>
      <c r="C54" s="444"/>
      <c r="D54" s="444"/>
      <c r="E54" s="444"/>
      <c r="F54" s="444"/>
      <c r="G54" s="444"/>
      <c r="H54" s="444"/>
      <c r="I54" s="444"/>
      <c r="J54" s="444"/>
      <c r="K54" s="444"/>
      <c r="L54" s="444"/>
      <c r="M54" s="444"/>
      <c r="N54" s="444"/>
      <c r="O54" s="444"/>
      <c r="P54" s="444"/>
      <c r="Q54" s="444"/>
      <c r="R54" s="444"/>
      <c r="S54" s="444"/>
      <c r="T54" s="450"/>
      <c r="U54" s="450"/>
      <c r="V54" s="485" t="s">
        <v>114</v>
      </c>
      <c r="W54" s="486"/>
      <c r="X54" s="487"/>
    </row>
    <row r="55" spans="1:25" s="426" customFormat="1" x14ac:dyDescent="0.3">
      <c r="A55" s="443"/>
      <c r="B55" s="449" t="s">
        <v>204</v>
      </c>
      <c r="C55" s="449"/>
      <c r="D55" s="449"/>
      <c r="E55" s="449"/>
      <c r="F55" s="449"/>
      <c r="G55" s="449"/>
      <c r="H55" s="449"/>
      <c r="I55" s="449"/>
      <c r="J55" s="449"/>
      <c r="K55" s="449"/>
      <c r="L55" s="449"/>
      <c r="M55" s="449"/>
      <c r="N55" s="449"/>
      <c r="O55" s="449"/>
      <c r="P55" s="449"/>
      <c r="Q55" s="449"/>
      <c r="R55" s="449"/>
      <c r="S55" s="449"/>
      <c r="T55" s="488"/>
      <c r="U55" s="488"/>
      <c r="V55" s="489">
        <v>43388</v>
      </c>
      <c r="W55" s="486"/>
      <c r="X55" s="487"/>
    </row>
    <row r="56" spans="1:25" s="426" customFormat="1" x14ac:dyDescent="0.3">
      <c r="A56" s="443"/>
      <c r="B56" s="444" t="s">
        <v>124</v>
      </c>
      <c r="C56" s="444"/>
      <c r="D56" s="444"/>
      <c r="E56" s="444"/>
      <c r="F56" s="444"/>
      <c r="G56" s="444"/>
      <c r="H56" s="490"/>
      <c r="I56" s="490"/>
      <c r="J56" s="490"/>
      <c r="K56" s="490"/>
      <c r="L56" s="490"/>
      <c r="M56" s="490"/>
      <c r="N56" s="490"/>
      <c r="O56" s="490"/>
      <c r="P56" s="490"/>
      <c r="Q56" s="490"/>
      <c r="R56" s="444">
        <f>+V56-T56+1</f>
        <v>91</v>
      </c>
      <c r="S56" s="490"/>
      <c r="T56" s="491">
        <v>43206</v>
      </c>
      <c r="U56" s="492"/>
      <c r="V56" s="491">
        <v>43296</v>
      </c>
      <c r="W56" s="486"/>
      <c r="X56" s="487"/>
    </row>
    <row r="57" spans="1:25" s="426" customFormat="1" x14ac:dyDescent="0.3">
      <c r="A57" s="443"/>
      <c r="B57" s="444" t="s">
        <v>125</v>
      </c>
      <c r="C57" s="444"/>
      <c r="D57" s="444"/>
      <c r="E57" s="444"/>
      <c r="F57" s="444"/>
      <c r="G57" s="444"/>
      <c r="H57" s="444"/>
      <c r="I57" s="444"/>
      <c r="J57" s="444"/>
      <c r="K57" s="444"/>
      <c r="L57" s="444"/>
      <c r="M57" s="444"/>
      <c r="N57" s="444"/>
      <c r="O57" s="444"/>
      <c r="P57" s="444"/>
      <c r="Q57" s="444"/>
      <c r="R57" s="444">
        <f>+V57-T57+1</f>
        <v>92</v>
      </c>
      <c r="S57" s="444"/>
      <c r="T57" s="491">
        <v>43297</v>
      </c>
      <c r="U57" s="492"/>
      <c r="V57" s="491">
        <v>43388</v>
      </c>
      <c r="W57" s="486"/>
      <c r="X57" s="487"/>
    </row>
    <row r="58" spans="1:25" s="426" customFormat="1" x14ac:dyDescent="0.3">
      <c r="A58" s="443"/>
      <c r="B58" s="444" t="s">
        <v>357</v>
      </c>
      <c r="C58" s="444"/>
      <c r="D58" s="444"/>
      <c r="E58" s="444"/>
      <c r="F58" s="444"/>
      <c r="G58" s="444"/>
      <c r="H58" s="444"/>
      <c r="I58" s="444"/>
      <c r="J58" s="444"/>
      <c r="K58" s="444"/>
      <c r="L58" s="444"/>
      <c r="M58" s="444"/>
      <c r="N58" s="444"/>
      <c r="O58" s="444"/>
      <c r="P58" s="444"/>
      <c r="Q58" s="444"/>
      <c r="R58" s="444"/>
      <c r="S58" s="444"/>
      <c r="T58" s="491"/>
      <c r="U58" s="492"/>
      <c r="V58" s="491" t="s">
        <v>123</v>
      </c>
      <c r="W58" s="486"/>
      <c r="X58" s="487"/>
    </row>
    <row r="59" spans="1:25" s="426" customFormat="1" x14ac:dyDescent="0.3">
      <c r="A59" s="443"/>
      <c r="B59" s="444" t="s">
        <v>356</v>
      </c>
      <c r="C59" s="444"/>
      <c r="D59" s="444"/>
      <c r="E59" s="444"/>
      <c r="F59" s="444"/>
      <c r="G59" s="444"/>
      <c r="H59" s="444"/>
      <c r="I59" s="444"/>
      <c r="J59" s="444"/>
      <c r="K59" s="444"/>
      <c r="L59" s="444"/>
      <c r="M59" s="444"/>
      <c r="N59" s="444"/>
      <c r="O59" s="444"/>
      <c r="P59" s="444"/>
      <c r="Q59" s="444"/>
      <c r="R59" s="444"/>
      <c r="S59" s="444"/>
      <c r="T59" s="491"/>
      <c r="U59" s="492"/>
      <c r="V59" s="491" t="s">
        <v>157</v>
      </c>
      <c r="W59" s="486"/>
      <c r="X59" s="487"/>
      <c r="Y59" s="493"/>
    </row>
    <row r="60" spans="1:25" s="426" customFormat="1" x14ac:dyDescent="0.3">
      <c r="A60" s="443"/>
      <c r="B60" s="444" t="s">
        <v>16</v>
      </c>
      <c r="C60" s="444"/>
      <c r="D60" s="444"/>
      <c r="E60" s="444"/>
      <c r="F60" s="444"/>
      <c r="G60" s="444"/>
      <c r="H60" s="444"/>
      <c r="I60" s="444"/>
      <c r="J60" s="444"/>
      <c r="K60" s="444"/>
      <c r="L60" s="444"/>
      <c r="M60" s="444"/>
      <c r="N60" s="444"/>
      <c r="O60" s="444"/>
      <c r="P60" s="444"/>
      <c r="Q60" s="444"/>
      <c r="R60" s="444"/>
      <c r="S60" s="444"/>
      <c r="T60" s="491"/>
      <c r="U60" s="492"/>
      <c r="V60" s="491">
        <v>43374</v>
      </c>
      <c r="W60" s="486"/>
      <c r="X60" s="487"/>
    </row>
    <row r="61" spans="1:25" s="426" customFormat="1" x14ac:dyDescent="0.3">
      <c r="A61" s="421"/>
      <c r="B61" s="494"/>
      <c r="C61" s="494"/>
      <c r="D61" s="494"/>
      <c r="E61" s="494"/>
      <c r="F61" s="494"/>
      <c r="G61" s="494"/>
      <c r="H61" s="494"/>
      <c r="I61" s="494"/>
      <c r="J61" s="494"/>
      <c r="K61" s="494"/>
      <c r="L61" s="494"/>
      <c r="M61" s="494"/>
      <c r="N61" s="494"/>
      <c r="O61" s="494"/>
      <c r="P61" s="494"/>
      <c r="Q61" s="494"/>
      <c r="R61" s="494"/>
      <c r="S61" s="494"/>
      <c r="T61" s="495"/>
      <c r="U61" s="496"/>
      <c r="V61" s="495"/>
      <c r="W61" s="497"/>
      <c r="X61" s="487"/>
    </row>
    <row r="62" spans="1:25" s="426" customFormat="1" x14ac:dyDescent="0.3">
      <c r="A62" s="421"/>
      <c r="B62" s="422"/>
      <c r="C62" s="422"/>
      <c r="D62" s="422"/>
      <c r="E62" s="422"/>
      <c r="F62" s="422"/>
      <c r="G62" s="422"/>
      <c r="H62" s="422"/>
      <c r="I62" s="422"/>
      <c r="J62" s="422"/>
      <c r="K62" s="422"/>
      <c r="L62" s="422"/>
      <c r="M62" s="422"/>
      <c r="N62" s="422"/>
      <c r="O62" s="422"/>
      <c r="P62" s="422"/>
      <c r="Q62" s="422"/>
      <c r="R62" s="422"/>
      <c r="S62" s="422"/>
      <c r="T62" s="498"/>
      <c r="U62" s="499"/>
      <c r="V62" s="498"/>
      <c r="W62" s="497"/>
      <c r="X62" s="487"/>
    </row>
    <row r="63" spans="1:25" s="426" customFormat="1" ht="18.600000000000001" thickBot="1" x14ac:dyDescent="0.4">
      <c r="A63" s="500"/>
      <c r="B63" s="501" t="s">
        <v>377</v>
      </c>
      <c r="C63" s="502"/>
      <c r="D63" s="502"/>
      <c r="E63" s="502"/>
      <c r="F63" s="502"/>
      <c r="G63" s="502"/>
      <c r="H63" s="502"/>
      <c r="I63" s="502"/>
      <c r="J63" s="502"/>
      <c r="K63" s="502"/>
      <c r="L63" s="502"/>
      <c r="M63" s="502"/>
      <c r="N63" s="502"/>
      <c r="O63" s="502"/>
      <c r="P63" s="502"/>
      <c r="Q63" s="502"/>
      <c r="R63" s="502"/>
      <c r="S63" s="502"/>
      <c r="T63" s="502"/>
      <c r="U63" s="502"/>
      <c r="V63" s="503"/>
      <c r="W63" s="504"/>
      <c r="X63" s="487"/>
    </row>
    <row r="64" spans="1:25" x14ac:dyDescent="0.3">
      <c r="A64" s="505"/>
      <c r="B64" s="506" t="s">
        <v>17</v>
      </c>
      <c r="C64" s="507"/>
      <c r="D64" s="507"/>
      <c r="E64" s="507"/>
      <c r="F64" s="507"/>
      <c r="G64" s="507"/>
      <c r="H64" s="507"/>
      <c r="I64" s="507"/>
      <c r="J64" s="507"/>
      <c r="K64" s="507"/>
      <c r="L64" s="507"/>
      <c r="M64" s="507"/>
      <c r="N64" s="507"/>
      <c r="O64" s="507"/>
      <c r="P64" s="507"/>
      <c r="Q64" s="507"/>
      <c r="R64" s="507"/>
      <c r="S64" s="507"/>
      <c r="T64" s="507"/>
      <c r="U64" s="507"/>
      <c r="V64" s="508"/>
      <c r="W64" s="509"/>
      <c r="X64" s="406"/>
    </row>
    <row r="65" spans="1:24" x14ac:dyDescent="0.3">
      <c r="A65" s="408"/>
      <c r="B65" s="419"/>
      <c r="C65" s="410"/>
      <c r="D65" s="410"/>
      <c r="E65" s="410"/>
      <c r="F65" s="410"/>
      <c r="G65" s="410"/>
      <c r="H65" s="410"/>
      <c r="I65" s="410"/>
      <c r="J65" s="410"/>
      <c r="K65" s="410"/>
      <c r="L65" s="410"/>
      <c r="M65" s="410"/>
      <c r="N65" s="410"/>
      <c r="O65" s="410"/>
      <c r="P65" s="410"/>
      <c r="Q65" s="410"/>
      <c r="R65" s="410"/>
      <c r="S65" s="410"/>
      <c r="T65" s="410"/>
      <c r="U65" s="410"/>
      <c r="V65" s="510"/>
      <c r="W65" s="411"/>
      <c r="X65" s="406"/>
    </row>
    <row r="66" spans="1:24" s="473" customFormat="1" ht="46.8" x14ac:dyDescent="0.3">
      <c r="A66" s="511"/>
      <c r="B66" s="512" t="s">
        <v>18</v>
      </c>
      <c r="C66" s="513"/>
      <c r="D66" s="513"/>
      <c r="E66" s="513"/>
      <c r="F66" s="513"/>
      <c r="G66" s="513"/>
      <c r="H66" s="513"/>
      <c r="I66" s="513"/>
      <c r="J66" s="513"/>
      <c r="K66" s="513"/>
      <c r="L66" s="513" t="s">
        <v>95</v>
      </c>
      <c r="M66" s="513"/>
      <c r="N66" s="513" t="s">
        <v>97</v>
      </c>
      <c r="O66" s="513"/>
      <c r="P66" s="513" t="s">
        <v>99</v>
      </c>
      <c r="Q66" s="513"/>
      <c r="R66" s="513" t="s">
        <v>101</v>
      </c>
      <c r="S66" s="513"/>
      <c r="T66" s="513" t="s">
        <v>108</v>
      </c>
      <c r="U66" s="513"/>
      <c r="V66" s="514" t="s">
        <v>115</v>
      </c>
      <c r="W66" s="515"/>
      <c r="X66" s="472"/>
    </row>
    <row r="67" spans="1:24" s="426" customFormat="1" x14ac:dyDescent="0.3">
      <c r="A67" s="443"/>
      <c r="B67" s="444" t="s">
        <v>19</v>
      </c>
      <c r="C67" s="516"/>
      <c r="D67" s="516"/>
      <c r="E67" s="516"/>
      <c r="F67" s="516"/>
      <c r="G67" s="516"/>
      <c r="H67" s="516"/>
      <c r="I67" s="516"/>
      <c r="J67" s="516"/>
      <c r="K67" s="516"/>
      <c r="L67" s="516">
        <f>1085286</f>
        <v>1085286</v>
      </c>
      <c r="M67" s="516"/>
      <c r="N67" s="517">
        <v>761748</v>
      </c>
      <c r="O67" s="516"/>
      <c r="P67" s="516">
        <f>11706+258+62</f>
        <v>12026</v>
      </c>
      <c r="Q67" s="516"/>
      <c r="R67" s="516">
        <f>258+62</f>
        <v>320</v>
      </c>
      <c r="S67" s="516"/>
      <c r="T67" s="516">
        <v>0</v>
      </c>
      <c r="U67" s="516"/>
      <c r="V67" s="517">
        <f>+N67-P67+R67-T67</f>
        <v>750042</v>
      </c>
      <c r="W67" s="446"/>
      <c r="X67" s="425"/>
    </row>
    <row r="68" spans="1:24" s="426" customFormat="1" x14ac:dyDescent="0.3">
      <c r="A68" s="443"/>
      <c r="B68" s="444" t="s">
        <v>20</v>
      </c>
      <c r="C68" s="516"/>
      <c r="D68" s="516"/>
      <c r="E68" s="516"/>
      <c r="F68" s="516"/>
      <c r="G68" s="516"/>
      <c r="H68" s="516"/>
      <c r="I68" s="516"/>
      <c r="J68" s="516"/>
      <c r="K68" s="516"/>
      <c r="L68" s="516">
        <v>35</v>
      </c>
      <c r="M68" s="516"/>
      <c r="N68" s="517">
        <v>0</v>
      </c>
      <c r="O68" s="516"/>
      <c r="P68" s="516">
        <v>0</v>
      </c>
      <c r="Q68" s="516"/>
      <c r="R68" s="516">
        <v>0</v>
      </c>
      <c r="S68" s="516"/>
      <c r="T68" s="516">
        <v>0</v>
      </c>
      <c r="U68" s="516"/>
      <c r="V68" s="517">
        <f>+N68-P68</f>
        <v>0</v>
      </c>
      <c r="W68" s="446"/>
      <c r="X68" s="425"/>
    </row>
    <row r="69" spans="1:24" s="426" customFormat="1" x14ac:dyDescent="0.3">
      <c r="A69" s="443"/>
      <c r="B69" s="444"/>
      <c r="C69" s="516"/>
      <c r="D69" s="516"/>
      <c r="E69" s="516"/>
      <c r="F69" s="516"/>
      <c r="G69" s="516"/>
      <c r="H69" s="516"/>
      <c r="I69" s="516"/>
      <c r="J69" s="516"/>
      <c r="K69" s="516"/>
      <c r="L69" s="516"/>
      <c r="M69" s="516"/>
      <c r="N69" s="517"/>
      <c r="O69" s="516"/>
      <c r="P69" s="516"/>
      <c r="Q69" s="516"/>
      <c r="R69" s="516"/>
      <c r="S69" s="516"/>
      <c r="T69" s="516"/>
      <c r="U69" s="516"/>
      <c r="V69" s="517"/>
      <c r="W69" s="446"/>
      <c r="X69" s="425"/>
    </row>
    <row r="70" spans="1:24" s="426" customFormat="1" x14ac:dyDescent="0.3">
      <c r="A70" s="443"/>
      <c r="B70" s="444" t="s">
        <v>21</v>
      </c>
      <c r="C70" s="516"/>
      <c r="D70" s="516"/>
      <c r="E70" s="516"/>
      <c r="F70" s="516"/>
      <c r="G70" s="516"/>
      <c r="H70" s="516"/>
      <c r="I70" s="516"/>
      <c r="J70" s="516"/>
      <c r="K70" s="516"/>
      <c r="L70" s="516">
        <f>SUM(L67:L69)</f>
        <v>1085321</v>
      </c>
      <c r="M70" s="516"/>
      <c r="N70" s="516">
        <f>N67+N68</f>
        <v>761748</v>
      </c>
      <c r="O70" s="516"/>
      <c r="P70" s="516">
        <f>SUM(P67:P69)</f>
        <v>12026</v>
      </c>
      <c r="Q70" s="516"/>
      <c r="R70" s="516">
        <f>SUM(R67:R69)</f>
        <v>320</v>
      </c>
      <c r="S70" s="516"/>
      <c r="T70" s="516">
        <f>SUM(T67:T69)</f>
        <v>0</v>
      </c>
      <c r="U70" s="516"/>
      <c r="V70" s="516">
        <f>SUM(V67:V69)</f>
        <v>750042</v>
      </c>
      <c r="W70" s="446"/>
      <c r="X70" s="425"/>
    </row>
    <row r="71" spans="1:24" x14ac:dyDescent="0.3">
      <c r="A71" s="408"/>
      <c r="B71" s="518"/>
      <c r="C71" s="519"/>
      <c r="D71" s="519"/>
      <c r="E71" s="519"/>
      <c r="F71" s="519"/>
      <c r="G71" s="519"/>
      <c r="H71" s="519"/>
      <c r="I71" s="519"/>
      <c r="J71" s="519"/>
      <c r="K71" s="519"/>
      <c r="L71" s="519"/>
      <c r="M71" s="519"/>
      <c r="N71" s="519"/>
      <c r="O71" s="519"/>
      <c r="P71" s="519"/>
      <c r="Q71" s="519"/>
      <c r="R71" s="519"/>
      <c r="S71" s="519"/>
      <c r="T71" s="519"/>
      <c r="U71" s="519"/>
      <c r="V71" s="520"/>
      <c r="W71" s="411"/>
      <c r="X71" s="406"/>
    </row>
    <row r="72" spans="1:24" x14ac:dyDescent="0.3">
      <c r="A72" s="408"/>
      <c r="B72" s="413" t="s">
        <v>22</v>
      </c>
      <c r="C72" s="521"/>
      <c r="D72" s="521"/>
      <c r="E72" s="521"/>
      <c r="F72" s="521"/>
      <c r="G72" s="521"/>
      <c r="H72" s="521"/>
      <c r="I72" s="521"/>
      <c r="J72" s="521"/>
      <c r="K72" s="521"/>
      <c r="L72" s="521"/>
      <c r="M72" s="521"/>
      <c r="N72" s="521"/>
      <c r="O72" s="521"/>
      <c r="P72" s="521"/>
      <c r="Q72" s="521"/>
      <c r="R72" s="521"/>
      <c r="S72" s="521"/>
      <c r="T72" s="521"/>
      <c r="U72" s="521"/>
      <c r="V72" s="522"/>
      <c r="W72" s="411"/>
      <c r="X72" s="406"/>
    </row>
    <row r="73" spans="1:24" x14ac:dyDescent="0.3">
      <c r="A73" s="408"/>
      <c r="B73" s="410"/>
      <c r="C73" s="521"/>
      <c r="D73" s="521"/>
      <c r="E73" s="521"/>
      <c r="F73" s="521"/>
      <c r="G73" s="521"/>
      <c r="H73" s="521"/>
      <c r="I73" s="521"/>
      <c r="J73" s="521"/>
      <c r="K73" s="521"/>
      <c r="L73" s="521"/>
      <c r="M73" s="521"/>
      <c r="N73" s="521"/>
      <c r="O73" s="521"/>
      <c r="P73" s="521"/>
      <c r="Q73" s="521"/>
      <c r="R73" s="521"/>
      <c r="S73" s="521"/>
      <c r="T73" s="521"/>
      <c r="U73" s="521"/>
      <c r="V73" s="522"/>
      <c r="W73" s="411"/>
      <c r="X73" s="406"/>
    </row>
    <row r="74" spans="1:24" s="426" customFormat="1" x14ac:dyDescent="0.3">
      <c r="A74" s="443"/>
      <c r="B74" s="444" t="s">
        <v>19</v>
      </c>
      <c r="C74" s="516"/>
      <c r="D74" s="516"/>
      <c r="E74" s="516"/>
      <c r="F74" s="516"/>
      <c r="G74" s="516"/>
      <c r="H74" s="516"/>
      <c r="I74" s="516"/>
      <c r="J74" s="516"/>
      <c r="K74" s="516"/>
      <c r="L74" s="516"/>
      <c r="M74" s="516"/>
      <c r="N74" s="516"/>
      <c r="O74" s="516"/>
      <c r="P74" s="516"/>
      <c r="Q74" s="516"/>
      <c r="R74" s="516"/>
      <c r="S74" s="516"/>
      <c r="T74" s="516"/>
      <c r="U74" s="516"/>
      <c r="V74" s="516"/>
      <c r="W74" s="446"/>
      <c r="X74" s="425"/>
    </row>
    <row r="75" spans="1:24" s="426" customFormat="1" x14ac:dyDescent="0.3">
      <c r="A75" s="443"/>
      <c r="B75" s="444" t="s">
        <v>20</v>
      </c>
      <c r="C75" s="516"/>
      <c r="D75" s="516"/>
      <c r="E75" s="516"/>
      <c r="F75" s="516"/>
      <c r="G75" s="516"/>
      <c r="H75" s="516"/>
      <c r="I75" s="516"/>
      <c r="J75" s="516"/>
      <c r="K75" s="516"/>
      <c r="L75" s="516"/>
      <c r="M75" s="516"/>
      <c r="N75" s="516"/>
      <c r="O75" s="516"/>
      <c r="P75" s="516"/>
      <c r="Q75" s="516"/>
      <c r="R75" s="516"/>
      <c r="S75" s="516"/>
      <c r="T75" s="516"/>
      <c r="U75" s="516"/>
      <c r="V75" s="516"/>
      <c r="W75" s="446"/>
      <c r="X75" s="425"/>
    </row>
    <row r="76" spans="1:24" s="426" customFormat="1" x14ac:dyDescent="0.3">
      <c r="A76" s="443"/>
      <c r="B76" s="444"/>
      <c r="C76" s="516"/>
      <c r="D76" s="516"/>
      <c r="E76" s="516"/>
      <c r="F76" s="516"/>
      <c r="G76" s="516"/>
      <c r="H76" s="516"/>
      <c r="I76" s="516"/>
      <c r="J76" s="516"/>
      <c r="K76" s="516"/>
      <c r="L76" s="516"/>
      <c r="M76" s="516"/>
      <c r="N76" s="516"/>
      <c r="O76" s="516"/>
      <c r="P76" s="516"/>
      <c r="Q76" s="516"/>
      <c r="R76" s="516"/>
      <c r="S76" s="516"/>
      <c r="T76" s="516"/>
      <c r="U76" s="516"/>
      <c r="V76" s="516"/>
      <c r="W76" s="446"/>
      <c r="X76" s="425"/>
    </row>
    <row r="77" spans="1:24" s="426" customFormat="1" x14ac:dyDescent="0.3">
      <c r="A77" s="443"/>
      <c r="B77" s="444" t="s">
        <v>21</v>
      </c>
      <c r="C77" s="516"/>
      <c r="D77" s="516"/>
      <c r="E77" s="516"/>
      <c r="F77" s="516"/>
      <c r="G77" s="516"/>
      <c r="H77" s="516"/>
      <c r="I77" s="516"/>
      <c r="J77" s="516"/>
      <c r="K77" s="516"/>
      <c r="L77" s="516"/>
      <c r="M77" s="516"/>
      <c r="N77" s="516"/>
      <c r="O77" s="516"/>
      <c r="P77" s="516"/>
      <c r="Q77" s="516"/>
      <c r="R77" s="516"/>
      <c r="S77" s="516"/>
      <c r="T77" s="516"/>
      <c r="U77" s="516"/>
      <c r="V77" s="516"/>
      <c r="W77" s="446"/>
      <c r="X77" s="425"/>
    </row>
    <row r="78" spans="1:24" s="426" customFormat="1" x14ac:dyDescent="0.3">
      <c r="A78" s="443"/>
      <c r="B78" s="444"/>
      <c r="C78" s="516"/>
      <c r="D78" s="516"/>
      <c r="E78" s="516"/>
      <c r="F78" s="516"/>
      <c r="G78" s="516"/>
      <c r="H78" s="516"/>
      <c r="I78" s="516"/>
      <c r="J78" s="516"/>
      <c r="K78" s="516"/>
      <c r="L78" s="516"/>
      <c r="M78" s="516"/>
      <c r="N78" s="516"/>
      <c r="O78" s="516"/>
      <c r="P78" s="516"/>
      <c r="Q78" s="516"/>
      <c r="R78" s="516"/>
      <c r="S78" s="516"/>
      <c r="T78" s="516"/>
      <c r="U78" s="516"/>
      <c r="V78" s="516"/>
      <c r="W78" s="446"/>
      <c r="X78" s="425"/>
    </row>
    <row r="79" spans="1:24" s="426" customFormat="1" x14ac:dyDescent="0.3">
      <c r="A79" s="443"/>
      <c r="B79" s="444" t="s">
        <v>23</v>
      </c>
      <c r="C79" s="516"/>
      <c r="D79" s="516"/>
      <c r="E79" s="516"/>
      <c r="F79" s="516"/>
      <c r="G79" s="516"/>
      <c r="H79" s="516"/>
      <c r="I79" s="516"/>
      <c r="J79" s="516"/>
      <c r="K79" s="516"/>
      <c r="L79" s="516">
        <v>0</v>
      </c>
      <c r="M79" s="516"/>
      <c r="N79" s="516">
        <v>0</v>
      </c>
      <c r="O79" s="516"/>
      <c r="P79" s="516"/>
      <c r="Q79" s="516"/>
      <c r="R79" s="516"/>
      <c r="S79" s="516"/>
      <c r="T79" s="516"/>
      <c r="U79" s="516"/>
      <c r="V79" s="517">
        <v>0</v>
      </c>
      <c r="W79" s="446"/>
      <c r="X79" s="425"/>
    </row>
    <row r="80" spans="1:24" s="426" customFormat="1" x14ac:dyDescent="0.3">
      <c r="A80" s="443"/>
      <c r="B80" s="444" t="s">
        <v>120</v>
      </c>
      <c r="C80" s="516"/>
      <c r="D80" s="516"/>
      <c r="E80" s="516"/>
      <c r="F80" s="516"/>
      <c r="G80" s="516"/>
      <c r="H80" s="516"/>
      <c r="I80" s="516"/>
      <c r="J80" s="516"/>
      <c r="K80" s="516"/>
      <c r="L80" s="516">
        <f>414862+7</f>
        <v>414869</v>
      </c>
      <c r="M80" s="516"/>
      <c r="N80" s="516">
        <v>0</v>
      </c>
      <c r="O80" s="516"/>
      <c r="P80" s="516">
        <v>0</v>
      </c>
      <c r="Q80" s="516"/>
      <c r="R80" s="516"/>
      <c r="S80" s="516"/>
      <c r="T80" s="516"/>
      <c r="U80" s="516"/>
      <c r="V80" s="516">
        <f>SUM(N80:R80)</f>
        <v>0</v>
      </c>
      <c r="W80" s="446"/>
      <c r="X80" s="425"/>
    </row>
    <row r="81" spans="1:24" s="426" customFormat="1" x14ac:dyDescent="0.3">
      <c r="A81" s="443"/>
      <c r="B81" s="444" t="s">
        <v>149</v>
      </c>
      <c r="C81" s="516"/>
      <c r="D81" s="516"/>
      <c r="E81" s="516"/>
      <c r="F81" s="516"/>
      <c r="G81" s="516"/>
      <c r="H81" s="516"/>
      <c r="I81" s="516"/>
      <c r="J81" s="516"/>
      <c r="K81" s="516"/>
      <c r="L81" s="516">
        <v>0</v>
      </c>
      <c r="M81" s="516"/>
      <c r="N81" s="516">
        <v>0</v>
      </c>
      <c r="O81" s="516"/>
      <c r="P81" s="516">
        <v>0</v>
      </c>
      <c r="Q81" s="516"/>
      <c r="R81" s="516"/>
      <c r="S81" s="516"/>
      <c r="T81" s="516"/>
      <c r="U81" s="516"/>
      <c r="V81" s="516">
        <f>+N81+P81</f>
        <v>0</v>
      </c>
      <c r="W81" s="446"/>
      <c r="X81" s="425"/>
    </row>
    <row r="82" spans="1:24" s="426" customFormat="1" x14ac:dyDescent="0.3">
      <c r="A82" s="443"/>
      <c r="B82" s="444" t="s">
        <v>25</v>
      </c>
      <c r="C82" s="516"/>
      <c r="D82" s="516"/>
      <c r="E82" s="516"/>
      <c r="F82" s="516"/>
      <c r="G82" s="516"/>
      <c r="H82" s="516"/>
      <c r="I82" s="516"/>
      <c r="J82" s="516"/>
      <c r="K82" s="516"/>
      <c r="L82" s="516">
        <v>0</v>
      </c>
      <c r="M82" s="516"/>
      <c r="N82" s="516">
        <v>0</v>
      </c>
      <c r="O82" s="516"/>
      <c r="P82" s="516"/>
      <c r="Q82" s="516"/>
      <c r="R82" s="516"/>
      <c r="S82" s="516"/>
      <c r="T82" s="516"/>
      <c r="U82" s="516"/>
      <c r="V82" s="516">
        <v>0</v>
      </c>
      <c r="W82" s="446"/>
      <c r="X82" s="425"/>
    </row>
    <row r="83" spans="1:24" s="426" customFormat="1" x14ac:dyDescent="0.3">
      <c r="A83" s="523"/>
      <c r="B83" s="524" t="s">
        <v>26</v>
      </c>
      <c r="C83" s="525"/>
      <c r="D83" s="525"/>
      <c r="E83" s="525"/>
      <c r="F83" s="525"/>
      <c r="G83" s="525"/>
      <c r="H83" s="525"/>
      <c r="I83" s="525"/>
      <c r="J83" s="525"/>
      <c r="K83" s="525"/>
      <c r="L83" s="525">
        <f>SUM(L70:L82)</f>
        <v>1500190</v>
      </c>
      <c r="M83" s="525"/>
      <c r="N83" s="525">
        <f>SUM(N70:N82)</f>
        <v>761748</v>
      </c>
      <c r="O83" s="525"/>
      <c r="P83" s="525"/>
      <c r="Q83" s="525"/>
      <c r="R83" s="525"/>
      <c r="S83" s="525"/>
      <c r="T83" s="525"/>
      <c r="U83" s="525"/>
      <c r="V83" s="525">
        <f>SUM(V70:V82)</f>
        <v>750042</v>
      </c>
      <c r="W83" s="526"/>
      <c r="X83" s="425"/>
    </row>
    <row r="84" spans="1:24" x14ac:dyDescent="0.3">
      <c r="A84" s="527"/>
      <c r="B84" s="528"/>
      <c r="C84" s="529"/>
      <c r="D84" s="529"/>
      <c r="E84" s="529"/>
      <c r="F84" s="529"/>
      <c r="G84" s="529"/>
      <c r="H84" s="529"/>
      <c r="I84" s="529"/>
      <c r="J84" s="529"/>
      <c r="K84" s="529"/>
      <c r="L84" s="529"/>
      <c r="M84" s="529"/>
      <c r="N84" s="529"/>
      <c r="O84" s="529"/>
      <c r="P84" s="529"/>
      <c r="Q84" s="529"/>
      <c r="R84" s="529"/>
      <c r="S84" s="529"/>
      <c r="T84" s="529"/>
      <c r="U84" s="529"/>
      <c r="V84" s="529"/>
      <c r="W84" s="530"/>
      <c r="X84" s="406"/>
    </row>
    <row r="85" spans="1:24" x14ac:dyDescent="0.3">
      <c r="A85" s="408"/>
      <c r="B85" s="531"/>
      <c r="C85" s="531"/>
      <c r="D85" s="531"/>
      <c r="E85" s="531"/>
      <c r="F85" s="531"/>
      <c r="G85" s="531"/>
      <c r="H85" s="531"/>
      <c r="I85" s="531"/>
      <c r="J85" s="531"/>
      <c r="K85" s="531"/>
      <c r="L85" s="531"/>
      <c r="M85" s="531"/>
      <c r="N85" s="531"/>
      <c r="O85" s="531"/>
      <c r="P85" s="531"/>
      <c r="Q85" s="531"/>
      <c r="R85" s="531"/>
      <c r="S85" s="531"/>
      <c r="T85" s="531"/>
      <c r="U85" s="531"/>
      <c r="V85" s="531"/>
      <c r="W85" s="532"/>
      <c r="X85" s="406"/>
    </row>
    <row r="86" spans="1:24" x14ac:dyDescent="0.3">
      <c r="A86" s="533"/>
      <c r="B86" s="534" t="s">
        <v>27</v>
      </c>
      <c r="C86" s="534"/>
      <c r="D86" s="534"/>
      <c r="E86" s="534"/>
      <c r="F86" s="534"/>
      <c r="G86" s="534"/>
      <c r="H86" s="535"/>
      <c r="I86" s="535"/>
      <c r="J86" s="535"/>
      <c r="K86" s="535"/>
      <c r="L86" s="536" t="s">
        <v>96</v>
      </c>
      <c r="M86" s="535"/>
      <c r="N86" s="537">
        <f>+T198</f>
        <v>43371</v>
      </c>
      <c r="O86" s="535"/>
      <c r="P86" s="535"/>
      <c r="Q86" s="535"/>
      <c r="R86" s="535"/>
      <c r="S86" s="535"/>
      <c r="T86" s="535" t="s">
        <v>109</v>
      </c>
      <c r="U86" s="535"/>
      <c r="V86" s="535" t="s">
        <v>116</v>
      </c>
      <c r="W86" s="538"/>
      <c r="X86" s="406"/>
    </row>
    <row r="87" spans="1:24" s="426" customFormat="1" x14ac:dyDescent="0.3">
      <c r="A87" s="439"/>
      <c r="B87" s="440" t="s">
        <v>28</v>
      </c>
      <c r="C87" s="440"/>
      <c r="D87" s="440"/>
      <c r="E87" s="440"/>
      <c r="F87" s="440"/>
      <c r="G87" s="440"/>
      <c r="H87" s="440"/>
      <c r="I87" s="440"/>
      <c r="J87" s="440"/>
      <c r="K87" s="440"/>
      <c r="L87" s="440"/>
      <c r="M87" s="440"/>
      <c r="N87" s="440"/>
      <c r="O87" s="440"/>
      <c r="P87" s="440"/>
      <c r="Q87" s="440"/>
      <c r="R87" s="440"/>
      <c r="S87" s="440"/>
      <c r="T87" s="539">
        <v>0</v>
      </c>
      <c r="U87" s="440"/>
      <c r="V87" s="540">
        <v>0</v>
      </c>
      <c r="W87" s="442"/>
      <c r="X87" s="425"/>
    </row>
    <row r="88" spans="1:24" s="426" customFormat="1" x14ac:dyDescent="0.3">
      <c r="A88" s="443"/>
      <c r="B88" s="444" t="s">
        <v>29</v>
      </c>
      <c r="C88" s="444"/>
      <c r="D88" s="444"/>
      <c r="E88" s="444"/>
      <c r="F88" s="444"/>
      <c r="G88" s="444"/>
      <c r="H88" s="482"/>
      <c r="I88" s="482"/>
      <c r="J88" s="482"/>
      <c r="K88" s="541"/>
      <c r="L88" s="482"/>
      <c r="M88" s="444"/>
      <c r="N88" s="542"/>
      <c r="O88" s="444"/>
      <c r="P88" s="444"/>
      <c r="Q88" s="444"/>
      <c r="R88" s="444"/>
      <c r="S88" s="444"/>
      <c r="T88" s="516">
        <f>12026-264</f>
        <v>11762</v>
      </c>
      <c r="U88" s="444"/>
      <c r="V88" s="517"/>
      <c r="W88" s="446"/>
      <c r="X88" s="425"/>
    </row>
    <row r="89" spans="1:24" s="426" customFormat="1" x14ac:dyDescent="0.3">
      <c r="A89" s="443"/>
      <c r="B89" s="444" t="s">
        <v>219</v>
      </c>
      <c r="C89" s="444"/>
      <c r="D89" s="444"/>
      <c r="E89" s="444"/>
      <c r="F89" s="444"/>
      <c r="G89" s="444"/>
      <c r="H89" s="482"/>
      <c r="I89" s="482"/>
      <c r="J89" s="482"/>
      <c r="K89" s="541"/>
      <c r="L89" s="482"/>
      <c r="M89" s="444"/>
      <c r="N89" s="542"/>
      <c r="O89" s="444"/>
      <c r="P89" s="444"/>
      <c r="Q89" s="444"/>
      <c r="R89" s="444"/>
      <c r="S89" s="444"/>
      <c r="T89" s="516"/>
      <c r="U89" s="444"/>
      <c r="V89" s="517">
        <f>4087+2256-863-674</f>
        <v>4806</v>
      </c>
      <c r="W89" s="446"/>
      <c r="X89" s="425"/>
    </row>
    <row r="90" spans="1:24" s="426" customFormat="1" x14ac:dyDescent="0.3">
      <c r="A90" s="443"/>
      <c r="B90" s="444" t="s">
        <v>214</v>
      </c>
      <c r="C90" s="444"/>
      <c r="D90" s="444"/>
      <c r="E90" s="444"/>
      <c r="F90" s="444"/>
      <c r="G90" s="444"/>
      <c r="H90" s="482"/>
      <c r="I90" s="482"/>
      <c r="J90" s="482"/>
      <c r="K90" s="541"/>
      <c r="L90" s="482"/>
      <c r="M90" s="444"/>
      <c r="N90" s="542"/>
      <c r="O90" s="444"/>
      <c r="P90" s="444"/>
      <c r="Q90" s="444"/>
      <c r="R90" s="444"/>
      <c r="S90" s="444"/>
      <c r="T90" s="516"/>
      <c r="U90" s="444"/>
      <c r="V90" s="517">
        <f>104+63</f>
        <v>167</v>
      </c>
      <c r="W90" s="446"/>
      <c r="X90" s="425"/>
    </row>
    <row r="91" spans="1:24" s="426" customFormat="1" x14ac:dyDescent="0.3">
      <c r="A91" s="443"/>
      <c r="B91" s="444" t="s">
        <v>215</v>
      </c>
      <c r="C91" s="444"/>
      <c r="D91" s="444"/>
      <c r="E91" s="444"/>
      <c r="F91" s="444"/>
      <c r="G91" s="444"/>
      <c r="H91" s="482"/>
      <c r="I91" s="482"/>
      <c r="J91" s="482"/>
      <c r="K91" s="541"/>
      <c r="L91" s="482"/>
      <c r="M91" s="444"/>
      <c r="N91" s="542"/>
      <c r="O91" s="444"/>
      <c r="P91" s="444"/>
      <c r="Q91" s="444"/>
      <c r="R91" s="444"/>
      <c r="S91" s="444"/>
      <c r="T91" s="516"/>
      <c r="U91" s="444"/>
      <c r="V91" s="517">
        <v>66</v>
      </c>
      <c r="W91" s="446"/>
      <c r="X91" s="425"/>
    </row>
    <row r="92" spans="1:24" s="426" customFormat="1" x14ac:dyDescent="0.3">
      <c r="A92" s="443"/>
      <c r="B92" s="444" t="s">
        <v>277</v>
      </c>
      <c r="C92" s="444"/>
      <c r="D92" s="444"/>
      <c r="E92" s="444"/>
      <c r="F92" s="444"/>
      <c r="G92" s="444"/>
      <c r="H92" s="482"/>
      <c r="I92" s="482"/>
      <c r="J92" s="482"/>
      <c r="K92" s="541"/>
      <c r="L92" s="482"/>
      <c r="M92" s="444"/>
      <c r="N92" s="542"/>
      <c r="O92" s="444"/>
      <c r="P92" s="444"/>
      <c r="Q92" s="444"/>
      <c r="R92" s="444"/>
      <c r="S92" s="444"/>
      <c r="T92" s="516"/>
      <c r="U92" s="444"/>
      <c r="V92" s="517">
        <v>0</v>
      </c>
      <c r="W92" s="446"/>
      <c r="X92" s="425"/>
    </row>
    <row r="93" spans="1:24" s="426" customFormat="1" x14ac:dyDescent="0.3">
      <c r="A93" s="443"/>
      <c r="B93" s="444" t="s">
        <v>138</v>
      </c>
      <c r="C93" s="444"/>
      <c r="D93" s="444"/>
      <c r="E93" s="444"/>
      <c r="F93" s="444"/>
      <c r="G93" s="444"/>
      <c r="H93" s="444"/>
      <c r="I93" s="444"/>
      <c r="J93" s="444"/>
      <c r="K93" s="444"/>
      <c r="L93" s="444"/>
      <c r="M93" s="444"/>
      <c r="N93" s="444"/>
      <c r="O93" s="444"/>
      <c r="P93" s="444"/>
      <c r="Q93" s="444"/>
      <c r="R93" s="444"/>
      <c r="S93" s="444"/>
      <c r="T93" s="516"/>
      <c r="U93" s="444"/>
      <c r="V93" s="517">
        <v>0</v>
      </c>
      <c r="W93" s="446"/>
      <c r="X93" s="425"/>
    </row>
    <row r="94" spans="1:24" s="426" customFormat="1" x14ac:dyDescent="0.3">
      <c r="A94" s="443"/>
      <c r="B94" s="444" t="s">
        <v>265</v>
      </c>
      <c r="C94" s="444"/>
      <c r="D94" s="444"/>
      <c r="E94" s="444"/>
      <c r="F94" s="444"/>
      <c r="G94" s="444"/>
      <c r="H94" s="444"/>
      <c r="I94" s="444"/>
      <c r="J94" s="444"/>
      <c r="K94" s="444"/>
      <c r="L94" s="444"/>
      <c r="M94" s="444"/>
      <c r="N94" s="444"/>
      <c r="O94" s="444"/>
      <c r="P94" s="444"/>
      <c r="Q94" s="444"/>
      <c r="R94" s="444"/>
      <c r="S94" s="444"/>
      <c r="T94" s="516"/>
      <c r="U94" s="444"/>
      <c r="V94" s="517">
        <v>413</v>
      </c>
      <c r="W94" s="446"/>
      <c r="X94" s="425"/>
    </row>
    <row r="95" spans="1:24" s="426" customFormat="1" x14ac:dyDescent="0.3">
      <c r="A95" s="443"/>
      <c r="B95" s="444" t="s">
        <v>30</v>
      </c>
      <c r="C95" s="444"/>
      <c r="D95" s="444"/>
      <c r="E95" s="444"/>
      <c r="F95" s="444"/>
      <c r="G95" s="444"/>
      <c r="H95" s="444"/>
      <c r="I95" s="444"/>
      <c r="J95" s="444"/>
      <c r="K95" s="444"/>
      <c r="L95" s="444"/>
      <c r="M95" s="444"/>
      <c r="N95" s="444"/>
      <c r="O95" s="444"/>
      <c r="P95" s="444"/>
      <c r="Q95" s="444"/>
      <c r="R95" s="444"/>
      <c r="S95" s="444"/>
      <c r="T95" s="516">
        <f>SUM(T87:T94)</f>
        <v>11762</v>
      </c>
      <c r="U95" s="444"/>
      <c r="V95" s="516">
        <f>SUM(V87:V94)</f>
        <v>5452</v>
      </c>
      <c r="W95" s="446"/>
      <c r="X95" s="425"/>
    </row>
    <row r="96" spans="1:24" s="426" customFormat="1" x14ac:dyDescent="0.3">
      <c r="A96" s="443"/>
      <c r="B96" s="444" t="s">
        <v>164</v>
      </c>
      <c r="C96" s="444"/>
      <c r="D96" s="444"/>
      <c r="E96" s="444"/>
      <c r="F96" s="444"/>
      <c r="G96" s="444"/>
      <c r="H96" s="444"/>
      <c r="I96" s="444"/>
      <c r="J96" s="444"/>
      <c r="K96" s="444"/>
      <c r="L96" s="444"/>
      <c r="M96" s="444"/>
      <c r="N96" s="444"/>
      <c r="O96" s="444"/>
      <c r="P96" s="444"/>
      <c r="Q96" s="444"/>
      <c r="R96" s="444"/>
      <c r="S96" s="444"/>
      <c r="T96" s="516">
        <f>-V96</f>
        <v>0</v>
      </c>
      <c r="U96" s="444"/>
      <c r="V96" s="516">
        <v>0</v>
      </c>
      <c r="W96" s="446"/>
      <c r="X96" s="425"/>
    </row>
    <row r="97" spans="1:26" s="426" customFormat="1" x14ac:dyDescent="0.3">
      <c r="A97" s="443"/>
      <c r="B97" s="444" t="s">
        <v>31</v>
      </c>
      <c r="C97" s="444"/>
      <c r="D97" s="444"/>
      <c r="E97" s="444"/>
      <c r="F97" s="444"/>
      <c r="G97" s="444"/>
      <c r="H97" s="444"/>
      <c r="I97" s="444"/>
      <c r="J97" s="444"/>
      <c r="K97" s="444"/>
      <c r="L97" s="444"/>
      <c r="M97" s="444"/>
      <c r="N97" s="444"/>
      <c r="O97" s="444"/>
      <c r="P97" s="444"/>
      <c r="Q97" s="444"/>
      <c r="R97" s="444"/>
      <c r="S97" s="444"/>
      <c r="T97" s="516">
        <f>-V97</f>
        <v>0</v>
      </c>
      <c r="U97" s="444"/>
      <c r="V97" s="517">
        <v>0</v>
      </c>
      <c r="W97" s="446"/>
      <c r="X97" s="425"/>
    </row>
    <row r="98" spans="1:26" s="426" customFormat="1" x14ac:dyDescent="0.3">
      <c r="A98" s="443"/>
      <c r="B98" s="444" t="s">
        <v>288</v>
      </c>
      <c r="C98" s="444"/>
      <c r="D98" s="444"/>
      <c r="E98" s="444"/>
      <c r="F98" s="444"/>
      <c r="G98" s="444"/>
      <c r="H98" s="444"/>
      <c r="I98" s="444"/>
      <c r="J98" s="444"/>
      <c r="K98" s="444"/>
      <c r="L98" s="444"/>
      <c r="M98" s="444"/>
      <c r="N98" s="444"/>
      <c r="O98" s="444"/>
      <c r="P98" s="444"/>
      <c r="Q98" s="444"/>
      <c r="R98" s="444"/>
      <c r="S98" s="444"/>
      <c r="T98" s="516"/>
      <c r="U98" s="444"/>
      <c r="V98" s="517">
        <v>174</v>
      </c>
      <c r="W98" s="446"/>
      <c r="X98" s="425"/>
    </row>
    <row r="99" spans="1:26" s="426" customFormat="1" x14ac:dyDescent="0.3">
      <c r="A99" s="443"/>
      <c r="B99" s="444" t="s">
        <v>32</v>
      </c>
      <c r="C99" s="444"/>
      <c r="D99" s="444"/>
      <c r="E99" s="444"/>
      <c r="F99" s="444"/>
      <c r="G99" s="444"/>
      <c r="H99" s="444"/>
      <c r="I99" s="444"/>
      <c r="J99" s="444"/>
      <c r="K99" s="444"/>
      <c r="L99" s="444"/>
      <c r="M99" s="444"/>
      <c r="N99" s="444"/>
      <c r="O99" s="444"/>
      <c r="P99" s="444"/>
      <c r="Q99" s="444"/>
      <c r="R99" s="444"/>
      <c r="S99" s="444"/>
      <c r="T99" s="516">
        <f>T95+T97+T96</f>
        <v>11762</v>
      </c>
      <c r="U99" s="444"/>
      <c r="V99" s="516">
        <f>V95+V97+V96+V98</f>
        <v>5626</v>
      </c>
      <c r="W99" s="446"/>
      <c r="X99" s="425"/>
    </row>
    <row r="100" spans="1:26" x14ac:dyDescent="0.3">
      <c r="A100" s="543"/>
      <c r="B100" s="544" t="s">
        <v>33</v>
      </c>
      <c r="C100" s="465"/>
      <c r="D100" s="465"/>
      <c r="E100" s="465"/>
      <c r="F100" s="465"/>
      <c r="G100" s="465"/>
      <c r="H100" s="465"/>
      <c r="I100" s="465"/>
      <c r="J100" s="465"/>
      <c r="K100" s="465"/>
      <c r="L100" s="465"/>
      <c r="M100" s="465"/>
      <c r="N100" s="465"/>
      <c r="O100" s="465"/>
      <c r="P100" s="465"/>
      <c r="Q100" s="465"/>
      <c r="R100" s="465"/>
      <c r="S100" s="465"/>
      <c r="T100" s="545"/>
      <c r="U100" s="465"/>
      <c r="V100" s="546"/>
      <c r="W100" s="547"/>
      <c r="X100" s="406"/>
    </row>
    <row r="101" spans="1:26" s="426" customFormat="1" x14ac:dyDescent="0.3">
      <c r="A101" s="443">
        <v>1</v>
      </c>
      <c r="B101" s="444" t="s">
        <v>34</v>
      </c>
      <c r="C101" s="444"/>
      <c r="D101" s="444"/>
      <c r="E101" s="444"/>
      <c r="F101" s="444"/>
      <c r="G101" s="444"/>
      <c r="H101" s="444"/>
      <c r="I101" s="444"/>
      <c r="J101" s="444"/>
      <c r="K101" s="444"/>
      <c r="L101" s="444"/>
      <c r="M101" s="444"/>
      <c r="N101" s="444"/>
      <c r="O101" s="444"/>
      <c r="P101" s="444"/>
      <c r="Q101" s="444"/>
      <c r="R101" s="444"/>
      <c r="S101" s="444"/>
      <c r="T101" s="444"/>
      <c r="U101" s="444"/>
      <c r="V101" s="517">
        <v>0</v>
      </c>
      <c r="W101" s="446"/>
      <c r="X101" s="425"/>
    </row>
    <row r="102" spans="1:26" s="426" customFormat="1" x14ac:dyDescent="0.3">
      <c r="A102" s="443">
        <f>+A101+1</f>
        <v>2</v>
      </c>
      <c r="B102" s="444" t="s">
        <v>331</v>
      </c>
      <c r="C102" s="444"/>
      <c r="D102" s="444"/>
      <c r="E102" s="444"/>
      <c r="F102" s="444"/>
      <c r="G102" s="444"/>
      <c r="H102" s="444"/>
      <c r="I102" s="444"/>
      <c r="J102" s="444"/>
      <c r="K102" s="444"/>
      <c r="L102" s="444"/>
      <c r="M102" s="444"/>
      <c r="N102" s="444"/>
      <c r="O102" s="444"/>
      <c r="P102" s="444"/>
      <c r="Q102" s="444"/>
      <c r="R102" s="444"/>
      <c r="S102" s="444"/>
      <c r="T102" s="444"/>
      <c r="U102" s="444"/>
      <c r="V102" s="517">
        <f>-2</f>
        <v>-2</v>
      </c>
      <c r="W102" s="446"/>
      <c r="X102" s="425"/>
    </row>
    <row r="103" spans="1:26" s="426" customFormat="1" x14ac:dyDescent="0.3">
      <c r="A103" s="443">
        <f>+A102+1</f>
        <v>3</v>
      </c>
      <c r="B103" s="548" t="s">
        <v>332</v>
      </c>
      <c r="C103" s="444"/>
      <c r="D103" s="444"/>
      <c r="E103" s="444"/>
      <c r="F103" s="444"/>
      <c r="G103" s="444"/>
      <c r="H103" s="444"/>
      <c r="I103" s="444"/>
      <c r="J103" s="444"/>
      <c r="K103" s="444"/>
      <c r="L103" s="444"/>
      <c r="M103" s="444"/>
      <c r="N103" s="444"/>
      <c r="O103" s="444"/>
      <c r="P103" s="444"/>
      <c r="Q103" s="444"/>
      <c r="R103" s="444"/>
      <c r="S103" s="444"/>
      <c r="T103" s="444"/>
      <c r="U103" s="444"/>
      <c r="V103" s="517">
        <f>-294-138-10</f>
        <v>-442</v>
      </c>
      <c r="W103" s="446"/>
      <c r="X103" s="425"/>
    </row>
    <row r="104" spans="1:26" s="426" customFormat="1" x14ac:dyDescent="0.3">
      <c r="A104" s="443" t="s">
        <v>130</v>
      </c>
      <c r="B104" s="444" t="s">
        <v>119</v>
      </c>
      <c r="C104" s="444"/>
      <c r="D104" s="444"/>
      <c r="E104" s="444"/>
      <c r="F104" s="444"/>
      <c r="G104" s="444"/>
      <c r="H104" s="444"/>
      <c r="I104" s="444"/>
      <c r="J104" s="444"/>
      <c r="K104" s="444"/>
      <c r="L104" s="444"/>
      <c r="M104" s="444"/>
      <c r="N104" s="444"/>
      <c r="O104" s="444"/>
      <c r="P104" s="444"/>
      <c r="Q104" s="444"/>
      <c r="R104" s="444"/>
      <c r="S104" s="444"/>
      <c r="T104" s="444"/>
      <c r="U104" s="444"/>
      <c r="V104" s="517">
        <v>0</v>
      </c>
      <c r="W104" s="446"/>
      <c r="X104" s="425"/>
    </row>
    <row r="105" spans="1:26" s="426" customFormat="1" x14ac:dyDescent="0.3">
      <c r="A105" s="443" t="s">
        <v>131</v>
      </c>
      <c r="B105" s="444" t="s">
        <v>362</v>
      </c>
      <c r="C105" s="444"/>
      <c r="D105" s="444"/>
      <c r="E105" s="444"/>
      <c r="F105" s="444"/>
      <c r="G105" s="444"/>
      <c r="H105" s="444"/>
      <c r="I105" s="444"/>
      <c r="J105" s="444"/>
      <c r="K105" s="444"/>
      <c r="L105" s="444"/>
      <c r="M105" s="444"/>
      <c r="N105" s="444"/>
      <c r="O105" s="444"/>
      <c r="P105" s="444"/>
      <c r="Q105" s="444"/>
      <c r="R105" s="444"/>
      <c r="S105" s="444"/>
      <c r="T105" s="444"/>
      <c r="U105" s="444"/>
      <c r="V105" s="517">
        <f>-871-136</f>
        <v>-1007</v>
      </c>
      <c r="W105" s="446"/>
      <c r="X105" s="425"/>
      <c r="Y105" s="549"/>
      <c r="Z105" s="549"/>
    </row>
    <row r="106" spans="1:26" s="426" customFormat="1" x14ac:dyDescent="0.3">
      <c r="A106" s="443" t="s">
        <v>153</v>
      </c>
      <c r="B106" s="444" t="s">
        <v>363</v>
      </c>
      <c r="C106" s="444"/>
      <c r="D106" s="444"/>
      <c r="E106" s="444"/>
      <c r="F106" s="444"/>
      <c r="G106" s="444"/>
      <c r="H106" s="444"/>
      <c r="I106" s="444"/>
      <c r="J106" s="444"/>
      <c r="K106" s="444"/>
      <c r="L106" s="444"/>
      <c r="M106" s="444"/>
      <c r="N106" s="444"/>
      <c r="O106" s="444"/>
      <c r="P106" s="444"/>
      <c r="Q106" s="444"/>
      <c r="R106" s="444"/>
      <c r="S106" s="444"/>
      <c r="T106" s="444"/>
      <c r="U106" s="444"/>
      <c r="V106" s="517">
        <f>-236-205</f>
        <v>-441</v>
      </c>
      <c r="W106" s="446"/>
      <c r="X106" s="425"/>
      <c r="Y106" s="549"/>
    </row>
    <row r="107" spans="1:26" s="426" customFormat="1" x14ac:dyDescent="0.3">
      <c r="A107" s="443" t="s">
        <v>266</v>
      </c>
      <c r="B107" s="444" t="s">
        <v>269</v>
      </c>
      <c r="C107" s="444"/>
      <c r="D107" s="444"/>
      <c r="E107" s="444"/>
      <c r="F107" s="444"/>
      <c r="G107" s="444"/>
      <c r="H107" s="444"/>
      <c r="I107" s="444"/>
      <c r="J107" s="444"/>
      <c r="K107" s="444"/>
      <c r="L107" s="444"/>
      <c r="M107" s="444"/>
      <c r="N107" s="444"/>
      <c r="O107" s="444"/>
      <c r="P107" s="444"/>
      <c r="Q107" s="444"/>
      <c r="R107" s="444"/>
      <c r="S107" s="444"/>
      <c r="T107" s="444"/>
      <c r="U107" s="444"/>
      <c r="V107" s="517">
        <v>0</v>
      </c>
      <c r="W107" s="446"/>
      <c r="X107" s="425"/>
    </row>
    <row r="108" spans="1:26" s="426" customFormat="1" x14ac:dyDescent="0.3">
      <c r="A108" s="443" t="s">
        <v>208</v>
      </c>
      <c r="B108" s="444" t="s">
        <v>188</v>
      </c>
      <c r="C108" s="444"/>
      <c r="D108" s="444"/>
      <c r="E108" s="444"/>
      <c r="F108" s="444"/>
      <c r="G108" s="444"/>
      <c r="H108" s="444"/>
      <c r="I108" s="444"/>
      <c r="J108" s="444"/>
      <c r="K108" s="444"/>
      <c r="L108" s="444"/>
      <c r="M108" s="444"/>
      <c r="N108" s="444"/>
      <c r="O108" s="444"/>
      <c r="P108" s="444"/>
      <c r="Q108" s="444"/>
      <c r="R108" s="444"/>
      <c r="S108" s="444"/>
      <c r="T108" s="444"/>
      <c r="U108" s="444"/>
      <c r="V108" s="517">
        <v>-165</v>
      </c>
      <c r="W108" s="446"/>
      <c r="X108" s="425"/>
      <c r="Y108" s="549"/>
    </row>
    <row r="109" spans="1:26" s="426" customFormat="1" x14ac:dyDescent="0.3">
      <c r="A109" s="443" t="s">
        <v>209</v>
      </c>
      <c r="B109" s="444" t="s">
        <v>189</v>
      </c>
      <c r="C109" s="444"/>
      <c r="D109" s="444"/>
      <c r="E109" s="444"/>
      <c r="F109" s="444"/>
      <c r="G109" s="444"/>
      <c r="H109" s="444"/>
      <c r="I109" s="444"/>
      <c r="J109" s="444"/>
      <c r="K109" s="444"/>
      <c r="L109" s="444"/>
      <c r="M109" s="444"/>
      <c r="N109" s="444"/>
      <c r="O109" s="444"/>
      <c r="P109" s="444"/>
      <c r="Q109" s="444"/>
      <c r="R109" s="444"/>
      <c r="S109" s="444"/>
      <c r="T109" s="444"/>
      <c r="U109" s="444"/>
      <c r="V109" s="517">
        <v>-161</v>
      </c>
      <c r="W109" s="446"/>
      <c r="X109" s="425"/>
      <c r="Y109" s="549"/>
    </row>
    <row r="110" spans="1:26" s="426" customFormat="1" x14ac:dyDescent="0.3">
      <c r="A110" s="443" t="s">
        <v>210</v>
      </c>
      <c r="B110" s="444" t="s">
        <v>199</v>
      </c>
      <c r="C110" s="444"/>
      <c r="D110" s="444"/>
      <c r="E110" s="444"/>
      <c r="F110" s="444"/>
      <c r="G110" s="444"/>
      <c r="H110" s="444"/>
      <c r="I110" s="444"/>
      <c r="J110" s="444"/>
      <c r="K110" s="444"/>
      <c r="L110" s="444"/>
      <c r="M110" s="444"/>
      <c r="N110" s="444"/>
      <c r="O110" s="444"/>
      <c r="P110" s="444"/>
      <c r="Q110" s="444"/>
      <c r="R110" s="444"/>
      <c r="S110" s="444"/>
      <c r="T110" s="444"/>
      <c r="U110" s="444"/>
      <c r="V110" s="517">
        <v>-216</v>
      </c>
      <c r="W110" s="446"/>
      <c r="X110" s="425"/>
      <c r="Y110" s="549"/>
    </row>
    <row r="111" spans="1:26" s="426" customFormat="1" x14ac:dyDescent="0.3">
      <c r="A111" s="443" t="s">
        <v>230</v>
      </c>
      <c r="B111" s="444" t="s">
        <v>229</v>
      </c>
      <c r="C111" s="444"/>
      <c r="D111" s="444"/>
      <c r="E111" s="444"/>
      <c r="F111" s="444"/>
      <c r="G111" s="444"/>
      <c r="H111" s="444"/>
      <c r="I111" s="444"/>
      <c r="J111" s="444"/>
      <c r="K111" s="444"/>
      <c r="L111" s="444"/>
      <c r="M111" s="444"/>
      <c r="N111" s="444"/>
      <c r="O111" s="444"/>
      <c r="P111" s="444"/>
      <c r="Q111" s="444"/>
      <c r="R111" s="444"/>
      <c r="S111" s="444"/>
      <c r="T111" s="444"/>
      <c r="U111" s="444"/>
      <c r="V111" s="517">
        <v>-50</v>
      </c>
      <c r="W111" s="446"/>
      <c r="X111" s="425"/>
      <c r="Y111" s="549"/>
    </row>
    <row r="112" spans="1:26" s="426" customFormat="1" x14ac:dyDescent="0.3">
      <c r="A112" s="550">
        <v>7</v>
      </c>
      <c r="B112" s="548" t="s">
        <v>333</v>
      </c>
      <c r="C112" s="548"/>
      <c r="D112" s="548"/>
      <c r="E112" s="548"/>
      <c r="F112" s="548"/>
      <c r="G112" s="444"/>
      <c r="H112" s="444"/>
      <c r="I112" s="444"/>
      <c r="J112" s="444"/>
      <c r="K112" s="444"/>
      <c r="L112" s="444"/>
      <c r="M112" s="444"/>
      <c r="N112" s="444"/>
      <c r="O112" s="444"/>
      <c r="P112" s="444"/>
      <c r="Q112" s="444"/>
      <c r="R112" s="444"/>
      <c r="S112" s="444"/>
      <c r="T112" s="444"/>
      <c r="U112" s="444"/>
      <c r="V112" s="517">
        <v>0</v>
      </c>
      <c r="W112" s="446"/>
      <c r="X112" s="425"/>
      <c r="Y112" s="549"/>
    </row>
    <row r="113" spans="1:24" s="426" customFormat="1" x14ac:dyDescent="0.3">
      <c r="A113" s="443">
        <f t="shared" ref="A113:A120" si="0">+A112+1</f>
        <v>8</v>
      </c>
      <c r="B113" s="444" t="s">
        <v>35</v>
      </c>
      <c r="C113" s="444"/>
      <c r="D113" s="444"/>
      <c r="E113" s="444"/>
      <c r="F113" s="444"/>
      <c r="G113" s="444"/>
      <c r="H113" s="444"/>
      <c r="I113" s="444"/>
      <c r="J113" s="444"/>
      <c r="K113" s="444"/>
      <c r="L113" s="444"/>
      <c r="M113" s="444"/>
      <c r="N113" s="444"/>
      <c r="O113" s="444"/>
      <c r="P113" s="444"/>
      <c r="Q113" s="444"/>
      <c r="R113" s="444"/>
      <c r="S113" s="444"/>
      <c r="T113" s="444"/>
      <c r="U113" s="444"/>
      <c r="V113" s="517">
        <v>-35</v>
      </c>
      <c r="W113" s="446"/>
      <c r="X113" s="425"/>
    </row>
    <row r="114" spans="1:24" s="426" customFormat="1" x14ac:dyDescent="0.3">
      <c r="A114" s="443">
        <f t="shared" si="0"/>
        <v>9</v>
      </c>
      <c r="B114" s="444" t="s">
        <v>45</v>
      </c>
      <c r="C114" s="444"/>
      <c r="D114" s="444"/>
      <c r="E114" s="444"/>
      <c r="F114" s="444"/>
      <c r="G114" s="444"/>
      <c r="H114" s="444"/>
      <c r="I114" s="444"/>
      <c r="J114" s="444"/>
      <c r="K114" s="444"/>
      <c r="L114" s="444"/>
      <c r="M114" s="444"/>
      <c r="N114" s="444"/>
      <c r="O114" s="444"/>
      <c r="P114" s="444"/>
      <c r="Q114" s="444"/>
      <c r="R114" s="444"/>
      <c r="S114" s="444"/>
      <c r="T114" s="516">
        <f>-V114</f>
        <v>264</v>
      </c>
      <c r="U114" s="444"/>
      <c r="V114" s="517">
        <v>-264</v>
      </c>
      <c r="W114" s="446"/>
      <c r="X114" s="425"/>
    </row>
    <row r="115" spans="1:24" s="426" customFormat="1" x14ac:dyDescent="0.3">
      <c r="A115" s="443">
        <f t="shared" si="0"/>
        <v>10</v>
      </c>
      <c r="B115" s="444" t="s">
        <v>128</v>
      </c>
      <c r="C115" s="444"/>
      <c r="D115" s="444"/>
      <c r="E115" s="444"/>
      <c r="F115" s="444"/>
      <c r="G115" s="444"/>
      <c r="H115" s="444"/>
      <c r="I115" s="444"/>
      <c r="J115" s="444"/>
      <c r="K115" s="444"/>
      <c r="L115" s="444"/>
      <c r="M115" s="444"/>
      <c r="N115" s="444"/>
      <c r="O115" s="444"/>
      <c r="P115" s="444"/>
      <c r="Q115" s="444"/>
      <c r="R115" s="444"/>
      <c r="S115" s="444"/>
      <c r="T115" s="444"/>
      <c r="U115" s="444"/>
      <c r="V115" s="517">
        <v>0</v>
      </c>
      <c r="W115" s="446"/>
      <c r="X115" s="425"/>
    </row>
    <row r="116" spans="1:24" s="426" customFormat="1" x14ac:dyDescent="0.3">
      <c r="A116" s="443">
        <f t="shared" si="0"/>
        <v>11</v>
      </c>
      <c r="B116" s="444" t="s">
        <v>271</v>
      </c>
      <c r="C116" s="444"/>
      <c r="D116" s="444"/>
      <c r="E116" s="444"/>
      <c r="F116" s="444"/>
      <c r="G116" s="444"/>
      <c r="H116" s="444"/>
      <c r="I116" s="444"/>
      <c r="J116" s="444"/>
      <c r="K116" s="444"/>
      <c r="L116" s="444"/>
      <c r="M116" s="444"/>
      <c r="N116" s="444"/>
      <c r="O116" s="444"/>
      <c r="P116" s="444"/>
      <c r="Q116" s="444"/>
      <c r="R116" s="444"/>
      <c r="S116" s="444"/>
      <c r="T116" s="444"/>
      <c r="U116" s="444"/>
      <c r="V116" s="517">
        <v>0</v>
      </c>
      <c r="W116" s="446"/>
      <c r="X116" s="425"/>
    </row>
    <row r="117" spans="1:24" s="426" customFormat="1" x14ac:dyDescent="0.3">
      <c r="A117" s="443">
        <f t="shared" si="0"/>
        <v>12</v>
      </c>
      <c r="B117" s="444" t="s">
        <v>36</v>
      </c>
      <c r="C117" s="444"/>
      <c r="D117" s="444"/>
      <c r="E117" s="444"/>
      <c r="F117" s="444"/>
      <c r="G117" s="444"/>
      <c r="H117" s="444"/>
      <c r="I117" s="444"/>
      <c r="J117" s="444"/>
      <c r="K117" s="444"/>
      <c r="L117" s="444"/>
      <c r="M117" s="444"/>
      <c r="N117" s="444"/>
      <c r="O117" s="444"/>
      <c r="P117" s="444"/>
      <c r="Q117" s="444"/>
      <c r="R117" s="444"/>
      <c r="S117" s="444"/>
      <c r="T117" s="444"/>
      <c r="U117" s="444"/>
      <c r="V117" s="517">
        <v>0</v>
      </c>
      <c r="W117" s="446"/>
      <c r="X117" s="425"/>
    </row>
    <row r="118" spans="1:24" s="426" customFormat="1" x14ac:dyDescent="0.3">
      <c r="A118" s="443">
        <f t="shared" si="0"/>
        <v>13</v>
      </c>
      <c r="B118" s="444" t="s">
        <v>270</v>
      </c>
      <c r="C118" s="444"/>
      <c r="D118" s="444"/>
      <c r="E118" s="444"/>
      <c r="F118" s="444"/>
      <c r="G118" s="444"/>
      <c r="H118" s="444"/>
      <c r="I118" s="444"/>
      <c r="J118" s="444"/>
      <c r="K118" s="444"/>
      <c r="L118" s="444"/>
      <c r="M118" s="444"/>
      <c r="N118" s="444"/>
      <c r="O118" s="444"/>
      <c r="P118" s="444"/>
      <c r="Q118" s="444"/>
      <c r="R118" s="444"/>
      <c r="S118" s="444"/>
      <c r="T118" s="444"/>
      <c r="U118" s="444"/>
      <c r="V118" s="517">
        <v>0</v>
      </c>
      <c r="W118" s="446"/>
      <c r="X118" s="425"/>
    </row>
    <row r="119" spans="1:24" s="426" customFormat="1" x14ac:dyDescent="0.3">
      <c r="A119" s="443">
        <f t="shared" si="0"/>
        <v>14</v>
      </c>
      <c r="B119" s="444" t="s">
        <v>152</v>
      </c>
      <c r="C119" s="444"/>
      <c r="D119" s="444"/>
      <c r="E119" s="444"/>
      <c r="F119" s="444"/>
      <c r="G119" s="444"/>
      <c r="H119" s="444"/>
      <c r="I119" s="444"/>
      <c r="J119" s="444"/>
      <c r="K119" s="444"/>
      <c r="L119" s="444"/>
      <c r="M119" s="444"/>
      <c r="N119" s="444"/>
      <c r="O119" s="444"/>
      <c r="P119" s="444"/>
      <c r="Q119" s="444"/>
      <c r="R119" s="444"/>
      <c r="S119" s="444"/>
      <c r="T119" s="444"/>
      <c r="U119" s="444"/>
      <c r="V119" s="517">
        <v>-293</v>
      </c>
      <c r="W119" s="446"/>
      <c r="X119" s="425"/>
    </row>
    <row r="120" spans="1:24" s="426" customFormat="1" x14ac:dyDescent="0.3">
      <c r="A120" s="443">
        <f t="shared" si="0"/>
        <v>15</v>
      </c>
      <c r="B120" s="444" t="s">
        <v>129</v>
      </c>
      <c r="C120" s="444"/>
      <c r="D120" s="444"/>
      <c r="E120" s="444"/>
      <c r="F120" s="444"/>
      <c r="G120" s="444"/>
      <c r="H120" s="444"/>
      <c r="I120" s="444"/>
      <c r="J120" s="444"/>
      <c r="K120" s="444"/>
      <c r="L120" s="444"/>
      <c r="M120" s="444"/>
      <c r="N120" s="444"/>
      <c r="O120" s="444"/>
      <c r="P120" s="444"/>
      <c r="Q120" s="444"/>
      <c r="R120" s="444"/>
      <c r="S120" s="444"/>
      <c r="T120" s="444"/>
      <c r="U120" s="444"/>
      <c r="V120" s="517">
        <f>-V99-SUM(V101:V119)</f>
        <v>-2550</v>
      </c>
      <c r="W120" s="446"/>
      <c r="X120" s="425"/>
    </row>
    <row r="121" spans="1:24" x14ac:dyDescent="0.3">
      <c r="A121" s="543"/>
      <c r="B121" s="544" t="s">
        <v>37</v>
      </c>
      <c r="C121" s="465"/>
      <c r="D121" s="465"/>
      <c r="E121" s="465"/>
      <c r="F121" s="465"/>
      <c r="G121" s="465"/>
      <c r="H121" s="465"/>
      <c r="I121" s="465"/>
      <c r="J121" s="465"/>
      <c r="K121" s="465"/>
      <c r="L121" s="465"/>
      <c r="M121" s="465"/>
      <c r="N121" s="465"/>
      <c r="O121" s="465"/>
      <c r="P121" s="465"/>
      <c r="Q121" s="465"/>
      <c r="R121" s="465"/>
      <c r="S121" s="465"/>
      <c r="T121" s="465"/>
      <c r="U121" s="465"/>
      <c r="V121" s="551"/>
      <c r="W121" s="547"/>
      <c r="X121" s="406"/>
    </row>
    <row r="122" spans="1:24" s="426" customFormat="1" x14ac:dyDescent="0.3">
      <c r="A122" s="443"/>
      <c r="B122" s="444" t="s">
        <v>176</v>
      </c>
      <c r="C122" s="444"/>
      <c r="D122" s="444"/>
      <c r="E122" s="444"/>
      <c r="F122" s="444"/>
      <c r="G122" s="444"/>
      <c r="H122" s="444"/>
      <c r="I122" s="444"/>
      <c r="J122" s="444"/>
      <c r="K122" s="444"/>
      <c r="L122" s="444"/>
      <c r="M122" s="444"/>
      <c r="N122" s="444"/>
      <c r="O122" s="444"/>
      <c r="P122" s="444"/>
      <c r="Q122" s="444"/>
      <c r="R122" s="444"/>
      <c r="S122" s="444"/>
      <c r="T122" s="516">
        <f>-T182</f>
        <v>0</v>
      </c>
      <c r="U122" s="516"/>
      <c r="V122" s="517"/>
      <c r="W122" s="446"/>
      <c r="X122" s="425"/>
    </row>
    <row r="123" spans="1:24" s="426" customFormat="1" x14ac:dyDescent="0.3">
      <c r="A123" s="443"/>
      <c r="B123" s="444" t="s">
        <v>177</v>
      </c>
      <c r="C123" s="444"/>
      <c r="D123" s="444"/>
      <c r="E123" s="444"/>
      <c r="F123" s="444"/>
      <c r="G123" s="444"/>
      <c r="H123" s="444"/>
      <c r="I123" s="444"/>
      <c r="J123" s="444"/>
      <c r="K123" s="444"/>
      <c r="L123" s="444"/>
      <c r="M123" s="444"/>
      <c r="N123" s="444"/>
      <c r="O123" s="444"/>
      <c r="P123" s="444"/>
      <c r="Q123" s="444"/>
      <c r="R123" s="444"/>
      <c r="S123" s="444"/>
      <c r="T123" s="516">
        <v>0</v>
      </c>
      <c r="U123" s="516"/>
      <c r="V123" s="517"/>
      <c r="W123" s="446"/>
      <c r="X123" s="425"/>
    </row>
    <row r="124" spans="1:24" s="426" customFormat="1" x14ac:dyDescent="0.3">
      <c r="A124" s="443"/>
      <c r="B124" s="444" t="s">
        <v>38</v>
      </c>
      <c r="C124" s="444"/>
      <c r="D124" s="444"/>
      <c r="E124" s="444"/>
      <c r="F124" s="444"/>
      <c r="G124" s="444"/>
      <c r="H124" s="444"/>
      <c r="I124" s="444"/>
      <c r="J124" s="444"/>
      <c r="K124" s="444"/>
      <c r="L124" s="444"/>
      <c r="M124" s="444"/>
      <c r="N124" s="444"/>
      <c r="O124" s="444"/>
      <c r="P124" s="444"/>
      <c r="Q124" s="444"/>
      <c r="R124" s="444"/>
      <c r="S124" s="444"/>
      <c r="T124" s="516">
        <f>-S182</f>
        <v>-320</v>
      </c>
      <c r="U124" s="516"/>
      <c r="V124" s="517"/>
      <c r="W124" s="446"/>
      <c r="X124" s="425"/>
    </row>
    <row r="125" spans="1:24" s="426" customFormat="1" x14ac:dyDescent="0.3">
      <c r="A125" s="443"/>
      <c r="B125" s="444" t="s">
        <v>386</v>
      </c>
      <c r="C125" s="444"/>
      <c r="D125" s="444"/>
      <c r="E125" s="444"/>
      <c r="F125" s="444"/>
      <c r="G125" s="444"/>
      <c r="H125" s="444"/>
      <c r="I125" s="444"/>
      <c r="J125" s="444"/>
      <c r="K125" s="444"/>
      <c r="L125" s="444"/>
      <c r="M125" s="444"/>
      <c r="N125" s="444"/>
      <c r="O125" s="444"/>
      <c r="P125" s="444"/>
      <c r="Q125" s="444"/>
      <c r="R125" s="444"/>
      <c r="S125" s="444"/>
      <c r="T125" s="516">
        <v>-7073</v>
      </c>
      <c r="U125" s="516"/>
      <c r="V125" s="517"/>
      <c r="W125" s="446"/>
      <c r="X125" s="425"/>
    </row>
    <row r="126" spans="1:24" s="426" customFormat="1" x14ac:dyDescent="0.3">
      <c r="A126" s="443"/>
      <c r="B126" s="444" t="s">
        <v>198</v>
      </c>
      <c r="C126" s="444"/>
      <c r="D126" s="444"/>
      <c r="E126" s="444"/>
      <c r="F126" s="444"/>
      <c r="G126" s="444"/>
      <c r="H126" s="444"/>
      <c r="I126" s="444"/>
      <c r="J126" s="444"/>
      <c r="K126" s="444"/>
      <c r="L126" s="444"/>
      <c r="M126" s="444"/>
      <c r="N126" s="444"/>
      <c r="O126" s="444"/>
      <c r="P126" s="444"/>
      <c r="Q126" s="444"/>
      <c r="R126" s="444"/>
      <c r="S126" s="444"/>
      <c r="T126" s="516">
        <v>-1108</v>
      </c>
      <c r="U126" s="516"/>
      <c r="V126" s="517"/>
      <c r="W126" s="446"/>
      <c r="X126" s="425"/>
    </row>
    <row r="127" spans="1:24" s="426" customFormat="1" x14ac:dyDescent="0.3">
      <c r="A127" s="443"/>
      <c r="B127" s="444" t="s">
        <v>197</v>
      </c>
      <c r="C127" s="444"/>
      <c r="D127" s="444"/>
      <c r="E127" s="444"/>
      <c r="F127" s="444"/>
      <c r="G127" s="444"/>
      <c r="H127" s="444"/>
      <c r="I127" s="444"/>
      <c r="J127" s="444"/>
      <c r="K127" s="444"/>
      <c r="L127" s="444"/>
      <c r="M127" s="444"/>
      <c r="N127" s="444"/>
      <c r="O127" s="444"/>
      <c r="P127" s="444"/>
      <c r="Q127" s="444"/>
      <c r="R127" s="444"/>
      <c r="S127" s="444"/>
      <c r="T127" s="516">
        <v>-1874</v>
      </c>
      <c r="U127" s="516"/>
      <c r="V127" s="517"/>
      <c r="W127" s="446"/>
      <c r="X127" s="425"/>
    </row>
    <row r="128" spans="1:24" s="426" customFormat="1" x14ac:dyDescent="0.3">
      <c r="A128" s="443"/>
      <c r="B128" s="444" t="s">
        <v>232</v>
      </c>
      <c r="C128" s="444"/>
      <c r="D128" s="444"/>
      <c r="E128" s="444"/>
      <c r="F128" s="444"/>
      <c r="G128" s="444"/>
      <c r="H128" s="444"/>
      <c r="I128" s="444"/>
      <c r="J128" s="444"/>
      <c r="K128" s="444"/>
      <c r="L128" s="444"/>
      <c r="M128" s="444"/>
      <c r="N128" s="444"/>
      <c r="O128" s="444"/>
      <c r="P128" s="444"/>
      <c r="Q128" s="444"/>
      <c r="R128" s="444"/>
      <c r="S128" s="444"/>
      <c r="T128" s="516">
        <v>-1651</v>
      </c>
      <c r="U128" s="516"/>
      <c r="V128" s="517"/>
      <c r="W128" s="446"/>
      <c r="X128" s="425"/>
    </row>
    <row r="129" spans="1:24" s="426" customFormat="1" x14ac:dyDescent="0.3">
      <c r="A129" s="443"/>
      <c r="B129" s="444" t="s">
        <v>192</v>
      </c>
      <c r="C129" s="444"/>
      <c r="D129" s="444"/>
      <c r="E129" s="444"/>
      <c r="F129" s="444"/>
      <c r="G129" s="444"/>
      <c r="H129" s="444"/>
      <c r="I129" s="444"/>
      <c r="J129" s="444"/>
      <c r="K129" s="444"/>
      <c r="L129" s="444"/>
      <c r="M129" s="444"/>
      <c r="N129" s="444"/>
      <c r="O129" s="444"/>
      <c r="P129" s="444"/>
      <c r="Q129" s="444"/>
      <c r="R129" s="444"/>
      <c r="S129" s="444"/>
      <c r="T129" s="516">
        <v>0</v>
      </c>
      <c r="U129" s="516"/>
      <c r="V129" s="517"/>
      <c r="W129" s="446"/>
      <c r="X129" s="425"/>
    </row>
    <row r="130" spans="1:24" s="426" customFormat="1" x14ac:dyDescent="0.3">
      <c r="A130" s="443"/>
      <c r="B130" s="444" t="s">
        <v>191</v>
      </c>
      <c r="C130" s="444"/>
      <c r="D130" s="444"/>
      <c r="E130" s="444"/>
      <c r="F130" s="444"/>
      <c r="G130" s="444"/>
      <c r="H130" s="444"/>
      <c r="I130" s="444"/>
      <c r="J130" s="444"/>
      <c r="K130" s="444"/>
      <c r="L130" s="444"/>
      <c r="M130" s="444"/>
      <c r="N130" s="444"/>
      <c r="O130" s="444"/>
      <c r="P130" s="444"/>
      <c r="Q130" s="444"/>
      <c r="R130" s="444"/>
      <c r="S130" s="444"/>
      <c r="T130" s="516">
        <v>0</v>
      </c>
      <c r="U130" s="516"/>
      <c r="V130" s="517"/>
      <c r="W130" s="446"/>
      <c r="X130" s="425"/>
    </row>
    <row r="131" spans="1:24" s="426" customFormat="1" x14ac:dyDescent="0.3">
      <c r="A131" s="443"/>
      <c r="B131" s="444" t="s">
        <v>233</v>
      </c>
      <c r="C131" s="444"/>
      <c r="D131" s="444"/>
      <c r="E131" s="444"/>
      <c r="F131" s="444"/>
      <c r="G131" s="444"/>
      <c r="H131" s="444"/>
      <c r="I131" s="444"/>
      <c r="J131" s="444"/>
      <c r="K131" s="444"/>
      <c r="L131" s="444"/>
      <c r="M131" s="444"/>
      <c r="N131" s="444"/>
      <c r="O131" s="444"/>
      <c r="P131" s="444"/>
      <c r="Q131" s="444"/>
      <c r="R131" s="444"/>
      <c r="S131" s="444"/>
      <c r="T131" s="516">
        <v>0</v>
      </c>
      <c r="U131" s="516"/>
      <c r="V131" s="517"/>
      <c r="W131" s="446"/>
      <c r="X131" s="425"/>
    </row>
    <row r="132" spans="1:24" s="426" customFormat="1" x14ac:dyDescent="0.3">
      <c r="A132" s="443"/>
      <c r="B132" s="444" t="s">
        <v>190</v>
      </c>
      <c r="C132" s="444"/>
      <c r="D132" s="444"/>
      <c r="E132" s="444"/>
      <c r="F132" s="444"/>
      <c r="G132" s="444"/>
      <c r="H132" s="444"/>
      <c r="I132" s="444"/>
      <c r="J132" s="444"/>
      <c r="K132" s="444"/>
      <c r="L132" s="444"/>
      <c r="M132" s="444"/>
      <c r="N132" s="444"/>
      <c r="O132" s="444"/>
      <c r="P132" s="444"/>
      <c r="Q132" s="444"/>
      <c r="R132" s="444"/>
      <c r="S132" s="444"/>
      <c r="T132" s="516">
        <v>0</v>
      </c>
      <c r="U132" s="516"/>
      <c r="V132" s="517"/>
      <c r="W132" s="446"/>
      <c r="X132" s="425"/>
    </row>
    <row r="133" spans="1:24" s="426" customFormat="1" x14ac:dyDescent="0.3">
      <c r="A133" s="443"/>
      <c r="B133" s="444" t="s">
        <v>39</v>
      </c>
      <c r="C133" s="444"/>
      <c r="D133" s="444"/>
      <c r="E133" s="444"/>
      <c r="F133" s="444"/>
      <c r="G133" s="444"/>
      <c r="H133" s="444"/>
      <c r="I133" s="444"/>
      <c r="J133" s="444"/>
      <c r="K133" s="444"/>
      <c r="L133" s="444"/>
      <c r="M133" s="444"/>
      <c r="N133" s="444"/>
      <c r="O133" s="444"/>
      <c r="P133" s="444"/>
      <c r="Q133" s="444"/>
      <c r="R133" s="444"/>
      <c r="S133" s="444"/>
      <c r="T133" s="516">
        <f>SUM(T122:T132)</f>
        <v>-12026</v>
      </c>
      <c r="U133" s="516"/>
      <c r="V133" s="516">
        <f>SUM(V100:V130)</f>
        <v>-5626</v>
      </c>
      <c r="W133" s="446"/>
      <c r="X133" s="425"/>
    </row>
    <row r="134" spans="1:24" s="426" customFormat="1" x14ac:dyDescent="0.3">
      <c r="A134" s="443"/>
      <c r="B134" s="444" t="s">
        <v>40</v>
      </c>
      <c r="C134" s="444"/>
      <c r="D134" s="444"/>
      <c r="E134" s="444"/>
      <c r="F134" s="444"/>
      <c r="G134" s="444"/>
      <c r="H134" s="444"/>
      <c r="I134" s="444"/>
      <c r="J134" s="444"/>
      <c r="K134" s="444"/>
      <c r="L134" s="444"/>
      <c r="M134" s="444"/>
      <c r="N134" s="444"/>
      <c r="O134" s="444"/>
      <c r="P134" s="444"/>
      <c r="Q134" s="444"/>
      <c r="R134" s="444"/>
      <c r="S134" s="444"/>
      <c r="T134" s="516">
        <f>T99+T133+T114</f>
        <v>0</v>
      </c>
      <c r="U134" s="516"/>
      <c r="V134" s="516">
        <f>V99+V133</f>
        <v>0</v>
      </c>
      <c r="W134" s="446"/>
      <c r="X134" s="425"/>
    </row>
    <row r="135" spans="1:24" s="426" customFormat="1" x14ac:dyDescent="0.3">
      <c r="A135" s="421"/>
      <c r="B135" s="494"/>
      <c r="C135" s="494"/>
      <c r="D135" s="494"/>
      <c r="E135" s="494"/>
      <c r="F135" s="494"/>
      <c r="G135" s="494"/>
      <c r="H135" s="494"/>
      <c r="I135" s="494"/>
      <c r="J135" s="494"/>
      <c r="K135" s="494"/>
      <c r="L135" s="494"/>
      <c r="M135" s="494"/>
      <c r="N135" s="494"/>
      <c r="O135" s="494"/>
      <c r="P135" s="494"/>
      <c r="Q135" s="494"/>
      <c r="R135" s="494"/>
      <c r="S135" s="494"/>
      <c r="T135" s="552"/>
      <c r="U135" s="552"/>
      <c r="V135" s="552"/>
      <c r="W135" s="424"/>
      <c r="X135" s="425"/>
    </row>
    <row r="136" spans="1:24" s="426" customFormat="1" x14ac:dyDescent="0.3">
      <c r="A136" s="421"/>
      <c r="B136" s="422"/>
      <c r="C136" s="422"/>
      <c r="D136" s="422"/>
      <c r="E136" s="422"/>
      <c r="F136" s="422"/>
      <c r="G136" s="422"/>
      <c r="H136" s="422"/>
      <c r="I136" s="422"/>
      <c r="J136" s="422"/>
      <c r="K136" s="422"/>
      <c r="L136" s="422"/>
      <c r="M136" s="422"/>
      <c r="N136" s="422"/>
      <c r="O136" s="422"/>
      <c r="P136" s="422"/>
      <c r="Q136" s="422"/>
      <c r="R136" s="422"/>
      <c r="S136" s="422"/>
      <c r="T136" s="422"/>
      <c r="U136" s="422"/>
      <c r="V136" s="553"/>
      <c r="W136" s="424"/>
      <c r="X136" s="425"/>
    </row>
    <row r="137" spans="1:24" s="426" customFormat="1" ht="18.600000000000001" thickBot="1" x14ac:dyDescent="0.4">
      <c r="A137" s="500"/>
      <c r="B137" s="501" t="str">
        <f>B63</f>
        <v>PM13 INVESTOR REPORT QUARTER ENDING SEPTEMBER 2018</v>
      </c>
      <c r="C137" s="502"/>
      <c r="D137" s="502"/>
      <c r="E137" s="502"/>
      <c r="F137" s="502"/>
      <c r="G137" s="502"/>
      <c r="H137" s="502"/>
      <c r="I137" s="502"/>
      <c r="J137" s="502"/>
      <c r="K137" s="502"/>
      <c r="L137" s="502"/>
      <c r="M137" s="502"/>
      <c r="N137" s="502"/>
      <c r="O137" s="502"/>
      <c r="P137" s="502"/>
      <c r="Q137" s="502"/>
      <c r="R137" s="502"/>
      <c r="S137" s="502"/>
      <c r="T137" s="502"/>
      <c r="U137" s="502"/>
      <c r="V137" s="554"/>
      <c r="W137" s="555"/>
      <c r="X137" s="425"/>
    </row>
    <row r="138" spans="1:24" x14ac:dyDescent="0.3">
      <c r="A138" s="505"/>
      <c r="B138" s="506" t="s">
        <v>41</v>
      </c>
      <c r="C138" s="507"/>
      <c r="D138" s="507"/>
      <c r="E138" s="507"/>
      <c r="F138" s="507"/>
      <c r="G138" s="507"/>
      <c r="H138" s="507"/>
      <c r="I138" s="507"/>
      <c r="J138" s="507"/>
      <c r="K138" s="507"/>
      <c r="L138" s="507"/>
      <c r="M138" s="507"/>
      <c r="N138" s="507"/>
      <c r="O138" s="507"/>
      <c r="P138" s="507"/>
      <c r="Q138" s="507"/>
      <c r="R138" s="507"/>
      <c r="S138" s="507"/>
      <c r="T138" s="507"/>
      <c r="U138" s="507"/>
      <c r="V138" s="508"/>
      <c r="W138" s="509"/>
      <c r="X138" s="406"/>
    </row>
    <row r="139" spans="1:24" x14ac:dyDescent="0.3">
      <c r="A139" s="408"/>
      <c r="B139" s="556"/>
      <c r="C139" s="410"/>
      <c r="D139" s="410"/>
      <c r="E139" s="410"/>
      <c r="F139" s="410"/>
      <c r="G139" s="410"/>
      <c r="H139" s="410"/>
      <c r="I139" s="410"/>
      <c r="J139" s="410"/>
      <c r="K139" s="410"/>
      <c r="L139" s="410"/>
      <c r="M139" s="410"/>
      <c r="N139" s="410"/>
      <c r="O139" s="410"/>
      <c r="P139" s="410"/>
      <c r="Q139" s="410"/>
      <c r="R139" s="410"/>
      <c r="S139" s="410"/>
      <c r="T139" s="410"/>
      <c r="U139" s="410"/>
      <c r="V139" s="510"/>
      <c r="W139" s="411"/>
      <c r="X139" s="406"/>
    </row>
    <row r="140" spans="1:24" x14ac:dyDescent="0.3">
      <c r="A140" s="408"/>
      <c r="B140" s="557" t="s">
        <v>42</v>
      </c>
      <c r="C140" s="410"/>
      <c r="D140" s="410"/>
      <c r="E140" s="410"/>
      <c r="F140" s="410"/>
      <c r="G140" s="410"/>
      <c r="H140" s="410"/>
      <c r="I140" s="410"/>
      <c r="J140" s="410"/>
      <c r="K140" s="410"/>
      <c r="L140" s="410"/>
      <c r="M140" s="410"/>
      <c r="N140" s="410"/>
      <c r="O140" s="410"/>
      <c r="P140" s="410"/>
      <c r="Q140" s="410"/>
      <c r="R140" s="410"/>
      <c r="S140" s="410"/>
      <c r="T140" s="410"/>
      <c r="U140" s="410"/>
      <c r="V140" s="510"/>
      <c r="W140" s="411"/>
      <c r="X140" s="406"/>
    </row>
    <row r="141" spans="1:24" x14ac:dyDescent="0.3">
      <c r="A141" s="543"/>
      <c r="B141" s="444" t="s">
        <v>43</v>
      </c>
      <c r="C141" s="444"/>
      <c r="D141" s="444"/>
      <c r="E141" s="444"/>
      <c r="F141" s="444"/>
      <c r="G141" s="444"/>
      <c r="H141" s="444"/>
      <c r="I141" s="444"/>
      <c r="J141" s="444"/>
      <c r="K141" s="444"/>
      <c r="L141" s="444"/>
      <c r="M141" s="444"/>
      <c r="N141" s="444"/>
      <c r="O141" s="444"/>
      <c r="P141" s="444"/>
      <c r="Q141" s="444"/>
      <c r="R141" s="444"/>
      <c r="S141" s="444"/>
      <c r="T141" s="444"/>
      <c r="U141" s="444"/>
      <c r="V141" s="517">
        <f>+V34*0.019</f>
        <v>28503.61</v>
      </c>
      <c r="W141" s="558"/>
      <c r="X141" s="406"/>
    </row>
    <row r="142" spans="1:24" x14ac:dyDescent="0.3">
      <c r="A142" s="543"/>
      <c r="B142" s="444" t="s">
        <v>44</v>
      </c>
      <c r="C142" s="444"/>
      <c r="D142" s="444"/>
      <c r="E142" s="444"/>
      <c r="F142" s="444"/>
      <c r="G142" s="444"/>
      <c r="H142" s="444"/>
      <c r="I142" s="444"/>
      <c r="J142" s="444"/>
      <c r="K142" s="444"/>
      <c r="L142" s="444"/>
      <c r="M142" s="444"/>
      <c r="N142" s="444"/>
      <c r="O142" s="444"/>
      <c r="P142" s="444"/>
      <c r="Q142" s="444"/>
      <c r="R142" s="444"/>
      <c r="S142" s="444"/>
      <c r="T142" s="444"/>
      <c r="U142" s="444"/>
      <c r="V142" s="517">
        <v>28504</v>
      </c>
      <c r="W142" s="558"/>
      <c r="X142" s="406"/>
    </row>
    <row r="143" spans="1:24" x14ac:dyDescent="0.3">
      <c r="A143" s="543"/>
      <c r="B143" s="444" t="s">
        <v>139</v>
      </c>
      <c r="C143" s="444"/>
      <c r="D143" s="444"/>
      <c r="E143" s="444"/>
      <c r="F143" s="444"/>
      <c r="G143" s="444"/>
      <c r="H143" s="444"/>
      <c r="I143" s="444"/>
      <c r="J143" s="444"/>
      <c r="K143" s="444"/>
      <c r="L143" s="444"/>
      <c r="M143" s="444"/>
      <c r="N143" s="444"/>
      <c r="O143" s="444"/>
      <c r="P143" s="444"/>
      <c r="Q143" s="444"/>
      <c r="R143" s="444"/>
      <c r="S143" s="444"/>
      <c r="T143" s="444"/>
      <c r="U143" s="444"/>
      <c r="V143" s="517"/>
      <c r="W143" s="558"/>
      <c r="X143" s="406"/>
    </row>
    <row r="144" spans="1:24" x14ac:dyDescent="0.3">
      <c r="A144" s="543"/>
      <c r="B144" s="444" t="s">
        <v>126</v>
      </c>
      <c r="C144" s="444"/>
      <c r="D144" s="444"/>
      <c r="E144" s="444"/>
      <c r="F144" s="444"/>
      <c r="G144" s="444"/>
      <c r="H144" s="444"/>
      <c r="I144" s="444"/>
      <c r="J144" s="444"/>
      <c r="K144" s="444"/>
      <c r="L144" s="444"/>
      <c r="M144" s="444"/>
      <c r="N144" s="444"/>
      <c r="O144" s="444"/>
      <c r="P144" s="444"/>
      <c r="Q144" s="444"/>
      <c r="R144" s="444"/>
      <c r="S144" s="444"/>
      <c r="T144" s="444"/>
      <c r="U144" s="444"/>
      <c r="V144" s="517">
        <v>0</v>
      </c>
      <c r="W144" s="558"/>
      <c r="X144" s="406"/>
    </row>
    <row r="145" spans="1:25" x14ac:dyDescent="0.3">
      <c r="A145" s="543"/>
      <c r="B145" s="444" t="s">
        <v>127</v>
      </c>
      <c r="C145" s="444"/>
      <c r="D145" s="444"/>
      <c r="E145" s="444"/>
      <c r="F145" s="444"/>
      <c r="G145" s="444"/>
      <c r="H145" s="444"/>
      <c r="I145" s="444"/>
      <c r="J145" s="444"/>
      <c r="K145" s="444"/>
      <c r="L145" s="444"/>
      <c r="M145" s="444"/>
      <c r="N145" s="444"/>
      <c r="O145" s="444"/>
      <c r="P145" s="444"/>
      <c r="Q145" s="444"/>
      <c r="R145" s="444"/>
      <c r="S145" s="444"/>
      <c r="T145" s="444"/>
      <c r="U145" s="444"/>
      <c r="V145" s="517">
        <v>0</v>
      </c>
      <c r="W145" s="558"/>
      <c r="X145" s="406"/>
    </row>
    <row r="146" spans="1:25" x14ac:dyDescent="0.3">
      <c r="A146" s="543"/>
      <c r="B146" s="444" t="s">
        <v>178</v>
      </c>
      <c r="C146" s="444"/>
      <c r="D146" s="444"/>
      <c r="E146" s="444"/>
      <c r="F146" s="444"/>
      <c r="G146" s="444"/>
      <c r="H146" s="444"/>
      <c r="I146" s="444"/>
      <c r="J146" s="444"/>
      <c r="K146" s="444"/>
      <c r="L146" s="444"/>
      <c r="M146" s="444"/>
      <c r="N146" s="444"/>
      <c r="O146" s="444"/>
      <c r="P146" s="444"/>
      <c r="Q146" s="444"/>
      <c r="R146" s="444"/>
      <c r="S146" s="444"/>
      <c r="T146" s="444"/>
      <c r="U146" s="444"/>
      <c r="V146" s="517">
        <v>0</v>
      </c>
      <c r="W146" s="558"/>
      <c r="X146" s="406"/>
    </row>
    <row r="147" spans="1:25" x14ac:dyDescent="0.3">
      <c r="A147" s="543"/>
      <c r="B147" s="444" t="s">
        <v>45</v>
      </c>
      <c r="C147" s="444"/>
      <c r="D147" s="444"/>
      <c r="E147" s="444"/>
      <c r="F147" s="444"/>
      <c r="G147" s="444"/>
      <c r="H147" s="444"/>
      <c r="I147" s="444"/>
      <c r="J147" s="444"/>
      <c r="K147" s="444"/>
      <c r="L147" s="444"/>
      <c r="M147" s="444"/>
      <c r="N147" s="444"/>
      <c r="O147" s="444"/>
      <c r="P147" s="444"/>
      <c r="Q147" s="444"/>
      <c r="R147" s="444"/>
      <c r="S147" s="444"/>
      <c r="T147" s="444"/>
      <c r="U147" s="444"/>
      <c r="V147" s="517">
        <v>0</v>
      </c>
      <c r="W147" s="558"/>
      <c r="X147" s="406"/>
    </row>
    <row r="148" spans="1:25" x14ac:dyDescent="0.3">
      <c r="A148" s="543"/>
      <c r="B148" s="444" t="s">
        <v>132</v>
      </c>
      <c r="C148" s="444"/>
      <c r="D148" s="444"/>
      <c r="E148" s="444"/>
      <c r="F148" s="444"/>
      <c r="G148" s="444"/>
      <c r="H148" s="444"/>
      <c r="I148" s="444"/>
      <c r="J148" s="444"/>
      <c r="K148" s="444"/>
      <c r="L148" s="444"/>
      <c r="M148" s="444"/>
      <c r="N148" s="444"/>
      <c r="O148" s="444"/>
      <c r="P148" s="444"/>
      <c r="Q148" s="444"/>
      <c r="R148" s="444"/>
      <c r="S148" s="444"/>
      <c r="T148" s="444"/>
      <c r="U148" s="444"/>
      <c r="V148" s="517">
        <v>0</v>
      </c>
      <c r="W148" s="558"/>
      <c r="X148" s="406"/>
    </row>
    <row r="149" spans="1:25" x14ac:dyDescent="0.3">
      <c r="A149" s="543"/>
      <c r="B149" s="444" t="s">
        <v>267</v>
      </c>
      <c r="C149" s="444"/>
      <c r="D149" s="444"/>
      <c r="E149" s="444"/>
      <c r="F149" s="444"/>
      <c r="G149" s="444"/>
      <c r="H149" s="444"/>
      <c r="I149" s="444"/>
      <c r="J149" s="444"/>
      <c r="K149" s="444"/>
      <c r="L149" s="444"/>
      <c r="M149" s="444"/>
      <c r="N149" s="444"/>
      <c r="O149" s="444"/>
      <c r="P149" s="444"/>
      <c r="Q149" s="444"/>
      <c r="R149" s="444"/>
      <c r="S149" s="444"/>
      <c r="T149" s="444"/>
      <c r="U149" s="444"/>
      <c r="V149" s="517">
        <v>0</v>
      </c>
      <c r="W149" s="558"/>
      <c r="X149" s="406"/>
      <c r="Y149" s="559"/>
    </row>
    <row r="150" spans="1:25" x14ac:dyDescent="0.3">
      <c r="A150" s="543"/>
      <c r="B150" s="444" t="s">
        <v>46</v>
      </c>
      <c r="C150" s="444"/>
      <c r="D150" s="444"/>
      <c r="E150" s="444"/>
      <c r="F150" s="444"/>
      <c r="G150" s="444"/>
      <c r="H150" s="444"/>
      <c r="I150" s="444"/>
      <c r="J150" s="444"/>
      <c r="K150" s="444"/>
      <c r="L150" s="444"/>
      <c r="M150" s="444"/>
      <c r="N150" s="444"/>
      <c r="O150" s="444"/>
      <c r="P150" s="444"/>
      <c r="Q150" s="444"/>
      <c r="R150" s="444"/>
      <c r="S150" s="444"/>
      <c r="T150" s="444"/>
      <c r="U150" s="444"/>
      <c r="V150" s="517">
        <f>SUM(V142:V149)</f>
        <v>28504</v>
      </c>
      <c r="W150" s="558"/>
      <c r="X150" s="406"/>
    </row>
    <row r="151" spans="1:25" x14ac:dyDescent="0.3">
      <c r="A151" s="543"/>
      <c r="B151" s="465"/>
      <c r="C151" s="465"/>
      <c r="D151" s="465"/>
      <c r="E151" s="465"/>
      <c r="F151" s="465"/>
      <c r="G151" s="465"/>
      <c r="H151" s="465"/>
      <c r="I151" s="465"/>
      <c r="J151" s="465"/>
      <c r="K151" s="465"/>
      <c r="L151" s="465"/>
      <c r="M151" s="465"/>
      <c r="N151" s="465"/>
      <c r="O151" s="465"/>
      <c r="P151" s="465"/>
      <c r="Q151" s="465"/>
      <c r="R151" s="465"/>
      <c r="S151" s="465"/>
      <c r="T151" s="465"/>
      <c r="U151" s="465"/>
      <c r="V151" s="546"/>
      <c r="W151" s="547"/>
      <c r="X151" s="406"/>
    </row>
    <row r="152" spans="1:25" x14ac:dyDescent="0.3">
      <c r="A152" s="543"/>
      <c r="B152" s="544" t="s">
        <v>268</v>
      </c>
      <c r="C152" s="465"/>
      <c r="D152" s="465"/>
      <c r="E152" s="465"/>
      <c r="F152" s="465"/>
      <c r="G152" s="465"/>
      <c r="H152" s="465"/>
      <c r="I152" s="465"/>
      <c r="J152" s="465"/>
      <c r="K152" s="465"/>
      <c r="L152" s="465"/>
      <c r="M152" s="465"/>
      <c r="N152" s="465"/>
      <c r="O152" s="465"/>
      <c r="P152" s="465"/>
      <c r="Q152" s="465"/>
      <c r="R152" s="465"/>
      <c r="S152" s="465"/>
      <c r="T152" s="465"/>
      <c r="U152" s="465"/>
      <c r="V152" s="546"/>
      <c r="W152" s="547"/>
      <c r="X152" s="406"/>
    </row>
    <row r="153" spans="1:25" x14ac:dyDescent="0.3">
      <c r="A153" s="543"/>
      <c r="B153" s="444" t="s">
        <v>158</v>
      </c>
      <c r="C153" s="444"/>
      <c r="D153" s="444"/>
      <c r="E153" s="444"/>
      <c r="F153" s="444"/>
      <c r="G153" s="444"/>
      <c r="H153" s="444"/>
      <c r="I153" s="444"/>
      <c r="J153" s="444"/>
      <c r="K153" s="444"/>
      <c r="L153" s="444"/>
      <c r="M153" s="444"/>
      <c r="N153" s="444"/>
      <c r="O153" s="444"/>
      <c r="P153" s="444"/>
      <c r="Q153" s="444"/>
      <c r="R153" s="444"/>
      <c r="S153" s="444"/>
      <c r="T153" s="444"/>
      <c r="U153" s="444"/>
      <c r="V153" s="517">
        <v>15000</v>
      </c>
      <c r="W153" s="558"/>
      <c r="X153" s="406"/>
    </row>
    <row r="154" spans="1:25" x14ac:dyDescent="0.3">
      <c r="A154" s="543"/>
      <c r="B154" s="444" t="s">
        <v>175</v>
      </c>
      <c r="C154" s="444"/>
      <c r="D154" s="444"/>
      <c r="E154" s="444"/>
      <c r="F154" s="444"/>
      <c r="G154" s="444"/>
      <c r="H154" s="444"/>
      <c r="I154" s="444"/>
      <c r="J154" s="444"/>
      <c r="K154" s="444"/>
      <c r="L154" s="444"/>
      <c r="M154" s="444"/>
      <c r="N154" s="444"/>
      <c r="O154" s="444"/>
      <c r="P154" s="444"/>
      <c r="Q154" s="444"/>
      <c r="R154" s="444"/>
      <c r="S154" s="444"/>
      <c r="T154" s="444"/>
      <c r="U154" s="444"/>
      <c r="V154" s="517">
        <v>0</v>
      </c>
      <c r="W154" s="558"/>
      <c r="X154" s="406"/>
    </row>
    <row r="155" spans="1:25" x14ac:dyDescent="0.3">
      <c r="A155" s="543"/>
      <c r="B155" s="444" t="s">
        <v>341</v>
      </c>
      <c r="C155" s="444"/>
      <c r="D155" s="444"/>
      <c r="E155" s="444"/>
      <c r="F155" s="444"/>
      <c r="G155" s="444"/>
      <c r="H155" s="444"/>
      <c r="I155" s="444"/>
      <c r="J155" s="444"/>
      <c r="K155" s="444"/>
      <c r="L155" s="444"/>
      <c r="M155" s="444"/>
      <c r="N155" s="444"/>
      <c r="O155" s="444"/>
      <c r="P155" s="444"/>
      <c r="Q155" s="444"/>
      <c r="R155" s="444"/>
      <c r="S155" s="444"/>
      <c r="T155" s="444"/>
      <c r="U155" s="444"/>
      <c r="V155" s="517">
        <v>0</v>
      </c>
      <c r="W155" s="558"/>
      <c r="X155" s="406"/>
    </row>
    <row r="156" spans="1:25" x14ac:dyDescent="0.3">
      <c r="A156" s="543"/>
      <c r="B156" s="465"/>
      <c r="C156" s="465"/>
      <c r="D156" s="465"/>
      <c r="E156" s="465"/>
      <c r="F156" s="465"/>
      <c r="G156" s="465"/>
      <c r="H156" s="465"/>
      <c r="I156" s="465"/>
      <c r="J156" s="465"/>
      <c r="K156" s="465"/>
      <c r="L156" s="465"/>
      <c r="M156" s="465"/>
      <c r="N156" s="465"/>
      <c r="O156" s="465"/>
      <c r="P156" s="465"/>
      <c r="Q156" s="465"/>
      <c r="R156" s="465"/>
      <c r="S156" s="465"/>
      <c r="T156" s="465"/>
      <c r="U156" s="465"/>
      <c r="V156" s="546"/>
      <c r="W156" s="547"/>
      <c r="X156" s="406"/>
    </row>
    <row r="157" spans="1:25" x14ac:dyDescent="0.3">
      <c r="A157" s="408"/>
      <c r="B157" s="518"/>
      <c r="C157" s="518"/>
      <c r="D157" s="518"/>
      <c r="E157" s="518"/>
      <c r="F157" s="518"/>
      <c r="G157" s="518"/>
      <c r="H157" s="518"/>
      <c r="I157" s="518"/>
      <c r="J157" s="518"/>
      <c r="K157" s="518"/>
      <c r="L157" s="518"/>
      <c r="M157" s="518"/>
      <c r="N157" s="518"/>
      <c r="O157" s="518"/>
      <c r="P157" s="518"/>
      <c r="Q157" s="518"/>
      <c r="R157" s="518"/>
      <c r="S157" s="518"/>
      <c r="T157" s="518"/>
      <c r="U157" s="518"/>
      <c r="V157" s="560"/>
      <c r="W157" s="411"/>
      <c r="X157" s="406"/>
    </row>
    <row r="158" spans="1:25" x14ac:dyDescent="0.3">
      <c r="A158" s="408"/>
      <c r="B158" s="557" t="s">
        <v>24</v>
      </c>
      <c r="C158" s="410"/>
      <c r="D158" s="410"/>
      <c r="E158" s="410"/>
      <c r="F158" s="410"/>
      <c r="G158" s="410"/>
      <c r="H158" s="410"/>
      <c r="I158" s="410"/>
      <c r="J158" s="410"/>
      <c r="K158" s="410"/>
      <c r="L158" s="410"/>
      <c r="M158" s="410"/>
      <c r="N158" s="410"/>
      <c r="O158" s="410"/>
      <c r="P158" s="410"/>
      <c r="Q158" s="410"/>
      <c r="R158" s="410"/>
      <c r="S158" s="410"/>
      <c r="T158" s="410"/>
      <c r="U158" s="410"/>
      <c r="V158" s="510"/>
      <c r="W158" s="411"/>
      <c r="X158" s="406"/>
    </row>
    <row r="159" spans="1:25" x14ac:dyDescent="0.3">
      <c r="A159" s="543"/>
      <c r="B159" s="444" t="s">
        <v>47</v>
      </c>
      <c r="C159" s="444"/>
      <c r="D159" s="444"/>
      <c r="E159" s="444"/>
      <c r="F159" s="444"/>
      <c r="G159" s="444"/>
      <c r="H159" s="444"/>
      <c r="I159" s="444"/>
      <c r="J159" s="444"/>
      <c r="K159" s="444"/>
      <c r="L159" s="444"/>
      <c r="M159" s="444"/>
      <c r="N159" s="444"/>
      <c r="O159" s="444"/>
      <c r="P159" s="444"/>
      <c r="Q159" s="444"/>
      <c r="R159" s="444"/>
      <c r="S159" s="444"/>
      <c r="T159" s="444"/>
      <c r="U159" s="444"/>
      <c r="V159" s="561" t="s">
        <v>121</v>
      </c>
      <c r="W159" s="558"/>
      <c r="X159" s="406"/>
    </row>
    <row r="160" spans="1:25" x14ac:dyDescent="0.3">
      <c r="A160" s="543"/>
      <c r="B160" s="444" t="s">
        <v>48</v>
      </c>
      <c r="C160" s="444"/>
      <c r="D160" s="444"/>
      <c r="E160" s="444"/>
      <c r="F160" s="444"/>
      <c r="G160" s="444"/>
      <c r="H160" s="444"/>
      <c r="I160" s="444"/>
      <c r="J160" s="444"/>
      <c r="K160" s="444"/>
      <c r="L160" s="444"/>
      <c r="M160" s="444"/>
      <c r="N160" s="444"/>
      <c r="O160" s="444"/>
      <c r="P160" s="444"/>
      <c r="Q160" s="444"/>
      <c r="R160" s="444"/>
      <c r="S160" s="444"/>
      <c r="T160" s="444"/>
      <c r="U160" s="444"/>
      <c r="V160" s="561" t="s">
        <v>121</v>
      </c>
      <c r="W160" s="558"/>
      <c r="X160" s="406"/>
    </row>
    <row r="161" spans="1:24" x14ac:dyDescent="0.3">
      <c r="A161" s="543"/>
      <c r="B161" s="444" t="s">
        <v>49</v>
      </c>
      <c r="C161" s="444"/>
      <c r="D161" s="444"/>
      <c r="E161" s="444"/>
      <c r="F161" s="444"/>
      <c r="G161" s="444"/>
      <c r="H161" s="444"/>
      <c r="I161" s="444"/>
      <c r="J161" s="444"/>
      <c r="K161" s="444"/>
      <c r="L161" s="444"/>
      <c r="M161" s="444"/>
      <c r="N161" s="444"/>
      <c r="O161" s="444"/>
      <c r="P161" s="444"/>
      <c r="Q161" s="444"/>
      <c r="R161" s="444"/>
      <c r="S161" s="444"/>
      <c r="T161" s="444"/>
      <c r="U161" s="444"/>
      <c r="V161" s="561" t="s">
        <v>121</v>
      </c>
      <c r="W161" s="558"/>
      <c r="X161" s="406"/>
    </row>
    <row r="162" spans="1:24" x14ac:dyDescent="0.3">
      <c r="A162" s="543"/>
      <c r="B162" s="444" t="s">
        <v>50</v>
      </c>
      <c r="C162" s="444"/>
      <c r="D162" s="444"/>
      <c r="E162" s="444"/>
      <c r="F162" s="444"/>
      <c r="G162" s="444"/>
      <c r="H162" s="444"/>
      <c r="I162" s="444"/>
      <c r="J162" s="444"/>
      <c r="K162" s="444"/>
      <c r="L162" s="444"/>
      <c r="M162" s="444"/>
      <c r="N162" s="444"/>
      <c r="O162" s="444"/>
      <c r="P162" s="444"/>
      <c r="Q162" s="444"/>
      <c r="R162" s="444"/>
      <c r="S162" s="444"/>
      <c r="T162" s="444"/>
      <c r="U162" s="444"/>
      <c r="V162" s="561" t="s">
        <v>121</v>
      </c>
      <c r="W162" s="558"/>
      <c r="X162" s="406"/>
    </row>
    <row r="163" spans="1:24" x14ac:dyDescent="0.3">
      <c r="A163" s="408"/>
      <c r="B163" s="518"/>
      <c r="C163" s="518"/>
      <c r="D163" s="518"/>
      <c r="E163" s="518"/>
      <c r="F163" s="518"/>
      <c r="G163" s="518"/>
      <c r="H163" s="518"/>
      <c r="I163" s="518"/>
      <c r="J163" s="518"/>
      <c r="K163" s="518"/>
      <c r="L163" s="518"/>
      <c r="M163" s="518"/>
      <c r="N163" s="518"/>
      <c r="O163" s="518"/>
      <c r="P163" s="518"/>
      <c r="Q163" s="518"/>
      <c r="R163" s="518"/>
      <c r="S163" s="518"/>
      <c r="T163" s="518"/>
      <c r="U163" s="518"/>
      <c r="V163" s="560"/>
      <c r="W163" s="411"/>
      <c r="X163" s="406"/>
    </row>
    <row r="164" spans="1:24" x14ac:dyDescent="0.3">
      <c r="A164" s="408"/>
      <c r="B164" s="557" t="s">
        <v>51</v>
      </c>
      <c r="C164" s="410"/>
      <c r="D164" s="410"/>
      <c r="E164" s="410"/>
      <c r="F164" s="410"/>
      <c r="G164" s="410"/>
      <c r="H164" s="410"/>
      <c r="I164" s="410"/>
      <c r="J164" s="410"/>
      <c r="K164" s="410"/>
      <c r="L164" s="410"/>
      <c r="M164" s="410"/>
      <c r="N164" s="410"/>
      <c r="O164" s="410"/>
      <c r="P164" s="410"/>
      <c r="Q164" s="410"/>
      <c r="R164" s="410"/>
      <c r="S164" s="410"/>
      <c r="T164" s="410"/>
      <c r="U164" s="410"/>
      <c r="V164" s="562"/>
      <c r="W164" s="411"/>
      <c r="X164" s="406"/>
    </row>
    <row r="165" spans="1:24" x14ac:dyDescent="0.3">
      <c r="A165" s="563"/>
      <c r="B165" s="548" t="s">
        <v>52</v>
      </c>
      <c r="C165" s="548"/>
      <c r="D165" s="548"/>
      <c r="E165" s="548"/>
      <c r="F165" s="548"/>
      <c r="G165" s="548"/>
      <c r="H165" s="548"/>
      <c r="I165" s="548"/>
      <c r="J165" s="548"/>
      <c r="K165" s="548"/>
      <c r="L165" s="548"/>
      <c r="M165" s="548"/>
      <c r="N165" s="548"/>
      <c r="O165" s="548"/>
      <c r="P165" s="548"/>
      <c r="Q165" s="548"/>
      <c r="R165" s="548"/>
      <c r="S165" s="548"/>
      <c r="T165" s="548"/>
      <c r="U165" s="548"/>
      <c r="V165" s="564">
        <v>0</v>
      </c>
      <c r="W165" s="565"/>
      <c r="X165" s="406"/>
    </row>
    <row r="166" spans="1:24" x14ac:dyDescent="0.3">
      <c r="A166" s="563"/>
      <c r="B166" s="548" t="s">
        <v>53</v>
      </c>
      <c r="C166" s="548"/>
      <c r="D166" s="548"/>
      <c r="E166" s="548"/>
      <c r="F166" s="548"/>
      <c r="G166" s="548"/>
      <c r="H166" s="548"/>
      <c r="I166" s="548"/>
      <c r="J166" s="548"/>
      <c r="K166" s="548"/>
      <c r="L166" s="548"/>
      <c r="M166" s="548"/>
      <c r="N166" s="548"/>
      <c r="O166" s="548"/>
      <c r="P166" s="548"/>
      <c r="Q166" s="548"/>
      <c r="R166" s="548"/>
      <c r="S166" s="548"/>
      <c r="T166" s="548"/>
      <c r="U166" s="548"/>
      <c r="V166" s="564">
        <v>264</v>
      </c>
      <c r="W166" s="565"/>
      <c r="X166" s="406"/>
    </row>
    <row r="167" spans="1:24" x14ac:dyDescent="0.3">
      <c r="A167" s="563"/>
      <c r="B167" s="548" t="s">
        <v>54</v>
      </c>
      <c r="C167" s="548"/>
      <c r="D167" s="548"/>
      <c r="E167" s="548"/>
      <c r="F167" s="548"/>
      <c r="G167" s="548"/>
      <c r="H167" s="548"/>
      <c r="I167" s="548"/>
      <c r="J167" s="548"/>
      <c r="K167" s="548"/>
      <c r="L167" s="548"/>
      <c r="M167" s="548"/>
      <c r="N167" s="548"/>
      <c r="O167" s="548"/>
      <c r="P167" s="548"/>
      <c r="Q167" s="548"/>
      <c r="R167" s="548"/>
      <c r="S167" s="548"/>
      <c r="T167" s="548"/>
      <c r="U167" s="548"/>
      <c r="V167" s="564">
        <f>V166+V165</f>
        <v>264</v>
      </c>
      <c r="W167" s="565"/>
      <c r="X167" s="406"/>
    </row>
    <row r="168" spans="1:24" x14ac:dyDescent="0.3">
      <c r="A168" s="563"/>
      <c r="B168" s="444" t="s">
        <v>318</v>
      </c>
      <c r="C168" s="548"/>
      <c r="D168" s="548"/>
      <c r="E168" s="548"/>
      <c r="F168" s="548"/>
      <c r="G168" s="548"/>
      <c r="H168" s="548"/>
      <c r="I168" s="548"/>
      <c r="J168" s="548"/>
      <c r="K168" s="548"/>
      <c r="L168" s="548"/>
      <c r="M168" s="548"/>
      <c r="N168" s="548"/>
      <c r="O168" s="548"/>
      <c r="P168" s="548"/>
      <c r="Q168" s="548"/>
      <c r="R168" s="548"/>
      <c r="S168" s="548"/>
      <c r="T168" s="548"/>
      <c r="U168" s="548"/>
      <c r="V168" s="564">
        <f>V114</f>
        <v>-264</v>
      </c>
      <c r="W168" s="565"/>
      <c r="X168" s="406"/>
    </row>
    <row r="169" spans="1:24" x14ac:dyDescent="0.3">
      <c r="A169" s="563"/>
      <c r="B169" s="548" t="s">
        <v>55</v>
      </c>
      <c r="C169" s="548"/>
      <c r="D169" s="548"/>
      <c r="E169" s="548"/>
      <c r="F169" s="548"/>
      <c r="G169" s="548"/>
      <c r="H169" s="548"/>
      <c r="I169" s="548"/>
      <c r="J169" s="548"/>
      <c r="K169" s="548"/>
      <c r="L169" s="548"/>
      <c r="M169" s="548"/>
      <c r="N169" s="548"/>
      <c r="O169" s="548"/>
      <c r="P169" s="548"/>
      <c r="Q169" s="548"/>
      <c r="R169" s="548"/>
      <c r="S169" s="548"/>
      <c r="T169" s="548"/>
      <c r="U169" s="548"/>
      <c r="V169" s="564">
        <f>V167+V168</f>
        <v>0</v>
      </c>
      <c r="W169" s="565"/>
      <c r="X169" s="406"/>
    </row>
    <row r="170" spans="1:24" x14ac:dyDescent="0.3">
      <c r="A170" s="563"/>
      <c r="B170" s="548" t="s">
        <v>288</v>
      </c>
      <c r="C170" s="548"/>
      <c r="D170" s="548"/>
      <c r="E170" s="548"/>
      <c r="F170" s="548"/>
      <c r="G170" s="548"/>
      <c r="H170" s="548"/>
      <c r="I170" s="548"/>
      <c r="J170" s="548"/>
      <c r="K170" s="548"/>
      <c r="L170" s="548"/>
      <c r="M170" s="548"/>
      <c r="N170" s="548"/>
      <c r="O170" s="548"/>
      <c r="P170" s="548"/>
      <c r="Q170" s="548"/>
      <c r="R170" s="548"/>
      <c r="S170" s="548"/>
      <c r="T170" s="548"/>
      <c r="U170" s="548"/>
      <c r="V170" s="564">
        <v>0</v>
      </c>
      <c r="W170" s="565"/>
      <c r="X170" s="406"/>
    </row>
    <row r="171" spans="1:24" ht="16.2" thickBot="1" x14ac:dyDescent="0.35">
      <c r="A171" s="408"/>
      <c r="B171" s="518"/>
      <c r="C171" s="518"/>
      <c r="D171" s="518"/>
      <c r="E171" s="518"/>
      <c r="F171" s="518"/>
      <c r="G171" s="518"/>
      <c r="H171" s="518"/>
      <c r="I171" s="518"/>
      <c r="J171" s="518"/>
      <c r="K171" s="518"/>
      <c r="L171" s="518"/>
      <c r="M171" s="518"/>
      <c r="N171" s="518"/>
      <c r="O171" s="518"/>
      <c r="P171" s="518"/>
      <c r="Q171" s="518"/>
      <c r="R171" s="518"/>
      <c r="S171" s="518"/>
      <c r="T171" s="518"/>
      <c r="U171" s="518"/>
      <c r="V171" s="560"/>
      <c r="W171" s="411"/>
      <c r="X171" s="406"/>
    </row>
    <row r="172" spans="1:24" x14ac:dyDescent="0.3">
      <c r="A172" s="402"/>
      <c r="B172" s="404"/>
      <c r="C172" s="404"/>
      <c r="D172" s="404"/>
      <c r="E172" s="404"/>
      <c r="F172" s="404"/>
      <c r="G172" s="404"/>
      <c r="H172" s="404"/>
      <c r="I172" s="404"/>
      <c r="J172" s="404"/>
      <c r="K172" s="404"/>
      <c r="L172" s="404"/>
      <c r="M172" s="404"/>
      <c r="N172" s="404"/>
      <c r="O172" s="404"/>
      <c r="P172" s="404"/>
      <c r="Q172" s="404"/>
      <c r="R172" s="404"/>
      <c r="S172" s="404"/>
      <c r="T172" s="404"/>
      <c r="U172" s="404"/>
      <c r="V172" s="566"/>
      <c r="W172" s="405"/>
      <c r="X172" s="406"/>
    </row>
    <row r="173" spans="1:24" x14ac:dyDescent="0.3">
      <c r="A173" s="408"/>
      <c r="B173" s="557" t="s">
        <v>56</v>
      </c>
      <c r="C173" s="410"/>
      <c r="D173" s="410"/>
      <c r="E173" s="410"/>
      <c r="F173" s="410"/>
      <c r="G173" s="410"/>
      <c r="H173" s="410"/>
      <c r="I173" s="410"/>
      <c r="J173" s="410"/>
      <c r="K173" s="410"/>
      <c r="L173" s="410"/>
      <c r="M173" s="410"/>
      <c r="N173" s="410"/>
      <c r="O173" s="410"/>
      <c r="P173" s="410"/>
      <c r="Q173" s="410"/>
      <c r="R173" s="410"/>
      <c r="S173" s="410"/>
      <c r="T173" s="410"/>
      <c r="U173" s="410"/>
      <c r="V173" s="510"/>
      <c r="W173" s="411"/>
      <c r="X173" s="406"/>
    </row>
    <row r="174" spans="1:24" x14ac:dyDescent="0.3">
      <c r="A174" s="408"/>
      <c r="B174" s="556"/>
      <c r="C174" s="410"/>
      <c r="D174" s="410"/>
      <c r="E174" s="410"/>
      <c r="F174" s="410"/>
      <c r="G174" s="410"/>
      <c r="H174" s="410"/>
      <c r="I174" s="410"/>
      <c r="J174" s="410"/>
      <c r="K174" s="410"/>
      <c r="L174" s="410"/>
      <c r="M174" s="410"/>
      <c r="N174" s="410"/>
      <c r="O174" s="410"/>
      <c r="P174" s="410"/>
      <c r="Q174" s="410"/>
      <c r="R174" s="410"/>
      <c r="S174" s="410"/>
      <c r="T174" s="410"/>
      <c r="U174" s="410"/>
      <c r="V174" s="510"/>
      <c r="W174" s="411"/>
      <c r="X174" s="406"/>
    </row>
    <row r="175" spans="1:24" x14ac:dyDescent="0.3">
      <c r="A175" s="543"/>
      <c r="B175" s="444" t="s">
        <v>57</v>
      </c>
      <c r="C175" s="444"/>
      <c r="D175" s="444"/>
      <c r="E175" s="444"/>
      <c r="F175" s="444"/>
      <c r="G175" s="444"/>
      <c r="H175" s="444"/>
      <c r="I175" s="444"/>
      <c r="J175" s="444"/>
      <c r="K175" s="444"/>
      <c r="L175" s="444"/>
      <c r="M175" s="444"/>
      <c r="N175" s="444"/>
      <c r="O175" s="444"/>
      <c r="P175" s="444"/>
      <c r="Q175" s="444"/>
      <c r="R175" s="444"/>
      <c r="S175" s="444"/>
      <c r="T175" s="444"/>
      <c r="U175" s="444"/>
      <c r="V175" s="517">
        <f>V70</f>
        <v>750042</v>
      </c>
      <c r="W175" s="558"/>
      <c r="X175" s="406"/>
    </row>
    <row r="176" spans="1:24" x14ac:dyDescent="0.3">
      <c r="A176" s="543"/>
      <c r="B176" s="444" t="s">
        <v>58</v>
      </c>
      <c r="C176" s="444"/>
      <c r="D176" s="444"/>
      <c r="E176" s="444"/>
      <c r="F176" s="444"/>
      <c r="G176" s="444"/>
      <c r="H176" s="444"/>
      <c r="I176" s="444"/>
      <c r="J176" s="444"/>
      <c r="K176" s="444"/>
      <c r="L176" s="444"/>
      <c r="M176" s="444"/>
      <c r="N176" s="444"/>
      <c r="O176" s="444"/>
      <c r="P176" s="444"/>
      <c r="Q176" s="444"/>
      <c r="R176" s="444"/>
      <c r="S176" s="444"/>
      <c r="T176" s="444"/>
      <c r="U176" s="444"/>
      <c r="V176" s="517">
        <f>V83</f>
        <v>750042</v>
      </c>
      <c r="W176" s="558"/>
      <c r="X176" s="406"/>
    </row>
    <row r="177" spans="1:24" ht="16.2" thickBot="1" x14ac:dyDescent="0.35">
      <c r="A177" s="408"/>
      <c r="B177" s="518"/>
      <c r="C177" s="518"/>
      <c r="D177" s="518"/>
      <c r="E177" s="518"/>
      <c r="F177" s="518"/>
      <c r="G177" s="518"/>
      <c r="H177" s="518"/>
      <c r="I177" s="518"/>
      <c r="J177" s="518"/>
      <c r="K177" s="518"/>
      <c r="L177" s="518"/>
      <c r="M177" s="518"/>
      <c r="N177" s="518"/>
      <c r="O177" s="518"/>
      <c r="P177" s="518"/>
      <c r="Q177" s="518"/>
      <c r="R177" s="518"/>
      <c r="S177" s="518"/>
      <c r="T177" s="518"/>
      <c r="U177" s="518"/>
      <c r="V177" s="560"/>
      <c r="W177" s="411"/>
      <c r="X177" s="406"/>
    </row>
    <row r="178" spans="1:24" x14ac:dyDescent="0.3">
      <c r="A178" s="402"/>
      <c r="B178" s="404"/>
      <c r="C178" s="404"/>
      <c r="D178" s="404"/>
      <c r="E178" s="404"/>
      <c r="F178" s="404"/>
      <c r="G178" s="404"/>
      <c r="H178" s="404"/>
      <c r="I178" s="404"/>
      <c r="J178" s="404"/>
      <c r="K178" s="404"/>
      <c r="L178" s="404"/>
      <c r="M178" s="404"/>
      <c r="N178" s="404"/>
      <c r="O178" s="404"/>
      <c r="P178" s="404"/>
      <c r="Q178" s="404"/>
      <c r="R178" s="404"/>
      <c r="S178" s="404"/>
      <c r="T178" s="404"/>
      <c r="U178" s="404"/>
      <c r="V178" s="566"/>
      <c r="W178" s="405"/>
      <c r="X178" s="406"/>
    </row>
    <row r="179" spans="1:24" s="473" customFormat="1" x14ac:dyDescent="0.3">
      <c r="A179" s="511"/>
      <c r="B179" s="557" t="s">
        <v>59</v>
      </c>
      <c r="C179" s="567"/>
      <c r="D179" s="567"/>
      <c r="E179" s="567"/>
      <c r="F179" s="567"/>
      <c r="G179" s="567"/>
      <c r="H179" s="568"/>
      <c r="I179" s="568"/>
      <c r="J179" s="568"/>
      <c r="K179" s="568"/>
      <c r="L179" s="568"/>
      <c r="M179" s="568"/>
      <c r="N179" s="568"/>
      <c r="O179" s="568"/>
      <c r="P179" s="568"/>
      <c r="Q179" s="568"/>
      <c r="R179" s="568"/>
      <c r="S179" s="568" t="s">
        <v>102</v>
      </c>
      <c r="T179" s="568" t="s">
        <v>179</v>
      </c>
      <c r="U179" s="413"/>
      <c r="V179" s="569" t="s">
        <v>117</v>
      </c>
      <c r="W179" s="570"/>
      <c r="X179" s="472"/>
    </row>
    <row r="180" spans="1:24" s="426" customFormat="1" x14ac:dyDescent="0.3">
      <c r="A180" s="443"/>
      <c r="B180" s="444" t="s">
        <v>60</v>
      </c>
      <c r="C180" s="444"/>
      <c r="D180" s="444"/>
      <c r="E180" s="444"/>
      <c r="F180" s="444"/>
      <c r="G180" s="444"/>
      <c r="H180" s="444"/>
      <c r="I180" s="444"/>
      <c r="J180" s="444"/>
      <c r="K180" s="444"/>
      <c r="L180" s="444"/>
      <c r="M180" s="444"/>
      <c r="N180" s="444"/>
      <c r="O180" s="444"/>
      <c r="P180" s="444"/>
      <c r="Q180" s="444"/>
      <c r="R180" s="444"/>
      <c r="S180" s="517">
        <f>+V34*0.16</f>
        <v>240030.4</v>
      </c>
      <c r="T180" s="482"/>
      <c r="U180" s="444"/>
      <c r="V180" s="517"/>
      <c r="W180" s="446"/>
      <c r="X180" s="425"/>
    </row>
    <row r="181" spans="1:24" s="426" customFormat="1" x14ac:dyDescent="0.3">
      <c r="A181" s="443"/>
      <c r="B181" s="444" t="s">
        <v>61</v>
      </c>
      <c r="C181" s="444"/>
      <c r="D181" s="444"/>
      <c r="E181" s="444"/>
      <c r="F181" s="444"/>
      <c r="G181" s="444"/>
      <c r="H181" s="444"/>
      <c r="I181" s="444"/>
      <c r="J181" s="444"/>
      <c r="K181" s="444"/>
      <c r="L181" s="444"/>
      <c r="M181" s="444"/>
      <c r="N181" s="444"/>
      <c r="O181" s="444"/>
      <c r="P181" s="444"/>
      <c r="Q181" s="444"/>
      <c r="R181" s="444"/>
      <c r="S181" s="517">
        <f>+'June 18'!S183</f>
        <v>55502</v>
      </c>
      <c r="T181" s="517">
        <f>+'June 18'!T183</f>
        <v>9760</v>
      </c>
      <c r="U181" s="444"/>
      <c r="V181" s="517">
        <f>S181+T181</f>
        <v>65262</v>
      </c>
      <c r="W181" s="446"/>
      <c r="X181" s="425"/>
    </row>
    <row r="182" spans="1:24" s="426" customFormat="1" x14ac:dyDescent="0.3">
      <c r="A182" s="443"/>
      <c r="B182" s="444" t="s">
        <v>62</v>
      </c>
      <c r="C182" s="444"/>
      <c r="D182" s="444"/>
      <c r="E182" s="444"/>
      <c r="F182" s="444"/>
      <c r="G182" s="444"/>
      <c r="H182" s="444"/>
      <c r="I182" s="444"/>
      <c r="J182" s="444"/>
      <c r="K182" s="444"/>
      <c r="L182" s="444"/>
      <c r="M182" s="444"/>
      <c r="N182" s="444"/>
      <c r="O182" s="444"/>
      <c r="P182" s="444"/>
      <c r="Q182" s="444"/>
      <c r="R182" s="444"/>
      <c r="S182" s="516">
        <f>258+62</f>
        <v>320</v>
      </c>
      <c r="T182" s="516">
        <v>0</v>
      </c>
      <c r="U182" s="444"/>
      <c r="V182" s="517">
        <f>S182+T182</f>
        <v>320</v>
      </c>
      <c r="W182" s="446"/>
      <c r="X182" s="425"/>
    </row>
    <row r="183" spans="1:24" s="426" customFormat="1" x14ac:dyDescent="0.3">
      <c r="A183" s="443"/>
      <c r="B183" s="444" t="s">
        <v>63</v>
      </c>
      <c r="C183" s="444"/>
      <c r="D183" s="444"/>
      <c r="E183" s="444"/>
      <c r="F183" s="444"/>
      <c r="G183" s="444"/>
      <c r="H183" s="444"/>
      <c r="I183" s="444"/>
      <c r="J183" s="444"/>
      <c r="K183" s="444"/>
      <c r="L183" s="444"/>
      <c r="M183" s="444"/>
      <c r="N183" s="444"/>
      <c r="O183" s="444"/>
      <c r="P183" s="444"/>
      <c r="Q183" s="444"/>
      <c r="R183" s="444"/>
      <c r="S183" s="517">
        <f>+S181+S182</f>
        <v>55822</v>
      </c>
      <c r="T183" s="517">
        <f>T182+T181</f>
        <v>9760</v>
      </c>
      <c r="U183" s="444"/>
      <c r="V183" s="517">
        <f>S183+T183</f>
        <v>65582</v>
      </c>
      <c r="W183" s="446"/>
      <c r="X183" s="425"/>
    </row>
    <row r="184" spans="1:24" s="426" customFormat="1" x14ac:dyDescent="0.3">
      <c r="A184" s="443"/>
      <c r="B184" s="444" t="s">
        <v>64</v>
      </c>
      <c r="C184" s="444"/>
      <c r="D184" s="444"/>
      <c r="E184" s="444"/>
      <c r="F184" s="444"/>
      <c r="G184" s="444"/>
      <c r="H184" s="444"/>
      <c r="I184" s="444"/>
      <c r="J184" s="444"/>
      <c r="K184" s="444"/>
      <c r="L184" s="444"/>
      <c r="M184" s="444"/>
      <c r="N184" s="444"/>
      <c r="O184" s="444"/>
      <c r="P184" s="444"/>
      <c r="Q184" s="444"/>
      <c r="R184" s="444"/>
      <c r="S184" s="517">
        <f>S180-S183-T183</f>
        <v>174448.4</v>
      </c>
      <c r="T184" s="482"/>
      <c r="U184" s="444"/>
      <c r="V184" s="517"/>
      <c r="W184" s="446"/>
      <c r="X184" s="425"/>
    </row>
    <row r="185" spans="1:24" ht="16.2" thickBot="1" x14ac:dyDescent="0.35">
      <c r="A185" s="408"/>
      <c r="B185" s="518"/>
      <c r="C185" s="518"/>
      <c r="D185" s="518"/>
      <c r="E185" s="518"/>
      <c r="F185" s="518"/>
      <c r="G185" s="518"/>
      <c r="H185" s="518"/>
      <c r="I185" s="518"/>
      <c r="J185" s="518"/>
      <c r="K185" s="518"/>
      <c r="L185" s="518"/>
      <c r="M185" s="518"/>
      <c r="N185" s="518"/>
      <c r="O185" s="518"/>
      <c r="P185" s="518"/>
      <c r="Q185" s="518"/>
      <c r="R185" s="518"/>
      <c r="S185" s="518"/>
      <c r="T185" s="518"/>
      <c r="U185" s="518"/>
      <c r="V185" s="560"/>
      <c r="W185" s="411"/>
      <c r="X185" s="406"/>
    </row>
    <row r="186" spans="1:24" x14ac:dyDescent="0.3">
      <c r="A186" s="402"/>
      <c r="B186" s="404"/>
      <c r="C186" s="404"/>
      <c r="D186" s="404"/>
      <c r="E186" s="404"/>
      <c r="F186" s="404"/>
      <c r="G186" s="404"/>
      <c r="H186" s="404"/>
      <c r="I186" s="404"/>
      <c r="J186" s="404"/>
      <c r="K186" s="404"/>
      <c r="L186" s="404"/>
      <c r="M186" s="404"/>
      <c r="N186" s="404"/>
      <c r="O186" s="404"/>
      <c r="P186" s="404"/>
      <c r="Q186" s="404"/>
      <c r="R186" s="404"/>
      <c r="S186" s="404"/>
      <c r="T186" s="404"/>
      <c r="U186" s="404"/>
      <c r="V186" s="566"/>
      <c r="W186" s="405"/>
      <c r="X186" s="406"/>
    </row>
    <row r="187" spans="1:24" x14ac:dyDescent="0.3">
      <c r="A187" s="408"/>
      <c r="B187" s="557" t="s">
        <v>65</v>
      </c>
      <c r="C187" s="410"/>
      <c r="D187" s="410"/>
      <c r="E187" s="410"/>
      <c r="F187" s="410"/>
      <c r="G187" s="410"/>
      <c r="H187" s="410"/>
      <c r="I187" s="410"/>
      <c r="J187" s="410"/>
      <c r="K187" s="410"/>
      <c r="L187" s="410"/>
      <c r="M187" s="410"/>
      <c r="N187" s="410"/>
      <c r="O187" s="410"/>
      <c r="P187" s="410"/>
      <c r="Q187" s="410"/>
      <c r="R187" s="410"/>
      <c r="S187" s="410"/>
      <c r="T187" s="410"/>
      <c r="U187" s="410"/>
      <c r="V187" s="571"/>
      <c r="W187" s="411"/>
      <c r="X187" s="406"/>
    </row>
    <row r="188" spans="1:24" s="426" customFormat="1" x14ac:dyDescent="0.3">
      <c r="A188" s="443"/>
      <c r="B188" s="444" t="s">
        <v>66</v>
      </c>
      <c r="C188" s="444"/>
      <c r="D188" s="444"/>
      <c r="E188" s="444"/>
      <c r="F188" s="444"/>
      <c r="G188" s="444"/>
      <c r="H188" s="444"/>
      <c r="I188" s="444"/>
      <c r="J188" s="444"/>
      <c r="K188" s="444"/>
      <c r="L188" s="444"/>
      <c r="M188" s="444"/>
      <c r="N188" s="444"/>
      <c r="O188" s="444"/>
      <c r="P188" s="444"/>
      <c r="Q188" s="444"/>
      <c r="R188" s="444"/>
      <c r="S188" s="444"/>
      <c r="T188" s="444"/>
      <c r="U188" s="444"/>
      <c r="V188" s="561">
        <f>(V99+V101+V102+V103+V104)/-(V105+V106)</f>
        <v>3.5787292817679557</v>
      </c>
      <c r="W188" s="446" t="s">
        <v>118</v>
      </c>
      <c r="X188" s="425"/>
    </row>
    <row r="189" spans="1:24" s="426" customFormat="1" x14ac:dyDescent="0.3">
      <c r="A189" s="443"/>
      <c r="B189" s="444" t="s">
        <v>67</v>
      </c>
      <c r="C189" s="444"/>
      <c r="D189" s="444"/>
      <c r="E189" s="444"/>
      <c r="F189" s="444"/>
      <c r="G189" s="444"/>
      <c r="H189" s="444"/>
      <c r="I189" s="444"/>
      <c r="J189" s="444"/>
      <c r="K189" s="444"/>
      <c r="L189" s="444"/>
      <c r="M189" s="444"/>
      <c r="N189" s="444"/>
      <c r="O189" s="444"/>
      <c r="P189" s="444"/>
      <c r="Q189" s="444"/>
      <c r="R189" s="444"/>
      <c r="S189" s="444"/>
      <c r="T189" s="444"/>
      <c r="U189" s="444"/>
      <c r="V189" s="572">
        <v>1.94</v>
      </c>
      <c r="W189" s="446" t="s">
        <v>118</v>
      </c>
      <c r="X189" s="425"/>
    </row>
    <row r="190" spans="1:24" s="426" customFormat="1" x14ac:dyDescent="0.3">
      <c r="A190" s="443"/>
      <c r="B190" s="444" t="s">
        <v>68</v>
      </c>
      <c r="C190" s="444"/>
      <c r="D190" s="444"/>
      <c r="E190" s="444"/>
      <c r="F190" s="444"/>
      <c r="G190" s="444"/>
      <c r="H190" s="444"/>
      <c r="I190" s="444"/>
      <c r="J190" s="444"/>
      <c r="K190" s="444"/>
      <c r="L190" s="444"/>
      <c r="M190" s="444"/>
      <c r="N190" s="444"/>
      <c r="O190" s="444"/>
      <c r="P190" s="444"/>
      <c r="Q190" s="444"/>
      <c r="R190" s="444"/>
      <c r="S190" s="444"/>
      <c r="T190" s="444"/>
      <c r="U190" s="444"/>
      <c r="V190" s="561">
        <f>(V99+V101+V102+V103+V104+V105+V106)/-(V108+V109)</f>
        <v>11.45398773006135</v>
      </c>
      <c r="W190" s="446" t="s">
        <v>118</v>
      </c>
      <c r="X190" s="425"/>
    </row>
    <row r="191" spans="1:24" s="426" customFormat="1" x14ac:dyDescent="0.3">
      <c r="A191" s="443"/>
      <c r="B191" s="444" t="s">
        <v>69</v>
      </c>
      <c r="C191" s="444"/>
      <c r="D191" s="444"/>
      <c r="E191" s="444"/>
      <c r="F191" s="444"/>
      <c r="G191" s="444"/>
      <c r="H191" s="444"/>
      <c r="I191" s="444"/>
      <c r="J191" s="444"/>
      <c r="K191" s="444"/>
      <c r="L191" s="444"/>
      <c r="M191" s="444"/>
      <c r="N191" s="444"/>
      <c r="O191" s="444"/>
      <c r="P191" s="444"/>
      <c r="Q191" s="444"/>
      <c r="R191" s="444"/>
      <c r="S191" s="444"/>
      <c r="T191" s="444"/>
      <c r="U191" s="444"/>
      <c r="V191" s="572">
        <v>7.96</v>
      </c>
      <c r="W191" s="446" t="s">
        <v>118</v>
      </c>
      <c r="X191" s="425"/>
    </row>
    <row r="192" spans="1:24" s="426" customFormat="1" x14ac:dyDescent="0.3">
      <c r="A192" s="443"/>
      <c r="B192" s="444" t="s">
        <v>201</v>
      </c>
      <c r="C192" s="444"/>
      <c r="D192" s="444"/>
      <c r="E192" s="444"/>
      <c r="F192" s="444"/>
      <c r="G192" s="444"/>
      <c r="H192" s="444"/>
      <c r="I192" s="444"/>
      <c r="J192" s="444"/>
      <c r="K192" s="444"/>
      <c r="L192" s="444"/>
      <c r="M192" s="444"/>
      <c r="N192" s="444"/>
      <c r="O192" s="444"/>
      <c r="P192" s="444"/>
      <c r="Q192" s="444"/>
      <c r="R192" s="444"/>
      <c r="S192" s="444"/>
      <c r="T192" s="444"/>
      <c r="U192" s="444"/>
      <c r="V192" s="561">
        <f>(V99+V101+V102+V103+V104+V105+V106+V108+V109)/-(V110+V111)</f>
        <v>12.81203007518797</v>
      </c>
      <c r="W192" s="446" t="s">
        <v>118</v>
      </c>
      <c r="X192" s="425"/>
    </row>
    <row r="193" spans="1:24" s="426" customFormat="1" x14ac:dyDescent="0.3">
      <c r="A193" s="443"/>
      <c r="B193" s="444" t="s">
        <v>202</v>
      </c>
      <c r="C193" s="444"/>
      <c r="D193" s="444"/>
      <c r="E193" s="444"/>
      <c r="F193" s="444"/>
      <c r="G193" s="444"/>
      <c r="H193" s="444"/>
      <c r="I193" s="444"/>
      <c r="J193" s="444"/>
      <c r="K193" s="444"/>
      <c r="L193" s="444"/>
      <c r="M193" s="444"/>
      <c r="N193" s="444"/>
      <c r="O193" s="444"/>
      <c r="P193" s="444"/>
      <c r="Q193" s="444"/>
      <c r="R193" s="444"/>
      <c r="S193" s="444"/>
      <c r="T193" s="444"/>
      <c r="U193" s="444"/>
      <c r="V193" s="572">
        <v>9.93</v>
      </c>
      <c r="W193" s="446" t="s">
        <v>118</v>
      </c>
      <c r="X193" s="425"/>
    </row>
    <row r="194" spans="1:24" x14ac:dyDescent="0.3">
      <c r="A194" s="543"/>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547"/>
      <c r="X194" s="406"/>
    </row>
    <row r="195" spans="1:24" x14ac:dyDescent="0.3">
      <c r="A195" s="408"/>
      <c r="B195" s="518"/>
      <c r="C195" s="518"/>
      <c r="D195" s="518"/>
      <c r="E195" s="518"/>
      <c r="F195" s="518"/>
      <c r="G195" s="518"/>
      <c r="H195" s="518"/>
      <c r="I195" s="518"/>
      <c r="J195" s="518"/>
      <c r="K195" s="518"/>
      <c r="L195" s="518"/>
      <c r="M195" s="518"/>
      <c r="N195" s="518"/>
      <c r="O195" s="518"/>
      <c r="P195" s="518"/>
      <c r="Q195" s="518"/>
      <c r="R195" s="518"/>
      <c r="S195" s="518"/>
      <c r="T195" s="518"/>
      <c r="U195" s="518"/>
      <c r="V195" s="518"/>
      <c r="W195" s="411"/>
      <c r="X195" s="406"/>
    </row>
    <row r="196" spans="1:24" x14ac:dyDescent="0.3">
      <c r="A196" s="408"/>
      <c r="B196" s="410"/>
      <c r="C196" s="410"/>
      <c r="D196" s="410"/>
      <c r="E196" s="410"/>
      <c r="F196" s="410"/>
      <c r="G196" s="410"/>
      <c r="H196" s="410"/>
      <c r="I196" s="410"/>
      <c r="J196" s="410"/>
      <c r="K196" s="410"/>
      <c r="L196" s="410"/>
      <c r="M196" s="410"/>
      <c r="N196" s="410"/>
      <c r="O196" s="410"/>
      <c r="P196" s="410"/>
      <c r="Q196" s="410"/>
      <c r="R196" s="410"/>
      <c r="S196" s="410"/>
      <c r="T196" s="410"/>
      <c r="U196" s="410"/>
      <c r="V196" s="410"/>
      <c r="W196" s="411"/>
      <c r="X196" s="406"/>
    </row>
    <row r="197" spans="1:24" ht="18.600000000000001" thickBot="1" x14ac:dyDescent="0.4">
      <c r="A197" s="573"/>
      <c r="B197" s="501" t="str">
        <f>B137</f>
        <v>PM13 INVESTOR REPORT QUARTER ENDING SEPTEMBER 2018</v>
      </c>
      <c r="C197" s="574"/>
      <c r="D197" s="574"/>
      <c r="E197" s="574"/>
      <c r="F197" s="574"/>
      <c r="G197" s="574"/>
      <c r="H197" s="574"/>
      <c r="I197" s="574"/>
      <c r="J197" s="574"/>
      <c r="K197" s="574"/>
      <c r="L197" s="574"/>
      <c r="M197" s="574"/>
      <c r="N197" s="574"/>
      <c r="O197" s="574"/>
      <c r="P197" s="574"/>
      <c r="Q197" s="574"/>
      <c r="R197" s="574"/>
      <c r="S197" s="574"/>
      <c r="T197" s="574"/>
      <c r="U197" s="574"/>
      <c r="V197" s="574"/>
      <c r="W197" s="575"/>
      <c r="X197" s="406"/>
    </row>
    <row r="198" spans="1:24" x14ac:dyDescent="0.3">
      <c r="A198" s="505"/>
      <c r="B198" s="506" t="s">
        <v>70</v>
      </c>
      <c r="C198" s="576"/>
      <c r="D198" s="576"/>
      <c r="E198" s="576"/>
      <c r="F198" s="576"/>
      <c r="G198" s="577"/>
      <c r="H198" s="577"/>
      <c r="I198" s="577"/>
      <c r="J198" s="577"/>
      <c r="K198" s="577"/>
      <c r="L198" s="577"/>
      <c r="M198" s="577"/>
      <c r="N198" s="577"/>
      <c r="O198" s="577"/>
      <c r="P198" s="577"/>
      <c r="Q198" s="577"/>
      <c r="R198" s="577"/>
      <c r="S198" s="577"/>
      <c r="T198" s="577">
        <v>43371</v>
      </c>
      <c r="U198" s="507"/>
      <c r="V198" s="507"/>
      <c r="W198" s="509"/>
      <c r="X198" s="406"/>
    </row>
    <row r="199" spans="1:24" x14ac:dyDescent="0.3">
      <c r="A199" s="578"/>
      <c r="B199" s="579"/>
      <c r="C199" s="580"/>
      <c r="D199" s="580"/>
      <c r="E199" s="580"/>
      <c r="F199" s="580"/>
      <c r="G199" s="581"/>
      <c r="H199" s="581"/>
      <c r="I199" s="581"/>
      <c r="J199" s="581"/>
      <c r="K199" s="581"/>
      <c r="L199" s="581"/>
      <c r="M199" s="581"/>
      <c r="N199" s="581"/>
      <c r="O199" s="581"/>
      <c r="P199" s="581"/>
      <c r="Q199" s="581"/>
      <c r="R199" s="581"/>
      <c r="S199" s="581"/>
      <c r="T199" s="581"/>
      <c r="U199" s="410"/>
      <c r="V199" s="410"/>
      <c r="W199" s="411"/>
      <c r="X199" s="406"/>
    </row>
    <row r="200" spans="1:24" s="426" customFormat="1" x14ac:dyDescent="0.3">
      <c r="A200" s="443"/>
      <c r="B200" s="444" t="s">
        <v>71</v>
      </c>
      <c r="C200" s="582"/>
      <c r="D200" s="582"/>
      <c r="E200" s="582"/>
      <c r="F200" s="582"/>
      <c r="G200" s="488"/>
      <c r="H200" s="488"/>
      <c r="I200" s="488"/>
      <c r="J200" s="488"/>
      <c r="K200" s="488"/>
      <c r="L200" s="488"/>
      <c r="M200" s="488"/>
      <c r="N200" s="488"/>
      <c r="O200" s="488"/>
      <c r="P200" s="488"/>
      <c r="Q200" s="488"/>
      <c r="R200" s="488"/>
      <c r="S200" s="488"/>
      <c r="T200" s="479">
        <v>5.4539999999999998E-2</v>
      </c>
      <c r="U200" s="444"/>
      <c r="V200" s="444"/>
      <c r="W200" s="446"/>
      <c r="X200" s="425"/>
    </row>
    <row r="201" spans="1:24" s="426" customFormat="1" x14ac:dyDescent="0.3">
      <c r="A201" s="443"/>
      <c r="B201" s="444" t="s">
        <v>154</v>
      </c>
      <c r="C201" s="582"/>
      <c r="D201" s="582"/>
      <c r="E201" s="582"/>
      <c r="F201" s="582"/>
      <c r="G201" s="488"/>
      <c r="H201" s="488"/>
      <c r="I201" s="488"/>
      <c r="J201" s="488"/>
      <c r="K201" s="488"/>
      <c r="L201" s="488"/>
      <c r="M201" s="488"/>
      <c r="N201" s="488"/>
      <c r="O201" s="488"/>
      <c r="P201" s="488"/>
      <c r="Q201" s="488"/>
      <c r="R201" s="488"/>
      <c r="S201" s="488"/>
      <c r="T201" s="479">
        <f>'Dec 06'!T199</f>
        <v>5.238600504269459E-2</v>
      </c>
      <c r="U201" s="444"/>
      <c r="V201" s="444"/>
      <c r="W201" s="446"/>
      <c r="X201" s="425"/>
    </row>
    <row r="202" spans="1:24" s="426" customFormat="1" x14ac:dyDescent="0.3">
      <c r="A202" s="443"/>
      <c r="B202" s="444" t="s">
        <v>72</v>
      </c>
      <c r="C202" s="582"/>
      <c r="D202" s="582"/>
      <c r="E202" s="582"/>
      <c r="F202" s="582"/>
      <c r="G202" s="488"/>
      <c r="H202" s="488"/>
      <c r="I202" s="488"/>
      <c r="J202" s="488"/>
      <c r="K202" s="488"/>
      <c r="L202" s="488"/>
      <c r="M202" s="488"/>
      <c r="N202" s="488"/>
      <c r="O202" s="488"/>
      <c r="P202" s="488"/>
      <c r="Q202" s="488"/>
      <c r="R202" s="488"/>
      <c r="S202" s="488"/>
      <c r="T202" s="479">
        <f>+T200-T201</f>
        <v>2.1539949573054079E-3</v>
      </c>
      <c r="U202" s="444"/>
      <c r="V202" s="444"/>
      <c r="W202" s="446"/>
      <c r="X202" s="425"/>
    </row>
    <row r="203" spans="1:24" s="426" customFormat="1" x14ac:dyDescent="0.3">
      <c r="A203" s="443"/>
      <c r="B203" s="444" t="s">
        <v>73</v>
      </c>
      <c r="C203" s="582"/>
      <c r="D203" s="582"/>
      <c r="E203" s="582"/>
      <c r="F203" s="582"/>
      <c r="G203" s="488"/>
      <c r="H203" s="488"/>
      <c r="I203" s="488"/>
      <c r="J203" s="488"/>
      <c r="K203" s="488"/>
      <c r="L203" s="488"/>
      <c r="M203" s="488"/>
      <c r="N203" s="488"/>
      <c r="O203" s="488"/>
      <c r="P203" s="488"/>
      <c r="Q203" s="488"/>
      <c r="R203" s="488"/>
      <c r="S203" s="488"/>
      <c r="T203" s="479">
        <v>2.486E-2</v>
      </c>
      <c r="U203" s="444"/>
      <c r="V203" s="444"/>
      <c r="W203" s="446"/>
      <c r="X203" s="425"/>
    </row>
    <row r="204" spans="1:24" s="426" customFormat="1" x14ac:dyDescent="0.3">
      <c r="A204" s="443"/>
      <c r="B204" s="444" t="s">
        <v>222</v>
      </c>
      <c r="C204" s="582"/>
      <c r="D204" s="582"/>
      <c r="E204" s="582"/>
      <c r="F204" s="582"/>
      <c r="G204" s="488"/>
      <c r="H204" s="488"/>
      <c r="I204" s="488"/>
      <c r="J204" s="488"/>
      <c r="K204" s="488"/>
      <c r="L204" s="488"/>
      <c r="M204" s="488"/>
      <c r="N204" s="488"/>
      <c r="O204" s="488"/>
      <c r="P204" s="488"/>
      <c r="Q204" s="488"/>
      <c r="R204" s="488"/>
      <c r="S204" s="488"/>
      <c r="T204" s="479">
        <f>V43</f>
        <v>1.07421780384514E-2</v>
      </c>
      <c r="U204" s="444"/>
      <c r="V204" s="444"/>
      <c r="W204" s="446"/>
      <c r="X204" s="425"/>
    </row>
    <row r="205" spans="1:24" s="426" customFormat="1" x14ac:dyDescent="0.3">
      <c r="A205" s="443"/>
      <c r="B205" s="444" t="s">
        <v>74</v>
      </c>
      <c r="C205" s="582"/>
      <c r="D205" s="582"/>
      <c r="E205" s="582"/>
      <c r="F205" s="582"/>
      <c r="G205" s="488"/>
      <c r="H205" s="488"/>
      <c r="I205" s="488"/>
      <c r="J205" s="488"/>
      <c r="K205" s="488"/>
      <c r="L205" s="488"/>
      <c r="M205" s="488"/>
      <c r="N205" s="488"/>
      <c r="O205" s="488"/>
      <c r="P205" s="488"/>
      <c r="Q205" s="488"/>
      <c r="R205" s="488"/>
      <c r="S205" s="488"/>
      <c r="T205" s="479">
        <f>T203-T204</f>
        <v>1.41178219615486E-2</v>
      </c>
      <c r="U205" s="444"/>
      <c r="V205" s="444"/>
      <c r="W205" s="446"/>
      <c r="X205" s="425"/>
    </row>
    <row r="206" spans="1:24" s="426" customFormat="1" x14ac:dyDescent="0.3">
      <c r="A206" s="443"/>
      <c r="B206" s="444" t="s">
        <v>274</v>
      </c>
      <c r="C206" s="582"/>
      <c r="D206" s="582"/>
      <c r="E206" s="582"/>
      <c r="F206" s="582"/>
      <c r="G206" s="488"/>
      <c r="H206" s="488"/>
      <c r="I206" s="488"/>
      <c r="J206" s="488"/>
      <c r="K206" s="488"/>
      <c r="L206" s="488"/>
      <c r="M206" s="488"/>
      <c r="N206" s="488"/>
      <c r="O206" s="488"/>
      <c r="P206" s="488"/>
      <c r="Q206" s="488"/>
      <c r="R206" s="488"/>
      <c r="S206" s="488"/>
      <c r="T206" s="479">
        <f>+V99/N70</f>
        <v>7.3856445963757043E-3</v>
      </c>
      <c r="U206" s="444"/>
      <c r="V206" s="444"/>
      <c r="W206" s="446"/>
      <c r="X206" s="425"/>
    </row>
    <row r="207" spans="1:24" s="426" customFormat="1" x14ac:dyDescent="0.3">
      <c r="A207" s="443"/>
      <c r="B207" s="444" t="s">
        <v>211</v>
      </c>
      <c r="C207" s="582"/>
      <c r="D207" s="582"/>
      <c r="E207" s="582"/>
      <c r="F207" s="582"/>
      <c r="G207" s="488"/>
      <c r="H207" s="488"/>
      <c r="I207" s="488"/>
      <c r="J207" s="488"/>
      <c r="K207" s="488"/>
      <c r="L207" s="488"/>
      <c r="M207" s="488"/>
      <c r="N207" s="488"/>
      <c r="O207" s="488"/>
      <c r="P207" s="488"/>
      <c r="Q207" s="488"/>
      <c r="R207" s="488"/>
      <c r="S207" s="488"/>
      <c r="T207" s="583">
        <v>50771</v>
      </c>
      <c r="U207" s="444"/>
      <c r="V207" s="444"/>
      <c r="W207" s="446"/>
      <c r="X207" s="425"/>
    </row>
    <row r="208" spans="1:24" s="426" customFormat="1" x14ac:dyDescent="0.3">
      <c r="A208" s="443"/>
      <c r="B208" s="444" t="s">
        <v>212</v>
      </c>
      <c r="C208" s="582"/>
      <c r="D208" s="582"/>
      <c r="E208" s="582"/>
      <c r="F208" s="582"/>
      <c r="G208" s="488"/>
      <c r="H208" s="488"/>
      <c r="I208" s="488"/>
      <c r="J208" s="488"/>
      <c r="K208" s="488"/>
      <c r="L208" s="488"/>
      <c r="M208" s="488"/>
      <c r="N208" s="488"/>
      <c r="O208" s="488"/>
      <c r="P208" s="488"/>
      <c r="Q208" s="488"/>
      <c r="R208" s="488"/>
      <c r="S208" s="488"/>
      <c r="T208" s="583">
        <v>50771</v>
      </c>
      <c r="U208" s="444"/>
      <c r="V208" s="444"/>
      <c r="W208" s="446"/>
      <c r="X208" s="425"/>
    </row>
    <row r="209" spans="1:24" s="426" customFormat="1" x14ac:dyDescent="0.3">
      <c r="A209" s="443"/>
      <c r="B209" s="444" t="s">
        <v>213</v>
      </c>
      <c r="C209" s="582"/>
      <c r="D209" s="582"/>
      <c r="E209" s="582"/>
      <c r="F209" s="582"/>
      <c r="G209" s="488"/>
      <c r="H209" s="488"/>
      <c r="I209" s="488"/>
      <c r="J209" s="488"/>
      <c r="K209" s="488"/>
      <c r="L209" s="488"/>
      <c r="M209" s="488"/>
      <c r="N209" s="488"/>
      <c r="O209" s="488"/>
      <c r="P209" s="488"/>
      <c r="Q209" s="488"/>
      <c r="R209" s="488"/>
      <c r="S209" s="488"/>
      <c r="T209" s="583">
        <v>50771</v>
      </c>
      <c r="U209" s="444"/>
      <c r="V209" s="444"/>
      <c r="W209" s="446"/>
      <c r="X209" s="425"/>
    </row>
    <row r="210" spans="1:24" s="426" customFormat="1" x14ac:dyDescent="0.3">
      <c r="A210" s="443"/>
      <c r="B210" s="444" t="s">
        <v>75</v>
      </c>
      <c r="C210" s="582"/>
      <c r="D210" s="582"/>
      <c r="E210" s="582"/>
      <c r="F210" s="582"/>
      <c r="G210" s="488"/>
      <c r="H210" s="488"/>
      <c r="I210" s="488"/>
      <c r="J210" s="488"/>
      <c r="K210" s="488"/>
      <c r="L210" s="488"/>
      <c r="M210" s="488"/>
      <c r="N210" s="488"/>
      <c r="O210" s="488"/>
      <c r="P210" s="488"/>
      <c r="Q210" s="488"/>
      <c r="R210" s="488"/>
      <c r="S210" s="488"/>
      <c r="T210" s="484">
        <v>20.66</v>
      </c>
      <c r="U210" s="444" t="s">
        <v>113</v>
      </c>
      <c r="V210" s="444"/>
      <c r="W210" s="446"/>
      <c r="X210" s="425"/>
    </row>
    <row r="211" spans="1:24" s="426" customFormat="1" x14ac:dyDescent="0.3">
      <c r="A211" s="443"/>
      <c r="B211" s="444" t="s">
        <v>76</v>
      </c>
      <c r="C211" s="582"/>
      <c r="D211" s="582"/>
      <c r="E211" s="582"/>
      <c r="F211" s="582"/>
      <c r="G211" s="488"/>
      <c r="H211" s="488"/>
      <c r="I211" s="488"/>
      <c r="J211" s="488"/>
      <c r="K211" s="488"/>
      <c r="L211" s="488"/>
      <c r="M211" s="488"/>
      <c r="N211" s="488"/>
      <c r="O211" s="488"/>
      <c r="P211" s="488"/>
      <c r="Q211" s="488"/>
      <c r="R211" s="488"/>
      <c r="S211" s="488"/>
      <c r="T211" s="484">
        <v>9.94</v>
      </c>
      <c r="U211" s="444" t="s">
        <v>113</v>
      </c>
      <c r="V211" s="444"/>
      <c r="W211" s="446"/>
      <c r="X211" s="425"/>
    </row>
    <row r="212" spans="1:24" s="426" customFormat="1" x14ac:dyDescent="0.3">
      <c r="A212" s="443"/>
      <c r="B212" s="444" t="s">
        <v>77</v>
      </c>
      <c r="C212" s="582"/>
      <c r="D212" s="582"/>
      <c r="E212" s="582"/>
      <c r="F212" s="582"/>
      <c r="G212" s="488"/>
      <c r="H212" s="488"/>
      <c r="I212" s="488"/>
      <c r="J212" s="488"/>
      <c r="K212" s="488"/>
      <c r="L212" s="488"/>
      <c r="M212" s="488"/>
      <c r="N212" s="488"/>
      <c r="O212" s="488"/>
      <c r="P212" s="488"/>
      <c r="Q212" s="488"/>
      <c r="R212" s="488"/>
      <c r="S212" s="488"/>
      <c r="T212" s="479">
        <f>P67/N67</f>
        <v>1.578737325204661E-2</v>
      </c>
      <c r="U212" s="444"/>
      <c r="V212" s="444"/>
      <c r="W212" s="446"/>
      <c r="X212" s="425"/>
    </row>
    <row r="213" spans="1:24" s="426" customFormat="1" x14ac:dyDescent="0.3">
      <c r="A213" s="443"/>
      <c r="B213" s="444" t="s">
        <v>78</v>
      </c>
      <c r="C213" s="582"/>
      <c r="D213" s="582"/>
      <c r="E213" s="582"/>
      <c r="F213" s="582"/>
      <c r="G213" s="488"/>
      <c r="H213" s="488"/>
      <c r="I213" s="488"/>
      <c r="J213" s="488"/>
      <c r="K213" s="488"/>
      <c r="L213" s="488"/>
      <c r="M213" s="488"/>
      <c r="N213" s="488"/>
      <c r="O213" s="488"/>
      <c r="P213" s="488"/>
      <c r="Q213" s="488"/>
      <c r="R213" s="488"/>
      <c r="S213" s="488"/>
      <c r="T213" s="479">
        <v>6.2700000000000006E-2</v>
      </c>
      <c r="U213" s="444"/>
      <c r="V213" s="444"/>
      <c r="W213" s="446"/>
      <c r="X213" s="425"/>
    </row>
    <row r="214" spans="1:24" s="426" customFormat="1" x14ac:dyDescent="0.3">
      <c r="A214" s="421"/>
      <c r="B214" s="494"/>
      <c r="C214" s="494"/>
      <c r="D214" s="494"/>
      <c r="E214" s="494"/>
      <c r="F214" s="494"/>
      <c r="G214" s="494"/>
      <c r="H214" s="494"/>
      <c r="I214" s="494"/>
      <c r="J214" s="494"/>
      <c r="K214" s="494"/>
      <c r="L214" s="494"/>
      <c r="M214" s="494"/>
      <c r="N214" s="494"/>
      <c r="O214" s="494"/>
      <c r="P214" s="494"/>
      <c r="Q214" s="494"/>
      <c r="R214" s="494"/>
      <c r="S214" s="494"/>
      <c r="T214" s="584"/>
      <c r="U214" s="494"/>
      <c r="V214" s="585"/>
      <c r="W214" s="424"/>
      <c r="X214" s="425"/>
    </row>
    <row r="215" spans="1:24" s="426" customFormat="1" x14ac:dyDescent="0.3">
      <c r="A215" s="586"/>
      <c r="B215" s="420" t="s">
        <v>79</v>
      </c>
      <c r="C215" s="429"/>
      <c r="D215" s="429"/>
      <c r="E215" s="429"/>
      <c r="F215" s="587"/>
      <c r="G215" s="429"/>
      <c r="H215" s="429"/>
      <c r="I215" s="429"/>
      <c r="J215" s="429"/>
      <c r="K215" s="429"/>
      <c r="L215" s="429"/>
      <c r="M215" s="429"/>
      <c r="N215" s="429"/>
      <c r="O215" s="429"/>
      <c r="P215" s="429"/>
      <c r="Q215" s="429"/>
      <c r="R215" s="429"/>
      <c r="S215" s="429" t="s">
        <v>103</v>
      </c>
      <c r="T215" s="587" t="s">
        <v>110</v>
      </c>
      <c r="U215" s="422"/>
      <c r="V215" s="422"/>
      <c r="W215" s="424"/>
      <c r="X215" s="425"/>
    </row>
    <row r="216" spans="1:24" s="426" customFormat="1" x14ac:dyDescent="0.3">
      <c r="A216" s="588"/>
      <c r="B216" s="444" t="s">
        <v>80</v>
      </c>
      <c r="C216" s="516"/>
      <c r="D216" s="516"/>
      <c r="E216" s="516"/>
      <c r="F216" s="444"/>
      <c r="G216" s="444"/>
      <c r="H216" s="450"/>
      <c r="I216" s="450"/>
      <c r="J216" s="450"/>
      <c r="K216" s="450"/>
      <c r="L216" s="450"/>
      <c r="M216" s="450"/>
      <c r="N216" s="450"/>
      <c r="O216" s="450"/>
      <c r="P216" s="450"/>
      <c r="Q216" s="450"/>
      <c r="R216" s="450"/>
      <c r="S216" s="450">
        <v>0</v>
      </c>
      <c r="T216" s="589">
        <v>0</v>
      </c>
      <c r="U216" s="444"/>
      <c r="V216" s="590"/>
      <c r="W216" s="591"/>
      <c r="X216" s="425"/>
    </row>
    <row r="217" spans="1:24" s="426" customFormat="1" x14ac:dyDescent="0.3">
      <c r="A217" s="588"/>
      <c r="B217" s="444" t="s">
        <v>148</v>
      </c>
      <c r="C217" s="516"/>
      <c r="D217" s="516"/>
      <c r="E217" s="516"/>
      <c r="F217" s="444"/>
      <c r="G217" s="444"/>
      <c r="H217" s="450"/>
      <c r="I217" s="450"/>
      <c r="J217" s="450"/>
      <c r="K217" s="450"/>
      <c r="L217" s="450"/>
      <c r="M217" s="450"/>
      <c r="N217" s="450"/>
      <c r="O217" s="450"/>
      <c r="P217" s="450"/>
      <c r="Q217" s="450"/>
      <c r="R217" s="450"/>
      <c r="S217" s="592">
        <f>+R269</f>
        <v>98</v>
      </c>
      <c r="T217" s="589">
        <f>+T269</f>
        <v>16672</v>
      </c>
      <c r="U217" s="444"/>
      <c r="V217" s="590"/>
      <c r="W217" s="591"/>
      <c r="X217" s="425"/>
    </row>
    <row r="218" spans="1:24" s="426" customFormat="1" x14ac:dyDescent="0.3">
      <c r="A218" s="588"/>
      <c r="B218" s="444" t="s">
        <v>81</v>
      </c>
      <c r="C218" s="516"/>
      <c r="D218" s="516"/>
      <c r="E218" s="516"/>
      <c r="F218" s="444"/>
      <c r="G218" s="444"/>
      <c r="H218" s="450"/>
      <c r="I218" s="450"/>
      <c r="J218" s="450"/>
      <c r="K218" s="450"/>
      <c r="L218" s="450"/>
      <c r="M218" s="450"/>
      <c r="N218" s="450"/>
      <c r="O218" s="450"/>
      <c r="P218" s="450"/>
      <c r="Q218" s="450"/>
      <c r="R218" s="450"/>
      <c r="S218" s="592">
        <f>+R281</f>
        <v>0</v>
      </c>
      <c r="T218" s="589">
        <f>+T281</f>
        <v>0</v>
      </c>
      <c r="U218" s="444"/>
      <c r="V218" s="590"/>
      <c r="W218" s="591"/>
      <c r="X218" s="425"/>
    </row>
    <row r="219" spans="1:24" x14ac:dyDescent="0.3">
      <c r="A219" s="593"/>
      <c r="B219" s="594" t="s">
        <v>82</v>
      </c>
      <c r="C219" s="595"/>
      <c r="D219" s="595"/>
      <c r="E219" s="595"/>
      <c r="F219" s="465"/>
      <c r="G219" s="465"/>
      <c r="H219" s="465"/>
      <c r="I219" s="465"/>
      <c r="J219" s="465"/>
      <c r="K219" s="465"/>
      <c r="L219" s="465"/>
      <c r="M219" s="465"/>
      <c r="N219" s="465"/>
      <c r="O219" s="465"/>
      <c r="P219" s="465"/>
      <c r="Q219" s="465"/>
      <c r="R219" s="465"/>
      <c r="S219" s="465"/>
      <c r="T219" s="589">
        <v>0</v>
      </c>
      <c r="U219" s="465"/>
      <c r="V219" s="596"/>
      <c r="W219" s="597"/>
      <c r="X219" s="406"/>
    </row>
    <row r="220" spans="1:24" x14ac:dyDescent="0.3">
      <c r="A220" s="593"/>
      <c r="B220" s="594" t="s">
        <v>275</v>
      </c>
      <c r="C220" s="595"/>
      <c r="D220" s="595"/>
      <c r="E220" s="595"/>
      <c r="F220" s="465"/>
      <c r="G220" s="465"/>
      <c r="H220" s="465"/>
      <c r="I220" s="465"/>
      <c r="J220" s="465"/>
      <c r="K220" s="465"/>
      <c r="L220" s="465"/>
      <c r="M220" s="465"/>
      <c r="N220" s="465"/>
      <c r="O220" s="465"/>
      <c r="P220" s="465"/>
      <c r="Q220" s="465"/>
      <c r="R220" s="465"/>
      <c r="S220" s="465"/>
      <c r="T220" s="589">
        <f>+N80</f>
        <v>0</v>
      </c>
      <c r="U220" s="465"/>
      <c r="V220" s="596"/>
      <c r="W220" s="597"/>
      <c r="X220" s="406"/>
    </row>
    <row r="221" spans="1:24" x14ac:dyDescent="0.3">
      <c r="A221" s="598"/>
      <c r="B221" s="594" t="s">
        <v>83</v>
      </c>
      <c r="C221" s="599"/>
      <c r="D221" s="599"/>
      <c r="E221" s="599"/>
      <c r="F221" s="599"/>
      <c r="G221" s="465"/>
      <c r="H221" s="465"/>
      <c r="I221" s="465"/>
      <c r="J221" s="465"/>
      <c r="K221" s="465"/>
      <c r="L221" s="465"/>
      <c r="M221" s="465"/>
      <c r="N221" s="465"/>
      <c r="O221" s="465"/>
      <c r="P221" s="465"/>
      <c r="Q221" s="465"/>
      <c r="R221" s="465"/>
      <c r="S221" s="465"/>
      <c r="T221" s="600"/>
      <c r="U221" s="465"/>
      <c r="V221" s="596"/>
      <c r="W221" s="601"/>
      <c r="X221" s="406"/>
    </row>
    <row r="222" spans="1:24" s="426" customFormat="1" x14ac:dyDescent="0.3">
      <c r="A222" s="602"/>
      <c r="B222" s="444" t="s">
        <v>84</v>
      </c>
      <c r="C222" s="444"/>
      <c r="D222" s="444"/>
      <c r="E222" s="444"/>
      <c r="F222" s="444"/>
      <c r="G222" s="444"/>
      <c r="H222" s="444"/>
      <c r="I222" s="444"/>
      <c r="J222" s="444"/>
      <c r="K222" s="444"/>
      <c r="L222" s="444"/>
      <c r="M222" s="444"/>
      <c r="N222" s="444"/>
      <c r="O222" s="444"/>
      <c r="P222" s="444"/>
      <c r="Q222" s="444"/>
      <c r="R222" s="444"/>
      <c r="S222" s="450"/>
      <c r="T222" s="589">
        <f>V166</f>
        <v>264</v>
      </c>
      <c r="U222" s="444"/>
      <c r="V222" s="590"/>
      <c r="W222" s="603"/>
      <c r="X222" s="425"/>
    </row>
    <row r="223" spans="1:24" s="426" customFormat="1" x14ac:dyDescent="0.3">
      <c r="A223" s="588"/>
      <c r="B223" s="444" t="s">
        <v>85</v>
      </c>
      <c r="C223" s="516"/>
      <c r="D223" s="516"/>
      <c r="E223" s="516"/>
      <c r="F223" s="516"/>
      <c r="G223" s="444"/>
      <c r="H223" s="444"/>
      <c r="I223" s="444"/>
      <c r="J223" s="444"/>
      <c r="K223" s="444"/>
      <c r="L223" s="444"/>
      <c r="M223" s="444"/>
      <c r="N223" s="444"/>
      <c r="O223" s="444"/>
      <c r="P223" s="444"/>
      <c r="Q223" s="444"/>
      <c r="R223" s="444"/>
      <c r="S223" s="450"/>
      <c r="T223" s="589">
        <f>'June 18'!T223+T222</f>
        <v>11176</v>
      </c>
      <c r="U223" s="444"/>
      <c r="V223" s="590"/>
      <c r="W223" s="603"/>
      <c r="X223" s="425"/>
    </row>
    <row r="224" spans="1:24" x14ac:dyDescent="0.3">
      <c r="A224" s="598"/>
      <c r="B224" s="594" t="s">
        <v>297</v>
      </c>
      <c r="C224" s="599"/>
      <c r="D224" s="599"/>
      <c r="E224" s="599"/>
      <c r="F224" s="599"/>
      <c r="G224" s="465"/>
      <c r="H224" s="465"/>
      <c r="I224" s="465"/>
      <c r="J224" s="465"/>
      <c r="K224" s="465"/>
      <c r="L224" s="465"/>
      <c r="M224" s="465"/>
      <c r="N224" s="465"/>
      <c r="O224" s="465"/>
      <c r="P224" s="465"/>
      <c r="Q224" s="465"/>
      <c r="R224" s="465"/>
      <c r="S224" s="604"/>
      <c r="T224" s="600"/>
      <c r="U224" s="465"/>
      <c r="V224" s="596"/>
      <c r="W224" s="601"/>
      <c r="X224" s="406"/>
    </row>
    <row r="225" spans="1:25" s="426" customFormat="1" x14ac:dyDescent="0.3">
      <c r="A225" s="602"/>
      <c r="B225" s="444" t="s">
        <v>295</v>
      </c>
      <c r="C225" s="444"/>
      <c r="D225" s="444"/>
      <c r="E225" s="444"/>
      <c r="F225" s="444"/>
      <c r="G225" s="444"/>
      <c r="H225" s="444"/>
      <c r="I225" s="444"/>
      <c r="J225" s="444"/>
      <c r="K225" s="444"/>
      <c r="L225" s="444"/>
      <c r="M225" s="444"/>
      <c r="N225" s="444"/>
      <c r="O225" s="444"/>
      <c r="P225" s="444"/>
      <c r="Q225" s="444"/>
      <c r="R225" s="444"/>
      <c r="S225" s="450">
        <v>0</v>
      </c>
      <c r="T225" s="589">
        <v>0</v>
      </c>
      <c r="U225" s="444"/>
      <c r="V225" s="590"/>
      <c r="W225" s="603"/>
      <c r="X225" s="425"/>
    </row>
    <row r="226" spans="1:25" s="426" customFormat="1" x14ac:dyDescent="0.3">
      <c r="A226" s="588"/>
      <c r="B226" s="444" t="s">
        <v>87</v>
      </c>
      <c r="C226" s="482"/>
      <c r="D226" s="482"/>
      <c r="E226" s="482"/>
      <c r="F226" s="605"/>
      <c r="G226" s="444"/>
      <c r="H226" s="444"/>
      <c r="I226" s="444"/>
      <c r="J226" s="444"/>
      <c r="K226" s="444"/>
      <c r="L226" s="444"/>
      <c r="M226" s="444"/>
      <c r="N226" s="444"/>
      <c r="O226" s="444"/>
      <c r="P226" s="444"/>
      <c r="Q226" s="444"/>
      <c r="R226" s="444"/>
      <c r="S226" s="444"/>
      <c r="T226" s="606">
        <v>0</v>
      </c>
      <c r="U226" s="444"/>
      <c r="V226" s="590"/>
      <c r="W226" s="603"/>
      <c r="X226" s="425"/>
    </row>
    <row r="227" spans="1:25" s="426" customFormat="1" x14ac:dyDescent="0.3">
      <c r="A227" s="588"/>
      <c r="B227" s="444" t="s">
        <v>88</v>
      </c>
      <c r="C227" s="482"/>
      <c r="D227" s="482"/>
      <c r="E227" s="482"/>
      <c r="F227" s="605"/>
      <c r="G227" s="444"/>
      <c r="H227" s="444"/>
      <c r="I227" s="444"/>
      <c r="J227" s="444"/>
      <c r="K227" s="444"/>
      <c r="L227" s="444"/>
      <c r="M227" s="444"/>
      <c r="N227" s="444"/>
      <c r="O227" s="444"/>
      <c r="P227" s="444"/>
      <c r="Q227" s="444"/>
      <c r="R227" s="444"/>
      <c r="S227" s="444"/>
      <c r="T227" s="606">
        <v>0</v>
      </c>
      <c r="U227" s="444"/>
      <c r="V227" s="590"/>
      <c r="W227" s="603"/>
      <c r="X227" s="425"/>
    </row>
    <row r="228" spans="1:25" x14ac:dyDescent="0.3">
      <c r="A228" s="593"/>
      <c r="B228" s="594" t="s">
        <v>220</v>
      </c>
      <c r="C228" s="607"/>
      <c r="D228" s="607"/>
      <c r="E228" s="607"/>
      <c r="F228" s="608"/>
      <c r="G228" s="465"/>
      <c r="H228" s="465"/>
      <c r="I228" s="465"/>
      <c r="J228" s="465"/>
      <c r="K228" s="465"/>
      <c r="L228" s="465"/>
      <c r="M228" s="465"/>
      <c r="N228" s="465"/>
      <c r="O228" s="465"/>
      <c r="P228" s="465"/>
      <c r="Q228" s="465"/>
      <c r="R228" s="465"/>
      <c r="S228" s="609"/>
      <c r="T228" s="610"/>
      <c r="U228" s="465"/>
      <c r="V228" s="596"/>
      <c r="W228" s="601"/>
      <c r="X228" s="406"/>
    </row>
    <row r="229" spans="1:25" s="426" customFormat="1" x14ac:dyDescent="0.3">
      <c r="A229" s="588"/>
      <c r="B229" s="444" t="s">
        <v>295</v>
      </c>
      <c r="C229" s="482"/>
      <c r="D229" s="482"/>
      <c r="E229" s="482"/>
      <c r="F229" s="605"/>
      <c r="G229" s="444"/>
      <c r="H229" s="444"/>
      <c r="I229" s="444"/>
      <c r="J229" s="444"/>
      <c r="K229" s="444"/>
      <c r="L229" s="444"/>
      <c r="M229" s="444"/>
      <c r="N229" s="444"/>
      <c r="O229" s="444"/>
      <c r="P229" s="444"/>
      <c r="Q229" s="444"/>
      <c r="R229" s="444"/>
      <c r="S229" s="450">
        <v>3</v>
      </c>
      <c r="T229" s="589">
        <v>527</v>
      </c>
      <c r="U229" s="444"/>
      <c r="V229" s="590"/>
      <c r="W229" s="603"/>
      <c r="X229" s="425"/>
    </row>
    <row r="230" spans="1:25" s="426" customFormat="1" x14ac:dyDescent="0.3">
      <c r="A230" s="588"/>
      <c r="B230" s="444" t="s">
        <v>221</v>
      </c>
      <c r="C230" s="482"/>
      <c r="D230" s="482"/>
      <c r="E230" s="482"/>
      <c r="F230" s="605"/>
      <c r="G230" s="444"/>
      <c r="H230" s="444"/>
      <c r="I230" s="444"/>
      <c r="J230" s="444"/>
      <c r="K230" s="444"/>
      <c r="L230" s="444"/>
      <c r="M230" s="444"/>
      <c r="N230" s="444"/>
      <c r="O230" s="444"/>
      <c r="P230" s="444"/>
      <c r="Q230" s="444"/>
      <c r="R230" s="444"/>
      <c r="S230" s="444"/>
      <c r="T230" s="606">
        <v>17.079999999999998</v>
      </c>
      <c r="U230" s="444"/>
      <c r="V230" s="590"/>
      <c r="W230" s="603"/>
      <c r="X230" s="425"/>
    </row>
    <row r="231" spans="1:25" x14ac:dyDescent="0.3">
      <c r="A231" s="593"/>
      <c r="B231" s="599"/>
      <c r="C231" s="607"/>
      <c r="D231" s="607"/>
      <c r="E231" s="607"/>
      <c r="F231" s="608"/>
      <c r="G231" s="465"/>
      <c r="H231" s="465"/>
      <c r="I231" s="465"/>
      <c r="J231" s="465"/>
      <c r="K231" s="465"/>
      <c r="L231" s="465"/>
      <c r="M231" s="465"/>
      <c r="N231" s="465"/>
      <c r="O231" s="465"/>
      <c r="P231" s="465"/>
      <c r="Q231" s="465"/>
      <c r="R231" s="465"/>
      <c r="S231" s="465"/>
      <c r="T231" s="611"/>
      <c r="U231" s="465"/>
      <c r="V231" s="596"/>
      <c r="W231" s="601"/>
      <c r="X231" s="406"/>
    </row>
    <row r="232" spans="1:25" x14ac:dyDescent="0.3">
      <c r="A232" s="593"/>
      <c r="B232" s="599"/>
      <c r="C232" s="607"/>
      <c r="D232" s="607"/>
      <c r="E232" s="607"/>
      <c r="F232" s="608"/>
      <c r="G232" s="465"/>
      <c r="H232" s="465"/>
      <c r="I232" s="465"/>
      <c r="J232" s="465"/>
      <c r="K232" s="465"/>
      <c r="L232" s="465"/>
      <c r="M232" s="465"/>
      <c r="N232" s="465"/>
      <c r="O232" s="465"/>
      <c r="P232" s="465"/>
      <c r="Q232" s="465"/>
      <c r="R232" s="465"/>
      <c r="S232" s="465"/>
      <c r="T232" s="611"/>
      <c r="U232" s="465"/>
      <c r="V232" s="596"/>
      <c r="W232" s="601"/>
      <c r="X232" s="406"/>
    </row>
    <row r="233" spans="1:25" ht="18" x14ac:dyDescent="0.35">
      <c r="A233" s="593"/>
      <c r="B233" s="612" t="s">
        <v>171</v>
      </c>
      <c r="C233" s="607"/>
      <c r="D233" s="607"/>
      <c r="E233" s="607"/>
      <c r="F233" s="608"/>
      <c r="G233" s="465"/>
      <c r="H233" s="465"/>
      <c r="I233" s="465"/>
      <c r="J233" s="465"/>
      <c r="K233" s="465"/>
      <c r="L233" s="465"/>
      <c r="M233" s="465"/>
      <c r="N233" s="465"/>
      <c r="O233" s="465"/>
      <c r="P233" s="613" t="s">
        <v>370</v>
      </c>
      <c r="Q233" s="465"/>
      <c r="R233" s="465"/>
      <c r="S233" s="465"/>
      <c r="T233" s="611"/>
      <c r="U233" s="465"/>
      <c r="V233" s="596"/>
      <c r="W233" s="601"/>
      <c r="X233" s="406"/>
    </row>
    <row r="234" spans="1:25" x14ac:dyDescent="0.3">
      <c r="A234" s="614"/>
      <c r="B234" s="615"/>
      <c r="C234" s="616"/>
      <c r="D234" s="616"/>
      <c r="E234" s="616"/>
      <c r="F234" s="617"/>
      <c r="G234" s="518"/>
      <c r="H234" s="518"/>
      <c r="I234" s="518"/>
      <c r="J234" s="518"/>
      <c r="K234" s="518"/>
      <c r="L234" s="518"/>
      <c r="M234" s="518"/>
      <c r="N234" s="518"/>
      <c r="O234" s="518"/>
      <c r="P234" s="518"/>
      <c r="Q234" s="518"/>
      <c r="R234" s="518"/>
      <c r="S234" s="518"/>
      <c r="T234" s="618"/>
      <c r="U234" s="518"/>
      <c r="V234" s="619"/>
      <c r="W234" s="620"/>
      <c r="X234" s="406"/>
    </row>
    <row r="235" spans="1:25" x14ac:dyDescent="0.3">
      <c r="A235" s="533"/>
      <c r="B235" s="534" t="s">
        <v>310</v>
      </c>
      <c r="C235" s="535"/>
      <c r="D235" s="535"/>
      <c r="E235" s="535"/>
      <c r="F235" s="621"/>
      <c r="G235" s="535"/>
      <c r="H235" s="535"/>
      <c r="I235" s="535"/>
      <c r="J235" s="535"/>
      <c r="K235" s="535"/>
      <c r="L235" s="535"/>
      <c r="M235" s="535"/>
      <c r="N235" s="535"/>
      <c r="O235" s="535"/>
      <c r="P235" s="535"/>
      <c r="Q235" s="535"/>
      <c r="R235" s="621" t="s">
        <v>103</v>
      </c>
      <c r="S235" s="535" t="s">
        <v>104</v>
      </c>
      <c r="T235" s="621" t="s">
        <v>111</v>
      </c>
      <c r="U235" s="535" t="s">
        <v>104</v>
      </c>
      <c r="V235" s="622"/>
      <c r="W235" s="623"/>
      <c r="X235" s="406"/>
    </row>
    <row r="236" spans="1:25" s="426" customFormat="1" x14ac:dyDescent="0.3">
      <c r="A236" s="421"/>
      <c r="B236" s="552" t="s">
        <v>89</v>
      </c>
      <c r="C236" s="624"/>
      <c r="D236" s="624"/>
      <c r="E236" s="624"/>
      <c r="F236" s="494"/>
      <c r="G236" s="624"/>
      <c r="H236" s="624"/>
      <c r="I236" s="624"/>
      <c r="J236" s="624"/>
      <c r="K236" s="624"/>
      <c r="L236" s="624"/>
      <c r="M236" s="624"/>
      <c r="N236" s="624"/>
      <c r="O236" s="624"/>
      <c r="P236" s="624"/>
      <c r="Q236" s="624"/>
      <c r="R236" s="539">
        <f t="shared" ref="R236:R243" si="1">+R248+R260+R272</f>
        <v>5815</v>
      </c>
      <c r="S236" s="625">
        <f t="shared" ref="S236:S243" si="2">R236/$R$245</f>
        <v>0.99418704051974693</v>
      </c>
      <c r="T236" s="540">
        <f t="shared" ref="T236:T243" si="3">+T248+T260+T272</f>
        <v>744161</v>
      </c>
      <c r="U236" s="625">
        <f t="shared" ref="U236:U243" si="4">T236/$T$245</f>
        <v>0.99215910575674426</v>
      </c>
      <c r="V236" s="585"/>
      <c r="W236" s="626"/>
      <c r="X236" s="425"/>
    </row>
    <row r="237" spans="1:25" s="426" customFormat="1" x14ac:dyDescent="0.3">
      <c r="A237" s="443"/>
      <c r="B237" s="516" t="s">
        <v>90</v>
      </c>
      <c r="C237" s="627"/>
      <c r="D237" s="627"/>
      <c r="E237" s="627"/>
      <c r="F237" s="444"/>
      <c r="G237" s="628"/>
      <c r="H237" s="627"/>
      <c r="I237" s="627"/>
      <c r="J237" s="627"/>
      <c r="K237" s="627"/>
      <c r="L237" s="627"/>
      <c r="M237" s="627"/>
      <c r="N237" s="627"/>
      <c r="O237" s="627"/>
      <c r="P237" s="627"/>
      <c r="Q237" s="627"/>
      <c r="R237" s="516">
        <f t="shared" si="1"/>
        <v>10</v>
      </c>
      <c r="S237" s="628">
        <f t="shared" si="2"/>
        <v>1.7096939647803042E-3</v>
      </c>
      <c r="T237" s="517">
        <f t="shared" si="3"/>
        <v>2636</v>
      </c>
      <c r="U237" s="628">
        <f t="shared" si="4"/>
        <v>3.5144698563547108E-3</v>
      </c>
      <c r="V237" s="590"/>
      <c r="W237" s="603"/>
      <c r="X237" s="425"/>
      <c r="Y237" s="549"/>
    </row>
    <row r="238" spans="1:25" s="426" customFormat="1" x14ac:dyDescent="0.3">
      <c r="A238" s="443"/>
      <c r="B238" s="516" t="s">
        <v>91</v>
      </c>
      <c r="C238" s="627"/>
      <c r="D238" s="627"/>
      <c r="E238" s="627"/>
      <c r="F238" s="444"/>
      <c r="G238" s="628"/>
      <c r="H238" s="627"/>
      <c r="I238" s="627"/>
      <c r="J238" s="627"/>
      <c r="K238" s="627"/>
      <c r="L238" s="627"/>
      <c r="M238" s="627"/>
      <c r="N238" s="627"/>
      <c r="O238" s="627"/>
      <c r="P238" s="627"/>
      <c r="Q238" s="627"/>
      <c r="R238" s="516">
        <f t="shared" si="1"/>
        <v>6</v>
      </c>
      <c r="S238" s="628">
        <f t="shared" si="2"/>
        <v>1.0258163788681826E-3</v>
      </c>
      <c r="T238" s="517">
        <f t="shared" si="3"/>
        <v>793</v>
      </c>
      <c r="U238" s="628">
        <f t="shared" si="4"/>
        <v>1.0572741259822784E-3</v>
      </c>
      <c r="V238" s="590"/>
      <c r="W238" s="603"/>
      <c r="X238" s="425"/>
    </row>
    <row r="239" spans="1:25" s="426" customFormat="1" x14ac:dyDescent="0.3">
      <c r="A239" s="443"/>
      <c r="B239" s="516" t="s">
        <v>159</v>
      </c>
      <c r="C239" s="627"/>
      <c r="D239" s="627"/>
      <c r="E239" s="627"/>
      <c r="F239" s="444"/>
      <c r="G239" s="628"/>
      <c r="H239" s="627"/>
      <c r="I239" s="627"/>
      <c r="J239" s="627"/>
      <c r="K239" s="627"/>
      <c r="L239" s="627"/>
      <c r="M239" s="627"/>
      <c r="N239" s="627"/>
      <c r="O239" s="627"/>
      <c r="P239" s="627"/>
      <c r="Q239" s="627"/>
      <c r="R239" s="516">
        <f t="shared" si="1"/>
        <v>2</v>
      </c>
      <c r="S239" s="628">
        <f t="shared" si="2"/>
        <v>3.4193879295606086E-4</v>
      </c>
      <c r="T239" s="517">
        <f t="shared" si="3"/>
        <v>233</v>
      </c>
      <c r="U239" s="628">
        <f t="shared" si="4"/>
        <v>3.1064927030752943E-4</v>
      </c>
      <c r="V239" s="590"/>
      <c r="W239" s="603"/>
      <c r="X239" s="425"/>
      <c r="Y239" s="549"/>
    </row>
    <row r="240" spans="1:25" s="426" customFormat="1" x14ac:dyDescent="0.3">
      <c r="A240" s="443"/>
      <c r="B240" s="516" t="s">
        <v>160</v>
      </c>
      <c r="C240" s="627"/>
      <c r="D240" s="627"/>
      <c r="E240" s="627"/>
      <c r="F240" s="444"/>
      <c r="G240" s="628"/>
      <c r="H240" s="627"/>
      <c r="I240" s="627"/>
      <c r="J240" s="627"/>
      <c r="K240" s="627"/>
      <c r="L240" s="627"/>
      <c r="M240" s="627"/>
      <c r="N240" s="627"/>
      <c r="O240" s="627"/>
      <c r="P240" s="627"/>
      <c r="Q240" s="627"/>
      <c r="R240" s="516">
        <f t="shared" si="1"/>
        <v>0</v>
      </c>
      <c r="S240" s="628">
        <f t="shared" si="2"/>
        <v>0</v>
      </c>
      <c r="T240" s="517">
        <f t="shared" si="3"/>
        <v>0</v>
      </c>
      <c r="U240" s="628">
        <f t="shared" si="4"/>
        <v>0</v>
      </c>
      <c r="V240" s="590"/>
      <c r="W240" s="603"/>
      <c r="X240" s="425"/>
    </row>
    <row r="241" spans="1:25" s="426" customFormat="1" x14ac:dyDescent="0.3">
      <c r="A241" s="443"/>
      <c r="B241" s="516" t="s">
        <v>161</v>
      </c>
      <c r="C241" s="627"/>
      <c r="D241" s="627"/>
      <c r="E241" s="627"/>
      <c r="F241" s="444"/>
      <c r="G241" s="628"/>
      <c r="H241" s="627"/>
      <c r="I241" s="627"/>
      <c r="J241" s="627"/>
      <c r="K241" s="627"/>
      <c r="L241" s="627"/>
      <c r="M241" s="627"/>
      <c r="N241" s="627"/>
      <c r="O241" s="627"/>
      <c r="P241" s="627"/>
      <c r="Q241" s="627"/>
      <c r="R241" s="516">
        <f t="shared" si="1"/>
        <v>0</v>
      </c>
      <c r="S241" s="628">
        <f t="shared" si="2"/>
        <v>0</v>
      </c>
      <c r="T241" s="517">
        <f t="shared" si="3"/>
        <v>0</v>
      </c>
      <c r="U241" s="628">
        <f t="shared" si="4"/>
        <v>0</v>
      </c>
      <c r="V241" s="590"/>
      <c r="W241" s="603"/>
      <c r="X241" s="425"/>
      <c r="Y241" s="549"/>
    </row>
    <row r="242" spans="1:25" s="426" customFormat="1" x14ac:dyDescent="0.3">
      <c r="A242" s="443"/>
      <c r="B242" s="516" t="s">
        <v>162</v>
      </c>
      <c r="C242" s="627"/>
      <c r="D242" s="627"/>
      <c r="E242" s="627"/>
      <c r="F242" s="444"/>
      <c r="G242" s="628"/>
      <c r="H242" s="627"/>
      <c r="I242" s="627"/>
      <c r="J242" s="627"/>
      <c r="K242" s="627"/>
      <c r="L242" s="627"/>
      <c r="M242" s="627"/>
      <c r="N242" s="627"/>
      <c r="O242" s="627"/>
      <c r="P242" s="627"/>
      <c r="Q242" s="627"/>
      <c r="R242" s="516">
        <f t="shared" si="1"/>
        <v>4</v>
      </c>
      <c r="S242" s="628">
        <f t="shared" si="2"/>
        <v>6.8387758591212172E-4</v>
      </c>
      <c r="T242" s="517">
        <f t="shared" si="3"/>
        <v>520</v>
      </c>
      <c r="U242" s="628">
        <f t="shared" si="4"/>
        <v>6.9329450884083829E-4</v>
      </c>
      <c r="V242" s="590"/>
      <c r="W242" s="603"/>
      <c r="X242" s="425"/>
    </row>
    <row r="243" spans="1:25" s="426" customFormat="1" x14ac:dyDescent="0.3">
      <c r="A243" s="443"/>
      <c r="B243" s="516" t="s">
        <v>163</v>
      </c>
      <c r="C243" s="627"/>
      <c r="D243" s="627"/>
      <c r="E243" s="627"/>
      <c r="F243" s="444"/>
      <c r="G243" s="628"/>
      <c r="H243" s="627"/>
      <c r="I243" s="627"/>
      <c r="J243" s="627"/>
      <c r="K243" s="627"/>
      <c r="L243" s="627"/>
      <c r="M243" s="627"/>
      <c r="N243" s="627"/>
      <c r="O243" s="627"/>
      <c r="P243" s="627"/>
      <c r="Q243" s="627"/>
      <c r="R243" s="516">
        <f t="shared" si="1"/>
        <v>12</v>
      </c>
      <c r="S243" s="628">
        <f t="shared" si="2"/>
        <v>2.0516327577363653E-3</v>
      </c>
      <c r="T243" s="517">
        <f t="shared" si="3"/>
        <v>1699</v>
      </c>
      <c r="U243" s="628">
        <f t="shared" si="4"/>
        <v>2.2652064817703542E-3</v>
      </c>
      <c r="V243" s="590"/>
      <c r="W243" s="603"/>
      <c r="X243" s="425"/>
      <c r="Y243" s="549"/>
    </row>
    <row r="244" spans="1:25" s="426" customFormat="1" x14ac:dyDescent="0.3">
      <c r="A244" s="443"/>
      <c r="B244" s="516"/>
      <c r="C244" s="627"/>
      <c r="D244" s="627"/>
      <c r="E244" s="627"/>
      <c r="F244" s="444"/>
      <c r="G244" s="628"/>
      <c r="H244" s="627"/>
      <c r="I244" s="627"/>
      <c r="J244" s="627"/>
      <c r="K244" s="627"/>
      <c r="L244" s="627"/>
      <c r="M244" s="627"/>
      <c r="N244" s="627"/>
      <c r="O244" s="627"/>
      <c r="P244" s="627"/>
      <c r="Q244" s="627"/>
      <c r="R244" s="516"/>
      <c r="S244" s="628"/>
      <c r="T244" s="517"/>
      <c r="U244" s="628"/>
      <c r="V244" s="590"/>
      <c r="W244" s="603"/>
      <c r="X244" s="425"/>
    </row>
    <row r="245" spans="1:25" s="426" customFormat="1" x14ac:dyDescent="0.3">
      <c r="A245" s="443"/>
      <c r="B245" s="444" t="s">
        <v>117</v>
      </c>
      <c r="C245" s="444"/>
      <c r="D245" s="444"/>
      <c r="E245" s="444"/>
      <c r="F245" s="444"/>
      <c r="G245" s="444"/>
      <c r="H245" s="629"/>
      <c r="I245" s="629"/>
      <c r="J245" s="629"/>
      <c r="K245" s="629"/>
      <c r="L245" s="629"/>
      <c r="M245" s="629"/>
      <c r="N245" s="629"/>
      <c r="O245" s="629"/>
      <c r="P245" s="629"/>
      <c r="Q245" s="629"/>
      <c r="R245" s="516">
        <f>SUM(R236:R244)</f>
        <v>5849</v>
      </c>
      <c r="S245" s="628">
        <f>SUM(S236:S244)</f>
        <v>1</v>
      </c>
      <c r="T245" s="517">
        <f>SUM(T236:T244)</f>
        <v>750042</v>
      </c>
      <c r="U245" s="628">
        <f>SUM(U236:U244)</f>
        <v>1</v>
      </c>
      <c r="V245" s="444"/>
      <c r="W245" s="446"/>
      <c r="X245" s="425"/>
    </row>
    <row r="246" spans="1:25" x14ac:dyDescent="0.3">
      <c r="A246" s="614"/>
      <c r="B246" s="615"/>
      <c r="C246" s="616"/>
      <c r="D246" s="616"/>
      <c r="E246" s="616"/>
      <c r="F246" s="617"/>
      <c r="G246" s="518"/>
      <c r="H246" s="518"/>
      <c r="I246" s="518"/>
      <c r="J246" s="518"/>
      <c r="K246" s="518"/>
      <c r="L246" s="518"/>
      <c r="M246" s="518"/>
      <c r="N246" s="518"/>
      <c r="O246" s="518"/>
      <c r="P246" s="518"/>
      <c r="Q246" s="518"/>
      <c r="R246" s="518"/>
      <c r="S246" s="518"/>
      <c r="T246" s="618"/>
      <c r="U246" s="518"/>
      <c r="V246" s="619"/>
      <c r="W246" s="620"/>
      <c r="X246" s="406"/>
    </row>
    <row r="247" spans="1:25" x14ac:dyDescent="0.3">
      <c r="A247" s="533"/>
      <c r="B247" s="534" t="s">
        <v>165</v>
      </c>
      <c r="C247" s="535"/>
      <c r="D247" s="535"/>
      <c r="E247" s="535"/>
      <c r="F247" s="621"/>
      <c r="G247" s="535"/>
      <c r="H247" s="535"/>
      <c r="I247" s="535"/>
      <c r="J247" s="535"/>
      <c r="K247" s="535"/>
      <c r="L247" s="535"/>
      <c r="M247" s="535"/>
      <c r="N247" s="535"/>
      <c r="O247" s="535"/>
      <c r="P247" s="535"/>
      <c r="Q247" s="535"/>
      <c r="R247" s="621" t="s">
        <v>103</v>
      </c>
      <c r="S247" s="535" t="s">
        <v>104</v>
      </c>
      <c r="T247" s="621" t="s">
        <v>111</v>
      </c>
      <c r="U247" s="535" t="s">
        <v>104</v>
      </c>
      <c r="V247" s="622"/>
      <c r="W247" s="623"/>
      <c r="X247" s="406"/>
    </row>
    <row r="248" spans="1:25" s="426" customFormat="1" x14ac:dyDescent="0.3">
      <c r="A248" s="421"/>
      <c r="B248" s="552" t="s">
        <v>89</v>
      </c>
      <c r="C248" s="624"/>
      <c r="D248" s="624"/>
      <c r="E248" s="624"/>
      <c r="F248" s="494"/>
      <c r="G248" s="624"/>
      <c r="H248" s="624"/>
      <c r="I248" s="624"/>
      <c r="J248" s="624"/>
      <c r="K248" s="624"/>
      <c r="L248" s="624"/>
      <c r="M248" s="624"/>
      <c r="N248" s="624"/>
      <c r="O248" s="624"/>
      <c r="P248" s="624"/>
      <c r="Q248" s="624"/>
      <c r="R248" s="552">
        <v>5735</v>
      </c>
      <c r="S248" s="630">
        <f t="shared" ref="S248:S255" si="5">R248/$R$257</f>
        <v>0.99721787515214744</v>
      </c>
      <c r="T248" s="631">
        <v>729805</v>
      </c>
      <c r="U248" s="630">
        <f t="shared" ref="U248:U255" si="6">T248/$T$257</f>
        <v>0.99513887941966539</v>
      </c>
      <c r="V248" s="585"/>
      <c r="W248" s="626"/>
      <c r="X248" s="425"/>
    </row>
    <row r="249" spans="1:25" s="426" customFormat="1" x14ac:dyDescent="0.3">
      <c r="A249" s="443"/>
      <c r="B249" s="516" t="s">
        <v>90</v>
      </c>
      <c r="C249" s="627"/>
      <c r="D249" s="627"/>
      <c r="E249" s="627"/>
      <c r="F249" s="444"/>
      <c r="G249" s="628"/>
      <c r="H249" s="627"/>
      <c r="I249" s="627"/>
      <c r="J249" s="627"/>
      <c r="K249" s="627"/>
      <c r="L249" s="627"/>
      <c r="M249" s="627"/>
      <c r="N249" s="627"/>
      <c r="O249" s="627"/>
      <c r="P249" s="627"/>
      <c r="Q249" s="627"/>
      <c r="R249" s="516">
        <v>10</v>
      </c>
      <c r="S249" s="628">
        <f t="shared" si="5"/>
        <v>1.738828029907842E-3</v>
      </c>
      <c r="T249" s="517">
        <v>2636</v>
      </c>
      <c r="U249" s="628">
        <f t="shared" si="6"/>
        <v>3.5943657362586417E-3</v>
      </c>
      <c r="V249" s="590"/>
      <c r="W249" s="603"/>
      <c r="X249" s="425"/>
      <c r="Y249" s="549"/>
    </row>
    <row r="250" spans="1:25" s="426" customFormat="1" x14ac:dyDescent="0.3">
      <c r="A250" s="443"/>
      <c r="B250" s="516" t="s">
        <v>91</v>
      </c>
      <c r="C250" s="627"/>
      <c r="D250" s="627"/>
      <c r="E250" s="627"/>
      <c r="F250" s="444"/>
      <c r="G250" s="628"/>
      <c r="H250" s="627"/>
      <c r="I250" s="627"/>
      <c r="J250" s="627"/>
      <c r="K250" s="627"/>
      <c r="L250" s="627"/>
      <c r="M250" s="627"/>
      <c r="N250" s="627"/>
      <c r="O250" s="627"/>
      <c r="P250" s="627"/>
      <c r="Q250" s="627"/>
      <c r="R250" s="516">
        <v>4</v>
      </c>
      <c r="S250" s="628">
        <f t="shared" si="5"/>
        <v>6.9553121196313681E-4</v>
      </c>
      <c r="T250" s="517">
        <v>594</v>
      </c>
      <c r="U250" s="628">
        <f t="shared" si="6"/>
        <v>8.0995950202489872E-4</v>
      </c>
      <c r="V250" s="590"/>
      <c r="W250" s="603"/>
      <c r="X250" s="425"/>
    </row>
    <row r="251" spans="1:25" s="426" customFormat="1" x14ac:dyDescent="0.3">
      <c r="A251" s="443"/>
      <c r="B251" s="516" t="s">
        <v>159</v>
      </c>
      <c r="C251" s="627"/>
      <c r="D251" s="627"/>
      <c r="E251" s="627"/>
      <c r="F251" s="444"/>
      <c r="G251" s="628"/>
      <c r="H251" s="627"/>
      <c r="I251" s="627"/>
      <c r="J251" s="627"/>
      <c r="K251" s="627"/>
      <c r="L251" s="627"/>
      <c r="M251" s="627"/>
      <c r="N251" s="627"/>
      <c r="O251" s="627"/>
      <c r="P251" s="627"/>
      <c r="Q251" s="627"/>
      <c r="R251" s="516">
        <v>1</v>
      </c>
      <c r="S251" s="628">
        <f t="shared" si="5"/>
        <v>1.738828029907842E-4</v>
      </c>
      <c r="T251" s="517">
        <v>136</v>
      </c>
      <c r="U251" s="628">
        <f t="shared" si="6"/>
        <v>1.8544527319088591E-4</v>
      </c>
      <c r="V251" s="590"/>
      <c r="W251" s="603"/>
      <c r="X251" s="425"/>
      <c r="Y251" s="549"/>
    </row>
    <row r="252" spans="1:25" s="426" customFormat="1" x14ac:dyDescent="0.3">
      <c r="A252" s="443"/>
      <c r="B252" s="516" t="s">
        <v>160</v>
      </c>
      <c r="C252" s="627"/>
      <c r="D252" s="627"/>
      <c r="E252" s="627"/>
      <c r="F252" s="444"/>
      <c r="G252" s="628"/>
      <c r="H252" s="627"/>
      <c r="I252" s="627"/>
      <c r="J252" s="627"/>
      <c r="K252" s="627"/>
      <c r="L252" s="627"/>
      <c r="M252" s="627"/>
      <c r="N252" s="627"/>
      <c r="O252" s="627"/>
      <c r="P252" s="627"/>
      <c r="Q252" s="627"/>
      <c r="R252" s="516">
        <v>0</v>
      </c>
      <c r="S252" s="628">
        <f t="shared" si="5"/>
        <v>0</v>
      </c>
      <c r="T252" s="517">
        <v>0</v>
      </c>
      <c r="U252" s="628">
        <f t="shared" si="6"/>
        <v>0</v>
      </c>
      <c r="V252" s="590"/>
      <c r="W252" s="603"/>
      <c r="X252" s="425"/>
    </row>
    <row r="253" spans="1:25" s="426" customFormat="1" x14ac:dyDescent="0.3">
      <c r="A253" s="443"/>
      <c r="B253" s="516" t="s">
        <v>161</v>
      </c>
      <c r="C253" s="627"/>
      <c r="D253" s="627"/>
      <c r="E253" s="627"/>
      <c r="F253" s="444"/>
      <c r="G253" s="628"/>
      <c r="H253" s="627"/>
      <c r="I253" s="627"/>
      <c r="J253" s="627"/>
      <c r="K253" s="627"/>
      <c r="L253" s="627"/>
      <c r="M253" s="627"/>
      <c r="N253" s="627"/>
      <c r="O253" s="627"/>
      <c r="P253" s="627"/>
      <c r="Q253" s="627"/>
      <c r="R253" s="516">
        <v>0</v>
      </c>
      <c r="S253" s="628">
        <f t="shared" si="5"/>
        <v>0</v>
      </c>
      <c r="T253" s="517">
        <v>0</v>
      </c>
      <c r="U253" s="628">
        <f t="shared" si="6"/>
        <v>0</v>
      </c>
      <c r="V253" s="590"/>
      <c r="W253" s="603"/>
      <c r="X253" s="425"/>
      <c r="Y253" s="549"/>
    </row>
    <row r="254" spans="1:25" s="426" customFormat="1" x14ac:dyDescent="0.3">
      <c r="A254" s="443"/>
      <c r="B254" s="516" t="s">
        <v>162</v>
      </c>
      <c r="C254" s="627"/>
      <c r="D254" s="627"/>
      <c r="E254" s="627"/>
      <c r="F254" s="444"/>
      <c r="G254" s="628"/>
      <c r="H254" s="627"/>
      <c r="I254" s="627"/>
      <c r="J254" s="627"/>
      <c r="K254" s="627"/>
      <c r="L254" s="627"/>
      <c r="M254" s="627"/>
      <c r="N254" s="627"/>
      <c r="O254" s="627"/>
      <c r="P254" s="627"/>
      <c r="Q254" s="627"/>
      <c r="R254" s="516">
        <v>1</v>
      </c>
      <c r="S254" s="628">
        <f t="shared" si="5"/>
        <v>1.738828029907842E-4</v>
      </c>
      <c r="T254" s="517">
        <v>199</v>
      </c>
      <c r="U254" s="628">
        <f t="shared" si="6"/>
        <v>2.7135006886019333E-4</v>
      </c>
      <c r="V254" s="590"/>
      <c r="W254" s="603"/>
      <c r="X254" s="425"/>
    </row>
    <row r="255" spans="1:25" s="426" customFormat="1" x14ac:dyDescent="0.3">
      <c r="A255" s="443"/>
      <c r="B255" s="516" t="s">
        <v>163</v>
      </c>
      <c r="C255" s="627"/>
      <c r="D255" s="627"/>
      <c r="E255" s="627"/>
      <c r="F255" s="444"/>
      <c r="G255" s="628"/>
      <c r="H255" s="627"/>
      <c r="I255" s="627"/>
      <c r="J255" s="627"/>
      <c r="K255" s="627"/>
      <c r="L255" s="627"/>
      <c r="M255" s="627"/>
      <c r="N255" s="627"/>
      <c r="O255" s="627"/>
      <c r="P255" s="627"/>
      <c r="Q255" s="627"/>
      <c r="R255" s="516">
        <v>0</v>
      </c>
      <c r="S255" s="628">
        <f t="shared" si="5"/>
        <v>0</v>
      </c>
      <c r="T255" s="517">
        <v>0</v>
      </c>
      <c r="U255" s="628">
        <f t="shared" si="6"/>
        <v>0</v>
      </c>
      <c r="V255" s="590"/>
      <c r="W255" s="603"/>
      <c r="X255" s="425"/>
      <c r="Y255" s="549"/>
    </row>
    <row r="256" spans="1:25" s="426" customFormat="1" x14ac:dyDescent="0.3">
      <c r="A256" s="443"/>
      <c r="B256" s="516"/>
      <c r="C256" s="627"/>
      <c r="D256" s="627"/>
      <c r="E256" s="627"/>
      <c r="F256" s="444"/>
      <c r="G256" s="628"/>
      <c r="H256" s="627"/>
      <c r="I256" s="627"/>
      <c r="J256" s="627"/>
      <c r="K256" s="627"/>
      <c r="L256" s="627"/>
      <c r="M256" s="627"/>
      <c r="N256" s="627"/>
      <c r="O256" s="627"/>
      <c r="P256" s="627"/>
      <c r="Q256" s="627"/>
      <c r="R256" s="516"/>
      <c r="S256" s="628"/>
      <c r="T256" s="517"/>
      <c r="U256" s="628"/>
      <c r="V256" s="590"/>
      <c r="W256" s="603"/>
      <c r="X256" s="425"/>
    </row>
    <row r="257" spans="1:24" s="426" customFormat="1" x14ac:dyDescent="0.3">
      <c r="A257" s="443"/>
      <c r="B257" s="444" t="s">
        <v>117</v>
      </c>
      <c r="C257" s="444"/>
      <c r="D257" s="444"/>
      <c r="E257" s="444"/>
      <c r="F257" s="444"/>
      <c r="G257" s="444"/>
      <c r="H257" s="629"/>
      <c r="I257" s="629"/>
      <c r="J257" s="629"/>
      <c r="K257" s="629"/>
      <c r="L257" s="629"/>
      <c r="M257" s="629"/>
      <c r="N257" s="629"/>
      <c r="O257" s="629"/>
      <c r="P257" s="629"/>
      <c r="Q257" s="629"/>
      <c r="R257" s="516">
        <f>SUM(R248:R256)</f>
        <v>5751</v>
      </c>
      <c r="S257" s="628">
        <f>SUM(S248:S256)</f>
        <v>1</v>
      </c>
      <c r="T257" s="517">
        <f>SUM(T248:T256)</f>
        <v>733370</v>
      </c>
      <c r="U257" s="628">
        <f>SUM(U248:U256)</f>
        <v>0.99999999999999989</v>
      </c>
      <c r="V257" s="444"/>
      <c r="W257" s="446"/>
      <c r="X257" s="425"/>
    </row>
    <row r="258" spans="1:24" x14ac:dyDescent="0.3">
      <c r="A258" s="408"/>
      <c r="B258" s="518"/>
      <c r="C258" s="518"/>
      <c r="D258" s="518"/>
      <c r="E258" s="518"/>
      <c r="F258" s="518"/>
      <c r="G258" s="518"/>
      <c r="H258" s="632"/>
      <c r="I258" s="632"/>
      <c r="J258" s="632"/>
      <c r="K258" s="632"/>
      <c r="L258" s="632"/>
      <c r="M258" s="632"/>
      <c r="N258" s="632"/>
      <c r="O258" s="632"/>
      <c r="P258" s="632"/>
      <c r="Q258" s="632"/>
      <c r="R258" s="519"/>
      <c r="S258" s="633"/>
      <c r="T258" s="634"/>
      <c r="U258" s="633"/>
      <c r="V258" s="518"/>
      <c r="W258" s="411"/>
      <c r="X258" s="406"/>
    </row>
    <row r="259" spans="1:24" x14ac:dyDescent="0.3">
      <c r="A259" s="533"/>
      <c r="B259" s="534" t="s">
        <v>279</v>
      </c>
      <c r="C259" s="535"/>
      <c r="D259" s="535"/>
      <c r="E259" s="535"/>
      <c r="F259" s="621"/>
      <c r="G259" s="535"/>
      <c r="H259" s="535"/>
      <c r="I259" s="535"/>
      <c r="J259" s="535"/>
      <c r="K259" s="535"/>
      <c r="L259" s="535"/>
      <c r="M259" s="535"/>
      <c r="N259" s="535"/>
      <c r="O259" s="535"/>
      <c r="P259" s="535"/>
      <c r="Q259" s="535"/>
      <c r="R259" s="621" t="s">
        <v>103</v>
      </c>
      <c r="S259" s="535" t="s">
        <v>104</v>
      </c>
      <c r="T259" s="621" t="s">
        <v>111</v>
      </c>
      <c r="U259" s="535" t="s">
        <v>104</v>
      </c>
      <c r="V259" s="622"/>
      <c r="W259" s="538"/>
      <c r="X259" s="406"/>
    </row>
    <row r="260" spans="1:24" s="426" customFormat="1" x14ac:dyDescent="0.3">
      <c r="A260" s="421"/>
      <c r="B260" s="552" t="s">
        <v>89</v>
      </c>
      <c r="C260" s="624"/>
      <c r="D260" s="624"/>
      <c r="E260" s="624"/>
      <c r="F260" s="494"/>
      <c r="G260" s="624"/>
      <c r="H260" s="624"/>
      <c r="I260" s="624"/>
      <c r="J260" s="624"/>
      <c r="K260" s="624"/>
      <c r="L260" s="624"/>
      <c r="M260" s="624"/>
      <c r="N260" s="624"/>
      <c r="O260" s="624"/>
      <c r="P260" s="624"/>
      <c r="Q260" s="624"/>
      <c r="R260" s="552">
        <v>80</v>
      </c>
      <c r="S260" s="630">
        <f>R260/$R$269</f>
        <v>0.81632653061224492</v>
      </c>
      <c r="T260" s="631">
        <v>14356</v>
      </c>
      <c r="U260" s="630">
        <f t="shared" ref="U260:U267" si="7">T260/$T$269</f>
        <v>0.86108445297504799</v>
      </c>
      <c r="V260" s="494"/>
      <c r="W260" s="424"/>
      <c r="X260" s="425"/>
    </row>
    <row r="261" spans="1:24" s="426" customFormat="1" x14ac:dyDescent="0.3">
      <c r="A261" s="443"/>
      <c r="B261" s="516" t="s">
        <v>90</v>
      </c>
      <c r="C261" s="627"/>
      <c r="D261" s="627"/>
      <c r="E261" s="627"/>
      <c r="F261" s="444"/>
      <c r="G261" s="628"/>
      <c r="H261" s="627"/>
      <c r="I261" s="627"/>
      <c r="J261" s="627"/>
      <c r="K261" s="627"/>
      <c r="L261" s="627"/>
      <c r="M261" s="627"/>
      <c r="N261" s="627"/>
      <c r="O261" s="627"/>
      <c r="P261" s="627"/>
      <c r="Q261" s="627"/>
      <c r="R261" s="516">
        <v>0</v>
      </c>
      <c r="S261" s="628">
        <f t="shared" ref="S261:S265" si="8">R261/$R$269</f>
        <v>0</v>
      </c>
      <c r="T261" s="517">
        <v>0</v>
      </c>
      <c r="U261" s="628">
        <f t="shared" si="7"/>
        <v>0</v>
      </c>
      <c r="V261" s="444"/>
      <c r="W261" s="446"/>
      <c r="X261" s="425"/>
    </row>
    <row r="262" spans="1:24" s="426" customFormat="1" x14ac:dyDescent="0.3">
      <c r="A262" s="443"/>
      <c r="B262" s="516" t="s">
        <v>91</v>
      </c>
      <c r="C262" s="627"/>
      <c r="D262" s="627"/>
      <c r="E262" s="627"/>
      <c r="F262" s="444"/>
      <c r="G262" s="628"/>
      <c r="H262" s="627"/>
      <c r="I262" s="627"/>
      <c r="J262" s="627"/>
      <c r="K262" s="627"/>
      <c r="L262" s="627"/>
      <c r="M262" s="627"/>
      <c r="N262" s="627"/>
      <c r="O262" s="627"/>
      <c r="P262" s="627"/>
      <c r="Q262" s="627"/>
      <c r="R262" s="516">
        <v>2</v>
      </c>
      <c r="S262" s="628">
        <f t="shared" si="8"/>
        <v>2.0408163265306121E-2</v>
      </c>
      <c r="T262" s="517">
        <v>199</v>
      </c>
      <c r="U262" s="628">
        <f t="shared" si="7"/>
        <v>1.1936180422264875E-2</v>
      </c>
      <c r="V262" s="444"/>
      <c r="W262" s="446"/>
      <c r="X262" s="425"/>
    </row>
    <row r="263" spans="1:24" s="426" customFormat="1" x14ac:dyDescent="0.3">
      <c r="A263" s="443"/>
      <c r="B263" s="516" t="s">
        <v>159</v>
      </c>
      <c r="C263" s="627"/>
      <c r="D263" s="627"/>
      <c r="E263" s="627"/>
      <c r="F263" s="444"/>
      <c r="G263" s="628"/>
      <c r="H263" s="627"/>
      <c r="I263" s="627"/>
      <c r="J263" s="627"/>
      <c r="K263" s="627"/>
      <c r="L263" s="627"/>
      <c r="M263" s="627"/>
      <c r="N263" s="627"/>
      <c r="O263" s="627"/>
      <c r="P263" s="627"/>
      <c r="Q263" s="627"/>
      <c r="R263" s="516">
        <v>1</v>
      </c>
      <c r="S263" s="628">
        <f t="shared" si="8"/>
        <v>1.020408163265306E-2</v>
      </c>
      <c r="T263" s="517">
        <v>97</v>
      </c>
      <c r="U263" s="628">
        <f t="shared" si="7"/>
        <v>5.8181381957773514E-3</v>
      </c>
      <c r="V263" s="444"/>
      <c r="W263" s="446"/>
      <c r="X263" s="425"/>
    </row>
    <row r="264" spans="1:24" s="426" customFormat="1" x14ac:dyDescent="0.3">
      <c r="A264" s="443"/>
      <c r="B264" s="516" t="s">
        <v>160</v>
      </c>
      <c r="C264" s="627"/>
      <c r="D264" s="627"/>
      <c r="E264" s="627"/>
      <c r="F264" s="444"/>
      <c r="G264" s="628"/>
      <c r="H264" s="627"/>
      <c r="I264" s="627"/>
      <c r="J264" s="627"/>
      <c r="K264" s="627"/>
      <c r="L264" s="627"/>
      <c r="M264" s="627"/>
      <c r="N264" s="627"/>
      <c r="O264" s="627"/>
      <c r="P264" s="627"/>
      <c r="Q264" s="627"/>
      <c r="R264" s="516">
        <v>0</v>
      </c>
      <c r="S264" s="628">
        <f t="shared" si="8"/>
        <v>0</v>
      </c>
      <c r="T264" s="517">
        <v>0</v>
      </c>
      <c r="U264" s="628">
        <f t="shared" si="7"/>
        <v>0</v>
      </c>
      <c r="V264" s="444"/>
      <c r="W264" s="446"/>
      <c r="X264" s="425"/>
    </row>
    <row r="265" spans="1:24" s="426" customFormat="1" x14ac:dyDescent="0.3">
      <c r="A265" s="443"/>
      <c r="B265" s="516" t="s">
        <v>161</v>
      </c>
      <c r="C265" s="627"/>
      <c r="D265" s="627"/>
      <c r="E265" s="627"/>
      <c r="F265" s="444"/>
      <c r="G265" s="628"/>
      <c r="H265" s="627"/>
      <c r="I265" s="627"/>
      <c r="J265" s="627"/>
      <c r="K265" s="627"/>
      <c r="L265" s="627"/>
      <c r="M265" s="627"/>
      <c r="N265" s="627"/>
      <c r="O265" s="627"/>
      <c r="P265" s="627"/>
      <c r="Q265" s="627"/>
      <c r="R265" s="516">
        <v>0</v>
      </c>
      <c r="S265" s="628">
        <f t="shared" si="8"/>
        <v>0</v>
      </c>
      <c r="T265" s="517">
        <v>0</v>
      </c>
      <c r="U265" s="628">
        <f t="shared" si="7"/>
        <v>0</v>
      </c>
      <c r="V265" s="444"/>
      <c r="W265" s="446"/>
      <c r="X265" s="425"/>
    </row>
    <row r="266" spans="1:24" s="426" customFormat="1" x14ac:dyDescent="0.3">
      <c r="A266" s="443"/>
      <c r="B266" s="516" t="s">
        <v>162</v>
      </c>
      <c r="C266" s="627"/>
      <c r="D266" s="627"/>
      <c r="E266" s="627"/>
      <c r="F266" s="444"/>
      <c r="G266" s="628"/>
      <c r="H266" s="627"/>
      <c r="I266" s="627"/>
      <c r="J266" s="627"/>
      <c r="K266" s="627"/>
      <c r="L266" s="627"/>
      <c r="M266" s="627"/>
      <c r="N266" s="627"/>
      <c r="O266" s="627"/>
      <c r="P266" s="627"/>
      <c r="Q266" s="627"/>
      <c r="R266" s="516">
        <v>3</v>
      </c>
      <c r="S266" s="628">
        <f>R266/$R$269</f>
        <v>3.0612244897959183E-2</v>
      </c>
      <c r="T266" s="517">
        <v>321</v>
      </c>
      <c r="U266" s="628">
        <f t="shared" si="7"/>
        <v>1.925383877159309E-2</v>
      </c>
      <c r="V266" s="444"/>
      <c r="W266" s="446"/>
      <c r="X266" s="425"/>
    </row>
    <row r="267" spans="1:24" s="426" customFormat="1" x14ac:dyDescent="0.3">
      <c r="A267" s="443"/>
      <c r="B267" s="516" t="s">
        <v>163</v>
      </c>
      <c r="C267" s="627"/>
      <c r="D267" s="627"/>
      <c r="E267" s="627"/>
      <c r="F267" s="444"/>
      <c r="G267" s="628"/>
      <c r="H267" s="627"/>
      <c r="I267" s="627"/>
      <c r="J267" s="627"/>
      <c r="K267" s="627"/>
      <c r="L267" s="627"/>
      <c r="M267" s="627"/>
      <c r="N267" s="627"/>
      <c r="O267" s="627"/>
      <c r="P267" s="627"/>
      <c r="Q267" s="627"/>
      <c r="R267" s="516">
        <v>12</v>
      </c>
      <c r="S267" s="628">
        <f>R267/$R$269</f>
        <v>0.12244897959183673</v>
      </c>
      <c r="T267" s="517">
        <v>1699</v>
      </c>
      <c r="U267" s="628">
        <f t="shared" si="7"/>
        <v>0.1019073896353167</v>
      </c>
      <c r="V267" s="444"/>
      <c r="W267" s="446"/>
      <c r="X267" s="425"/>
    </row>
    <row r="268" spans="1:24" s="426" customFormat="1" x14ac:dyDescent="0.3">
      <c r="A268" s="443"/>
      <c r="B268" s="516"/>
      <c r="C268" s="627"/>
      <c r="D268" s="627"/>
      <c r="E268" s="627"/>
      <c r="F268" s="444"/>
      <c r="G268" s="628"/>
      <c r="H268" s="627"/>
      <c r="I268" s="627"/>
      <c r="J268" s="627"/>
      <c r="K268" s="627"/>
      <c r="L268" s="627"/>
      <c r="M268" s="627"/>
      <c r="N268" s="627"/>
      <c r="O268" s="627"/>
      <c r="P268" s="627"/>
      <c r="Q268" s="627"/>
      <c r="R268" s="516"/>
      <c r="S268" s="628"/>
      <c r="T268" s="517"/>
      <c r="U268" s="628"/>
      <c r="V268" s="444"/>
      <c r="W268" s="446"/>
      <c r="X268" s="425"/>
    </row>
    <row r="269" spans="1:24" s="426" customFormat="1" x14ac:dyDescent="0.3">
      <c r="A269" s="443"/>
      <c r="B269" s="444" t="s">
        <v>117</v>
      </c>
      <c r="C269" s="444"/>
      <c r="D269" s="444"/>
      <c r="E269" s="444"/>
      <c r="F269" s="444"/>
      <c r="G269" s="444"/>
      <c r="H269" s="629"/>
      <c r="I269" s="629"/>
      <c r="J269" s="629"/>
      <c r="K269" s="629"/>
      <c r="L269" s="629"/>
      <c r="M269" s="629"/>
      <c r="N269" s="629"/>
      <c r="O269" s="629"/>
      <c r="P269" s="629"/>
      <c r="Q269" s="629"/>
      <c r="R269" s="516">
        <f>SUM(R260:R268)</f>
        <v>98</v>
      </c>
      <c r="S269" s="628">
        <f>SUM(S260:S268)</f>
        <v>1</v>
      </c>
      <c r="T269" s="517">
        <f>SUM(T260:T268)</f>
        <v>16672</v>
      </c>
      <c r="U269" s="628">
        <f>SUM(U260:U268)</f>
        <v>1</v>
      </c>
      <c r="V269" s="444"/>
      <c r="W269" s="446"/>
      <c r="X269" s="425"/>
    </row>
    <row r="270" spans="1:24" x14ac:dyDescent="0.3">
      <c r="A270" s="408"/>
      <c r="B270" s="518"/>
      <c r="C270" s="518"/>
      <c r="D270" s="518"/>
      <c r="E270" s="518"/>
      <c r="F270" s="518"/>
      <c r="G270" s="518"/>
      <c r="H270" s="632"/>
      <c r="I270" s="632"/>
      <c r="J270" s="632"/>
      <c r="K270" s="632"/>
      <c r="L270" s="632"/>
      <c r="M270" s="632"/>
      <c r="N270" s="632"/>
      <c r="O270" s="632"/>
      <c r="P270" s="632"/>
      <c r="Q270" s="632"/>
      <c r="R270" s="519"/>
      <c r="S270" s="633"/>
      <c r="T270" s="634"/>
      <c r="U270" s="633"/>
      <c r="V270" s="518"/>
      <c r="W270" s="411"/>
      <c r="X270" s="406"/>
    </row>
    <row r="271" spans="1:24" x14ac:dyDescent="0.3">
      <c r="A271" s="533"/>
      <c r="B271" s="534" t="s">
        <v>166</v>
      </c>
      <c r="C271" s="622"/>
      <c r="D271" s="622"/>
      <c r="E271" s="622"/>
      <c r="F271" s="622"/>
      <c r="G271" s="622"/>
      <c r="H271" s="635"/>
      <c r="I271" s="635"/>
      <c r="J271" s="635"/>
      <c r="K271" s="635"/>
      <c r="L271" s="635"/>
      <c r="M271" s="635"/>
      <c r="N271" s="635"/>
      <c r="O271" s="635"/>
      <c r="P271" s="635"/>
      <c r="Q271" s="635"/>
      <c r="R271" s="621" t="s">
        <v>103</v>
      </c>
      <c r="S271" s="535" t="s">
        <v>104</v>
      </c>
      <c r="T271" s="621" t="s">
        <v>111</v>
      </c>
      <c r="U271" s="535" t="s">
        <v>104</v>
      </c>
      <c r="V271" s="622"/>
      <c r="W271" s="538"/>
      <c r="X271" s="406"/>
    </row>
    <row r="272" spans="1:24" s="426" customFormat="1" x14ac:dyDescent="0.3">
      <c r="A272" s="421"/>
      <c r="B272" s="552" t="s">
        <v>89</v>
      </c>
      <c r="C272" s="494"/>
      <c r="D272" s="494"/>
      <c r="E272" s="494"/>
      <c r="F272" s="494"/>
      <c r="G272" s="494"/>
      <c r="H272" s="636"/>
      <c r="I272" s="636"/>
      <c r="J272" s="636"/>
      <c r="K272" s="636"/>
      <c r="L272" s="636"/>
      <c r="M272" s="636"/>
      <c r="N272" s="636"/>
      <c r="O272" s="636"/>
      <c r="P272" s="636"/>
      <c r="Q272" s="636"/>
      <c r="R272" s="552">
        <v>0</v>
      </c>
      <c r="S272" s="630">
        <v>0</v>
      </c>
      <c r="T272" s="631">
        <v>0</v>
      </c>
      <c r="U272" s="630">
        <v>0</v>
      </c>
      <c r="V272" s="494"/>
      <c r="W272" s="424"/>
      <c r="X272" s="425"/>
    </row>
    <row r="273" spans="1:24" s="426" customFormat="1" x14ac:dyDescent="0.3">
      <c r="A273" s="443"/>
      <c r="B273" s="516" t="s">
        <v>90</v>
      </c>
      <c r="C273" s="444"/>
      <c r="D273" s="444"/>
      <c r="E273" s="444"/>
      <c r="F273" s="444"/>
      <c r="G273" s="444"/>
      <c r="H273" s="629"/>
      <c r="I273" s="629"/>
      <c r="J273" s="629"/>
      <c r="K273" s="629"/>
      <c r="L273" s="629"/>
      <c r="M273" s="629"/>
      <c r="N273" s="629"/>
      <c r="O273" s="629"/>
      <c r="P273" s="629"/>
      <c r="Q273" s="629"/>
      <c r="R273" s="516">
        <v>0</v>
      </c>
      <c r="S273" s="628">
        <v>0</v>
      </c>
      <c r="T273" s="517">
        <v>0</v>
      </c>
      <c r="U273" s="628">
        <v>0</v>
      </c>
      <c r="V273" s="444"/>
      <c r="W273" s="446"/>
      <c r="X273" s="425"/>
    </row>
    <row r="274" spans="1:24" s="426" customFormat="1" x14ac:dyDescent="0.3">
      <c r="A274" s="443"/>
      <c r="B274" s="516" t="s">
        <v>91</v>
      </c>
      <c r="C274" s="444"/>
      <c r="D274" s="444"/>
      <c r="E274" s="444"/>
      <c r="F274" s="444"/>
      <c r="G274" s="444"/>
      <c r="H274" s="629"/>
      <c r="I274" s="629"/>
      <c r="J274" s="629"/>
      <c r="K274" s="629"/>
      <c r="L274" s="629"/>
      <c r="M274" s="629"/>
      <c r="N274" s="629"/>
      <c r="O274" s="629"/>
      <c r="P274" s="629"/>
      <c r="Q274" s="629"/>
      <c r="R274" s="516">
        <v>0</v>
      </c>
      <c r="S274" s="628">
        <v>0</v>
      </c>
      <c r="T274" s="517">
        <v>0</v>
      </c>
      <c r="U274" s="628">
        <v>0</v>
      </c>
      <c r="V274" s="444"/>
      <c r="W274" s="446"/>
      <c r="X274" s="425"/>
    </row>
    <row r="275" spans="1:24" s="426" customFormat="1" x14ac:dyDescent="0.3">
      <c r="A275" s="443"/>
      <c r="B275" s="516" t="s">
        <v>159</v>
      </c>
      <c r="C275" s="444"/>
      <c r="D275" s="444"/>
      <c r="E275" s="444"/>
      <c r="F275" s="444"/>
      <c r="G275" s="444"/>
      <c r="H275" s="629"/>
      <c r="I275" s="629"/>
      <c r="J275" s="629"/>
      <c r="K275" s="629"/>
      <c r="L275" s="629"/>
      <c r="M275" s="629"/>
      <c r="N275" s="629"/>
      <c r="O275" s="629"/>
      <c r="P275" s="629"/>
      <c r="Q275" s="629"/>
      <c r="R275" s="516">
        <v>0</v>
      </c>
      <c r="S275" s="628">
        <v>0</v>
      </c>
      <c r="T275" s="517">
        <v>0</v>
      </c>
      <c r="U275" s="628">
        <v>0</v>
      </c>
      <c r="V275" s="444"/>
      <c r="W275" s="446"/>
      <c r="X275" s="425"/>
    </row>
    <row r="276" spans="1:24" s="426" customFormat="1" x14ac:dyDescent="0.3">
      <c r="A276" s="443"/>
      <c r="B276" s="516" t="s">
        <v>160</v>
      </c>
      <c r="C276" s="444"/>
      <c r="D276" s="444"/>
      <c r="E276" s="444"/>
      <c r="F276" s="444"/>
      <c r="G276" s="444"/>
      <c r="H276" s="629"/>
      <c r="I276" s="629"/>
      <c r="J276" s="629"/>
      <c r="K276" s="629"/>
      <c r="L276" s="629"/>
      <c r="M276" s="629"/>
      <c r="N276" s="629"/>
      <c r="O276" s="629"/>
      <c r="P276" s="629"/>
      <c r="Q276" s="629"/>
      <c r="R276" s="516">
        <v>0</v>
      </c>
      <c r="S276" s="628">
        <v>0</v>
      </c>
      <c r="T276" s="517">
        <v>0</v>
      </c>
      <c r="U276" s="628">
        <v>0</v>
      </c>
      <c r="V276" s="444"/>
      <c r="W276" s="446"/>
      <c r="X276" s="425"/>
    </row>
    <row r="277" spans="1:24" s="426" customFormat="1" x14ac:dyDescent="0.3">
      <c r="A277" s="443"/>
      <c r="B277" s="516" t="s">
        <v>161</v>
      </c>
      <c r="C277" s="444"/>
      <c r="D277" s="444"/>
      <c r="E277" s="444"/>
      <c r="F277" s="444"/>
      <c r="G277" s="444"/>
      <c r="H277" s="629"/>
      <c r="I277" s="629"/>
      <c r="J277" s="629"/>
      <c r="K277" s="629"/>
      <c r="L277" s="629"/>
      <c r="M277" s="629"/>
      <c r="N277" s="629"/>
      <c r="O277" s="629"/>
      <c r="P277" s="629"/>
      <c r="Q277" s="629"/>
      <c r="R277" s="516">
        <v>0</v>
      </c>
      <c r="S277" s="628">
        <v>0</v>
      </c>
      <c r="T277" s="517">
        <v>0</v>
      </c>
      <c r="U277" s="628">
        <v>0</v>
      </c>
      <c r="V277" s="444"/>
      <c r="W277" s="446"/>
      <c r="X277" s="425"/>
    </row>
    <row r="278" spans="1:24" s="426" customFormat="1" x14ac:dyDescent="0.3">
      <c r="A278" s="443"/>
      <c r="B278" s="516" t="s">
        <v>162</v>
      </c>
      <c r="C278" s="444"/>
      <c r="D278" s="444"/>
      <c r="E278" s="444"/>
      <c r="F278" s="444"/>
      <c r="G278" s="444"/>
      <c r="H278" s="629"/>
      <c r="I278" s="629"/>
      <c r="J278" s="629"/>
      <c r="K278" s="629"/>
      <c r="L278" s="629"/>
      <c r="M278" s="629"/>
      <c r="N278" s="629"/>
      <c r="O278" s="629"/>
      <c r="P278" s="629"/>
      <c r="Q278" s="629"/>
      <c r="R278" s="516">
        <v>0</v>
      </c>
      <c r="S278" s="628">
        <v>0</v>
      </c>
      <c r="T278" s="517">
        <v>0</v>
      </c>
      <c r="U278" s="628">
        <v>0</v>
      </c>
      <c r="V278" s="444"/>
      <c r="W278" s="446"/>
      <c r="X278" s="425"/>
    </row>
    <row r="279" spans="1:24" s="426" customFormat="1" x14ac:dyDescent="0.3">
      <c r="A279" s="443"/>
      <c r="B279" s="516" t="s">
        <v>163</v>
      </c>
      <c r="C279" s="444"/>
      <c r="D279" s="444"/>
      <c r="E279" s="444"/>
      <c r="F279" s="444"/>
      <c r="G279" s="444"/>
      <c r="H279" s="629"/>
      <c r="I279" s="629"/>
      <c r="J279" s="629"/>
      <c r="K279" s="629"/>
      <c r="L279" s="629"/>
      <c r="M279" s="629"/>
      <c r="N279" s="629"/>
      <c r="O279" s="629"/>
      <c r="P279" s="629"/>
      <c r="Q279" s="629"/>
      <c r="R279" s="516">
        <v>0</v>
      </c>
      <c r="S279" s="628">
        <v>0</v>
      </c>
      <c r="T279" s="517">
        <v>0</v>
      </c>
      <c r="U279" s="628">
        <v>0</v>
      </c>
      <c r="V279" s="444"/>
      <c r="W279" s="446"/>
      <c r="X279" s="425"/>
    </row>
    <row r="280" spans="1:24" s="426" customFormat="1" x14ac:dyDescent="0.3">
      <c r="A280" s="443"/>
      <c r="B280" s="516"/>
      <c r="C280" s="444"/>
      <c r="D280" s="444"/>
      <c r="E280" s="444"/>
      <c r="F280" s="444"/>
      <c r="G280" s="444"/>
      <c r="H280" s="629"/>
      <c r="I280" s="629"/>
      <c r="J280" s="629"/>
      <c r="K280" s="629"/>
      <c r="L280" s="629"/>
      <c r="M280" s="629"/>
      <c r="N280" s="629"/>
      <c r="O280" s="629"/>
      <c r="P280" s="629"/>
      <c r="Q280" s="629"/>
      <c r="R280" s="516"/>
      <c r="S280" s="628"/>
      <c r="T280" s="517"/>
      <c r="U280" s="628"/>
      <c r="V280" s="444"/>
      <c r="W280" s="446"/>
      <c r="X280" s="425"/>
    </row>
    <row r="281" spans="1:24" s="426" customFormat="1" x14ac:dyDescent="0.3">
      <c r="A281" s="443"/>
      <c r="B281" s="444" t="s">
        <v>117</v>
      </c>
      <c r="C281" s="444"/>
      <c r="D281" s="444"/>
      <c r="E281" s="444"/>
      <c r="F281" s="444"/>
      <c r="G281" s="444"/>
      <c r="H281" s="629"/>
      <c r="I281" s="629"/>
      <c r="J281" s="629"/>
      <c r="K281" s="629"/>
      <c r="L281" s="629"/>
      <c r="M281" s="629"/>
      <c r="N281" s="629"/>
      <c r="O281" s="629"/>
      <c r="P281" s="629"/>
      <c r="Q281" s="629"/>
      <c r="R281" s="516">
        <f>SUM(R272:R279)</f>
        <v>0</v>
      </c>
      <c r="S281" s="628">
        <f>SUM(S272:S279)</f>
        <v>0</v>
      </c>
      <c r="T281" s="517">
        <f>SUM(T272:T279)</f>
        <v>0</v>
      </c>
      <c r="U281" s="628">
        <f>SUM(U272:U279)</f>
        <v>0</v>
      </c>
      <c r="V281" s="444"/>
      <c r="W281" s="446"/>
      <c r="X281" s="425"/>
    </row>
    <row r="282" spans="1:24" s="426" customFormat="1" x14ac:dyDescent="0.3">
      <c r="A282" s="443"/>
      <c r="B282" s="444"/>
      <c r="C282" s="444"/>
      <c r="D282" s="444"/>
      <c r="E282" s="444"/>
      <c r="F282" s="444"/>
      <c r="G282" s="444"/>
      <c r="H282" s="629"/>
      <c r="I282" s="629"/>
      <c r="J282" s="629"/>
      <c r="K282" s="629"/>
      <c r="L282" s="629"/>
      <c r="M282" s="629"/>
      <c r="N282" s="629"/>
      <c r="O282" s="629"/>
      <c r="P282" s="629"/>
      <c r="Q282" s="629"/>
      <c r="R282" s="516"/>
      <c r="S282" s="628"/>
      <c r="T282" s="517"/>
      <c r="U282" s="628"/>
      <c r="V282" s="444"/>
      <c r="W282" s="446"/>
      <c r="X282" s="425"/>
    </row>
    <row r="283" spans="1:24" s="426" customFormat="1" x14ac:dyDescent="0.3">
      <c r="A283" s="443"/>
      <c r="B283" s="449" t="s">
        <v>167</v>
      </c>
      <c r="C283" s="444"/>
      <c r="D283" s="444"/>
      <c r="E283" s="444"/>
      <c r="F283" s="444"/>
      <c r="G283" s="444"/>
      <c r="H283" s="629"/>
      <c r="I283" s="629"/>
      <c r="J283" s="629"/>
      <c r="K283" s="629"/>
      <c r="L283" s="629"/>
      <c r="M283" s="629"/>
      <c r="N283" s="629"/>
      <c r="O283" s="629"/>
      <c r="P283" s="629"/>
      <c r="Q283" s="629"/>
      <c r="R283" s="637">
        <f>R281+R269+R257</f>
        <v>5849</v>
      </c>
      <c r="S283" s="628"/>
      <c r="T283" s="638">
        <f>+T281+T269+T257</f>
        <v>750042</v>
      </c>
      <c r="U283" s="628"/>
      <c r="V283" s="444"/>
      <c r="W283" s="446"/>
      <c r="X283" s="425"/>
    </row>
    <row r="284" spans="1:24" s="426" customFormat="1" x14ac:dyDescent="0.3">
      <c r="A284" s="421"/>
      <c r="B284" s="494"/>
      <c r="C284" s="494"/>
      <c r="D284" s="494"/>
      <c r="E284" s="494"/>
      <c r="F284" s="494"/>
      <c r="G284" s="494"/>
      <c r="H284" s="636"/>
      <c r="I284" s="636"/>
      <c r="J284" s="636"/>
      <c r="K284" s="636"/>
      <c r="L284" s="636"/>
      <c r="M284" s="636"/>
      <c r="N284" s="636"/>
      <c r="O284" s="636"/>
      <c r="P284" s="636"/>
      <c r="Q284" s="636"/>
      <c r="R284" s="636"/>
      <c r="S284" s="636"/>
      <c r="T284" s="631"/>
      <c r="U284" s="636"/>
      <c r="V284" s="494"/>
      <c r="W284" s="424"/>
      <c r="X284" s="425"/>
    </row>
    <row r="285" spans="1:24" s="426" customFormat="1" x14ac:dyDescent="0.3">
      <c r="A285" s="421"/>
      <c r="B285" s="422"/>
      <c r="C285" s="422"/>
      <c r="D285" s="422"/>
      <c r="E285" s="422"/>
      <c r="F285" s="422"/>
      <c r="G285" s="422"/>
      <c r="H285" s="639"/>
      <c r="I285" s="639"/>
      <c r="J285" s="639"/>
      <c r="K285" s="639"/>
      <c r="L285" s="639"/>
      <c r="M285" s="639"/>
      <c r="N285" s="639"/>
      <c r="O285" s="639"/>
      <c r="P285" s="639"/>
      <c r="Q285" s="639"/>
      <c r="R285" s="639"/>
      <c r="S285" s="639"/>
      <c r="T285" s="640"/>
      <c r="U285" s="639"/>
      <c r="V285" s="422"/>
      <c r="W285" s="424"/>
      <c r="X285" s="425"/>
    </row>
    <row r="286" spans="1:24" s="426" customFormat="1" x14ac:dyDescent="0.3">
      <c r="A286" s="421"/>
      <c r="B286" s="420" t="s">
        <v>92</v>
      </c>
      <c r="C286" s="422"/>
      <c r="D286" s="422"/>
      <c r="E286" s="422"/>
      <c r="F286" s="429" t="s">
        <v>98</v>
      </c>
      <c r="G286" s="422"/>
      <c r="H286" s="420" t="s">
        <v>100</v>
      </c>
      <c r="I286" s="420"/>
      <c r="J286" s="420"/>
      <c r="K286" s="422"/>
      <c r="L286" s="422"/>
      <c r="M286" s="422"/>
      <c r="N286" s="422"/>
      <c r="O286" s="422"/>
      <c r="P286" s="422"/>
      <c r="Q286" s="422"/>
      <c r="R286" s="422"/>
      <c r="S286" s="422"/>
      <c r="T286" s="422"/>
      <c r="U286" s="422"/>
      <c r="V286" s="422"/>
      <c r="W286" s="424"/>
      <c r="X286" s="425"/>
    </row>
    <row r="287" spans="1:24" s="426" customFormat="1" x14ac:dyDescent="0.3">
      <c r="A287" s="421"/>
      <c r="B287" s="420" t="s">
        <v>336</v>
      </c>
      <c r="C287" s="420"/>
      <c r="D287" s="420"/>
      <c r="E287" s="420"/>
      <c r="F287" s="641" t="s">
        <v>282</v>
      </c>
      <c r="G287" s="420"/>
      <c r="H287" s="420" t="s">
        <v>371</v>
      </c>
      <c r="I287" s="422"/>
      <c r="J287" s="420"/>
      <c r="K287" s="422"/>
      <c r="L287" s="422"/>
      <c r="M287" s="422"/>
      <c r="N287" s="422"/>
      <c r="O287" s="422"/>
      <c r="P287" s="422"/>
      <c r="Q287" s="422"/>
      <c r="R287" s="422"/>
      <c r="S287" s="422"/>
      <c r="T287" s="422"/>
      <c r="U287" s="422"/>
      <c r="V287" s="422"/>
      <c r="W287" s="424"/>
      <c r="X287" s="425"/>
    </row>
    <row r="288" spans="1:24" s="426" customFormat="1" x14ac:dyDescent="0.3">
      <c r="A288" s="421"/>
      <c r="B288" s="420" t="s">
        <v>337</v>
      </c>
      <c r="C288" s="420"/>
      <c r="D288" s="420"/>
      <c r="E288" s="420"/>
      <c r="F288" s="641" t="s">
        <v>150</v>
      </c>
      <c r="G288" s="420"/>
      <c r="H288" s="420" t="s">
        <v>372</v>
      </c>
      <c r="I288" s="420"/>
      <c r="J288" s="420"/>
      <c r="K288" s="422"/>
      <c r="L288" s="422"/>
      <c r="M288" s="422"/>
      <c r="N288" s="422"/>
      <c r="O288" s="422"/>
      <c r="P288" s="422"/>
      <c r="Q288" s="422"/>
      <c r="R288" s="422"/>
      <c r="S288" s="422"/>
      <c r="T288" s="422"/>
      <c r="U288" s="422"/>
      <c r="V288" s="422"/>
      <c r="W288" s="424"/>
      <c r="X288" s="425"/>
    </row>
    <row r="289" spans="1:24" s="426" customFormat="1" x14ac:dyDescent="0.3">
      <c r="A289" s="421"/>
      <c r="B289" s="420"/>
      <c r="C289" s="420"/>
      <c r="D289" s="420"/>
      <c r="E289" s="420"/>
      <c r="F289" s="641"/>
      <c r="G289" s="420"/>
      <c r="H289" s="420"/>
      <c r="I289" s="420"/>
      <c r="J289" s="420"/>
      <c r="K289" s="422"/>
      <c r="L289" s="422"/>
      <c r="M289" s="422"/>
      <c r="N289" s="422"/>
      <c r="O289" s="422"/>
      <c r="P289" s="422"/>
      <c r="Q289" s="422"/>
      <c r="R289" s="422"/>
      <c r="S289" s="422"/>
      <c r="T289" s="422"/>
      <c r="U289" s="422"/>
      <c r="V289" s="422"/>
      <c r="W289" s="424"/>
      <c r="X289" s="425"/>
    </row>
    <row r="290" spans="1:24" s="426" customFormat="1" x14ac:dyDescent="0.3">
      <c r="A290" s="421"/>
      <c r="B290" s="494" t="s">
        <v>367</v>
      </c>
      <c r="C290" s="420"/>
      <c r="D290" s="420"/>
      <c r="E290" s="420"/>
      <c r="F290" s="641"/>
      <c r="G290" s="420"/>
      <c r="H290" s="420"/>
      <c r="I290" s="420"/>
      <c r="J290" s="420"/>
      <c r="K290" s="422"/>
      <c r="L290" s="422"/>
      <c r="M290" s="422"/>
      <c r="N290" s="422"/>
      <c r="O290" s="422"/>
      <c r="P290" s="422"/>
      <c r="Q290" s="422"/>
      <c r="R290" s="422"/>
      <c r="S290" s="422"/>
      <c r="T290" s="422"/>
      <c r="U290" s="422"/>
      <c r="V290" s="422"/>
      <c r="W290" s="424"/>
      <c r="X290" s="425"/>
    </row>
    <row r="291" spans="1:24" s="426" customFormat="1" x14ac:dyDescent="0.3">
      <c r="A291" s="421"/>
      <c r="B291" s="494" t="s">
        <v>373</v>
      </c>
      <c r="C291" s="420"/>
      <c r="D291" s="420"/>
      <c r="E291" s="420"/>
      <c r="F291" s="641"/>
      <c r="G291" s="420"/>
      <c r="H291" s="420"/>
      <c r="I291" s="420"/>
      <c r="J291" s="420"/>
      <c r="K291" s="422"/>
      <c r="L291" s="422"/>
      <c r="M291" s="422"/>
      <c r="N291" s="422"/>
      <c r="O291" s="422"/>
      <c r="P291" s="422"/>
      <c r="Q291" s="422"/>
      <c r="R291" s="422"/>
      <c r="S291" s="422"/>
      <c r="T291" s="422"/>
      <c r="U291" s="422"/>
      <c r="V291" s="422"/>
      <c r="W291" s="424"/>
      <c r="X291" s="425"/>
    </row>
    <row r="292" spans="1:24" s="426" customFormat="1" x14ac:dyDescent="0.3">
      <c r="A292" s="421"/>
      <c r="B292" s="494" t="s">
        <v>365</v>
      </c>
      <c r="C292" s="420"/>
      <c r="D292" s="420"/>
      <c r="E292" s="420"/>
      <c r="F292" s="641"/>
      <c r="G292" s="420"/>
      <c r="H292" s="420"/>
      <c r="I292" s="420"/>
      <c r="J292" s="420"/>
      <c r="K292" s="422"/>
      <c r="L292" s="422"/>
      <c r="M292" s="422"/>
      <c r="N292" s="422"/>
      <c r="O292" s="422"/>
      <c r="P292" s="422"/>
      <c r="Q292" s="422"/>
      <c r="R292" s="422"/>
      <c r="S292" s="422"/>
      <c r="T292" s="422"/>
      <c r="U292" s="422"/>
      <c r="V292" s="422"/>
      <c r="W292" s="424"/>
      <c r="X292" s="425"/>
    </row>
    <row r="293" spans="1:24" s="426" customFormat="1" x14ac:dyDescent="0.3">
      <c r="A293" s="421"/>
      <c r="B293" s="494" t="s">
        <v>366</v>
      </c>
      <c r="C293" s="420"/>
      <c r="D293" s="420"/>
      <c r="E293" s="420"/>
      <c r="F293" s="641"/>
      <c r="G293" s="420"/>
      <c r="H293" s="420"/>
      <c r="I293" s="420"/>
      <c r="J293" s="420"/>
      <c r="K293" s="422"/>
      <c r="L293" s="422"/>
      <c r="M293" s="422"/>
      <c r="N293" s="422"/>
      <c r="O293" s="422"/>
      <c r="P293" s="422"/>
      <c r="Q293" s="422"/>
      <c r="R293" s="422"/>
      <c r="S293" s="422"/>
      <c r="T293" s="422"/>
      <c r="U293" s="422"/>
      <c r="V293" s="422"/>
      <c r="W293" s="424"/>
      <c r="X293" s="425"/>
    </row>
    <row r="294" spans="1:24" x14ac:dyDescent="0.3">
      <c r="A294" s="408"/>
      <c r="B294" s="642"/>
      <c r="C294" s="642"/>
      <c r="D294" s="642"/>
      <c r="E294" s="642"/>
      <c r="F294" s="643"/>
      <c r="G294" s="642"/>
      <c r="H294" s="642"/>
      <c r="I294" s="642"/>
      <c r="J294" s="642"/>
      <c r="K294" s="531"/>
      <c r="L294" s="531"/>
      <c r="M294" s="531"/>
      <c r="N294" s="531"/>
      <c r="O294" s="531"/>
      <c r="P294" s="531"/>
      <c r="Q294" s="531"/>
      <c r="R294" s="531"/>
      <c r="S294" s="531"/>
      <c r="T294" s="531"/>
      <c r="U294" s="531"/>
      <c r="V294" s="531"/>
      <c r="W294" s="532"/>
      <c r="X294" s="406"/>
    </row>
    <row r="295" spans="1:24" ht="18" x14ac:dyDescent="0.35">
      <c r="A295" s="408"/>
      <c r="B295" s="644" t="s">
        <v>368</v>
      </c>
      <c r="C295" s="642"/>
      <c r="D295" s="642"/>
      <c r="E295" s="642"/>
      <c r="F295" s="642"/>
      <c r="G295" s="642"/>
      <c r="H295" s="531"/>
      <c r="I295" s="531"/>
      <c r="J295" s="531"/>
      <c r="K295" s="531"/>
      <c r="L295" s="410"/>
      <c r="M295" s="410"/>
      <c r="N295" s="645"/>
      <c r="O295" s="410"/>
      <c r="P295" s="646" t="s">
        <v>370</v>
      </c>
      <c r="Q295" s="531"/>
      <c r="R295" s="531"/>
      <c r="S295" s="531"/>
      <c r="T295" s="531"/>
      <c r="U295" s="531"/>
      <c r="V295" s="531"/>
      <c r="W295" s="532"/>
      <c r="X295" s="406"/>
    </row>
    <row r="296" spans="1:24" x14ac:dyDescent="0.3">
      <c r="A296" s="408"/>
      <c r="B296" s="642"/>
      <c r="C296" s="642"/>
      <c r="D296" s="642"/>
      <c r="E296" s="642"/>
      <c r="F296" s="642"/>
      <c r="G296" s="642"/>
      <c r="H296" s="531"/>
      <c r="I296" s="531"/>
      <c r="J296" s="531"/>
      <c r="K296" s="531"/>
      <c r="L296" s="531"/>
      <c r="M296" s="531"/>
      <c r="N296" s="531"/>
      <c r="O296" s="531"/>
      <c r="P296" s="531"/>
      <c r="Q296" s="531"/>
      <c r="R296" s="531"/>
      <c r="S296" s="531"/>
      <c r="T296" s="531"/>
      <c r="U296" s="531"/>
      <c r="V296" s="531"/>
      <c r="W296" s="532"/>
      <c r="X296" s="406"/>
    </row>
    <row r="297" spans="1:24" ht="18.600000000000001" thickBot="1" x14ac:dyDescent="0.4">
      <c r="A297" s="408"/>
      <c r="B297" s="647" t="str">
        <f>B197</f>
        <v>PM13 INVESTOR REPORT QUARTER ENDING SEPTEMBER 2018</v>
      </c>
      <c r="C297" s="642"/>
      <c r="D297" s="642"/>
      <c r="E297" s="642"/>
      <c r="F297" s="642"/>
      <c r="G297" s="642"/>
      <c r="H297" s="531"/>
      <c r="I297" s="531"/>
      <c r="J297" s="531"/>
      <c r="K297" s="531"/>
      <c r="L297" s="531"/>
      <c r="M297" s="531"/>
      <c r="N297" s="531"/>
      <c r="O297" s="531"/>
      <c r="P297" s="531"/>
      <c r="Q297" s="531"/>
      <c r="R297" s="531"/>
      <c r="S297" s="531"/>
      <c r="T297" s="531"/>
      <c r="U297" s="531"/>
      <c r="V297" s="531"/>
      <c r="W297" s="648"/>
      <c r="X297" s="406"/>
    </row>
    <row r="298" spans="1:24" x14ac:dyDescent="0.3">
      <c r="A298" s="649"/>
      <c r="B298" s="649"/>
      <c r="C298" s="649"/>
      <c r="D298" s="649"/>
      <c r="E298" s="649"/>
      <c r="F298" s="649"/>
      <c r="G298" s="649"/>
      <c r="H298" s="649"/>
      <c r="I298" s="649"/>
      <c r="J298" s="649"/>
      <c r="K298" s="649"/>
      <c r="L298" s="649"/>
      <c r="M298" s="649"/>
      <c r="N298" s="649"/>
      <c r="O298" s="649"/>
      <c r="P298" s="649"/>
      <c r="Q298" s="649"/>
      <c r="R298" s="649"/>
      <c r="S298" s="649"/>
      <c r="T298" s="649"/>
      <c r="U298" s="649"/>
      <c r="V298" s="649"/>
      <c r="W298" s="649"/>
    </row>
  </sheetData>
  <hyperlinks>
    <hyperlink ref="P233" r:id="rId1" display="http://www.paragon-group.co.uk" xr:uid="{00000000-0004-0000-2F00-000000000000}"/>
    <hyperlink ref="I9" r:id="rId2" display="http://www.paragon-group.co.uk" xr:uid="{00000000-0004-0000-2F00-000001000000}"/>
    <hyperlink ref="P295" r:id="rId3" display="http://www.paragon-group.co.uk" xr:uid="{00000000-0004-0000-2F00-000002000000}"/>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37" max="22" man="1"/>
    <brk id="197" max="22" man="1"/>
  </rowBreaks>
  <drawing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89CB31"/>
  </sheetPr>
  <dimension ref="A1:Z298"/>
  <sheetViews>
    <sheetView showGridLines="0" showOutlineSymbols="0" zoomScale="70" zoomScaleNormal="70" workbookViewId="0"/>
  </sheetViews>
  <sheetFormatPr defaultColWidth="9.81640625" defaultRowHeight="15.6" x14ac:dyDescent="0.3"/>
  <cols>
    <col min="1" max="1" width="4" style="407" customWidth="1"/>
    <col min="2" max="2" width="71.08984375" style="407" customWidth="1"/>
    <col min="3" max="3" width="2.08984375" style="407" customWidth="1"/>
    <col min="4" max="4" width="19.1796875" style="407" customWidth="1"/>
    <col min="5" max="5" width="2.08984375" style="407" customWidth="1"/>
    <col min="6" max="6" width="25.08984375" style="407" customWidth="1"/>
    <col min="7" max="7" width="2.08984375" style="407" customWidth="1"/>
    <col min="8" max="8" width="16.08984375" style="407" customWidth="1"/>
    <col min="9" max="9" width="2.81640625" style="407" customWidth="1"/>
    <col min="10" max="10" width="16.08984375" style="407" customWidth="1"/>
    <col min="11" max="11" width="2.08984375" style="407" customWidth="1"/>
    <col min="12" max="12" width="17.81640625" style="407" customWidth="1"/>
    <col min="13" max="13" width="2.1796875" style="407" customWidth="1"/>
    <col min="14" max="14" width="14.81640625" style="407" customWidth="1"/>
    <col min="15" max="15" width="2.1796875" style="407" customWidth="1"/>
    <col min="16" max="16" width="15.54296875" style="407" customWidth="1"/>
    <col min="17" max="17" width="2.08984375" style="407" customWidth="1"/>
    <col min="18" max="18" width="15.54296875" style="407" customWidth="1"/>
    <col min="19" max="20" width="12.81640625" style="407" customWidth="1"/>
    <col min="21" max="21" width="7.81640625" style="407" customWidth="1"/>
    <col min="22" max="22" width="14.81640625" style="407" customWidth="1"/>
    <col min="23" max="23" width="11.81640625" style="407" customWidth="1"/>
    <col min="24" max="16384" width="9.81640625" style="407"/>
  </cols>
  <sheetData>
    <row r="1" spans="1:24" ht="21" x14ac:dyDescent="0.4">
      <c r="A1" s="402"/>
      <c r="B1" s="403" t="s">
        <v>238</v>
      </c>
      <c r="C1" s="404"/>
      <c r="D1" s="404"/>
      <c r="E1" s="404"/>
      <c r="F1" s="404"/>
      <c r="G1" s="404"/>
      <c r="H1" s="404"/>
      <c r="I1" s="404"/>
      <c r="J1" s="404"/>
      <c r="K1" s="404"/>
      <c r="L1" s="404"/>
      <c r="M1" s="404"/>
      <c r="N1" s="404"/>
      <c r="O1" s="404"/>
      <c r="P1" s="404"/>
      <c r="Q1" s="404"/>
      <c r="R1" s="404"/>
      <c r="S1" s="404"/>
      <c r="T1" s="404"/>
      <c r="U1" s="404"/>
      <c r="V1" s="404"/>
      <c r="W1" s="405"/>
      <c r="X1" s="406"/>
    </row>
    <row r="2" spans="1:24" x14ac:dyDescent="0.3">
      <c r="A2" s="408"/>
      <c r="B2" s="409"/>
      <c r="C2" s="410"/>
      <c r="D2" s="410"/>
      <c r="E2" s="410"/>
      <c r="F2" s="410"/>
      <c r="G2" s="410"/>
      <c r="H2" s="410"/>
      <c r="I2" s="410"/>
      <c r="J2" s="410"/>
      <c r="K2" s="410"/>
      <c r="L2" s="410"/>
      <c r="M2" s="410"/>
      <c r="N2" s="410"/>
      <c r="O2" s="410"/>
      <c r="P2" s="410"/>
      <c r="Q2" s="410"/>
      <c r="R2" s="410"/>
      <c r="S2" s="410"/>
      <c r="T2" s="410"/>
      <c r="U2" s="410"/>
      <c r="V2" s="410"/>
      <c r="W2" s="411"/>
      <c r="X2" s="406"/>
    </row>
    <row r="3" spans="1:24" x14ac:dyDescent="0.3">
      <c r="A3" s="412"/>
      <c r="B3" s="413" t="s">
        <v>239</v>
      </c>
      <c r="C3" s="410"/>
      <c r="D3" s="410"/>
      <c r="E3" s="410"/>
      <c r="F3" s="410"/>
      <c r="G3" s="410"/>
      <c r="H3" s="410"/>
      <c r="I3" s="410"/>
      <c r="J3" s="410"/>
      <c r="K3" s="410"/>
      <c r="L3" s="410"/>
      <c r="M3" s="410"/>
      <c r="N3" s="410"/>
      <c r="O3" s="410"/>
      <c r="P3" s="410"/>
      <c r="Q3" s="410"/>
      <c r="R3" s="410"/>
      <c r="S3" s="410"/>
      <c r="T3" s="410"/>
      <c r="U3" s="410"/>
      <c r="V3" s="410"/>
      <c r="W3" s="411"/>
      <c r="X3" s="406"/>
    </row>
    <row r="4" spans="1:24" x14ac:dyDescent="0.3">
      <c r="A4" s="408"/>
      <c r="B4" s="409"/>
      <c r="C4" s="410"/>
      <c r="D4" s="410"/>
      <c r="E4" s="410"/>
      <c r="F4" s="410"/>
      <c r="G4" s="410"/>
      <c r="H4" s="410"/>
      <c r="I4" s="410"/>
      <c r="J4" s="410"/>
      <c r="K4" s="410"/>
      <c r="L4" s="410"/>
      <c r="M4" s="410"/>
      <c r="N4" s="410"/>
      <c r="O4" s="410"/>
      <c r="P4" s="410"/>
      <c r="Q4" s="410"/>
      <c r="R4" s="410"/>
      <c r="S4" s="410"/>
      <c r="T4" s="410"/>
      <c r="U4" s="410"/>
      <c r="V4" s="410"/>
      <c r="W4" s="411"/>
      <c r="X4" s="406"/>
    </row>
    <row r="5" spans="1:24" x14ac:dyDescent="0.3">
      <c r="A5" s="408"/>
      <c r="B5" s="414" t="s">
        <v>140</v>
      </c>
      <c r="C5" s="410"/>
      <c r="D5" s="410"/>
      <c r="E5" s="410"/>
      <c r="F5" s="410"/>
      <c r="G5" s="410"/>
      <c r="H5" s="410"/>
      <c r="I5" s="410"/>
      <c r="J5" s="410"/>
      <c r="K5" s="410"/>
      <c r="L5" s="410"/>
      <c r="M5" s="410"/>
      <c r="N5" s="410"/>
      <c r="O5" s="410"/>
      <c r="P5" s="410"/>
      <c r="Q5" s="410"/>
      <c r="R5" s="410"/>
      <c r="S5" s="410"/>
      <c r="T5" s="410"/>
      <c r="U5" s="410"/>
      <c r="V5" s="410"/>
      <c r="W5" s="411"/>
      <c r="X5" s="406"/>
    </row>
    <row r="6" spans="1:24" x14ac:dyDescent="0.3">
      <c r="A6" s="408"/>
      <c r="B6" s="414" t="s">
        <v>142</v>
      </c>
      <c r="C6" s="410"/>
      <c r="D6" s="410"/>
      <c r="E6" s="410"/>
      <c r="F6" s="410"/>
      <c r="G6" s="410"/>
      <c r="H6" s="410"/>
      <c r="I6" s="410"/>
      <c r="J6" s="410"/>
      <c r="K6" s="410"/>
      <c r="L6" s="410"/>
      <c r="M6" s="410"/>
      <c r="N6" s="410"/>
      <c r="O6" s="410"/>
      <c r="P6" s="410"/>
      <c r="Q6" s="410"/>
      <c r="R6" s="410"/>
      <c r="S6" s="410"/>
      <c r="T6" s="410"/>
      <c r="U6" s="410"/>
      <c r="V6" s="410"/>
      <c r="W6" s="411"/>
      <c r="X6" s="406"/>
    </row>
    <row r="7" spans="1:24" x14ac:dyDescent="0.3">
      <c r="A7" s="408"/>
      <c r="B7" s="414" t="s">
        <v>141</v>
      </c>
      <c r="C7" s="410"/>
      <c r="D7" s="410"/>
      <c r="E7" s="410"/>
      <c r="F7" s="410"/>
      <c r="G7" s="410"/>
      <c r="H7" s="410"/>
      <c r="I7" s="410"/>
      <c r="J7" s="410"/>
      <c r="K7" s="410"/>
      <c r="L7" s="410"/>
      <c r="M7" s="410"/>
      <c r="N7" s="410"/>
      <c r="O7" s="410"/>
      <c r="P7" s="410"/>
      <c r="Q7" s="410"/>
      <c r="R7" s="410"/>
      <c r="S7" s="410"/>
      <c r="T7" s="410"/>
      <c r="U7" s="410"/>
      <c r="V7" s="410"/>
      <c r="W7" s="411"/>
      <c r="X7" s="406"/>
    </row>
    <row r="8" spans="1:24" x14ac:dyDescent="0.3">
      <c r="A8" s="408"/>
      <c r="B8" s="415"/>
      <c r="C8" s="410"/>
      <c r="D8" s="410"/>
      <c r="E8" s="410"/>
      <c r="F8" s="410"/>
      <c r="G8" s="410"/>
      <c r="H8" s="410"/>
      <c r="I8" s="410"/>
      <c r="J8" s="410"/>
      <c r="K8" s="410"/>
      <c r="L8" s="410"/>
      <c r="M8" s="410"/>
      <c r="N8" s="410"/>
      <c r="O8" s="410"/>
      <c r="P8" s="410"/>
      <c r="Q8" s="410"/>
      <c r="R8" s="410"/>
      <c r="S8" s="410"/>
      <c r="T8" s="410"/>
      <c r="U8" s="410"/>
      <c r="V8" s="410"/>
      <c r="W8" s="411"/>
      <c r="X8" s="406"/>
    </row>
    <row r="9" spans="1:24" ht="18" x14ac:dyDescent="0.35">
      <c r="A9" s="408"/>
      <c r="B9" s="413" t="s">
        <v>169</v>
      </c>
      <c r="C9" s="410"/>
      <c r="D9" s="410"/>
      <c r="E9" s="410"/>
      <c r="F9" s="410"/>
      <c r="G9" s="410"/>
      <c r="H9" s="410"/>
      <c r="I9" s="416" t="s">
        <v>370</v>
      </c>
      <c r="J9" s="410"/>
      <c r="K9" s="410"/>
      <c r="L9" s="417"/>
      <c r="M9" s="410"/>
      <c r="N9" s="418"/>
      <c r="O9" s="410"/>
      <c r="P9" s="410"/>
      <c r="Q9" s="410"/>
      <c r="R9" s="410"/>
      <c r="S9" s="410"/>
      <c r="T9" s="410"/>
      <c r="U9" s="410"/>
      <c r="V9" s="410"/>
      <c r="W9" s="411"/>
      <c r="X9" s="406"/>
    </row>
    <row r="10" spans="1:24" x14ac:dyDescent="0.3">
      <c r="A10" s="408"/>
      <c r="B10" s="415"/>
      <c r="C10" s="419"/>
      <c r="D10" s="419"/>
      <c r="E10" s="419"/>
      <c r="F10" s="410"/>
      <c r="G10" s="410"/>
      <c r="H10" s="410"/>
      <c r="I10" s="410"/>
      <c r="J10" s="410"/>
      <c r="K10" s="410"/>
      <c r="L10" s="410"/>
      <c r="M10" s="410"/>
      <c r="N10" s="410"/>
      <c r="O10" s="410"/>
      <c r="P10" s="410"/>
      <c r="Q10" s="410"/>
      <c r="R10" s="410"/>
      <c r="S10" s="410"/>
      <c r="T10" s="410"/>
      <c r="U10" s="410"/>
      <c r="V10" s="410"/>
      <c r="W10" s="411"/>
      <c r="X10" s="406"/>
    </row>
    <row r="11" spans="1:24" x14ac:dyDescent="0.3">
      <c r="A11" s="408"/>
      <c r="B11" s="420" t="s">
        <v>0</v>
      </c>
      <c r="C11" s="410"/>
      <c r="D11" s="410"/>
      <c r="E11" s="410"/>
      <c r="F11" s="410"/>
      <c r="G11" s="410"/>
      <c r="H11" s="410"/>
      <c r="I11" s="410"/>
      <c r="J11" s="410"/>
      <c r="K11" s="410"/>
      <c r="L11" s="410"/>
      <c r="M11" s="410"/>
      <c r="N11" s="410"/>
      <c r="O11" s="410"/>
      <c r="P11" s="410"/>
      <c r="Q11" s="410"/>
      <c r="R11" s="410"/>
      <c r="S11" s="410"/>
      <c r="T11" s="410"/>
      <c r="U11" s="410"/>
      <c r="V11" s="410"/>
      <c r="W11" s="411"/>
      <c r="X11" s="406"/>
    </row>
    <row r="12" spans="1:24" ht="16.2" thickBot="1" x14ac:dyDescent="0.35">
      <c r="A12" s="408"/>
      <c r="B12" s="419"/>
      <c r="C12" s="410"/>
      <c r="D12" s="410"/>
      <c r="E12" s="410"/>
      <c r="F12" s="410"/>
      <c r="G12" s="410"/>
      <c r="H12" s="410"/>
      <c r="I12" s="410"/>
      <c r="J12" s="410"/>
      <c r="K12" s="410"/>
      <c r="L12" s="410"/>
      <c r="M12" s="410"/>
      <c r="N12" s="410"/>
      <c r="O12" s="410"/>
      <c r="P12" s="410"/>
      <c r="Q12" s="410"/>
      <c r="R12" s="410"/>
      <c r="S12" s="410"/>
      <c r="T12" s="410"/>
      <c r="U12" s="410"/>
      <c r="V12" s="410"/>
      <c r="W12" s="411"/>
      <c r="X12" s="406"/>
    </row>
    <row r="13" spans="1:24" x14ac:dyDescent="0.3">
      <c r="A13" s="402"/>
      <c r="B13" s="404"/>
      <c r="C13" s="404"/>
      <c r="D13" s="404"/>
      <c r="E13" s="404"/>
      <c r="F13" s="404"/>
      <c r="G13" s="404"/>
      <c r="H13" s="404"/>
      <c r="I13" s="404"/>
      <c r="J13" s="404"/>
      <c r="K13" s="404"/>
      <c r="L13" s="404"/>
      <c r="M13" s="404"/>
      <c r="N13" s="404"/>
      <c r="O13" s="404"/>
      <c r="P13" s="404"/>
      <c r="Q13" s="404"/>
      <c r="R13" s="404"/>
      <c r="S13" s="404"/>
      <c r="T13" s="404"/>
      <c r="U13" s="404"/>
      <c r="V13" s="404"/>
      <c r="W13" s="405"/>
      <c r="X13" s="406"/>
    </row>
    <row r="14" spans="1:24" s="426" customFormat="1" x14ac:dyDescent="0.3">
      <c r="A14" s="421"/>
      <c r="B14" s="420" t="s">
        <v>1</v>
      </c>
      <c r="C14" s="422"/>
      <c r="D14" s="422"/>
      <c r="E14" s="422"/>
      <c r="F14" s="422"/>
      <c r="G14" s="422"/>
      <c r="H14" s="422"/>
      <c r="I14" s="422"/>
      <c r="J14" s="422"/>
      <c r="K14" s="422"/>
      <c r="L14" s="422"/>
      <c r="M14" s="422"/>
      <c r="N14" s="422"/>
      <c r="O14" s="422"/>
      <c r="P14" s="422"/>
      <c r="Q14" s="422"/>
      <c r="R14" s="422"/>
      <c r="S14" s="422"/>
      <c r="T14" s="422"/>
      <c r="U14" s="422"/>
      <c r="V14" s="423" t="s">
        <v>240</v>
      </c>
      <c r="W14" s="424"/>
      <c r="X14" s="425"/>
    </row>
    <row r="15" spans="1:24" s="426" customFormat="1" x14ac:dyDescent="0.3">
      <c r="A15" s="421"/>
      <c r="B15" s="420" t="s">
        <v>2</v>
      </c>
      <c r="C15" s="422"/>
      <c r="D15" s="422"/>
      <c r="E15" s="422"/>
      <c r="F15" s="422"/>
      <c r="G15" s="422"/>
      <c r="H15" s="427"/>
      <c r="I15" s="427"/>
      <c r="J15" s="427"/>
      <c r="K15" s="427"/>
      <c r="L15" s="427"/>
      <c r="M15" s="427"/>
      <c r="N15" s="427"/>
      <c r="O15" s="427"/>
      <c r="P15" s="427"/>
      <c r="Q15" s="427"/>
      <c r="R15" s="427" t="s">
        <v>105</v>
      </c>
      <c r="S15" s="428">
        <v>0.57609999999999995</v>
      </c>
      <c r="T15" s="429" t="s">
        <v>143</v>
      </c>
      <c r="U15" s="428">
        <v>0.4239</v>
      </c>
      <c r="V15" s="423"/>
      <c r="W15" s="424"/>
      <c r="X15" s="425"/>
    </row>
    <row r="16" spans="1:24" s="426" customFormat="1" x14ac:dyDescent="0.3">
      <c r="A16" s="421"/>
      <c r="B16" s="420" t="s">
        <v>3</v>
      </c>
      <c r="C16" s="422"/>
      <c r="D16" s="422"/>
      <c r="E16" s="422"/>
      <c r="F16" s="422"/>
      <c r="G16" s="422"/>
      <c r="H16" s="427"/>
      <c r="I16" s="427"/>
      <c r="J16" s="427"/>
      <c r="K16" s="427"/>
      <c r="L16" s="427"/>
      <c r="M16" s="427"/>
      <c r="N16" s="427"/>
      <c r="O16" s="427"/>
      <c r="P16" s="427"/>
      <c r="Q16" s="427"/>
      <c r="R16" s="427" t="s">
        <v>105</v>
      </c>
      <c r="S16" s="428">
        <v>0.67689999999999995</v>
      </c>
      <c r="T16" s="429" t="s">
        <v>143</v>
      </c>
      <c r="U16" s="428">
        <v>0.3231</v>
      </c>
      <c r="V16" s="423"/>
      <c r="W16" s="424"/>
      <c r="X16" s="425"/>
    </row>
    <row r="17" spans="1:24" s="426" customFormat="1" x14ac:dyDescent="0.3">
      <c r="A17" s="421"/>
      <c r="B17" s="420" t="s">
        <v>4</v>
      </c>
      <c r="C17" s="422"/>
      <c r="D17" s="422"/>
      <c r="E17" s="422"/>
      <c r="F17" s="422"/>
      <c r="G17" s="422"/>
      <c r="H17" s="422"/>
      <c r="I17" s="422"/>
      <c r="J17" s="422"/>
      <c r="K17" s="422"/>
      <c r="L17" s="422"/>
      <c r="M17" s="422"/>
      <c r="N17" s="422"/>
      <c r="O17" s="422"/>
      <c r="P17" s="422"/>
      <c r="Q17" s="422"/>
      <c r="R17" s="422"/>
      <c r="S17" s="422"/>
      <c r="T17" s="422"/>
      <c r="U17" s="422"/>
      <c r="V17" s="430">
        <v>39016</v>
      </c>
      <c r="W17" s="424"/>
      <c r="X17" s="425"/>
    </row>
    <row r="18" spans="1:24" s="426" customFormat="1" x14ac:dyDescent="0.3">
      <c r="A18" s="421"/>
      <c r="B18" s="420" t="s">
        <v>5</v>
      </c>
      <c r="C18" s="422"/>
      <c r="D18" s="422"/>
      <c r="E18" s="422"/>
      <c r="F18" s="422"/>
      <c r="G18" s="422"/>
      <c r="H18" s="422"/>
      <c r="I18" s="422"/>
      <c r="J18" s="422"/>
      <c r="K18" s="422"/>
      <c r="L18" s="422"/>
      <c r="M18" s="422"/>
      <c r="N18" s="422"/>
      <c r="O18" s="422"/>
      <c r="P18" s="422"/>
      <c r="Q18" s="422"/>
      <c r="R18" s="422"/>
      <c r="S18" s="422"/>
      <c r="T18" s="422"/>
      <c r="U18" s="422"/>
      <c r="V18" s="430">
        <v>43486</v>
      </c>
      <c r="W18" s="424"/>
      <c r="X18" s="425"/>
    </row>
    <row r="19" spans="1:24" s="426" customFormat="1" x14ac:dyDescent="0.3">
      <c r="A19" s="421"/>
      <c r="B19" s="422"/>
      <c r="C19" s="422"/>
      <c r="D19" s="422"/>
      <c r="E19" s="422"/>
      <c r="F19" s="422"/>
      <c r="G19" s="422"/>
      <c r="H19" s="422"/>
      <c r="I19" s="422"/>
      <c r="J19" s="422"/>
      <c r="K19" s="422"/>
      <c r="L19" s="422"/>
      <c r="M19" s="422"/>
      <c r="N19" s="422"/>
      <c r="O19" s="422"/>
      <c r="P19" s="422"/>
      <c r="Q19" s="422"/>
      <c r="R19" s="422"/>
      <c r="S19" s="422"/>
      <c r="T19" s="422"/>
      <c r="U19" s="422"/>
      <c r="V19" s="431"/>
      <c r="W19" s="424"/>
      <c r="X19" s="425"/>
    </row>
    <row r="20" spans="1:24" s="426" customFormat="1" x14ac:dyDescent="0.3">
      <c r="A20" s="421"/>
      <c r="B20" s="432" t="s">
        <v>6</v>
      </c>
      <c r="C20" s="422"/>
      <c r="D20" s="422"/>
      <c r="E20" s="422"/>
      <c r="F20" s="422"/>
      <c r="G20" s="422"/>
      <c r="H20" s="422"/>
      <c r="I20" s="422"/>
      <c r="J20" s="422"/>
      <c r="K20" s="422"/>
      <c r="L20" s="422"/>
      <c r="M20" s="422"/>
      <c r="N20" s="422"/>
      <c r="O20" s="422"/>
      <c r="P20" s="422"/>
      <c r="Q20" s="422"/>
      <c r="R20" s="422"/>
      <c r="S20" s="422"/>
      <c r="T20" s="431" t="s">
        <v>106</v>
      </c>
      <c r="U20" s="422"/>
      <c r="V20" s="422"/>
      <c r="W20" s="424"/>
      <c r="X20" s="425"/>
    </row>
    <row r="21" spans="1:24" x14ac:dyDescent="0.3">
      <c r="A21" s="408"/>
      <c r="B21" s="410"/>
      <c r="C21" s="410"/>
      <c r="D21" s="410"/>
      <c r="E21" s="410"/>
      <c r="F21" s="410"/>
      <c r="G21" s="410"/>
      <c r="H21" s="410"/>
      <c r="I21" s="410"/>
      <c r="J21" s="410"/>
      <c r="K21" s="410"/>
      <c r="L21" s="410"/>
      <c r="M21" s="410"/>
      <c r="N21" s="410"/>
      <c r="O21" s="410"/>
      <c r="P21" s="410"/>
      <c r="Q21" s="410"/>
      <c r="R21" s="410"/>
      <c r="S21" s="410"/>
      <c r="T21" s="410"/>
      <c r="U21" s="410"/>
      <c r="V21" s="433"/>
      <c r="W21" s="411"/>
      <c r="X21" s="406"/>
    </row>
    <row r="22" spans="1:24" x14ac:dyDescent="0.3">
      <c r="A22" s="434"/>
      <c r="B22" s="435"/>
      <c r="C22" s="436"/>
      <c r="D22" s="436" t="s">
        <v>180</v>
      </c>
      <c r="E22" s="436"/>
      <c r="F22" s="436" t="s">
        <v>181</v>
      </c>
      <c r="G22" s="436"/>
      <c r="H22" s="436" t="s">
        <v>182</v>
      </c>
      <c r="I22" s="436"/>
      <c r="J22" s="436" t="s">
        <v>223</v>
      </c>
      <c r="K22" s="436"/>
      <c r="L22" s="436" t="s">
        <v>183</v>
      </c>
      <c r="M22" s="436"/>
      <c r="N22" s="436" t="s">
        <v>184</v>
      </c>
      <c r="O22" s="436"/>
      <c r="P22" s="436" t="s">
        <v>224</v>
      </c>
      <c r="Q22" s="436"/>
      <c r="R22" s="436" t="s">
        <v>185</v>
      </c>
      <c r="S22" s="437"/>
      <c r="T22" s="437"/>
      <c r="U22" s="435"/>
      <c r="V22" s="435"/>
      <c r="W22" s="438"/>
      <c r="X22" s="406"/>
    </row>
    <row r="23" spans="1:24" s="426" customFormat="1" x14ac:dyDescent="0.3">
      <c r="A23" s="439"/>
      <c r="B23" s="440" t="s">
        <v>7</v>
      </c>
      <c r="C23" s="441"/>
      <c r="D23" s="441" t="s">
        <v>216</v>
      </c>
      <c r="E23" s="441"/>
      <c r="F23" s="441" t="s">
        <v>144</v>
      </c>
      <c r="G23" s="441"/>
      <c r="H23" s="441" t="s">
        <v>144</v>
      </c>
      <c r="I23" s="441"/>
      <c r="J23" s="441" t="s">
        <v>144</v>
      </c>
      <c r="K23" s="441"/>
      <c r="L23" s="441" t="s">
        <v>186</v>
      </c>
      <c r="M23" s="441"/>
      <c r="N23" s="441" t="s">
        <v>186</v>
      </c>
      <c r="O23" s="441"/>
      <c r="P23" s="441" t="s">
        <v>145</v>
      </c>
      <c r="Q23" s="441"/>
      <c r="R23" s="441" t="s">
        <v>145</v>
      </c>
      <c r="S23" s="441"/>
      <c r="T23" s="441"/>
      <c r="U23" s="440"/>
      <c r="V23" s="440"/>
      <c r="W23" s="442"/>
      <c r="X23" s="425"/>
    </row>
    <row r="24" spans="1:24" s="426" customFormat="1" x14ac:dyDescent="0.3">
      <c r="A24" s="443"/>
      <c r="B24" s="444" t="s">
        <v>8</v>
      </c>
      <c r="C24" s="445"/>
      <c r="D24" s="445" t="s">
        <v>217</v>
      </c>
      <c r="E24" s="445"/>
      <c r="F24" s="445" t="s">
        <v>146</v>
      </c>
      <c r="G24" s="445"/>
      <c r="H24" s="445" t="s">
        <v>146</v>
      </c>
      <c r="I24" s="445"/>
      <c r="J24" s="445" t="s">
        <v>146</v>
      </c>
      <c r="K24" s="445"/>
      <c r="L24" s="445" t="s">
        <v>168</v>
      </c>
      <c r="M24" s="445"/>
      <c r="N24" s="445" t="s">
        <v>168</v>
      </c>
      <c r="O24" s="445"/>
      <c r="P24" s="445" t="s">
        <v>147</v>
      </c>
      <c r="Q24" s="445"/>
      <c r="R24" s="445" t="s">
        <v>147</v>
      </c>
      <c r="S24" s="445"/>
      <c r="T24" s="445"/>
      <c r="U24" s="444"/>
      <c r="V24" s="444"/>
      <c r="W24" s="446"/>
      <c r="X24" s="425"/>
    </row>
    <row r="25" spans="1:24" s="426" customFormat="1" x14ac:dyDescent="0.3">
      <c r="A25" s="447"/>
      <c r="B25" s="444" t="s">
        <v>193</v>
      </c>
      <c r="C25" s="448"/>
      <c r="D25" s="445" t="s">
        <v>218</v>
      </c>
      <c r="E25" s="445"/>
      <c r="F25" s="445" t="s">
        <v>146</v>
      </c>
      <c r="G25" s="445"/>
      <c r="H25" s="445" t="s">
        <v>146</v>
      </c>
      <c r="I25" s="445"/>
      <c r="J25" s="445" t="s">
        <v>146</v>
      </c>
      <c r="K25" s="445"/>
      <c r="L25" s="445" t="s">
        <v>168</v>
      </c>
      <c r="M25" s="445"/>
      <c r="N25" s="445" t="s">
        <v>168</v>
      </c>
      <c r="O25" s="445"/>
      <c r="P25" s="445" t="s">
        <v>147</v>
      </c>
      <c r="Q25" s="445"/>
      <c r="R25" s="445" t="s">
        <v>147</v>
      </c>
      <c r="S25" s="448"/>
      <c r="T25" s="445"/>
      <c r="U25" s="444"/>
      <c r="V25" s="444"/>
      <c r="W25" s="446"/>
      <c r="X25" s="425"/>
    </row>
    <row r="26" spans="1:24" s="426" customFormat="1" x14ac:dyDescent="0.3">
      <c r="A26" s="447"/>
      <c r="B26" s="449" t="s">
        <v>9</v>
      </c>
      <c r="C26" s="448"/>
      <c r="D26" s="448" t="s">
        <v>144</v>
      </c>
      <c r="E26" s="448"/>
      <c r="F26" s="448" t="s">
        <v>144</v>
      </c>
      <c r="G26" s="448"/>
      <c r="H26" s="448" t="s">
        <v>144</v>
      </c>
      <c r="I26" s="448"/>
      <c r="J26" s="448" t="s">
        <v>144</v>
      </c>
      <c r="K26" s="448"/>
      <c r="L26" s="448" t="s">
        <v>186</v>
      </c>
      <c r="M26" s="448"/>
      <c r="N26" s="448" t="s">
        <v>186</v>
      </c>
      <c r="O26" s="448"/>
      <c r="P26" s="448" t="s">
        <v>145</v>
      </c>
      <c r="Q26" s="448"/>
      <c r="R26" s="448" t="s">
        <v>145</v>
      </c>
      <c r="S26" s="448"/>
      <c r="T26" s="445"/>
      <c r="U26" s="444"/>
      <c r="V26" s="444"/>
      <c r="W26" s="446"/>
      <c r="X26" s="425"/>
    </row>
    <row r="27" spans="1:24" s="426" customFormat="1" x14ac:dyDescent="0.3">
      <c r="A27" s="443"/>
      <c r="B27" s="449" t="s">
        <v>194</v>
      </c>
      <c r="C27" s="445"/>
      <c r="D27" s="448" t="s">
        <v>168</v>
      </c>
      <c r="E27" s="448"/>
      <c r="F27" s="448" t="s">
        <v>168</v>
      </c>
      <c r="G27" s="448"/>
      <c r="H27" s="448" t="s">
        <v>168</v>
      </c>
      <c r="I27" s="448"/>
      <c r="J27" s="448" t="s">
        <v>168</v>
      </c>
      <c r="K27" s="448"/>
      <c r="L27" s="448" t="s">
        <v>360</v>
      </c>
      <c r="M27" s="448"/>
      <c r="N27" s="448" t="s">
        <v>360</v>
      </c>
      <c r="O27" s="448"/>
      <c r="P27" s="448" t="s">
        <v>147</v>
      </c>
      <c r="Q27" s="448"/>
      <c r="R27" s="448" t="s">
        <v>147</v>
      </c>
      <c r="S27" s="445"/>
      <c r="T27" s="450"/>
      <c r="U27" s="444"/>
      <c r="V27" s="444"/>
      <c r="W27" s="446"/>
      <c r="X27" s="425"/>
    </row>
    <row r="28" spans="1:24" s="426" customFormat="1" x14ac:dyDescent="0.3">
      <c r="A28" s="443"/>
      <c r="B28" s="449" t="s">
        <v>195</v>
      </c>
      <c r="C28" s="445"/>
      <c r="D28" s="448" t="s">
        <v>146</v>
      </c>
      <c r="E28" s="448"/>
      <c r="F28" s="448" t="s">
        <v>146</v>
      </c>
      <c r="G28" s="448"/>
      <c r="H28" s="448" t="s">
        <v>146</v>
      </c>
      <c r="I28" s="448"/>
      <c r="J28" s="448" t="s">
        <v>146</v>
      </c>
      <c r="K28" s="448"/>
      <c r="L28" s="448" t="s">
        <v>146</v>
      </c>
      <c r="M28" s="448"/>
      <c r="N28" s="448" t="s">
        <v>146</v>
      </c>
      <c r="O28" s="448"/>
      <c r="P28" s="448" t="s">
        <v>147</v>
      </c>
      <c r="Q28" s="448"/>
      <c r="R28" s="448" t="s">
        <v>147</v>
      </c>
      <c r="S28" s="445"/>
      <c r="T28" s="450"/>
      <c r="U28" s="444"/>
      <c r="V28" s="444"/>
      <c r="W28" s="446"/>
      <c r="X28" s="425"/>
    </row>
    <row r="29" spans="1:24" s="426" customFormat="1" x14ac:dyDescent="0.3">
      <c r="A29" s="443"/>
      <c r="B29" s="444" t="s">
        <v>10</v>
      </c>
      <c r="C29" s="451"/>
      <c r="D29" s="445" t="s">
        <v>348</v>
      </c>
      <c r="E29" s="445"/>
      <c r="F29" s="450" t="s">
        <v>242</v>
      </c>
      <c r="G29" s="445"/>
      <c r="H29" s="445" t="s">
        <v>243</v>
      </c>
      <c r="I29" s="445"/>
      <c r="J29" s="445" t="s">
        <v>245</v>
      </c>
      <c r="K29" s="445"/>
      <c r="L29" s="445" t="s">
        <v>246</v>
      </c>
      <c r="M29" s="445"/>
      <c r="N29" s="445" t="s">
        <v>247</v>
      </c>
      <c r="O29" s="445"/>
      <c r="P29" s="445" t="s">
        <v>248</v>
      </c>
      <c r="Q29" s="445"/>
      <c r="R29" s="445" t="s">
        <v>249</v>
      </c>
      <c r="S29" s="452"/>
      <c r="T29" s="452"/>
      <c r="U29" s="451"/>
      <c r="V29" s="452"/>
      <c r="W29" s="453"/>
      <c r="X29" s="425"/>
    </row>
    <row r="30" spans="1:24" s="426" customFormat="1" x14ac:dyDescent="0.3">
      <c r="A30" s="443"/>
      <c r="B30" s="444" t="s">
        <v>10</v>
      </c>
      <c r="C30" s="451"/>
      <c r="D30" s="445" t="s">
        <v>241</v>
      </c>
      <c r="E30" s="445"/>
      <c r="F30" s="450" t="s">
        <v>121</v>
      </c>
      <c r="G30" s="445"/>
      <c r="H30" s="445" t="s">
        <v>121</v>
      </c>
      <c r="I30" s="445"/>
      <c r="J30" s="445" t="s">
        <v>244</v>
      </c>
      <c r="K30" s="445"/>
      <c r="L30" s="445" t="s">
        <v>121</v>
      </c>
      <c r="M30" s="445"/>
      <c r="N30" s="445" t="s">
        <v>121</v>
      </c>
      <c r="O30" s="445"/>
      <c r="P30" s="445" t="s">
        <v>121</v>
      </c>
      <c r="Q30" s="445"/>
      <c r="R30" s="445" t="s">
        <v>121</v>
      </c>
      <c r="S30" s="452"/>
      <c r="T30" s="452"/>
      <c r="U30" s="451"/>
      <c r="V30" s="452"/>
      <c r="W30" s="453"/>
      <c r="X30" s="425"/>
    </row>
    <row r="31" spans="1:24" s="426" customFormat="1" x14ac:dyDescent="0.3">
      <c r="A31" s="447"/>
      <c r="B31" s="444" t="s">
        <v>136</v>
      </c>
      <c r="C31" s="454"/>
      <c r="D31" s="455">
        <v>1500000</v>
      </c>
      <c r="E31" s="451"/>
      <c r="F31" s="452">
        <v>125000</v>
      </c>
      <c r="G31" s="452"/>
      <c r="H31" s="456">
        <v>315000</v>
      </c>
      <c r="I31" s="456"/>
      <c r="J31" s="455">
        <v>350000</v>
      </c>
      <c r="K31" s="452"/>
      <c r="L31" s="452">
        <v>56000</v>
      </c>
      <c r="M31" s="452"/>
      <c r="N31" s="456">
        <v>84000</v>
      </c>
      <c r="O31" s="452"/>
      <c r="P31" s="452">
        <v>13000</v>
      </c>
      <c r="Q31" s="452"/>
      <c r="R31" s="456">
        <v>81000</v>
      </c>
      <c r="S31" s="457"/>
      <c r="T31" s="457"/>
      <c r="U31" s="454"/>
      <c r="V31" s="457"/>
      <c r="W31" s="453"/>
      <c r="X31" s="425"/>
    </row>
    <row r="32" spans="1:24" s="426" customFormat="1" x14ac:dyDescent="0.3">
      <c r="A32" s="443"/>
      <c r="B32" s="444" t="s">
        <v>135</v>
      </c>
      <c r="C32" s="451"/>
      <c r="D32" s="458">
        <f>D34*D38</f>
        <v>344600.43807679997</v>
      </c>
      <c r="E32" s="451"/>
      <c r="F32" s="452">
        <f>F31*F38</f>
        <v>53987.65</v>
      </c>
      <c r="G32" s="452"/>
      <c r="H32" s="456">
        <f>H31*H38</f>
        <v>136048.878</v>
      </c>
      <c r="I32" s="456"/>
      <c r="J32" s="455">
        <f>J31*J38</f>
        <v>151164.54500000001</v>
      </c>
      <c r="K32" s="452"/>
      <c r="L32" s="452">
        <f>L31*L38</f>
        <v>56000</v>
      </c>
      <c r="M32" s="452"/>
      <c r="N32" s="456">
        <f>N31*N38</f>
        <v>84000</v>
      </c>
      <c r="O32" s="452"/>
      <c r="P32" s="452">
        <f>P31*P38</f>
        <v>13000</v>
      </c>
      <c r="Q32" s="452"/>
      <c r="R32" s="456">
        <f>R31*R38</f>
        <v>81000</v>
      </c>
      <c r="S32" s="452"/>
      <c r="T32" s="452"/>
      <c r="U32" s="451"/>
      <c r="V32" s="452"/>
      <c r="W32" s="453"/>
      <c r="X32" s="425"/>
    </row>
    <row r="33" spans="1:24" s="426" customFormat="1" x14ac:dyDescent="0.3">
      <c r="A33" s="443"/>
      <c r="B33" s="449" t="s">
        <v>137</v>
      </c>
      <c r="C33" s="451"/>
      <c r="D33" s="459">
        <f>D34*D37</f>
        <v>334739.85717759997</v>
      </c>
      <c r="E33" s="454"/>
      <c r="F33" s="457">
        <f>F37*F31</f>
        <v>52442.824999999997</v>
      </c>
      <c r="G33" s="457"/>
      <c r="H33" s="460">
        <f>H31*H37</f>
        <v>132155.91899999999</v>
      </c>
      <c r="I33" s="460"/>
      <c r="J33" s="461">
        <f>J37*J31</f>
        <v>146839</v>
      </c>
      <c r="K33" s="457"/>
      <c r="L33" s="457">
        <f>L31*L37</f>
        <v>56000</v>
      </c>
      <c r="M33" s="457"/>
      <c r="N33" s="460">
        <f>N31*N37</f>
        <v>84000</v>
      </c>
      <c r="O33" s="457"/>
      <c r="P33" s="457">
        <f>P31*P37</f>
        <v>13000</v>
      </c>
      <c r="Q33" s="457"/>
      <c r="R33" s="460">
        <f>R31*R37</f>
        <v>81000</v>
      </c>
      <c r="S33" s="452"/>
      <c r="T33" s="452"/>
      <c r="U33" s="451"/>
      <c r="V33" s="452"/>
      <c r="W33" s="453"/>
      <c r="X33" s="425"/>
    </row>
    <row r="34" spans="1:24" s="426" customFormat="1" x14ac:dyDescent="0.3">
      <c r="A34" s="447"/>
      <c r="B34" s="444" t="s">
        <v>298</v>
      </c>
      <c r="C34" s="454"/>
      <c r="D34" s="452">
        <v>797872</v>
      </c>
      <c r="E34" s="451"/>
      <c r="F34" s="452">
        <v>125000</v>
      </c>
      <c r="G34" s="452"/>
      <c r="H34" s="452">
        <v>211409</v>
      </c>
      <c r="I34" s="452"/>
      <c r="J34" s="452">
        <v>186170</v>
      </c>
      <c r="K34" s="452"/>
      <c r="L34" s="452">
        <v>56000</v>
      </c>
      <c r="M34" s="452"/>
      <c r="N34" s="452">
        <v>56376</v>
      </c>
      <c r="O34" s="452"/>
      <c r="P34" s="452">
        <v>13000</v>
      </c>
      <c r="Q34" s="452"/>
      <c r="R34" s="452">
        <v>54363</v>
      </c>
      <c r="S34" s="457"/>
      <c r="T34" s="457"/>
      <c r="U34" s="454"/>
      <c r="V34" s="452">
        <f>SUM(C34:R34)</f>
        <v>1500190</v>
      </c>
      <c r="W34" s="453"/>
      <c r="X34" s="425"/>
    </row>
    <row r="35" spans="1:24" s="426" customFormat="1" x14ac:dyDescent="0.3">
      <c r="A35" s="447"/>
      <c r="B35" s="444" t="s">
        <v>299</v>
      </c>
      <c r="C35" s="454"/>
      <c r="D35" s="452">
        <f>D34*D38</f>
        <v>344600.43807679997</v>
      </c>
      <c r="E35" s="451"/>
      <c r="F35" s="452">
        <f>F34*F38</f>
        <v>53987.65</v>
      </c>
      <c r="G35" s="452"/>
      <c r="H35" s="452">
        <f>H34*H38</f>
        <v>91307.8007908</v>
      </c>
      <c r="I35" s="452"/>
      <c r="J35" s="452">
        <f>J34*J38</f>
        <v>80406.580979000006</v>
      </c>
      <c r="K35" s="452"/>
      <c r="L35" s="452">
        <f>L34*L38</f>
        <v>56000</v>
      </c>
      <c r="M35" s="452"/>
      <c r="N35" s="452">
        <f>N34*N38</f>
        <v>56376</v>
      </c>
      <c r="O35" s="452"/>
      <c r="P35" s="452">
        <f>P34*P38</f>
        <v>13000</v>
      </c>
      <c r="Q35" s="452"/>
      <c r="R35" s="452">
        <f>R34*R38</f>
        <v>54363</v>
      </c>
      <c r="S35" s="452"/>
      <c r="T35" s="452"/>
      <c r="U35" s="451"/>
      <c r="V35" s="452">
        <f>SUM(C35:R35)+1</f>
        <v>750042.46984659997</v>
      </c>
      <c r="W35" s="453"/>
      <c r="X35" s="425"/>
    </row>
    <row r="36" spans="1:24" s="426" customFormat="1" x14ac:dyDescent="0.3">
      <c r="A36" s="447"/>
      <c r="B36" s="449" t="s">
        <v>304</v>
      </c>
      <c r="C36" s="454"/>
      <c r="D36" s="457">
        <f>D34*D37</f>
        <v>334739.85717759997</v>
      </c>
      <c r="E36" s="454"/>
      <c r="F36" s="457">
        <f>F34*F37</f>
        <v>52442.824999999997</v>
      </c>
      <c r="G36" s="457"/>
      <c r="H36" s="457">
        <f>H34*H37</f>
        <v>88695.081523400004</v>
      </c>
      <c r="I36" s="457"/>
      <c r="J36" s="457">
        <f>J34*J37</f>
        <v>78105.761800000007</v>
      </c>
      <c r="K36" s="457"/>
      <c r="L36" s="457">
        <v>56000</v>
      </c>
      <c r="M36" s="457"/>
      <c r="N36" s="457">
        <v>56376</v>
      </c>
      <c r="O36" s="457"/>
      <c r="P36" s="457">
        <v>13000</v>
      </c>
      <c r="Q36" s="457"/>
      <c r="R36" s="457">
        <v>54363</v>
      </c>
      <c r="S36" s="462"/>
      <c r="T36" s="462"/>
      <c r="U36" s="451"/>
      <c r="V36" s="457">
        <f>SUM(C36:R36)</f>
        <v>733722.525501</v>
      </c>
      <c r="W36" s="453"/>
      <c r="X36" s="425"/>
    </row>
    <row r="37" spans="1:24" s="473" customFormat="1" x14ac:dyDescent="0.3">
      <c r="A37" s="463"/>
      <c r="B37" s="464" t="s">
        <v>133</v>
      </c>
      <c r="C37" s="465"/>
      <c r="D37" s="466">
        <v>0.41954079999999999</v>
      </c>
      <c r="E37" s="467"/>
      <c r="F37" s="466">
        <v>0.41954259999999999</v>
      </c>
      <c r="G37" s="468"/>
      <c r="H37" s="466">
        <v>0.41954259999999999</v>
      </c>
      <c r="I37" s="468"/>
      <c r="J37" s="466">
        <v>0.41954000000000002</v>
      </c>
      <c r="K37" s="468"/>
      <c r="L37" s="466">
        <v>1</v>
      </c>
      <c r="M37" s="468"/>
      <c r="N37" s="466">
        <v>1</v>
      </c>
      <c r="O37" s="468"/>
      <c r="P37" s="466">
        <v>1</v>
      </c>
      <c r="Q37" s="468"/>
      <c r="R37" s="466">
        <v>1</v>
      </c>
      <c r="S37" s="469"/>
      <c r="T37" s="469"/>
      <c r="U37" s="470"/>
      <c r="V37" s="470"/>
      <c r="W37" s="471"/>
      <c r="X37" s="472"/>
    </row>
    <row r="38" spans="1:24" s="473" customFormat="1" x14ac:dyDescent="0.3">
      <c r="A38" s="463"/>
      <c r="B38" s="465" t="s">
        <v>134</v>
      </c>
      <c r="C38" s="465"/>
      <c r="D38" s="474">
        <v>0.43189939999999999</v>
      </c>
      <c r="E38" s="475"/>
      <c r="F38" s="474">
        <v>0.43190119999999999</v>
      </c>
      <c r="G38" s="476"/>
      <c r="H38" s="474">
        <v>0.43190119999999999</v>
      </c>
      <c r="I38" s="476"/>
      <c r="J38" s="474">
        <v>0.43189870000000002</v>
      </c>
      <c r="K38" s="476"/>
      <c r="L38" s="474">
        <v>1</v>
      </c>
      <c r="M38" s="476"/>
      <c r="N38" s="474">
        <v>1</v>
      </c>
      <c r="O38" s="476"/>
      <c r="P38" s="474">
        <v>1</v>
      </c>
      <c r="Q38" s="476"/>
      <c r="R38" s="474">
        <v>1</v>
      </c>
      <c r="S38" s="477"/>
      <c r="T38" s="478"/>
      <c r="U38" s="470"/>
      <c r="V38" s="477"/>
      <c r="W38" s="471"/>
      <c r="X38" s="472"/>
    </row>
    <row r="39" spans="1:24" s="426" customFormat="1" x14ac:dyDescent="0.3">
      <c r="A39" s="443"/>
      <c r="B39" s="444" t="s">
        <v>11</v>
      </c>
      <c r="C39" s="444"/>
      <c r="D39" s="450" t="s">
        <v>226</v>
      </c>
      <c r="E39" s="444"/>
      <c r="F39" s="450" t="s">
        <v>226</v>
      </c>
      <c r="G39" s="450"/>
      <c r="H39" s="450" t="s">
        <v>226</v>
      </c>
      <c r="I39" s="450"/>
      <c r="J39" s="450" t="s">
        <v>256</v>
      </c>
      <c r="K39" s="450"/>
      <c r="L39" s="450" t="s">
        <v>254</v>
      </c>
      <c r="M39" s="450"/>
      <c r="N39" s="450" t="s">
        <v>257</v>
      </c>
      <c r="O39" s="450"/>
      <c r="P39" s="450" t="s">
        <v>258</v>
      </c>
      <c r="Q39" s="450"/>
      <c r="R39" s="450" t="s">
        <v>259</v>
      </c>
      <c r="S39" s="479"/>
      <c r="T39" s="480"/>
      <c r="U39" s="444"/>
      <c r="V39" s="444"/>
      <c r="W39" s="446"/>
      <c r="X39" s="425"/>
    </row>
    <row r="40" spans="1:24" s="426" customFormat="1" x14ac:dyDescent="0.3">
      <c r="A40" s="443"/>
      <c r="B40" s="444" t="s">
        <v>12</v>
      </c>
      <c r="C40" s="444"/>
      <c r="D40" s="480">
        <v>1.05288E-2</v>
      </c>
      <c r="E40" s="444"/>
      <c r="F40" s="480">
        <v>1.05288E-2</v>
      </c>
      <c r="G40" s="479"/>
      <c r="H40" s="480">
        <v>0</v>
      </c>
      <c r="I40" s="480"/>
      <c r="J40" s="480">
        <v>2.6163100000000002E-2</v>
      </c>
      <c r="K40" s="479"/>
      <c r="L40" s="480">
        <v>1.21288E-2</v>
      </c>
      <c r="M40" s="479"/>
      <c r="N40" s="480">
        <v>6.2E-4</v>
      </c>
      <c r="O40" s="479"/>
      <c r="P40" s="480">
        <v>1.6128799999999999E-2</v>
      </c>
      <c r="Q40" s="479"/>
      <c r="R40" s="480">
        <v>4.62E-3</v>
      </c>
      <c r="S40" s="479"/>
      <c r="T40" s="480"/>
      <c r="U40" s="444"/>
      <c r="V40" s="450"/>
      <c r="W40" s="446"/>
      <c r="X40" s="425"/>
    </row>
    <row r="41" spans="1:24" s="426" customFormat="1" x14ac:dyDescent="0.3">
      <c r="A41" s="443"/>
      <c r="B41" s="444" t="s">
        <v>13</v>
      </c>
      <c r="C41" s="444"/>
      <c r="D41" s="480">
        <v>9.9305999999999995E-3</v>
      </c>
      <c r="E41" s="444"/>
      <c r="F41" s="480">
        <v>9.9305999999999995E-3</v>
      </c>
      <c r="G41" s="479"/>
      <c r="H41" s="480">
        <v>0</v>
      </c>
      <c r="I41" s="480"/>
      <c r="J41" s="480">
        <v>2.51919E-2</v>
      </c>
      <c r="K41" s="479"/>
      <c r="L41" s="480">
        <v>1.15306E-2</v>
      </c>
      <c r="M41" s="479"/>
      <c r="N41" s="480">
        <v>5.9000000000000003E-4</v>
      </c>
      <c r="O41" s="479"/>
      <c r="P41" s="480">
        <v>1.55306E-2</v>
      </c>
      <c r="Q41" s="479"/>
      <c r="R41" s="480">
        <v>4.5900000000000003E-3</v>
      </c>
      <c r="S41" s="479"/>
      <c r="T41" s="480"/>
      <c r="U41" s="444"/>
      <c r="V41" s="479" t="s">
        <v>196</v>
      </c>
      <c r="W41" s="446"/>
      <c r="X41" s="425"/>
    </row>
    <row r="42" spans="1:24" s="426" customFormat="1" x14ac:dyDescent="0.3">
      <c r="A42" s="443"/>
      <c r="B42" s="444" t="s">
        <v>300</v>
      </c>
      <c r="C42" s="444"/>
      <c r="D42" s="450" t="s">
        <v>226</v>
      </c>
      <c r="E42" s="444"/>
      <c r="F42" s="450" t="s">
        <v>226</v>
      </c>
      <c r="G42" s="450"/>
      <c r="H42" s="450" t="s">
        <v>227</v>
      </c>
      <c r="I42" s="450"/>
      <c r="J42" s="450" t="s">
        <v>237</v>
      </c>
      <c r="K42" s="450"/>
      <c r="L42" s="450" t="s">
        <v>254</v>
      </c>
      <c r="M42" s="450"/>
      <c r="N42" s="450" t="s">
        <v>260</v>
      </c>
      <c r="O42" s="450"/>
      <c r="P42" s="450" t="s">
        <v>258</v>
      </c>
      <c r="Q42" s="450"/>
      <c r="R42" s="450" t="s">
        <v>261</v>
      </c>
      <c r="S42" s="479"/>
      <c r="T42" s="480"/>
      <c r="U42" s="444"/>
      <c r="V42" s="444"/>
      <c r="W42" s="446"/>
      <c r="X42" s="425"/>
    </row>
    <row r="43" spans="1:24" s="426" customFormat="1" x14ac:dyDescent="0.3">
      <c r="A43" s="443"/>
      <c r="B43" s="444" t="s">
        <v>301</v>
      </c>
      <c r="C43" s="481"/>
      <c r="D43" s="480">
        <f>+D40</f>
        <v>1.05288E-2</v>
      </c>
      <c r="E43" s="480"/>
      <c r="F43" s="480">
        <f>+F40</f>
        <v>1.05288E-2</v>
      </c>
      <c r="G43" s="480"/>
      <c r="H43" s="480">
        <v>1.0772800000000001E-2</v>
      </c>
      <c r="I43" s="480"/>
      <c r="J43" s="480">
        <v>1.06088E-2</v>
      </c>
      <c r="K43" s="480"/>
      <c r="L43" s="480">
        <f>+L40</f>
        <v>1.21288E-2</v>
      </c>
      <c r="M43" s="480"/>
      <c r="N43" s="480">
        <v>1.23088E-2</v>
      </c>
      <c r="O43" s="480"/>
      <c r="P43" s="480">
        <f>+P40</f>
        <v>1.6128799999999999E-2</v>
      </c>
      <c r="Q43" s="479"/>
      <c r="R43" s="480">
        <v>1.65288E-2</v>
      </c>
      <c r="S43" s="450"/>
      <c r="T43" s="450"/>
      <c r="U43" s="444"/>
      <c r="V43" s="479">
        <f>SUMPRODUCT(D43:R43,D35:R35)/V35</f>
        <v>1.1352257878588652E-2</v>
      </c>
      <c r="W43" s="446"/>
      <c r="X43" s="425"/>
    </row>
    <row r="44" spans="1:24" s="426" customFormat="1" x14ac:dyDescent="0.3">
      <c r="A44" s="443"/>
      <c r="B44" s="444" t="s">
        <v>302</v>
      </c>
      <c r="C44" s="481"/>
      <c r="D44" s="480">
        <f>+D41</f>
        <v>9.9305999999999995E-3</v>
      </c>
      <c r="E44" s="480"/>
      <c r="F44" s="480">
        <f>+F41</f>
        <v>9.9305999999999995E-3</v>
      </c>
      <c r="G44" s="480"/>
      <c r="H44" s="480">
        <v>1.0174600000000001E-2</v>
      </c>
      <c r="I44" s="480"/>
      <c r="J44" s="480">
        <v>1.00106E-2</v>
      </c>
      <c r="K44" s="480"/>
      <c r="L44" s="480">
        <f>+L41</f>
        <v>1.15306E-2</v>
      </c>
      <c r="M44" s="480"/>
      <c r="N44" s="480">
        <v>1.17106E-2</v>
      </c>
      <c r="O44" s="480"/>
      <c r="P44" s="480">
        <f>+P41</f>
        <v>1.55306E-2</v>
      </c>
      <c r="Q44" s="479"/>
      <c r="R44" s="480">
        <v>1.59306E-2</v>
      </c>
      <c r="S44" s="450"/>
      <c r="T44" s="450"/>
      <c r="U44" s="444"/>
      <c r="V44" s="444"/>
      <c r="W44" s="446"/>
      <c r="X44" s="425"/>
    </row>
    <row r="45" spans="1:24" s="426" customFormat="1" x14ac:dyDescent="0.3">
      <c r="A45" s="443"/>
      <c r="B45" s="444" t="s">
        <v>14</v>
      </c>
      <c r="C45" s="444"/>
      <c r="D45" s="481">
        <v>40466</v>
      </c>
      <c r="E45" s="481"/>
      <c r="F45" s="481">
        <v>40466</v>
      </c>
      <c r="G45" s="481"/>
      <c r="H45" s="481">
        <v>40466</v>
      </c>
      <c r="I45" s="481"/>
      <c r="J45" s="481">
        <v>40466</v>
      </c>
      <c r="K45" s="481"/>
      <c r="L45" s="481">
        <v>40466</v>
      </c>
      <c r="M45" s="481"/>
      <c r="N45" s="481">
        <v>40466</v>
      </c>
      <c r="O45" s="481"/>
      <c r="P45" s="481">
        <v>40466</v>
      </c>
      <c r="Q45" s="481"/>
      <c r="R45" s="481">
        <v>40466</v>
      </c>
      <c r="S45" s="450"/>
      <c r="T45" s="450"/>
      <c r="U45" s="444"/>
      <c r="V45" s="444"/>
      <c r="W45" s="446"/>
      <c r="X45" s="425"/>
    </row>
    <row r="46" spans="1:24" s="426" customFormat="1" x14ac:dyDescent="0.3">
      <c r="A46" s="443"/>
      <c r="B46" s="444" t="s">
        <v>15</v>
      </c>
      <c r="C46" s="444"/>
      <c r="D46" s="481">
        <v>41105</v>
      </c>
      <c r="E46" s="481"/>
      <c r="F46" s="481">
        <v>40831</v>
      </c>
      <c r="G46" s="481"/>
      <c r="H46" s="481">
        <v>40831</v>
      </c>
      <c r="I46" s="481"/>
      <c r="J46" s="481">
        <v>40831</v>
      </c>
      <c r="K46" s="450"/>
      <c r="L46" s="481">
        <v>40831</v>
      </c>
      <c r="M46" s="450"/>
      <c r="N46" s="481">
        <v>40831</v>
      </c>
      <c r="O46" s="450"/>
      <c r="P46" s="481">
        <v>40831</v>
      </c>
      <c r="Q46" s="450"/>
      <c r="R46" s="481">
        <v>40831</v>
      </c>
      <c r="S46" s="450"/>
      <c r="T46" s="450"/>
      <c r="U46" s="444"/>
      <c r="V46" s="444"/>
      <c r="W46" s="446"/>
      <c r="X46" s="425"/>
    </row>
    <row r="47" spans="1:24" s="426" customFormat="1" x14ac:dyDescent="0.3">
      <c r="A47" s="443"/>
      <c r="B47" s="444" t="s">
        <v>122</v>
      </c>
      <c r="C47" s="444"/>
      <c r="D47" s="450" t="s">
        <v>226</v>
      </c>
      <c r="E47" s="444"/>
      <c r="F47" s="450" t="s">
        <v>226</v>
      </c>
      <c r="G47" s="450"/>
      <c r="H47" s="450" t="s">
        <v>226</v>
      </c>
      <c r="I47" s="450"/>
      <c r="J47" s="450" t="s">
        <v>256</v>
      </c>
      <c r="K47" s="450"/>
      <c r="L47" s="450" t="s">
        <v>254</v>
      </c>
      <c r="M47" s="450"/>
      <c r="N47" s="450" t="s">
        <v>257</v>
      </c>
      <c r="O47" s="450"/>
      <c r="P47" s="450" t="s">
        <v>258</v>
      </c>
      <c r="Q47" s="450"/>
      <c r="R47" s="450" t="s">
        <v>259</v>
      </c>
      <c r="S47" s="482"/>
      <c r="T47" s="482"/>
      <c r="U47" s="482"/>
      <c r="V47" s="482"/>
      <c r="W47" s="446"/>
      <c r="X47" s="425"/>
    </row>
    <row r="48" spans="1:24" s="426" customFormat="1" x14ac:dyDescent="0.3">
      <c r="A48" s="443"/>
      <c r="B48" s="444" t="s">
        <v>303</v>
      </c>
      <c r="C48" s="444"/>
      <c r="D48" s="450" t="s">
        <v>226</v>
      </c>
      <c r="E48" s="444"/>
      <c r="F48" s="450" t="s">
        <v>226</v>
      </c>
      <c r="G48" s="450"/>
      <c r="H48" s="450" t="s">
        <v>227</v>
      </c>
      <c r="I48" s="450"/>
      <c r="J48" s="450" t="s">
        <v>237</v>
      </c>
      <c r="K48" s="450"/>
      <c r="L48" s="450" t="s">
        <v>254</v>
      </c>
      <c r="M48" s="450"/>
      <c r="N48" s="450" t="s">
        <v>260</v>
      </c>
      <c r="O48" s="450"/>
      <c r="P48" s="450" t="s">
        <v>258</v>
      </c>
      <c r="Q48" s="450"/>
      <c r="R48" s="450" t="s">
        <v>261</v>
      </c>
      <c r="S48" s="444"/>
      <c r="T48" s="444"/>
      <c r="U48" s="444"/>
      <c r="V48" s="479"/>
      <c r="W48" s="446"/>
      <c r="X48" s="425"/>
    </row>
    <row r="49" spans="1:25" s="426" customFormat="1" x14ac:dyDescent="0.3">
      <c r="A49" s="443"/>
      <c r="B49" s="444"/>
      <c r="C49" s="444"/>
      <c r="D49" s="450"/>
      <c r="E49" s="444"/>
      <c r="F49" s="450"/>
      <c r="G49" s="450"/>
      <c r="H49" s="450"/>
      <c r="I49" s="450"/>
      <c r="J49" s="450"/>
      <c r="K49" s="450"/>
      <c r="L49" s="450"/>
      <c r="M49" s="450"/>
      <c r="N49" s="450"/>
      <c r="O49" s="450"/>
      <c r="P49" s="450"/>
      <c r="Q49" s="450"/>
      <c r="R49" s="450"/>
      <c r="S49" s="444"/>
      <c r="T49" s="444"/>
      <c r="U49" s="444"/>
      <c r="V49" s="479" t="s">
        <v>196</v>
      </c>
      <c r="W49" s="446"/>
      <c r="X49" s="425"/>
    </row>
    <row r="50" spans="1:25" s="426" customFormat="1" x14ac:dyDescent="0.3">
      <c r="A50" s="443"/>
      <c r="B50" s="444" t="s">
        <v>172</v>
      </c>
      <c r="C50" s="444"/>
      <c r="D50" s="450"/>
      <c r="E50" s="444"/>
      <c r="F50" s="450"/>
      <c r="G50" s="450"/>
      <c r="H50" s="450"/>
      <c r="I50" s="450"/>
      <c r="J50" s="450"/>
      <c r="K50" s="450"/>
      <c r="L50" s="450"/>
      <c r="M50" s="450"/>
      <c r="N50" s="450"/>
      <c r="O50" s="450"/>
      <c r="P50" s="450"/>
      <c r="Q50" s="450"/>
      <c r="R50" s="450"/>
      <c r="S50" s="444"/>
      <c r="T50" s="444"/>
      <c r="U50" s="444"/>
      <c r="V50" s="479">
        <f>SUM(L34:R34)/SUM(D34:J34)</f>
        <v>0.13611940162868597</v>
      </c>
      <c r="W50" s="446"/>
      <c r="X50" s="425"/>
    </row>
    <row r="51" spans="1:25" s="426" customFormat="1" x14ac:dyDescent="0.3">
      <c r="A51" s="443"/>
      <c r="B51" s="444" t="s">
        <v>173</v>
      </c>
      <c r="C51" s="444"/>
      <c r="D51" s="444"/>
      <c r="E51" s="444"/>
      <c r="F51" s="483"/>
      <c r="G51" s="444"/>
      <c r="H51" s="444"/>
      <c r="I51" s="444"/>
      <c r="J51" s="444"/>
      <c r="K51" s="444"/>
      <c r="L51" s="444"/>
      <c r="M51" s="444"/>
      <c r="N51" s="444"/>
      <c r="O51" s="444"/>
      <c r="P51" s="444"/>
      <c r="Q51" s="444"/>
      <c r="R51" s="444"/>
      <c r="S51" s="444"/>
      <c r="T51" s="444"/>
      <c r="U51" s="444"/>
      <c r="V51" s="479">
        <f>SUM(L36:R36)/SUM(D36:J36)</f>
        <v>0.32444827639495494</v>
      </c>
      <c r="W51" s="446"/>
      <c r="X51" s="425"/>
    </row>
    <row r="52" spans="1:25" s="426" customFormat="1" x14ac:dyDescent="0.3">
      <c r="A52" s="443"/>
      <c r="B52" s="444" t="s">
        <v>174</v>
      </c>
      <c r="C52" s="444"/>
      <c r="D52" s="444"/>
      <c r="E52" s="444"/>
      <c r="F52" s="444"/>
      <c r="G52" s="444"/>
      <c r="H52" s="444"/>
      <c r="I52" s="444"/>
      <c r="J52" s="444"/>
      <c r="K52" s="444"/>
      <c r="L52" s="444"/>
      <c r="M52" s="444"/>
      <c r="N52" s="444"/>
      <c r="O52" s="444"/>
      <c r="P52" s="444"/>
      <c r="Q52" s="444"/>
      <c r="R52" s="444"/>
      <c r="S52" s="444"/>
      <c r="T52" s="450" t="s">
        <v>107</v>
      </c>
      <c r="U52" s="450" t="s">
        <v>112</v>
      </c>
      <c r="V52" s="452">
        <f>+V34/2-SUM(L34:R34)</f>
        <v>570356</v>
      </c>
      <c r="W52" s="446"/>
      <c r="X52" s="425"/>
    </row>
    <row r="53" spans="1:25" s="426" customFormat="1" x14ac:dyDescent="0.3">
      <c r="A53" s="443"/>
      <c r="B53" s="444"/>
      <c r="C53" s="444"/>
      <c r="D53" s="444"/>
      <c r="E53" s="444"/>
      <c r="F53" s="444"/>
      <c r="G53" s="444"/>
      <c r="H53" s="444"/>
      <c r="I53" s="444"/>
      <c r="J53" s="444"/>
      <c r="K53" s="444"/>
      <c r="L53" s="444"/>
      <c r="M53" s="444"/>
      <c r="N53" s="444"/>
      <c r="O53" s="444"/>
      <c r="P53" s="444"/>
      <c r="Q53" s="444"/>
      <c r="R53" s="444"/>
      <c r="S53" s="444"/>
      <c r="T53" s="444"/>
      <c r="U53" s="444"/>
      <c r="V53" s="484"/>
      <c r="W53" s="446"/>
      <c r="X53" s="425"/>
    </row>
    <row r="54" spans="1:25" s="426" customFormat="1" x14ac:dyDescent="0.3">
      <c r="A54" s="443"/>
      <c r="B54" s="444" t="s">
        <v>358</v>
      </c>
      <c r="C54" s="444"/>
      <c r="D54" s="444"/>
      <c r="E54" s="444"/>
      <c r="F54" s="444"/>
      <c r="G54" s="444"/>
      <c r="H54" s="444"/>
      <c r="I54" s="444"/>
      <c r="J54" s="444"/>
      <c r="K54" s="444"/>
      <c r="L54" s="444"/>
      <c r="M54" s="444"/>
      <c r="N54" s="444"/>
      <c r="O54" s="444"/>
      <c r="P54" s="444"/>
      <c r="Q54" s="444"/>
      <c r="R54" s="444"/>
      <c r="S54" s="444"/>
      <c r="T54" s="450"/>
      <c r="U54" s="450"/>
      <c r="V54" s="485" t="s">
        <v>114</v>
      </c>
      <c r="W54" s="486"/>
      <c r="X54" s="487"/>
    </row>
    <row r="55" spans="1:25" s="426" customFormat="1" x14ac:dyDescent="0.3">
      <c r="A55" s="443"/>
      <c r="B55" s="449" t="s">
        <v>204</v>
      </c>
      <c r="C55" s="449"/>
      <c r="D55" s="449"/>
      <c r="E55" s="449"/>
      <c r="F55" s="449"/>
      <c r="G55" s="449"/>
      <c r="H55" s="449"/>
      <c r="I55" s="449"/>
      <c r="J55" s="449"/>
      <c r="K55" s="449"/>
      <c r="L55" s="449"/>
      <c r="M55" s="449"/>
      <c r="N55" s="449"/>
      <c r="O55" s="449"/>
      <c r="P55" s="449"/>
      <c r="Q55" s="449"/>
      <c r="R55" s="449"/>
      <c r="S55" s="449"/>
      <c r="T55" s="488"/>
      <c r="U55" s="488"/>
      <c r="V55" s="489">
        <v>43480</v>
      </c>
      <c r="W55" s="486"/>
      <c r="X55" s="487"/>
    </row>
    <row r="56" spans="1:25" s="426" customFormat="1" x14ac:dyDescent="0.3">
      <c r="A56" s="443"/>
      <c r="B56" s="444" t="s">
        <v>124</v>
      </c>
      <c r="C56" s="444"/>
      <c r="D56" s="444"/>
      <c r="E56" s="444"/>
      <c r="F56" s="444"/>
      <c r="G56" s="444"/>
      <c r="H56" s="490"/>
      <c r="I56" s="490"/>
      <c r="J56" s="490"/>
      <c r="K56" s="490"/>
      <c r="L56" s="490"/>
      <c r="M56" s="490"/>
      <c r="N56" s="490"/>
      <c r="O56" s="490"/>
      <c r="P56" s="490"/>
      <c r="Q56" s="490"/>
      <c r="R56" s="444">
        <f>+V56-T56+1</f>
        <v>91</v>
      </c>
      <c r="S56" s="490"/>
      <c r="T56" s="491">
        <v>43297</v>
      </c>
      <c r="U56" s="492"/>
      <c r="V56" s="491">
        <v>43387</v>
      </c>
      <c r="W56" s="486"/>
      <c r="X56" s="487"/>
    </row>
    <row r="57" spans="1:25" s="426" customFormat="1" x14ac:dyDescent="0.3">
      <c r="A57" s="443"/>
      <c r="B57" s="444" t="s">
        <v>125</v>
      </c>
      <c r="C57" s="444"/>
      <c r="D57" s="444"/>
      <c r="E57" s="444"/>
      <c r="F57" s="444"/>
      <c r="G57" s="444"/>
      <c r="H57" s="444"/>
      <c r="I57" s="444"/>
      <c r="J57" s="444"/>
      <c r="K57" s="444"/>
      <c r="L57" s="444"/>
      <c r="M57" s="444"/>
      <c r="N57" s="444"/>
      <c r="O57" s="444"/>
      <c r="P57" s="444"/>
      <c r="Q57" s="444"/>
      <c r="R57" s="444">
        <f>+V57-T57+1</f>
        <v>92</v>
      </c>
      <c r="S57" s="444"/>
      <c r="T57" s="491">
        <v>43388</v>
      </c>
      <c r="U57" s="492"/>
      <c r="V57" s="491">
        <v>43479</v>
      </c>
      <c r="W57" s="486"/>
      <c r="X57" s="487"/>
    </row>
    <row r="58" spans="1:25" s="426" customFormat="1" x14ac:dyDescent="0.3">
      <c r="A58" s="443"/>
      <c r="B58" s="444" t="s">
        <v>357</v>
      </c>
      <c r="C58" s="444"/>
      <c r="D58" s="444"/>
      <c r="E58" s="444"/>
      <c r="F58" s="444"/>
      <c r="G58" s="444"/>
      <c r="H58" s="444"/>
      <c r="I58" s="444"/>
      <c r="J58" s="444"/>
      <c r="K58" s="444"/>
      <c r="L58" s="444"/>
      <c r="M58" s="444"/>
      <c r="N58" s="444"/>
      <c r="O58" s="444"/>
      <c r="P58" s="444"/>
      <c r="Q58" s="444"/>
      <c r="R58" s="444"/>
      <c r="S58" s="444"/>
      <c r="T58" s="491"/>
      <c r="U58" s="492"/>
      <c r="V58" s="491" t="s">
        <v>123</v>
      </c>
      <c r="W58" s="486"/>
      <c r="X58" s="487"/>
    </row>
    <row r="59" spans="1:25" s="426" customFormat="1" x14ac:dyDescent="0.3">
      <c r="A59" s="443"/>
      <c r="B59" s="444" t="s">
        <v>356</v>
      </c>
      <c r="C59" s="444"/>
      <c r="D59" s="444"/>
      <c r="E59" s="444"/>
      <c r="F59" s="444"/>
      <c r="G59" s="444"/>
      <c r="H59" s="444"/>
      <c r="I59" s="444"/>
      <c r="J59" s="444"/>
      <c r="K59" s="444"/>
      <c r="L59" s="444"/>
      <c r="M59" s="444"/>
      <c r="N59" s="444"/>
      <c r="O59" s="444"/>
      <c r="P59" s="444"/>
      <c r="Q59" s="444"/>
      <c r="R59" s="444"/>
      <c r="S59" s="444"/>
      <c r="T59" s="491"/>
      <c r="U59" s="492"/>
      <c r="V59" s="491" t="s">
        <v>157</v>
      </c>
      <c r="W59" s="486"/>
      <c r="X59" s="487"/>
      <c r="Y59" s="493"/>
    </row>
    <row r="60" spans="1:25" s="426" customFormat="1" x14ac:dyDescent="0.3">
      <c r="A60" s="443"/>
      <c r="B60" s="444" t="s">
        <v>16</v>
      </c>
      <c r="C60" s="444"/>
      <c r="D60" s="444"/>
      <c r="E60" s="444"/>
      <c r="F60" s="444"/>
      <c r="G60" s="444"/>
      <c r="H60" s="444"/>
      <c r="I60" s="444"/>
      <c r="J60" s="444"/>
      <c r="K60" s="444"/>
      <c r="L60" s="444"/>
      <c r="M60" s="444"/>
      <c r="N60" s="444"/>
      <c r="O60" s="444"/>
      <c r="P60" s="444"/>
      <c r="Q60" s="444"/>
      <c r="R60" s="444"/>
      <c r="S60" s="444"/>
      <c r="T60" s="491"/>
      <c r="U60" s="492"/>
      <c r="V60" s="491">
        <v>43467</v>
      </c>
      <c r="W60" s="486"/>
      <c r="X60" s="487"/>
    </row>
    <row r="61" spans="1:25" s="426" customFormat="1" x14ac:dyDescent="0.3">
      <c r="A61" s="421"/>
      <c r="B61" s="494"/>
      <c r="C61" s="494"/>
      <c r="D61" s="494"/>
      <c r="E61" s="494"/>
      <c r="F61" s="494"/>
      <c r="G61" s="494"/>
      <c r="H61" s="494"/>
      <c r="I61" s="494"/>
      <c r="J61" s="494"/>
      <c r="K61" s="494"/>
      <c r="L61" s="494"/>
      <c r="M61" s="494"/>
      <c r="N61" s="494"/>
      <c r="O61" s="494"/>
      <c r="P61" s="494"/>
      <c r="Q61" s="494"/>
      <c r="R61" s="494"/>
      <c r="S61" s="494"/>
      <c r="T61" s="495"/>
      <c r="U61" s="496"/>
      <c r="V61" s="495"/>
      <c r="W61" s="497"/>
      <c r="X61" s="487"/>
    </row>
    <row r="62" spans="1:25" s="426" customFormat="1" x14ac:dyDescent="0.3">
      <c r="A62" s="421"/>
      <c r="B62" s="422"/>
      <c r="C62" s="422"/>
      <c r="D62" s="422"/>
      <c r="E62" s="422"/>
      <c r="F62" s="422"/>
      <c r="G62" s="422"/>
      <c r="H62" s="422"/>
      <c r="I62" s="422"/>
      <c r="J62" s="422"/>
      <c r="K62" s="422"/>
      <c r="L62" s="422"/>
      <c r="M62" s="422"/>
      <c r="N62" s="422"/>
      <c r="O62" s="422"/>
      <c r="P62" s="422"/>
      <c r="Q62" s="422"/>
      <c r="R62" s="422"/>
      <c r="S62" s="422"/>
      <c r="T62" s="498"/>
      <c r="U62" s="499"/>
      <c r="V62" s="498"/>
      <c r="W62" s="497"/>
      <c r="X62" s="487"/>
    </row>
    <row r="63" spans="1:25" s="426" customFormat="1" ht="18.600000000000001" thickBot="1" x14ac:dyDescent="0.4">
      <c r="A63" s="500"/>
      <c r="B63" s="501" t="s">
        <v>378</v>
      </c>
      <c r="C63" s="502"/>
      <c r="D63" s="502"/>
      <c r="E63" s="502"/>
      <c r="F63" s="502"/>
      <c r="G63" s="502"/>
      <c r="H63" s="502"/>
      <c r="I63" s="502"/>
      <c r="J63" s="502"/>
      <c r="K63" s="502"/>
      <c r="L63" s="502"/>
      <c r="M63" s="502"/>
      <c r="N63" s="502"/>
      <c r="O63" s="502"/>
      <c r="P63" s="502"/>
      <c r="Q63" s="502"/>
      <c r="R63" s="502"/>
      <c r="S63" s="502"/>
      <c r="T63" s="502"/>
      <c r="U63" s="502"/>
      <c r="V63" s="503"/>
      <c r="W63" s="504"/>
      <c r="X63" s="487"/>
    </row>
    <row r="64" spans="1:25" x14ac:dyDescent="0.3">
      <c r="A64" s="505"/>
      <c r="B64" s="506" t="s">
        <v>17</v>
      </c>
      <c r="C64" s="507"/>
      <c r="D64" s="507"/>
      <c r="E64" s="507"/>
      <c r="F64" s="507"/>
      <c r="G64" s="507"/>
      <c r="H64" s="507"/>
      <c r="I64" s="507"/>
      <c r="J64" s="507"/>
      <c r="K64" s="507"/>
      <c r="L64" s="507"/>
      <c r="M64" s="507"/>
      <c r="N64" s="507"/>
      <c r="O64" s="507"/>
      <c r="P64" s="507"/>
      <c r="Q64" s="507"/>
      <c r="R64" s="507"/>
      <c r="S64" s="507"/>
      <c r="T64" s="507"/>
      <c r="U64" s="507"/>
      <c r="V64" s="508"/>
      <c r="W64" s="509"/>
      <c r="X64" s="406"/>
    </row>
    <row r="65" spans="1:24" x14ac:dyDescent="0.3">
      <c r="A65" s="408"/>
      <c r="B65" s="419"/>
      <c r="C65" s="410"/>
      <c r="D65" s="410"/>
      <c r="E65" s="410"/>
      <c r="F65" s="410"/>
      <c r="G65" s="410"/>
      <c r="H65" s="410"/>
      <c r="I65" s="410"/>
      <c r="J65" s="410"/>
      <c r="K65" s="410"/>
      <c r="L65" s="410"/>
      <c r="M65" s="410"/>
      <c r="N65" s="410"/>
      <c r="O65" s="410"/>
      <c r="P65" s="410"/>
      <c r="Q65" s="410"/>
      <c r="R65" s="410"/>
      <c r="S65" s="410"/>
      <c r="T65" s="410"/>
      <c r="U65" s="410"/>
      <c r="V65" s="510"/>
      <c r="W65" s="411"/>
      <c r="X65" s="406"/>
    </row>
    <row r="66" spans="1:24" s="473" customFormat="1" ht="46.8" x14ac:dyDescent="0.3">
      <c r="A66" s="511"/>
      <c r="B66" s="512" t="s">
        <v>18</v>
      </c>
      <c r="C66" s="513"/>
      <c r="D66" s="513"/>
      <c r="E66" s="513"/>
      <c r="F66" s="513"/>
      <c r="G66" s="513"/>
      <c r="H66" s="513"/>
      <c r="I66" s="513"/>
      <c r="J66" s="513"/>
      <c r="K66" s="513"/>
      <c r="L66" s="513" t="s">
        <v>95</v>
      </c>
      <c r="M66" s="513"/>
      <c r="N66" s="513" t="s">
        <v>97</v>
      </c>
      <c r="O66" s="513"/>
      <c r="P66" s="513" t="s">
        <v>99</v>
      </c>
      <c r="Q66" s="513"/>
      <c r="R66" s="513" t="s">
        <v>101</v>
      </c>
      <c r="S66" s="513"/>
      <c r="T66" s="513" t="s">
        <v>108</v>
      </c>
      <c r="U66" s="513"/>
      <c r="V66" s="514" t="s">
        <v>115</v>
      </c>
      <c r="W66" s="515"/>
      <c r="X66" s="472"/>
    </row>
    <row r="67" spans="1:24" s="426" customFormat="1" x14ac:dyDescent="0.3">
      <c r="A67" s="443"/>
      <c r="B67" s="444" t="s">
        <v>19</v>
      </c>
      <c r="C67" s="516"/>
      <c r="D67" s="516"/>
      <c r="E67" s="516"/>
      <c r="F67" s="516"/>
      <c r="G67" s="516"/>
      <c r="H67" s="516"/>
      <c r="I67" s="516"/>
      <c r="J67" s="516"/>
      <c r="K67" s="516"/>
      <c r="L67" s="516">
        <f>1085286</f>
        <v>1085286</v>
      </c>
      <c r="M67" s="516"/>
      <c r="N67" s="517">
        <v>750042</v>
      </c>
      <c r="O67" s="516"/>
      <c r="P67" s="516">
        <f>16319+23</f>
        <v>16342</v>
      </c>
      <c r="Q67" s="516"/>
      <c r="R67" s="516">
        <f>23</f>
        <v>23</v>
      </c>
      <c r="S67" s="516"/>
      <c r="T67" s="516">
        <v>0</v>
      </c>
      <c r="U67" s="516"/>
      <c r="V67" s="517">
        <f>+N67-P67+R67-T67</f>
        <v>733723</v>
      </c>
      <c r="W67" s="446"/>
      <c r="X67" s="425"/>
    </row>
    <row r="68" spans="1:24" s="426" customFormat="1" x14ac:dyDescent="0.3">
      <c r="A68" s="443"/>
      <c r="B68" s="444" t="s">
        <v>20</v>
      </c>
      <c r="C68" s="516"/>
      <c r="D68" s="516"/>
      <c r="E68" s="516"/>
      <c r="F68" s="516"/>
      <c r="G68" s="516"/>
      <c r="H68" s="516"/>
      <c r="I68" s="516"/>
      <c r="J68" s="516"/>
      <c r="K68" s="516"/>
      <c r="L68" s="516">
        <v>35</v>
      </c>
      <c r="M68" s="516"/>
      <c r="N68" s="517">
        <v>0</v>
      </c>
      <c r="O68" s="516"/>
      <c r="P68" s="516">
        <v>0</v>
      </c>
      <c r="Q68" s="516"/>
      <c r="R68" s="516">
        <v>0</v>
      </c>
      <c r="S68" s="516"/>
      <c r="T68" s="516">
        <v>0</v>
      </c>
      <c r="U68" s="516"/>
      <c r="V68" s="517">
        <f>+N68-P68</f>
        <v>0</v>
      </c>
      <c r="W68" s="446"/>
      <c r="X68" s="425"/>
    </row>
    <row r="69" spans="1:24" s="426" customFormat="1" x14ac:dyDescent="0.3">
      <c r="A69" s="443"/>
      <c r="B69" s="444"/>
      <c r="C69" s="516"/>
      <c r="D69" s="516"/>
      <c r="E69" s="516"/>
      <c r="F69" s="516"/>
      <c r="G69" s="516"/>
      <c r="H69" s="516"/>
      <c r="I69" s="516"/>
      <c r="J69" s="516"/>
      <c r="K69" s="516"/>
      <c r="L69" s="516"/>
      <c r="M69" s="516"/>
      <c r="N69" s="517"/>
      <c r="O69" s="516"/>
      <c r="P69" s="516"/>
      <c r="Q69" s="516"/>
      <c r="R69" s="516"/>
      <c r="S69" s="516"/>
      <c r="T69" s="516"/>
      <c r="U69" s="516"/>
      <c r="V69" s="517"/>
      <c r="W69" s="446"/>
      <c r="X69" s="425"/>
    </row>
    <row r="70" spans="1:24" s="426" customFormat="1" x14ac:dyDescent="0.3">
      <c r="A70" s="443"/>
      <c r="B70" s="444" t="s">
        <v>21</v>
      </c>
      <c r="C70" s="516"/>
      <c r="D70" s="516"/>
      <c r="E70" s="516"/>
      <c r="F70" s="516"/>
      <c r="G70" s="516"/>
      <c r="H70" s="516"/>
      <c r="I70" s="516"/>
      <c r="J70" s="516"/>
      <c r="K70" s="516"/>
      <c r="L70" s="516">
        <f>SUM(L67:L69)</f>
        <v>1085321</v>
      </c>
      <c r="M70" s="516"/>
      <c r="N70" s="516">
        <f>N67+N68</f>
        <v>750042</v>
      </c>
      <c r="O70" s="516"/>
      <c r="P70" s="516">
        <f>SUM(P67:P69)</f>
        <v>16342</v>
      </c>
      <c r="Q70" s="516"/>
      <c r="R70" s="516">
        <f>SUM(R67:R69)</f>
        <v>23</v>
      </c>
      <c r="S70" s="516"/>
      <c r="T70" s="516">
        <f>SUM(T67:T69)</f>
        <v>0</v>
      </c>
      <c r="U70" s="516"/>
      <c r="V70" s="516">
        <f>SUM(V67:V69)</f>
        <v>733723</v>
      </c>
      <c r="W70" s="446"/>
      <c r="X70" s="425"/>
    </row>
    <row r="71" spans="1:24" x14ac:dyDescent="0.3">
      <c r="A71" s="408"/>
      <c r="B71" s="518"/>
      <c r="C71" s="519"/>
      <c r="D71" s="519"/>
      <c r="E71" s="519"/>
      <c r="F71" s="519"/>
      <c r="G71" s="519"/>
      <c r="H71" s="519"/>
      <c r="I71" s="519"/>
      <c r="J71" s="519"/>
      <c r="K71" s="519"/>
      <c r="L71" s="519"/>
      <c r="M71" s="519"/>
      <c r="N71" s="519"/>
      <c r="O71" s="519"/>
      <c r="P71" s="519"/>
      <c r="Q71" s="519"/>
      <c r="R71" s="519"/>
      <c r="S71" s="519"/>
      <c r="T71" s="519"/>
      <c r="U71" s="519"/>
      <c r="V71" s="520"/>
      <c r="W71" s="411"/>
      <c r="X71" s="406"/>
    </row>
    <row r="72" spans="1:24" x14ac:dyDescent="0.3">
      <c r="A72" s="408"/>
      <c r="B72" s="413" t="s">
        <v>22</v>
      </c>
      <c r="C72" s="521"/>
      <c r="D72" s="521"/>
      <c r="E72" s="521"/>
      <c r="F72" s="521"/>
      <c r="G72" s="521"/>
      <c r="H72" s="521"/>
      <c r="I72" s="521"/>
      <c r="J72" s="521"/>
      <c r="K72" s="521"/>
      <c r="L72" s="521"/>
      <c r="M72" s="521"/>
      <c r="N72" s="521"/>
      <c r="O72" s="521"/>
      <c r="P72" s="521"/>
      <c r="Q72" s="521"/>
      <c r="R72" s="521"/>
      <c r="S72" s="521"/>
      <c r="T72" s="521"/>
      <c r="U72" s="521"/>
      <c r="V72" s="522"/>
      <c r="W72" s="411"/>
      <c r="X72" s="406"/>
    </row>
    <row r="73" spans="1:24" x14ac:dyDescent="0.3">
      <c r="A73" s="408"/>
      <c r="B73" s="410"/>
      <c r="C73" s="521"/>
      <c r="D73" s="521"/>
      <c r="E73" s="521"/>
      <c r="F73" s="521"/>
      <c r="G73" s="521"/>
      <c r="H73" s="521"/>
      <c r="I73" s="521"/>
      <c r="J73" s="521"/>
      <c r="K73" s="521"/>
      <c r="L73" s="521"/>
      <c r="M73" s="521"/>
      <c r="N73" s="521"/>
      <c r="O73" s="521"/>
      <c r="P73" s="521"/>
      <c r="Q73" s="521"/>
      <c r="R73" s="521"/>
      <c r="S73" s="521"/>
      <c r="T73" s="521"/>
      <c r="U73" s="521"/>
      <c r="V73" s="522"/>
      <c r="W73" s="411"/>
      <c r="X73" s="406"/>
    </row>
    <row r="74" spans="1:24" s="426" customFormat="1" x14ac:dyDescent="0.3">
      <c r="A74" s="443"/>
      <c r="B74" s="444" t="s">
        <v>19</v>
      </c>
      <c r="C74" s="516"/>
      <c r="D74" s="516"/>
      <c r="E74" s="516"/>
      <c r="F74" s="516"/>
      <c r="G74" s="516"/>
      <c r="H74" s="516"/>
      <c r="I74" s="516"/>
      <c r="J74" s="516"/>
      <c r="K74" s="516"/>
      <c r="L74" s="516"/>
      <c r="M74" s="516"/>
      <c r="N74" s="516"/>
      <c r="O74" s="516"/>
      <c r="P74" s="516"/>
      <c r="Q74" s="516"/>
      <c r="R74" s="516"/>
      <c r="S74" s="516"/>
      <c r="T74" s="516"/>
      <c r="U74" s="516"/>
      <c r="V74" s="516"/>
      <c r="W74" s="446"/>
      <c r="X74" s="425"/>
    </row>
    <row r="75" spans="1:24" s="426" customFormat="1" x14ac:dyDescent="0.3">
      <c r="A75" s="443"/>
      <c r="B75" s="444" t="s">
        <v>20</v>
      </c>
      <c r="C75" s="516"/>
      <c r="D75" s="516"/>
      <c r="E75" s="516"/>
      <c r="F75" s="516"/>
      <c r="G75" s="516"/>
      <c r="H75" s="516"/>
      <c r="I75" s="516"/>
      <c r="J75" s="516"/>
      <c r="K75" s="516"/>
      <c r="L75" s="516"/>
      <c r="M75" s="516"/>
      <c r="N75" s="516"/>
      <c r="O75" s="516"/>
      <c r="P75" s="516"/>
      <c r="Q75" s="516"/>
      <c r="R75" s="516"/>
      <c r="S75" s="516"/>
      <c r="T75" s="516"/>
      <c r="U75" s="516"/>
      <c r="V75" s="516"/>
      <c r="W75" s="446"/>
      <c r="X75" s="425"/>
    </row>
    <row r="76" spans="1:24" s="426" customFormat="1" x14ac:dyDescent="0.3">
      <c r="A76" s="443"/>
      <c r="B76" s="444"/>
      <c r="C76" s="516"/>
      <c r="D76" s="516"/>
      <c r="E76" s="516"/>
      <c r="F76" s="516"/>
      <c r="G76" s="516"/>
      <c r="H76" s="516"/>
      <c r="I76" s="516"/>
      <c r="J76" s="516"/>
      <c r="K76" s="516"/>
      <c r="L76" s="516"/>
      <c r="M76" s="516"/>
      <c r="N76" s="516"/>
      <c r="O76" s="516"/>
      <c r="P76" s="516"/>
      <c r="Q76" s="516"/>
      <c r="R76" s="516"/>
      <c r="S76" s="516"/>
      <c r="T76" s="516"/>
      <c r="U76" s="516"/>
      <c r="V76" s="516"/>
      <c r="W76" s="446"/>
      <c r="X76" s="425"/>
    </row>
    <row r="77" spans="1:24" s="426" customFormat="1" x14ac:dyDescent="0.3">
      <c r="A77" s="443"/>
      <c r="B77" s="444" t="s">
        <v>21</v>
      </c>
      <c r="C77" s="516"/>
      <c r="D77" s="516"/>
      <c r="E77" s="516"/>
      <c r="F77" s="516"/>
      <c r="G77" s="516"/>
      <c r="H77" s="516"/>
      <c r="I77" s="516"/>
      <c r="J77" s="516"/>
      <c r="K77" s="516"/>
      <c r="L77" s="516"/>
      <c r="M77" s="516"/>
      <c r="N77" s="516"/>
      <c r="O77" s="516"/>
      <c r="P77" s="516"/>
      <c r="Q77" s="516"/>
      <c r="R77" s="516"/>
      <c r="S77" s="516"/>
      <c r="T77" s="516"/>
      <c r="U77" s="516"/>
      <c r="V77" s="516"/>
      <c r="W77" s="446"/>
      <c r="X77" s="425"/>
    </row>
    <row r="78" spans="1:24" s="426" customFormat="1" x14ac:dyDescent="0.3">
      <c r="A78" s="443"/>
      <c r="B78" s="444"/>
      <c r="C78" s="516"/>
      <c r="D78" s="516"/>
      <c r="E78" s="516"/>
      <c r="F78" s="516"/>
      <c r="G78" s="516"/>
      <c r="H78" s="516"/>
      <c r="I78" s="516"/>
      <c r="J78" s="516"/>
      <c r="K78" s="516"/>
      <c r="L78" s="516"/>
      <c r="M78" s="516"/>
      <c r="N78" s="516"/>
      <c r="O78" s="516"/>
      <c r="P78" s="516"/>
      <c r="Q78" s="516"/>
      <c r="R78" s="516"/>
      <c r="S78" s="516"/>
      <c r="T78" s="516"/>
      <c r="U78" s="516"/>
      <c r="V78" s="516"/>
      <c r="W78" s="446"/>
      <c r="X78" s="425"/>
    </row>
    <row r="79" spans="1:24" s="426" customFormat="1" x14ac:dyDescent="0.3">
      <c r="A79" s="443"/>
      <c r="B79" s="444" t="s">
        <v>23</v>
      </c>
      <c r="C79" s="516"/>
      <c r="D79" s="516"/>
      <c r="E79" s="516"/>
      <c r="F79" s="516"/>
      <c r="G79" s="516"/>
      <c r="H79" s="516"/>
      <c r="I79" s="516"/>
      <c r="J79" s="516"/>
      <c r="K79" s="516"/>
      <c r="L79" s="516">
        <v>0</v>
      </c>
      <c r="M79" s="516"/>
      <c r="N79" s="516">
        <v>0</v>
      </c>
      <c r="O79" s="516"/>
      <c r="P79" s="516"/>
      <c r="Q79" s="516"/>
      <c r="R79" s="516"/>
      <c r="S79" s="516"/>
      <c r="T79" s="516"/>
      <c r="U79" s="516"/>
      <c r="V79" s="517">
        <v>0</v>
      </c>
      <c r="W79" s="446"/>
      <c r="X79" s="425"/>
    </row>
    <row r="80" spans="1:24" s="426" customFormat="1" x14ac:dyDescent="0.3">
      <c r="A80" s="443"/>
      <c r="B80" s="444" t="s">
        <v>120</v>
      </c>
      <c r="C80" s="516"/>
      <c r="D80" s="516"/>
      <c r="E80" s="516"/>
      <c r="F80" s="516"/>
      <c r="G80" s="516"/>
      <c r="H80" s="516"/>
      <c r="I80" s="516"/>
      <c r="J80" s="516"/>
      <c r="K80" s="516"/>
      <c r="L80" s="516">
        <f>414862+7</f>
        <v>414869</v>
      </c>
      <c r="M80" s="516"/>
      <c r="N80" s="516">
        <v>0</v>
      </c>
      <c r="O80" s="516"/>
      <c r="P80" s="516">
        <v>0</v>
      </c>
      <c r="Q80" s="516"/>
      <c r="R80" s="516"/>
      <c r="S80" s="516"/>
      <c r="T80" s="516"/>
      <c r="U80" s="516"/>
      <c r="V80" s="516">
        <f>SUM(N80:R80)</f>
        <v>0</v>
      </c>
      <c r="W80" s="446"/>
      <c r="X80" s="425"/>
    </row>
    <row r="81" spans="1:24" s="426" customFormat="1" x14ac:dyDescent="0.3">
      <c r="A81" s="443"/>
      <c r="B81" s="444" t="s">
        <v>149</v>
      </c>
      <c r="C81" s="516"/>
      <c r="D81" s="516"/>
      <c r="E81" s="516"/>
      <c r="F81" s="516"/>
      <c r="G81" s="516"/>
      <c r="H81" s="516"/>
      <c r="I81" s="516"/>
      <c r="J81" s="516"/>
      <c r="K81" s="516"/>
      <c r="L81" s="516">
        <v>0</v>
      </c>
      <c r="M81" s="516"/>
      <c r="N81" s="516">
        <v>0</v>
      </c>
      <c r="O81" s="516"/>
      <c r="P81" s="516">
        <v>0</v>
      </c>
      <c r="Q81" s="516"/>
      <c r="R81" s="516"/>
      <c r="S81" s="516"/>
      <c r="T81" s="516"/>
      <c r="U81" s="516"/>
      <c r="V81" s="516">
        <f>+N81+P81</f>
        <v>0</v>
      </c>
      <c r="W81" s="446"/>
      <c r="X81" s="425"/>
    </row>
    <row r="82" spans="1:24" s="426" customFormat="1" x14ac:dyDescent="0.3">
      <c r="A82" s="443"/>
      <c r="B82" s="444" t="s">
        <v>25</v>
      </c>
      <c r="C82" s="516"/>
      <c r="D82" s="516"/>
      <c r="E82" s="516"/>
      <c r="F82" s="516"/>
      <c r="G82" s="516"/>
      <c r="H82" s="516"/>
      <c r="I82" s="516"/>
      <c r="J82" s="516"/>
      <c r="K82" s="516"/>
      <c r="L82" s="516">
        <v>0</v>
      </c>
      <c r="M82" s="516"/>
      <c r="N82" s="516">
        <v>0</v>
      </c>
      <c r="O82" s="516"/>
      <c r="P82" s="516"/>
      <c r="Q82" s="516"/>
      <c r="R82" s="516"/>
      <c r="S82" s="516"/>
      <c r="T82" s="516"/>
      <c r="U82" s="516"/>
      <c r="V82" s="516">
        <v>0</v>
      </c>
      <c r="W82" s="446"/>
      <c r="X82" s="425"/>
    </row>
    <row r="83" spans="1:24" s="426" customFormat="1" x14ac:dyDescent="0.3">
      <c r="A83" s="523"/>
      <c r="B83" s="524" t="s">
        <v>26</v>
      </c>
      <c r="C83" s="525"/>
      <c r="D83" s="525"/>
      <c r="E83" s="525"/>
      <c r="F83" s="525"/>
      <c r="G83" s="525"/>
      <c r="H83" s="525"/>
      <c r="I83" s="525"/>
      <c r="J83" s="525"/>
      <c r="K83" s="525"/>
      <c r="L83" s="525">
        <f>SUM(L70:L82)</f>
        <v>1500190</v>
      </c>
      <c r="M83" s="525"/>
      <c r="N83" s="525">
        <f>SUM(N70:N82)</f>
        <v>750042</v>
      </c>
      <c r="O83" s="525"/>
      <c r="P83" s="525"/>
      <c r="Q83" s="525"/>
      <c r="R83" s="525"/>
      <c r="S83" s="525"/>
      <c r="T83" s="525"/>
      <c r="U83" s="525"/>
      <c r="V83" s="525">
        <f>SUM(V70:V82)</f>
        <v>733723</v>
      </c>
      <c r="W83" s="526"/>
      <c r="X83" s="425"/>
    </row>
    <row r="84" spans="1:24" x14ac:dyDescent="0.3">
      <c r="A84" s="527"/>
      <c r="B84" s="528"/>
      <c r="C84" s="529"/>
      <c r="D84" s="529"/>
      <c r="E84" s="529"/>
      <c r="F84" s="529"/>
      <c r="G84" s="529"/>
      <c r="H84" s="529"/>
      <c r="I84" s="529"/>
      <c r="J84" s="529"/>
      <c r="K84" s="529"/>
      <c r="L84" s="529"/>
      <c r="M84" s="529"/>
      <c r="N84" s="529"/>
      <c r="O84" s="529"/>
      <c r="P84" s="529"/>
      <c r="Q84" s="529"/>
      <c r="R84" s="529"/>
      <c r="S84" s="529"/>
      <c r="T84" s="529"/>
      <c r="U84" s="529"/>
      <c r="V84" s="529"/>
      <c r="W84" s="530"/>
      <c r="X84" s="406"/>
    </row>
    <row r="85" spans="1:24" x14ac:dyDescent="0.3">
      <c r="A85" s="408"/>
      <c r="B85" s="531"/>
      <c r="C85" s="531"/>
      <c r="D85" s="531"/>
      <c r="E85" s="531"/>
      <c r="F85" s="531"/>
      <c r="G85" s="531"/>
      <c r="H85" s="531"/>
      <c r="I85" s="531"/>
      <c r="J85" s="531"/>
      <c r="K85" s="531"/>
      <c r="L85" s="531"/>
      <c r="M85" s="531"/>
      <c r="N85" s="531"/>
      <c r="O85" s="531"/>
      <c r="P85" s="531"/>
      <c r="Q85" s="531"/>
      <c r="R85" s="531"/>
      <c r="S85" s="531"/>
      <c r="T85" s="531"/>
      <c r="U85" s="531"/>
      <c r="V85" s="531"/>
      <c r="W85" s="532"/>
      <c r="X85" s="406"/>
    </row>
    <row r="86" spans="1:24" x14ac:dyDescent="0.3">
      <c r="A86" s="533"/>
      <c r="B86" s="534" t="s">
        <v>27</v>
      </c>
      <c r="C86" s="534"/>
      <c r="D86" s="534"/>
      <c r="E86" s="534"/>
      <c r="F86" s="534"/>
      <c r="G86" s="534"/>
      <c r="H86" s="535"/>
      <c r="I86" s="535"/>
      <c r="J86" s="535"/>
      <c r="K86" s="535"/>
      <c r="L86" s="536" t="s">
        <v>96</v>
      </c>
      <c r="M86" s="535"/>
      <c r="N86" s="537">
        <f>+T198</f>
        <v>43465</v>
      </c>
      <c r="O86" s="535"/>
      <c r="P86" s="535"/>
      <c r="Q86" s="535"/>
      <c r="R86" s="535"/>
      <c r="S86" s="535"/>
      <c r="T86" s="535" t="s">
        <v>109</v>
      </c>
      <c r="U86" s="535"/>
      <c r="V86" s="535" t="s">
        <v>116</v>
      </c>
      <c r="W86" s="538"/>
      <c r="X86" s="406"/>
    </row>
    <row r="87" spans="1:24" s="426" customFormat="1" x14ac:dyDescent="0.3">
      <c r="A87" s="439"/>
      <c r="B87" s="440" t="s">
        <v>28</v>
      </c>
      <c r="C87" s="440"/>
      <c r="D87" s="440"/>
      <c r="E87" s="440"/>
      <c r="F87" s="440"/>
      <c r="G87" s="440"/>
      <c r="H87" s="440"/>
      <c r="I87" s="440"/>
      <c r="J87" s="440"/>
      <c r="K87" s="440"/>
      <c r="L87" s="440"/>
      <c r="M87" s="440"/>
      <c r="N87" s="440"/>
      <c r="O87" s="440"/>
      <c r="P87" s="440"/>
      <c r="Q87" s="440"/>
      <c r="R87" s="440"/>
      <c r="S87" s="440"/>
      <c r="T87" s="539">
        <v>0</v>
      </c>
      <c r="U87" s="440"/>
      <c r="V87" s="540">
        <v>0</v>
      </c>
      <c r="W87" s="442"/>
      <c r="X87" s="425"/>
    </row>
    <row r="88" spans="1:24" s="426" customFormat="1" x14ac:dyDescent="0.3">
      <c r="A88" s="443"/>
      <c r="B88" s="444" t="s">
        <v>29</v>
      </c>
      <c r="C88" s="444"/>
      <c r="D88" s="444"/>
      <c r="E88" s="444"/>
      <c r="F88" s="444"/>
      <c r="G88" s="444"/>
      <c r="H88" s="482"/>
      <c r="I88" s="482"/>
      <c r="J88" s="482"/>
      <c r="K88" s="541"/>
      <c r="L88" s="482"/>
      <c r="M88" s="444"/>
      <c r="N88" s="542"/>
      <c r="O88" s="444"/>
      <c r="P88" s="444"/>
      <c r="Q88" s="444"/>
      <c r="R88" s="444"/>
      <c r="S88" s="444"/>
      <c r="T88" s="516">
        <f>16342-775</f>
        <v>15567</v>
      </c>
      <c r="U88" s="444"/>
      <c r="V88" s="517"/>
      <c r="W88" s="446"/>
      <c r="X88" s="425"/>
    </row>
    <row r="89" spans="1:24" s="426" customFormat="1" x14ac:dyDescent="0.3">
      <c r="A89" s="443"/>
      <c r="B89" s="444" t="s">
        <v>219</v>
      </c>
      <c r="C89" s="444"/>
      <c r="D89" s="444"/>
      <c r="E89" s="444"/>
      <c r="F89" s="444"/>
      <c r="G89" s="444"/>
      <c r="H89" s="482"/>
      <c r="I89" s="482"/>
      <c r="J89" s="482"/>
      <c r="K89" s="541"/>
      <c r="L89" s="482"/>
      <c r="M89" s="444"/>
      <c r="N89" s="542"/>
      <c r="O89" s="444"/>
      <c r="P89" s="444"/>
      <c r="Q89" s="444"/>
      <c r="R89" s="444"/>
      <c r="S89" s="444"/>
      <c r="T89" s="516"/>
      <c r="U89" s="444"/>
      <c r="V89" s="517">
        <f>5341+2608-1929-971</f>
        <v>5049</v>
      </c>
      <c r="W89" s="446"/>
      <c r="X89" s="425"/>
    </row>
    <row r="90" spans="1:24" s="426" customFormat="1" x14ac:dyDescent="0.3">
      <c r="A90" s="443"/>
      <c r="B90" s="444" t="s">
        <v>214</v>
      </c>
      <c r="C90" s="444"/>
      <c r="D90" s="444"/>
      <c r="E90" s="444"/>
      <c r="F90" s="444"/>
      <c r="G90" s="444"/>
      <c r="H90" s="482"/>
      <c r="I90" s="482"/>
      <c r="J90" s="482"/>
      <c r="K90" s="541"/>
      <c r="L90" s="482"/>
      <c r="M90" s="444"/>
      <c r="N90" s="542"/>
      <c r="O90" s="444"/>
      <c r="P90" s="444"/>
      <c r="Q90" s="444"/>
      <c r="R90" s="444"/>
      <c r="S90" s="444"/>
      <c r="T90" s="516"/>
      <c r="U90" s="444"/>
      <c r="V90" s="517">
        <f>154+42</f>
        <v>196</v>
      </c>
      <c r="W90" s="446"/>
      <c r="X90" s="425"/>
    </row>
    <row r="91" spans="1:24" s="426" customFormat="1" x14ac:dyDescent="0.3">
      <c r="A91" s="443"/>
      <c r="B91" s="444" t="s">
        <v>215</v>
      </c>
      <c r="C91" s="444"/>
      <c r="D91" s="444"/>
      <c r="E91" s="444"/>
      <c r="F91" s="444"/>
      <c r="G91" s="444"/>
      <c r="H91" s="482"/>
      <c r="I91" s="482"/>
      <c r="J91" s="482"/>
      <c r="K91" s="541"/>
      <c r="L91" s="482"/>
      <c r="M91" s="444"/>
      <c r="N91" s="542"/>
      <c r="O91" s="444"/>
      <c r="P91" s="444"/>
      <c r="Q91" s="444"/>
      <c r="R91" s="444"/>
      <c r="S91" s="444"/>
      <c r="T91" s="516"/>
      <c r="U91" s="444"/>
      <c r="V91" s="517">
        <v>72</v>
      </c>
      <c r="W91" s="446"/>
      <c r="X91" s="425"/>
    </row>
    <row r="92" spans="1:24" s="426" customFormat="1" x14ac:dyDescent="0.3">
      <c r="A92" s="443"/>
      <c r="B92" s="444" t="s">
        <v>277</v>
      </c>
      <c r="C92" s="444"/>
      <c r="D92" s="444"/>
      <c r="E92" s="444"/>
      <c r="F92" s="444"/>
      <c r="G92" s="444"/>
      <c r="H92" s="482"/>
      <c r="I92" s="482"/>
      <c r="J92" s="482"/>
      <c r="K92" s="541"/>
      <c r="L92" s="482"/>
      <c r="M92" s="444"/>
      <c r="N92" s="542"/>
      <c r="O92" s="444"/>
      <c r="P92" s="444"/>
      <c r="Q92" s="444"/>
      <c r="R92" s="444"/>
      <c r="S92" s="444"/>
      <c r="T92" s="516"/>
      <c r="U92" s="444"/>
      <c r="V92" s="517">
        <v>0</v>
      </c>
      <c r="W92" s="446"/>
      <c r="X92" s="425"/>
    </row>
    <row r="93" spans="1:24" s="426" customFormat="1" x14ac:dyDescent="0.3">
      <c r="A93" s="443"/>
      <c r="B93" s="444" t="s">
        <v>138</v>
      </c>
      <c r="C93" s="444"/>
      <c r="D93" s="444"/>
      <c r="E93" s="444"/>
      <c r="F93" s="444"/>
      <c r="G93" s="444"/>
      <c r="H93" s="444"/>
      <c r="I93" s="444"/>
      <c r="J93" s="444"/>
      <c r="K93" s="444"/>
      <c r="L93" s="444"/>
      <c r="M93" s="444"/>
      <c r="N93" s="444"/>
      <c r="O93" s="444"/>
      <c r="P93" s="444"/>
      <c r="Q93" s="444"/>
      <c r="R93" s="444"/>
      <c r="S93" s="444"/>
      <c r="T93" s="516"/>
      <c r="U93" s="444"/>
      <c r="V93" s="517">
        <v>0</v>
      </c>
      <c r="W93" s="446"/>
      <c r="X93" s="425"/>
    </row>
    <row r="94" spans="1:24" s="426" customFormat="1" x14ac:dyDescent="0.3">
      <c r="A94" s="443"/>
      <c r="B94" s="444" t="s">
        <v>265</v>
      </c>
      <c r="C94" s="444"/>
      <c r="D94" s="444"/>
      <c r="E94" s="444"/>
      <c r="F94" s="444"/>
      <c r="G94" s="444"/>
      <c r="H94" s="444"/>
      <c r="I94" s="444"/>
      <c r="J94" s="444"/>
      <c r="K94" s="444"/>
      <c r="L94" s="444"/>
      <c r="M94" s="444"/>
      <c r="N94" s="444"/>
      <c r="O94" s="444"/>
      <c r="P94" s="444"/>
      <c r="Q94" s="444"/>
      <c r="R94" s="444"/>
      <c r="S94" s="444"/>
      <c r="T94" s="516"/>
      <c r="U94" s="444"/>
      <c r="V94" s="517">
        <v>138</v>
      </c>
      <c r="W94" s="446"/>
      <c r="X94" s="425"/>
    </row>
    <row r="95" spans="1:24" s="426" customFormat="1" x14ac:dyDescent="0.3">
      <c r="A95" s="443"/>
      <c r="B95" s="444" t="s">
        <v>30</v>
      </c>
      <c r="C95" s="444"/>
      <c r="D95" s="444"/>
      <c r="E95" s="444"/>
      <c r="F95" s="444"/>
      <c r="G95" s="444"/>
      <c r="H95" s="444"/>
      <c r="I95" s="444"/>
      <c r="J95" s="444"/>
      <c r="K95" s="444"/>
      <c r="L95" s="444"/>
      <c r="M95" s="444"/>
      <c r="N95" s="444"/>
      <c r="O95" s="444"/>
      <c r="P95" s="444"/>
      <c r="Q95" s="444"/>
      <c r="R95" s="444"/>
      <c r="S95" s="444"/>
      <c r="T95" s="516">
        <f>SUM(T87:T94)</f>
        <v>15567</v>
      </c>
      <c r="U95" s="444"/>
      <c r="V95" s="516">
        <f>SUM(V87:V94)</f>
        <v>5455</v>
      </c>
      <c r="W95" s="446"/>
      <c r="X95" s="425"/>
    </row>
    <row r="96" spans="1:24" s="426" customFormat="1" x14ac:dyDescent="0.3">
      <c r="A96" s="443"/>
      <c r="B96" s="444" t="s">
        <v>164</v>
      </c>
      <c r="C96" s="444"/>
      <c r="D96" s="444"/>
      <c r="E96" s="444"/>
      <c r="F96" s="444"/>
      <c r="G96" s="444"/>
      <c r="H96" s="444"/>
      <c r="I96" s="444"/>
      <c r="J96" s="444"/>
      <c r="K96" s="444"/>
      <c r="L96" s="444"/>
      <c r="M96" s="444"/>
      <c r="N96" s="444"/>
      <c r="O96" s="444"/>
      <c r="P96" s="444"/>
      <c r="Q96" s="444"/>
      <c r="R96" s="444"/>
      <c r="S96" s="444"/>
      <c r="T96" s="516">
        <f>-V96</f>
        <v>0</v>
      </c>
      <c r="U96" s="444"/>
      <c r="V96" s="516">
        <v>0</v>
      </c>
      <c r="W96" s="446"/>
      <c r="X96" s="425"/>
    </row>
    <row r="97" spans="1:26" s="426" customFormat="1" x14ac:dyDescent="0.3">
      <c r="A97" s="443"/>
      <c r="B97" s="444" t="s">
        <v>31</v>
      </c>
      <c r="C97" s="444"/>
      <c r="D97" s="444"/>
      <c r="E97" s="444"/>
      <c r="F97" s="444"/>
      <c r="G97" s="444"/>
      <c r="H97" s="444"/>
      <c r="I97" s="444"/>
      <c r="J97" s="444"/>
      <c r="K97" s="444"/>
      <c r="L97" s="444"/>
      <c r="M97" s="444"/>
      <c r="N97" s="444"/>
      <c r="O97" s="444"/>
      <c r="P97" s="444"/>
      <c r="Q97" s="444"/>
      <c r="R97" s="444"/>
      <c r="S97" s="444"/>
      <c r="T97" s="516">
        <f>-V97</f>
        <v>0</v>
      </c>
      <c r="U97" s="444"/>
      <c r="V97" s="517">
        <v>0</v>
      </c>
      <c r="W97" s="446"/>
      <c r="X97" s="425"/>
    </row>
    <row r="98" spans="1:26" s="426" customFormat="1" x14ac:dyDescent="0.3">
      <c r="A98" s="443"/>
      <c r="B98" s="444" t="s">
        <v>288</v>
      </c>
      <c r="C98" s="444"/>
      <c r="D98" s="444"/>
      <c r="E98" s="444"/>
      <c r="F98" s="444"/>
      <c r="G98" s="444"/>
      <c r="H98" s="444"/>
      <c r="I98" s="444"/>
      <c r="J98" s="444"/>
      <c r="K98" s="444"/>
      <c r="L98" s="444"/>
      <c r="M98" s="444"/>
      <c r="N98" s="444"/>
      <c r="O98" s="444"/>
      <c r="P98" s="444"/>
      <c r="Q98" s="444"/>
      <c r="R98" s="444"/>
      <c r="S98" s="444"/>
      <c r="T98" s="516"/>
      <c r="U98" s="444"/>
      <c r="V98" s="517">
        <v>200</v>
      </c>
      <c r="W98" s="446"/>
      <c r="X98" s="425"/>
    </row>
    <row r="99" spans="1:26" s="426" customFormat="1" x14ac:dyDescent="0.3">
      <c r="A99" s="443"/>
      <c r="B99" s="444" t="s">
        <v>32</v>
      </c>
      <c r="C99" s="444"/>
      <c r="D99" s="444"/>
      <c r="E99" s="444"/>
      <c r="F99" s="444"/>
      <c r="G99" s="444"/>
      <c r="H99" s="444"/>
      <c r="I99" s="444"/>
      <c r="J99" s="444"/>
      <c r="K99" s="444"/>
      <c r="L99" s="444"/>
      <c r="M99" s="444"/>
      <c r="N99" s="444"/>
      <c r="O99" s="444"/>
      <c r="P99" s="444"/>
      <c r="Q99" s="444"/>
      <c r="R99" s="444"/>
      <c r="S99" s="444"/>
      <c r="T99" s="516">
        <f>T95+T97+T96</f>
        <v>15567</v>
      </c>
      <c r="U99" s="444"/>
      <c r="V99" s="516">
        <f>V95+V97+V96+V98</f>
        <v>5655</v>
      </c>
      <c r="W99" s="446"/>
      <c r="X99" s="425"/>
    </row>
    <row r="100" spans="1:26" x14ac:dyDescent="0.3">
      <c r="A100" s="543"/>
      <c r="B100" s="544" t="s">
        <v>33</v>
      </c>
      <c r="C100" s="465"/>
      <c r="D100" s="465"/>
      <c r="E100" s="465"/>
      <c r="F100" s="465"/>
      <c r="G100" s="465"/>
      <c r="H100" s="465"/>
      <c r="I100" s="465"/>
      <c r="J100" s="465"/>
      <c r="K100" s="465"/>
      <c r="L100" s="465"/>
      <c r="M100" s="465"/>
      <c r="N100" s="465"/>
      <c r="O100" s="465"/>
      <c r="P100" s="465"/>
      <c r="Q100" s="465"/>
      <c r="R100" s="465"/>
      <c r="S100" s="465"/>
      <c r="T100" s="545"/>
      <c r="U100" s="465"/>
      <c r="V100" s="546"/>
      <c r="W100" s="547"/>
      <c r="X100" s="406"/>
    </row>
    <row r="101" spans="1:26" s="426" customFormat="1" x14ac:dyDescent="0.3">
      <c r="A101" s="443">
        <v>1</v>
      </c>
      <c r="B101" s="444" t="s">
        <v>34</v>
      </c>
      <c r="C101" s="444"/>
      <c r="D101" s="444"/>
      <c r="E101" s="444"/>
      <c r="F101" s="444"/>
      <c r="G101" s="444"/>
      <c r="H101" s="444"/>
      <c r="I101" s="444"/>
      <c r="J101" s="444"/>
      <c r="K101" s="444"/>
      <c r="L101" s="444"/>
      <c r="M101" s="444"/>
      <c r="N101" s="444"/>
      <c r="O101" s="444"/>
      <c r="P101" s="444"/>
      <c r="Q101" s="444"/>
      <c r="R101" s="444"/>
      <c r="S101" s="444"/>
      <c r="T101" s="444"/>
      <c r="U101" s="444"/>
      <c r="V101" s="517">
        <v>0</v>
      </c>
      <c r="W101" s="446"/>
      <c r="X101" s="425"/>
    </row>
    <row r="102" spans="1:26" s="426" customFormat="1" x14ac:dyDescent="0.3">
      <c r="A102" s="443">
        <f>+A101+1</f>
        <v>2</v>
      </c>
      <c r="B102" s="444" t="s">
        <v>331</v>
      </c>
      <c r="C102" s="444"/>
      <c r="D102" s="444"/>
      <c r="E102" s="444"/>
      <c r="F102" s="444"/>
      <c r="G102" s="444"/>
      <c r="H102" s="444"/>
      <c r="I102" s="444"/>
      <c r="J102" s="444"/>
      <c r="K102" s="444"/>
      <c r="L102" s="444"/>
      <c r="M102" s="444"/>
      <c r="N102" s="444"/>
      <c r="O102" s="444"/>
      <c r="P102" s="444"/>
      <c r="Q102" s="444"/>
      <c r="R102" s="444"/>
      <c r="S102" s="444"/>
      <c r="T102" s="444"/>
      <c r="U102" s="444"/>
      <c r="V102" s="517">
        <f>-2</f>
        <v>-2</v>
      </c>
      <c r="W102" s="446"/>
      <c r="X102" s="425"/>
    </row>
    <row r="103" spans="1:26" s="426" customFormat="1" x14ac:dyDescent="0.3">
      <c r="A103" s="443">
        <f>+A102+1</f>
        <v>3</v>
      </c>
      <c r="B103" s="548" t="s">
        <v>332</v>
      </c>
      <c r="C103" s="444"/>
      <c r="D103" s="444"/>
      <c r="E103" s="444"/>
      <c r="F103" s="444"/>
      <c r="G103" s="444"/>
      <c r="H103" s="444"/>
      <c r="I103" s="444"/>
      <c r="J103" s="444"/>
      <c r="K103" s="444"/>
      <c r="L103" s="444"/>
      <c r="M103" s="444"/>
      <c r="N103" s="444"/>
      <c r="O103" s="444"/>
      <c r="P103" s="444"/>
      <c r="Q103" s="444"/>
      <c r="R103" s="444"/>
      <c r="S103" s="444"/>
      <c r="T103" s="444"/>
      <c r="U103" s="444"/>
      <c r="V103" s="517">
        <f>-289-103-10</f>
        <v>-402</v>
      </c>
      <c r="W103" s="446"/>
      <c r="X103" s="425"/>
    </row>
    <row r="104" spans="1:26" s="426" customFormat="1" x14ac:dyDescent="0.3">
      <c r="A104" s="443" t="s">
        <v>130</v>
      </c>
      <c r="B104" s="444" t="s">
        <v>119</v>
      </c>
      <c r="C104" s="444"/>
      <c r="D104" s="444"/>
      <c r="E104" s="444"/>
      <c r="F104" s="444"/>
      <c r="G104" s="444"/>
      <c r="H104" s="444"/>
      <c r="I104" s="444"/>
      <c r="J104" s="444"/>
      <c r="K104" s="444"/>
      <c r="L104" s="444"/>
      <c r="M104" s="444"/>
      <c r="N104" s="444"/>
      <c r="O104" s="444"/>
      <c r="P104" s="444"/>
      <c r="Q104" s="444"/>
      <c r="R104" s="444"/>
      <c r="S104" s="444"/>
      <c r="T104" s="444"/>
      <c r="U104" s="444"/>
      <c r="V104" s="517">
        <v>0</v>
      </c>
      <c r="W104" s="446"/>
      <c r="X104" s="425"/>
    </row>
    <row r="105" spans="1:26" s="426" customFormat="1" x14ac:dyDescent="0.3">
      <c r="A105" s="443" t="s">
        <v>131</v>
      </c>
      <c r="B105" s="444" t="s">
        <v>362</v>
      </c>
      <c r="C105" s="444"/>
      <c r="D105" s="444"/>
      <c r="E105" s="444"/>
      <c r="F105" s="444"/>
      <c r="G105" s="444"/>
      <c r="H105" s="444"/>
      <c r="I105" s="444"/>
      <c r="J105" s="444"/>
      <c r="K105" s="444"/>
      <c r="L105" s="444"/>
      <c r="M105" s="444"/>
      <c r="N105" s="444"/>
      <c r="O105" s="444"/>
      <c r="P105" s="444"/>
      <c r="Q105" s="444"/>
      <c r="R105" s="444"/>
      <c r="S105" s="444"/>
      <c r="T105" s="444"/>
      <c r="U105" s="444"/>
      <c r="V105" s="517">
        <f>-915-143</f>
        <v>-1058</v>
      </c>
      <c r="W105" s="446"/>
      <c r="X105" s="425"/>
      <c r="Y105" s="549"/>
      <c r="Z105" s="549"/>
    </row>
    <row r="106" spans="1:26" s="426" customFormat="1" x14ac:dyDescent="0.3">
      <c r="A106" s="443" t="s">
        <v>153</v>
      </c>
      <c r="B106" s="444" t="s">
        <v>363</v>
      </c>
      <c r="C106" s="444"/>
      <c r="D106" s="444"/>
      <c r="E106" s="444"/>
      <c r="F106" s="444"/>
      <c r="G106" s="444"/>
      <c r="H106" s="444"/>
      <c r="I106" s="444"/>
      <c r="J106" s="444"/>
      <c r="K106" s="444"/>
      <c r="L106" s="444"/>
      <c r="M106" s="444"/>
      <c r="N106" s="444"/>
      <c r="O106" s="444"/>
      <c r="P106" s="444"/>
      <c r="Q106" s="444"/>
      <c r="R106" s="444"/>
      <c r="S106" s="444"/>
      <c r="T106" s="444"/>
      <c r="U106" s="444"/>
      <c r="V106" s="517">
        <f>-248-215</f>
        <v>-463</v>
      </c>
      <c r="W106" s="446"/>
      <c r="X106" s="425"/>
      <c r="Y106" s="549"/>
    </row>
    <row r="107" spans="1:26" s="426" customFormat="1" x14ac:dyDescent="0.3">
      <c r="A107" s="443" t="s">
        <v>266</v>
      </c>
      <c r="B107" s="444" t="s">
        <v>269</v>
      </c>
      <c r="C107" s="444"/>
      <c r="D107" s="444"/>
      <c r="E107" s="444"/>
      <c r="F107" s="444"/>
      <c r="G107" s="444"/>
      <c r="H107" s="444"/>
      <c r="I107" s="444"/>
      <c r="J107" s="444"/>
      <c r="K107" s="444"/>
      <c r="L107" s="444"/>
      <c r="M107" s="444"/>
      <c r="N107" s="444"/>
      <c r="O107" s="444"/>
      <c r="P107" s="444"/>
      <c r="Q107" s="444"/>
      <c r="R107" s="444"/>
      <c r="S107" s="444"/>
      <c r="T107" s="444"/>
      <c r="U107" s="444"/>
      <c r="V107" s="517">
        <v>0</v>
      </c>
      <c r="W107" s="446"/>
      <c r="X107" s="425"/>
    </row>
    <row r="108" spans="1:26" s="426" customFormat="1" x14ac:dyDescent="0.3">
      <c r="A108" s="443" t="s">
        <v>208</v>
      </c>
      <c r="B108" s="444" t="s">
        <v>188</v>
      </c>
      <c r="C108" s="444"/>
      <c r="D108" s="444"/>
      <c r="E108" s="444"/>
      <c r="F108" s="444"/>
      <c r="G108" s="444"/>
      <c r="H108" s="444"/>
      <c r="I108" s="444"/>
      <c r="J108" s="444"/>
      <c r="K108" s="444"/>
      <c r="L108" s="444"/>
      <c r="M108" s="444"/>
      <c r="N108" s="444"/>
      <c r="O108" s="444"/>
      <c r="P108" s="444"/>
      <c r="Q108" s="444"/>
      <c r="R108" s="444"/>
      <c r="S108" s="444"/>
      <c r="T108" s="444"/>
      <c r="U108" s="444"/>
      <c r="V108" s="517">
        <v>-175</v>
      </c>
      <c r="W108" s="446"/>
      <c r="X108" s="425"/>
      <c r="Y108" s="549"/>
    </row>
    <row r="109" spans="1:26" s="426" customFormat="1" x14ac:dyDescent="0.3">
      <c r="A109" s="443" t="s">
        <v>209</v>
      </c>
      <c r="B109" s="444" t="s">
        <v>189</v>
      </c>
      <c r="C109" s="444"/>
      <c r="D109" s="444"/>
      <c r="E109" s="444"/>
      <c r="F109" s="444"/>
      <c r="G109" s="444"/>
      <c r="H109" s="444"/>
      <c r="I109" s="444"/>
      <c r="J109" s="444"/>
      <c r="K109" s="444"/>
      <c r="L109" s="444"/>
      <c r="M109" s="444"/>
      <c r="N109" s="444"/>
      <c r="O109" s="444"/>
      <c r="P109" s="444"/>
      <c r="Q109" s="444"/>
      <c r="R109" s="444"/>
      <c r="S109" s="444"/>
      <c r="T109" s="444"/>
      <c r="U109" s="444"/>
      <c r="V109" s="517">
        <v>-171</v>
      </c>
      <c r="W109" s="446"/>
      <c r="X109" s="425"/>
      <c r="Y109" s="549"/>
    </row>
    <row r="110" spans="1:26" s="426" customFormat="1" x14ac:dyDescent="0.3">
      <c r="A110" s="443" t="s">
        <v>210</v>
      </c>
      <c r="B110" s="444" t="s">
        <v>199</v>
      </c>
      <c r="C110" s="444"/>
      <c r="D110" s="444"/>
      <c r="E110" s="444"/>
      <c r="F110" s="444"/>
      <c r="G110" s="444"/>
      <c r="H110" s="444"/>
      <c r="I110" s="444"/>
      <c r="J110" s="444"/>
      <c r="K110" s="444"/>
      <c r="L110" s="444"/>
      <c r="M110" s="444"/>
      <c r="N110" s="444"/>
      <c r="O110" s="444"/>
      <c r="P110" s="444"/>
      <c r="Q110" s="444"/>
      <c r="R110" s="444"/>
      <c r="S110" s="444"/>
      <c r="T110" s="444"/>
      <c r="U110" s="444"/>
      <c r="V110" s="517">
        <v>-226</v>
      </c>
      <c r="W110" s="446"/>
      <c r="X110" s="425"/>
      <c r="Y110" s="549"/>
    </row>
    <row r="111" spans="1:26" s="426" customFormat="1" x14ac:dyDescent="0.3">
      <c r="A111" s="443" t="s">
        <v>230</v>
      </c>
      <c r="B111" s="444" t="s">
        <v>229</v>
      </c>
      <c r="C111" s="444"/>
      <c r="D111" s="444"/>
      <c r="E111" s="444"/>
      <c r="F111" s="444"/>
      <c r="G111" s="444"/>
      <c r="H111" s="444"/>
      <c r="I111" s="444"/>
      <c r="J111" s="444"/>
      <c r="K111" s="444"/>
      <c r="L111" s="444"/>
      <c r="M111" s="444"/>
      <c r="N111" s="444"/>
      <c r="O111" s="444"/>
      <c r="P111" s="444"/>
      <c r="Q111" s="444"/>
      <c r="R111" s="444"/>
      <c r="S111" s="444"/>
      <c r="T111" s="444"/>
      <c r="U111" s="444"/>
      <c r="V111" s="517">
        <v>-53</v>
      </c>
      <c r="W111" s="446"/>
      <c r="X111" s="425"/>
      <c r="Y111" s="549"/>
    </row>
    <row r="112" spans="1:26" s="426" customFormat="1" x14ac:dyDescent="0.3">
      <c r="A112" s="550">
        <v>7</v>
      </c>
      <c r="B112" s="548" t="s">
        <v>333</v>
      </c>
      <c r="C112" s="548"/>
      <c r="D112" s="548"/>
      <c r="E112" s="548"/>
      <c r="F112" s="548"/>
      <c r="G112" s="444"/>
      <c r="H112" s="444"/>
      <c r="I112" s="444"/>
      <c r="J112" s="444"/>
      <c r="K112" s="444"/>
      <c r="L112" s="444"/>
      <c r="M112" s="444"/>
      <c r="N112" s="444"/>
      <c r="O112" s="444"/>
      <c r="P112" s="444"/>
      <c r="Q112" s="444"/>
      <c r="R112" s="444"/>
      <c r="S112" s="444"/>
      <c r="T112" s="444"/>
      <c r="U112" s="444"/>
      <c r="V112" s="517">
        <v>0</v>
      </c>
      <c r="W112" s="446"/>
      <c r="X112" s="425"/>
      <c r="Y112" s="549"/>
    </row>
    <row r="113" spans="1:24" s="426" customFormat="1" x14ac:dyDescent="0.3">
      <c r="A113" s="443">
        <f t="shared" ref="A113:A120" si="0">+A112+1</f>
        <v>8</v>
      </c>
      <c r="B113" s="444" t="s">
        <v>35</v>
      </c>
      <c r="C113" s="444"/>
      <c r="D113" s="444"/>
      <c r="E113" s="444"/>
      <c r="F113" s="444"/>
      <c r="G113" s="444"/>
      <c r="H113" s="444"/>
      <c r="I113" s="444"/>
      <c r="J113" s="444"/>
      <c r="K113" s="444"/>
      <c r="L113" s="444"/>
      <c r="M113" s="444"/>
      <c r="N113" s="444"/>
      <c r="O113" s="444"/>
      <c r="P113" s="444"/>
      <c r="Q113" s="444"/>
      <c r="R113" s="444"/>
      <c r="S113" s="444"/>
      <c r="T113" s="444"/>
      <c r="U113" s="444"/>
      <c r="V113" s="517">
        <v>-34</v>
      </c>
      <c r="W113" s="446"/>
      <c r="X113" s="425"/>
    </row>
    <row r="114" spans="1:24" s="426" customFormat="1" x14ac:dyDescent="0.3">
      <c r="A114" s="443">
        <f t="shared" si="0"/>
        <v>9</v>
      </c>
      <c r="B114" s="444" t="s">
        <v>45</v>
      </c>
      <c r="C114" s="444"/>
      <c r="D114" s="444"/>
      <c r="E114" s="444"/>
      <c r="F114" s="444"/>
      <c r="G114" s="444"/>
      <c r="H114" s="444"/>
      <c r="I114" s="444"/>
      <c r="J114" s="444"/>
      <c r="K114" s="444"/>
      <c r="L114" s="444"/>
      <c r="M114" s="444"/>
      <c r="N114" s="444"/>
      <c r="O114" s="444"/>
      <c r="P114" s="444"/>
      <c r="Q114" s="444"/>
      <c r="R114" s="444"/>
      <c r="S114" s="444"/>
      <c r="T114" s="516">
        <f>-V114</f>
        <v>775</v>
      </c>
      <c r="U114" s="444"/>
      <c r="V114" s="517">
        <v>-775</v>
      </c>
      <c r="W114" s="446"/>
      <c r="X114" s="425"/>
    </row>
    <row r="115" spans="1:24" s="426" customFormat="1" x14ac:dyDescent="0.3">
      <c r="A115" s="443">
        <f t="shared" si="0"/>
        <v>10</v>
      </c>
      <c r="B115" s="444" t="s">
        <v>128</v>
      </c>
      <c r="C115" s="444"/>
      <c r="D115" s="444"/>
      <c r="E115" s="444"/>
      <c r="F115" s="444"/>
      <c r="G115" s="444"/>
      <c r="H115" s="444"/>
      <c r="I115" s="444"/>
      <c r="J115" s="444"/>
      <c r="K115" s="444"/>
      <c r="L115" s="444"/>
      <c r="M115" s="444"/>
      <c r="N115" s="444"/>
      <c r="O115" s="444"/>
      <c r="P115" s="444"/>
      <c r="Q115" s="444"/>
      <c r="R115" s="444"/>
      <c r="S115" s="444"/>
      <c r="T115" s="444"/>
      <c r="U115" s="444"/>
      <c r="V115" s="517">
        <v>0</v>
      </c>
      <c r="W115" s="446"/>
      <c r="X115" s="425"/>
    </row>
    <row r="116" spans="1:24" s="426" customFormat="1" x14ac:dyDescent="0.3">
      <c r="A116" s="443">
        <f t="shared" si="0"/>
        <v>11</v>
      </c>
      <c r="B116" s="444" t="s">
        <v>271</v>
      </c>
      <c r="C116" s="444"/>
      <c r="D116" s="444"/>
      <c r="E116" s="444"/>
      <c r="F116" s="444"/>
      <c r="G116" s="444"/>
      <c r="H116" s="444"/>
      <c r="I116" s="444"/>
      <c r="J116" s="444"/>
      <c r="K116" s="444"/>
      <c r="L116" s="444"/>
      <c r="M116" s="444"/>
      <c r="N116" s="444"/>
      <c r="O116" s="444"/>
      <c r="P116" s="444"/>
      <c r="Q116" s="444"/>
      <c r="R116" s="444"/>
      <c r="S116" s="444"/>
      <c r="T116" s="444"/>
      <c r="U116" s="444"/>
      <c r="V116" s="517">
        <v>0</v>
      </c>
      <c r="W116" s="446"/>
      <c r="X116" s="425"/>
    </row>
    <row r="117" spans="1:24" s="426" customFormat="1" x14ac:dyDescent="0.3">
      <c r="A117" s="443">
        <f t="shared" si="0"/>
        <v>12</v>
      </c>
      <c r="B117" s="444" t="s">
        <v>36</v>
      </c>
      <c r="C117" s="444"/>
      <c r="D117" s="444"/>
      <c r="E117" s="444"/>
      <c r="F117" s="444"/>
      <c r="G117" s="444"/>
      <c r="H117" s="444"/>
      <c r="I117" s="444"/>
      <c r="J117" s="444"/>
      <c r="K117" s="444"/>
      <c r="L117" s="444"/>
      <c r="M117" s="444"/>
      <c r="N117" s="444"/>
      <c r="O117" s="444"/>
      <c r="P117" s="444"/>
      <c r="Q117" s="444"/>
      <c r="R117" s="444"/>
      <c r="S117" s="444"/>
      <c r="T117" s="444"/>
      <c r="U117" s="444"/>
      <c r="V117" s="517">
        <v>0</v>
      </c>
      <c r="W117" s="446"/>
      <c r="X117" s="425"/>
    </row>
    <row r="118" spans="1:24" s="426" customFormat="1" x14ac:dyDescent="0.3">
      <c r="A118" s="443">
        <f t="shared" si="0"/>
        <v>13</v>
      </c>
      <c r="B118" s="444" t="s">
        <v>270</v>
      </c>
      <c r="C118" s="444"/>
      <c r="D118" s="444"/>
      <c r="E118" s="444"/>
      <c r="F118" s="444"/>
      <c r="G118" s="444"/>
      <c r="H118" s="444"/>
      <c r="I118" s="444"/>
      <c r="J118" s="444"/>
      <c r="K118" s="444"/>
      <c r="L118" s="444"/>
      <c r="M118" s="444"/>
      <c r="N118" s="444"/>
      <c r="O118" s="444"/>
      <c r="P118" s="444"/>
      <c r="Q118" s="444"/>
      <c r="R118" s="444"/>
      <c r="S118" s="444"/>
      <c r="T118" s="444"/>
      <c r="U118" s="444"/>
      <c r="V118" s="517">
        <v>0</v>
      </c>
      <c r="W118" s="446"/>
      <c r="X118" s="425"/>
    </row>
    <row r="119" spans="1:24" s="426" customFormat="1" x14ac:dyDescent="0.3">
      <c r="A119" s="443">
        <f t="shared" si="0"/>
        <v>14</v>
      </c>
      <c r="B119" s="444" t="s">
        <v>152</v>
      </c>
      <c r="C119" s="444"/>
      <c r="D119" s="444"/>
      <c r="E119" s="444"/>
      <c r="F119" s="444"/>
      <c r="G119" s="444"/>
      <c r="H119" s="444"/>
      <c r="I119" s="444"/>
      <c r="J119" s="444"/>
      <c r="K119" s="444"/>
      <c r="L119" s="444"/>
      <c r="M119" s="444"/>
      <c r="N119" s="444"/>
      <c r="O119" s="444"/>
      <c r="P119" s="444"/>
      <c r="Q119" s="444"/>
      <c r="R119" s="444"/>
      <c r="S119" s="444"/>
      <c r="T119" s="444"/>
      <c r="U119" s="444"/>
      <c r="V119" s="517">
        <v>-289</v>
      </c>
      <c r="W119" s="446"/>
      <c r="X119" s="425"/>
    </row>
    <row r="120" spans="1:24" s="426" customFormat="1" x14ac:dyDescent="0.3">
      <c r="A120" s="443">
        <f t="shared" si="0"/>
        <v>15</v>
      </c>
      <c r="B120" s="444" t="s">
        <v>129</v>
      </c>
      <c r="C120" s="444"/>
      <c r="D120" s="444"/>
      <c r="E120" s="444"/>
      <c r="F120" s="444"/>
      <c r="G120" s="444"/>
      <c r="H120" s="444"/>
      <c r="I120" s="444"/>
      <c r="J120" s="444"/>
      <c r="K120" s="444"/>
      <c r="L120" s="444"/>
      <c r="M120" s="444"/>
      <c r="N120" s="444"/>
      <c r="O120" s="444"/>
      <c r="P120" s="444"/>
      <c r="Q120" s="444"/>
      <c r="R120" s="444"/>
      <c r="S120" s="444"/>
      <c r="T120" s="444"/>
      <c r="U120" s="444"/>
      <c r="V120" s="517">
        <f>-V99-SUM(V101:V119)</f>
        <v>-2007</v>
      </c>
      <c r="W120" s="446"/>
      <c r="X120" s="425"/>
    </row>
    <row r="121" spans="1:24" x14ac:dyDescent="0.3">
      <c r="A121" s="543"/>
      <c r="B121" s="544" t="s">
        <v>37</v>
      </c>
      <c r="C121" s="465"/>
      <c r="D121" s="465"/>
      <c r="E121" s="465"/>
      <c r="F121" s="465"/>
      <c r="G121" s="465"/>
      <c r="H121" s="465"/>
      <c r="I121" s="465"/>
      <c r="J121" s="465"/>
      <c r="K121" s="465"/>
      <c r="L121" s="465"/>
      <c r="M121" s="465"/>
      <c r="N121" s="465"/>
      <c r="O121" s="465"/>
      <c r="P121" s="465"/>
      <c r="Q121" s="465"/>
      <c r="R121" s="465"/>
      <c r="S121" s="465"/>
      <c r="T121" s="465"/>
      <c r="U121" s="465"/>
      <c r="V121" s="551"/>
      <c r="W121" s="547"/>
      <c r="X121" s="406"/>
    </row>
    <row r="122" spans="1:24" s="426" customFormat="1" x14ac:dyDescent="0.3">
      <c r="A122" s="443"/>
      <c r="B122" s="444" t="s">
        <v>176</v>
      </c>
      <c r="C122" s="444"/>
      <c r="D122" s="444"/>
      <c r="E122" s="444"/>
      <c r="F122" s="444"/>
      <c r="G122" s="444"/>
      <c r="H122" s="444"/>
      <c r="I122" s="444"/>
      <c r="J122" s="444"/>
      <c r="K122" s="444"/>
      <c r="L122" s="444"/>
      <c r="M122" s="444"/>
      <c r="N122" s="444"/>
      <c r="O122" s="444"/>
      <c r="P122" s="444"/>
      <c r="Q122" s="444"/>
      <c r="R122" s="444"/>
      <c r="S122" s="444"/>
      <c r="T122" s="516">
        <f>-T182</f>
        <v>0</v>
      </c>
      <c r="U122" s="516"/>
      <c r="V122" s="517"/>
      <c r="W122" s="446"/>
      <c r="X122" s="425"/>
    </row>
    <row r="123" spans="1:24" s="426" customFormat="1" x14ac:dyDescent="0.3">
      <c r="A123" s="443"/>
      <c r="B123" s="444" t="s">
        <v>177</v>
      </c>
      <c r="C123" s="444"/>
      <c r="D123" s="444"/>
      <c r="E123" s="444"/>
      <c r="F123" s="444"/>
      <c r="G123" s="444"/>
      <c r="H123" s="444"/>
      <c r="I123" s="444"/>
      <c r="J123" s="444"/>
      <c r="K123" s="444"/>
      <c r="L123" s="444"/>
      <c r="M123" s="444"/>
      <c r="N123" s="444"/>
      <c r="O123" s="444"/>
      <c r="P123" s="444"/>
      <c r="Q123" s="444"/>
      <c r="R123" s="444"/>
      <c r="S123" s="444"/>
      <c r="T123" s="516">
        <v>0</v>
      </c>
      <c r="U123" s="516"/>
      <c r="V123" s="517"/>
      <c r="W123" s="446"/>
      <c r="X123" s="425"/>
    </row>
    <row r="124" spans="1:24" s="426" customFormat="1" x14ac:dyDescent="0.3">
      <c r="A124" s="443"/>
      <c r="B124" s="444" t="s">
        <v>38</v>
      </c>
      <c r="C124" s="444"/>
      <c r="D124" s="444"/>
      <c r="E124" s="444"/>
      <c r="F124" s="444"/>
      <c r="G124" s="444"/>
      <c r="H124" s="444"/>
      <c r="I124" s="444"/>
      <c r="J124" s="444"/>
      <c r="K124" s="444"/>
      <c r="L124" s="444"/>
      <c r="M124" s="444"/>
      <c r="N124" s="444"/>
      <c r="O124" s="444"/>
      <c r="P124" s="444"/>
      <c r="Q124" s="444"/>
      <c r="R124" s="444"/>
      <c r="S124" s="444"/>
      <c r="T124" s="516">
        <f>-S182</f>
        <v>-23</v>
      </c>
      <c r="U124" s="516"/>
      <c r="V124" s="517"/>
      <c r="W124" s="446"/>
      <c r="X124" s="425"/>
    </row>
    <row r="125" spans="1:24" s="426" customFormat="1" x14ac:dyDescent="0.3">
      <c r="A125" s="443"/>
      <c r="B125" s="444" t="s">
        <v>386</v>
      </c>
      <c r="C125" s="444"/>
      <c r="D125" s="444"/>
      <c r="E125" s="444"/>
      <c r="F125" s="444"/>
      <c r="G125" s="444"/>
      <c r="H125" s="444"/>
      <c r="I125" s="444"/>
      <c r="J125" s="444"/>
      <c r="K125" s="444"/>
      <c r="L125" s="444"/>
      <c r="M125" s="444"/>
      <c r="N125" s="444"/>
      <c r="O125" s="444"/>
      <c r="P125" s="444"/>
      <c r="Q125" s="444"/>
      <c r="R125" s="444"/>
      <c r="S125" s="444"/>
      <c r="T125" s="516">
        <v>-9861</v>
      </c>
      <c r="U125" s="516"/>
      <c r="V125" s="517"/>
      <c r="W125" s="446"/>
      <c r="X125" s="425"/>
    </row>
    <row r="126" spans="1:24" s="426" customFormat="1" x14ac:dyDescent="0.3">
      <c r="A126" s="443"/>
      <c r="B126" s="444" t="s">
        <v>198</v>
      </c>
      <c r="C126" s="444"/>
      <c r="D126" s="444"/>
      <c r="E126" s="444"/>
      <c r="F126" s="444"/>
      <c r="G126" s="444"/>
      <c r="H126" s="444"/>
      <c r="I126" s="444"/>
      <c r="J126" s="444"/>
      <c r="K126" s="444"/>
      <c r="L126" s="444"/>
      <c r="M126" s="444"/>
      <c r="N126" s="444"/>
      <c r="O126" s="444"/>
      <c r="P126" s="444"/>
      <c r="Q126" s="444"/>
      <c r="R126" s="444"/>
      <c r="S126" s="444"/>
      <c r="T126" s="516">
        <v>-1545</v>
      </c>
      <c r="U126" s="516"/>
      <c r="V126" s="517"/>
      <c r="W126" s="446"/>
      <c r="X126" s="425"/>
    </row>
    <row r="127" spans="1:24" s="426" customFormat="1" x14ac:dyDescent="0.3">
      <c r="A127" s="443"/>
      <c r="B127" s="444" t="s">
        <v>197</v>
      </c>
      <c r="C127" s="444"/>
      <c r="D127" s="444"/>
      <c r="E127" s="444"/>
      <c r="F127" s="444"/>
      <c r="G127" s="444"/>
      <c r="H127" s="444"/>
      <c r="I127" s="444"/>
      <c r="J127" s="444"/>
      <c r="K127" s="444"/>
      <c r="L127" s="444"/>
      <c r="M127" s="444"/>
      <c r="N127" s="444"/>
      <c r="O127" s="444"/>
      <c r="P127" s="444"/>
      <c r="Q127" s="444"/>
      <c r="R127" s="444"/>
      <c r="S127" s="444"/>
      <c r="T127" s="516">
        <v>-2613</v>
      </c>
      <c r="U127" s="516"/>
      <c r="V127" s="517"/>
      <c r="W127" s="446"/>
      <c r="X127" s="425"/>
    </row>
    <row r="128" spans="1:24" s="426" customFormat="1" x14ac:dyDescent="0.3">
      <c r="A128" s="443"/>
      <c r="B128" s="444" t="s">
        <v>232</v>
      </c>
      <c r="C128" s="444"/>
      <c r="D128" s="444"/>
      <c r="E128" s="444"/>
      <c r="F128" s="444"/>
      <c r="G128" s="444"/>
      <c r="H128" s="444"/>
      <c r="I128" s="444"/>
      <c r="J128" s="444"/>
      <c r="K128" s="444"/>
      <c r="L128" s="444"/>
      <c r="M128" s="444"/>
      <c r="N128" s="444"/>
      <c r="O128" s="444"/>
      <c r="P128" s="444"/>
      <c r="Q128" s="444"/>
      <c r="R128" s="444"/>
      <c r="S128" s="444"/>
      <c r="T128" s="516">
        <v>-2300</v>
      </c>
      <c r="U128" s="516"/>
      <c r="V128" s="517"/>
      <c r="W128" s="446"/>
      <c r="X128" s="425"/>
    </row>
    <row r="129" spans="1:24" s="426" customFormat="1" x14ac:dyDescent="0.3">
      <c r="A129" s="443"/>
      <c r="B129" s="444" t="s">
        <v>192</v>
      </c>
      <c r="C129" s="444"/>
      <c r="D129" s="444"/>
      <c r="E129" s="444"/>
      <c r="F129" s="444"/>
      <c r="G129" s="444"/>
      <c r="H129" s="444"/>
      <c r="I129" s="444"/>
      <c r="J129" s="444"/>
      <c r="K129" s="444"/>
      <c r="L129" s="444"/>
      <c r="M129" s="444"/>
      <c r="N129" s="444"/>
      <c r="O129" s="444"/>
      <c r="P129" s="444"/>
      <c r="Q129" s="444"/>
      <c r="R129" s="444"/>
      <c r="S129" s="444"/>
      <c r="T129" s="516">
        <v>0</v>
      </c>
      <c r="U129" s="516"/>
      <c r="V129" s="517"/>
      <c r="W129" s="446"/>
      <c r="X129" s="425"/>
    </row>
    <row r="130" spans="1:24" s="426" customFormat="1" x14ac:dyDescent="0.3">
      <c r="A130" s="443"/>
      <c r="B130" s="444" t="s">
        <v>191</v>
      </c>
      <c r="C130" s="444"/>
      <c r="D130" s="444"/>
      <c r="E130" s="444"/>
      <c r="F130" s="444"/>
      <c r="G130" s="444"/>
      <c r="H130" s="444"/>
      <c r="I130" s="444"/>
      <c r="J130" s="444"/>
      <c r="K130" s="444"/>
      <c r="L130" s="444"/>
      <c r="M130" s="444"/>
      <c r="N130" s="444"/>
      <c r="O130" s="444"/>
      <c r="P130" s="444"/>
      <c r="Q130" s="444"/>
      <c r="R130" s="444"/>
      <c r="S130" s="444"/>
      <c r="T130" s="516">
        <v>0</v>
      </c>
      <c r="U130" s="516"/>
      <c r="V130" s="517"/>
      <c r="W130" s="446"/>
      <c r="X130" s="425"/>
    </row>
    <row r="131" spans="1:24" s="426" customFormat="1" x14ac:dyDescent="0.3">
      <c r="A131" s="443"/>
      <c r="B131" s="444" t="s">
        <v>233</v>
      </c>
      <c r="C131" s="444"/>
      <c r="D131" s="444"/>
      <c r="E131" s="444"/>
      <c r="F131" s="444"/>
      <c r="G131" s="444"/>
      <c r="H131" s="444"/>
      <c r="I131" s="444"/>
      <c r="J131" s="444"/>
      <c r="K131" s="444"/>
      <c r="L131" s="444"/>
      <c r="M131" s="444"/>
      <c r="N131" s="444"/>
      <c r="O131" s="444"/>
      <c r="P131" s="444"/>
      <c r="Q131" s="444"/>
      <c r="R131" s="444"/>
      <c r="S131" s="444"/>
      <c r="T131" s="516">
        <v>0</v>
      </c>
      <c r="U131" s="516"/>
      <c r="V131" s="517"/>
      <c r="W131" s="446"/>
      <c r="X131" s="425"/>
    </row>
    <row r="132" spans="1:24" s="426" customFormat="1" x14ac:dyDescent="0.3">
      <c r="A132" s="443"/>
      <c r="B132" s="444" t="s">
        <v>190</v>
      </c>
      <c r="C132" s="444"/>
      <c r="D132" s="444"/>
      <c r="E132" s="444"/>
      <c r="F132" s="444"/>
      <c r="G132" s="444"/>
      <c r="H132" s="444"/>
      <c r="I132" s="444"/>
      <c r="J132" s="444"/>
      <c r="K132" s="444"/>
      <c r="L132" s="444"/>
      <c r="M132" s="444"/>
      <c r="N132" s="444"/>
      <c r="O132" s="444"/>
      <c r="P132" s="444"/>
      <c r="Q132" s="444"/>
      <c r="R132" s="444"/>
      <c r="S132" s="444"/>
      <c r="T132" s="516">
        <v>0</v>
      </c>
      <c r="U132" s="516"/>
      <c r="V132" s="517"/>
      <c r="W132" s="446"/>
      <c r="X132" s="425"/>
    </row>
    <row r="133" spans="1:24" s="426" customFormat="1" x14ac:dyDescent="0.3">
      <c r="A133" s="443"/>
      <c r="B133" s="444" t="s">
        <v>39</v>
      </c>
      <c r="C133" s="444"/>
      <c r="D133" s="444"/>
      <c r="E133" s="444"/>
      <c r="F133" s="444"/>
      <c r="G133" s="444"/>
      <c r="H133" s="444"/>
      <c r="I133" s="444"/>
      <c r="J133" s="444"/>
      <c r="K133" s="444"/>
      <c r="L133" s="444"/>
      <c r="M133" s="444"/>
      <c r="N133" s="444"/>
      <c r="O133" s="444"/>
      <c r="P133" s="444"/>
      <c r="Q133" s="444"/>
      <c r="R133" s="444"/>
      <c r="S133" s="444"/>
      <c r="T133" s="516">
        <f>SUM(T122:T132)</f>
        <v>-16342</v>
      </c>
      <c r="U133" s="516"/>
      <c r="V133" s="516">
        <f>SUM(V100:V130)</f>
        <v>-5655</v>
      </c>
      <c r="W133" s="446"/>
      <c r="X133" s="425"/>
    </row>
    <row r="134" spans="1:24" s="426" customFormat="1" x14ac:dyDescent="0.3">
      <c r="A134" s="443"/>
      <c r="B134" s="444" t="s">
        <v>40</v>
      </c>
      <c r="C134" s="444"/>
      <c r="D134" s="444"/>
      <c r="E134" s="444"/>
      <c r="F134" s="444"/>
      <c r="G134" s="444"/>
      <c r="H134" s="444"/>
      <c r="I134" s="444"/>
      <c r="J134" s="444"/>
      <c r="K134" s="444"/>
      <c r="L134" s="444"/>
      <c r="M134" s="444"/>
      <c r="N134" s="444"/>
      <c r="O134" s="444"/>
      <c r="P134" s="444"/>
      <c r="Q134" s="444"/>
      <c r="R134" s="444"/>
      <c r="S134" s="444"/>
      <c r="T134" s="516">
        <f>T99+T133+T114</f>
        <v>0</v>
      </c>
      <c r="U134" s="516"/>
      <c r="V134" s="516">
        <f>V99+V133</f>
        <v>0</v>
      </c>
      <c r="W134" s="446"/>
      <c r="X134" s="425"/>
    </row>
    <row r="135" spans="1:24" s="426" customFormat="1" x14ac:dyDescent="0.3">
      <c r="A135" s="421"/>
      <c r="B135" s="494"/>
      <c r="C135" s="494"/>
      <c r="D135" s="494"/>
      <c r="E135" s="494"/>
      <c r="F135" s="494"/>
      <c r="G135" s="494"/>
      <c r="H135" s="494"/>
      <c r="I135" s="494"/>
      <c r="J135" s="494"/>
      <c r="K135" s="494"/>
      <c r="L135" s="494"/>
      <c r="M135" s="494"/>
      <c r="N135" s="494"/>
      <c r="O135" s="494"/>
      <c r="P135" s="494"/>
      <c r="Q135" s="494"/>
      <c r="R135" s="494"/>
      <c r="S135" s="494"/>
      <c r="T135" s="552"/>
      <c r="U135" s="552"/>
      <c r="V135" s="552"/>
      <c r="W135" s="424"/>
      <c r="X135" s="425"/>
    </row>
    <row r="136" spans="1:24" s="426" customFormat="1" x14ac:dyDescent="0.3">
      <c r="A136" s="421"/>
      <c r="B136" s="422"/>
      <c r="C136" s="422"/>
      <c r="D136" s="422"/>
      <c r="E136" s="422"/>
      <c r="F136" s="422"/>
      <c r="G136" s="422"/>
      <c r="H136" s="422"/>
      <c r="I136" s="422"/>
      <c r="J136" s="422"/>
      <c r="K136" s="422"/>
      <c r="L136" s="422"/>
      <c r="M136" s="422"/>
      <c r="N136" s="422"/>
      <c r="O136" s="422"/>
      <c r="P136" s="422"/>
      <c r="Q136" s="422"/>
      <c r="R136" s="422"/>
      <c r="S136" s="422"/>
      <c r="T136" s="422"/>
      <c r="U136" s="422"/>
      <c r="V136" s="553"/>
      <c r="W136" s="424"/>
      <c r="X136" s="425"/>
    </row>
    <row r="137" spans="1:24" s="426" customFormat="1" ht="18.600000000000001" thickBot="1" x14ac:dyDescent="0.4">
      <c r="A137" s="500"/>
      <c r="B137" s="501" t="str">
        <f>B63</f>
        <v>PM13 INVESTOR REPORT QUARTER ENDING DECEMBER 2018</v>
      </c>
      <c r="C137" s="502"/>
      <c r="D137" s="502"/>
      <c r="E137" s="502"/>
      <c r="F137" s="502"/>
      <c r="G137" s="502"/>
      <c r="H137" s="502"/>
      <c r="I137" s="502"/>
      <c r="J137" s="502"/>
      <c r="K137" s="502"/>
      <c r="L137" s="502"/>
      <c r="M137" s="502"/>
      <c r="N137" s="502"/>
      <c r="O137" s="502"/>
      <c r="P137" s="502"/>
      <c r="Q137" s="502"/>
      <c r="R137" s="502"/>
      <c r="S137" s="502"/>
      <c r="T137" s="502"/>
      <c r="U137" s="502"/>
      <c r="V137" s="554"/>
      <c r="W137" s="555"/>
      <c r="X137" s="425"/>
    </row>
    <row r="138" spans="1:24" x14ac:dyDescent="0.3">
      <c r="A138" s="505"/>
      <c r="B138" s="506" t="s">
        <v>41</v>
      </c>
      <c r="C138" s="507"/>
      <c r="D138" s="507"/>
      <c r="E138" s="507"/>
      <c r="F138" s="507"/>
      <c r="G138" s="507"/>
      <c r="H138" s="507"/>
      <c r="I138" s="507"/>
      <c r="J138" s="507"/>
      <c r="K138" s="507"/>
      <c r="L138" s="507"/>
      <c r="M138" s="507"/>
      <c r="N138" s="507"/>
      <c r="O138" s="507"/>
      <c r="P138" s="507"/>
      <c r="Q138" s="507"/>
      <c r="R138" s="507"/>
      <c r="S138" s="507"/>
      <c r="T138" s="507"/>
      <c r="U138" s="507"/>
      <c r="V138" s="508"/>
      <c r="W138" s="509"/>
      <c r="X138" s="406"/>
    </row>
    <row r="139" spans="1:24" x14ac:dyDescent="0.3">
      <c r="A139" s="408"/>
      <c r="B139" s="556"/>
      <c r="C139" s="410"/>
      <c r="D139" s="410"/>
      <c r="E139" s="410"/>
      <c r="F139" s="410"/>
      <c r="G139" s="410"/>
      <c r="H139" s="410"/>
      <c r="I139" s="410"/>
      <c r="J139" s="410"/>
      <c r="K139" s="410"/>
      <c r="L139" s="410"/>
      <c r="M139" s="410"/>
      <c r="N139" s="410"/>
      <c r="O139" s="410"/>
      <c r="P139" s="410"/>
      <c r="Q139" s="410"/>
      <c r="R139" s="410"/>
      <c r="S139" s="410"/>
      <c r="T139" s="410"/>
      <c r="U139" s="410"/>
      <c r="V139" s="510"/>
      <c r="W139" s="411"/>
      <c r="X139" s="406"/>
    </row>
    <row r="140" spans="1:24" x14ac:dyDescent="0.3">
      <c r="A140" s="408"/>
      <c r="B140" s="557" t="s">
        <v>42</v>
      </c>
      <c r="C140" s="410"/>
      <c r="D140" s="410"/>
      <c r="E140" s="410"/>
      <c r="F140" s="410"/>
      <c r="G140" s="410"/>
      <c r="H140" s="410"/>
      <c r="I140" s="410"/>
      <c r="J140" s="410"/>
      <c r="K140" s="410"/>
      <c r="L140" s="410"/>
      <c r="M140" s="410"/>
      <c r="N140" s="410"/>
      <c r="O140" s="410"/>
      <c r="P140" s="410"/>
      <c r="Q140" s="410"/>
      <c r="R140" s="410"/>
      <c r="S140" s="410"/>
      <c r="T140" s="410"/>
      <c r="U140" s="410"/>
      <c r="V140" s="510"/>
      <c r="W140" s="411"/>
      <c r="X140" s="406"/>
    </row>
    <row r="141" spans="1:24" x14ac:dyDescent="0.3">
      <c r="A141" s="543"/>
      <c r="B141" s="444" t="s">
        <v>43</v>
      </c>
      <c r="C141" s="444"/>
      <c r="D141" s="444"/>
      <c r="E141" s="444"/>
      <c r="F141" s="444"/>
      <c r="G141" s="444"/>
      <c r="H141" s="444"/>
      <c r="I141" s="444"/>
      <c r="J141" s="444"/>
      <c r="K141" s="444"/>
      <c r="L141" s="444"/>
      <c r="M141" s="444"/>
      <c r="N141" s="444"/>
      <c r="O141" s="444"/>
      <c r="P141" s="444"/>
      <c r="Q141" s="444"/>
      <c r="R141" s="444"/>
      <c r="S141" s="444"/>
      <c r="T141" s="444"/>
      <c r="U141" s="444"/>
      <c r="V141" s="517">
        <f>+V34*0.019</f>
        <v>28503.61</v>
      </c>
      <c r="W141" s="558"/>
      <c r="X141" s="406"/>
    </row>
    <row r="142" spans="1:24" x14ac:dyDescent="0.3">
      <c r="A142" s="543"/>
      <c r="B142" s="444" t="s">
        <v>44</v>
      </c>
      <c r="C142" s="444"/>
      <c r="D142" s="444"/>
      <c r="E142" s="444"/>
      <c r="F142" s="444"/>
      <c r="G142" s="444"/>
      <c r="H142" s="444"/>
      <c r="I142" s="444"/>
      <c r="J142" s="444"/>
      <c r="K142" s="444"/>
      <c r="L142" s="444"/>
      <c r="M142" s="444"/>
      <c r="N142" s="444"/>
      <c r="O142" s="444"/>
      <c r="P142" s="444"/>
      <c r="Q142" s="444"/>
      <c r="R142" s="444"/>
      <c r="S142" s="444"/>
      <c r="T142" s="444"/>
      <c r="U142" s="444"/>
      <c r="V142" s="517">
        <v>28504</v>
      </c>
      <c r="W142" s="558"/>
      <c r="X142" s="406"/>
    </row>
    <row r="143" spans="1:24" x14ac:dyDescent="0.3">
      <c r="A143" s="543"/>
      <c r="B143" s="444" t="s">
        <v>139</v>
      </c>
      <c r="C143" s="444"/>
      <c r="D143" s="444"/>
      <c r="E143" s="444"/>
      <c r="F143" s="444"/>
      <c r="G143" s="444"/>
      <c r="H143" s="444"/>
      <c r="I143" s="444"/>
      <c r="J143" s="444"/>
      <c r="K143" s="444"/>
      <c r="L143" s="444"/>
      <c r="M143" s="444"/>
      <c r="N143" s="444"/>
      <c r="O143" s="444"/>
      <c r="P143" s="444"/>
      <c r="Q143" s="444"/>
      <c r="R143" s="444"/>
      <c r="S143" s="444"/>
      <c r="T143" s="444"/>
      <c r="U143" s="444"/>
      <c r="V143" s="517"/>
      <c r="W143" s="558"/>
      <c r="X143" s="406"/>
    </row>
    <row r="144" spans="1:24" x14ac:dyDescent="0.3">
      <c r="A144" s="543"/>
      <c r="B144" s="444" t="s">
        <v>126</v>
      </c>
      <c r="C144" s="444"/>
      <c r="D144" s="444"/>
      <c r="E144" s="444"/>
      <c r="F144" s="444"/>
      <c r="G144" s="444"/>
      <c r="H144" s="444"/>
      <c r="I144" s="444"/>
      <c r="J144" s="444"/>
      <c r="K144" s="444"/>
      <c r="L144" s="444"/>
      <c r="M144" s="444"/>
      <c r="N144" s="444"/>
      <c r="O144" s="444"/>
      <c r="P144" s="444"/>
      <c r="Q144" s="444"/>
      <c r="R144" s="444"/>
      <c r="S144" s="444"/>
      <c r="T144" s="444"/>
      <c r="U144" s="444"/>
      <c r="V144" s="517">
        <v>0</v>
      </c>
      <c r="W144" s="558"/>
      <c r="X144" s="406"/>
    </row>
    <row r="145" spans="1:25" x14ac:dyDescent="0.3">
      <c r="A145" s="543"/>
      <c r="B145" s="444" t="s">
        <v>127</v>
      </c>
      <c r="C145" s="444"/>
      <c r="D145" s="444"/>
      <c r="E145" s="444"/>
      <c r="F145" s="444"/>
      <c r="G145" s="444"/>
      <c r="H145" s="444"/>
      <c r="I145" s="444"/>
      <c r="J145" s="444"/>
      <c r="K145" s="444"/>
      <c r="L145" s="444"/>
      <c r="M145" s="444"/>
      <c r="N145" s="444"/>
      <c r="O145" s="444"/>
      <c r="P145" s="444"/>
      <c r="Q145" s="444"/>
      <c r="R145" s="444"/>
      <c r="S145" s="444"/>
      <c r="T145" s="444"/>
      <c r="U145" s="444"/>
      <c r="V145" s="517">
        <v>0</v>
      </c>
      <c r="W145" s="558"/>
      <c r="X145" s="406"/>
    </row>
    <row r="146" spans="1:25" x14ac:dyDescent="0.3">
      <c r="A146" s="543"/>
      <c r="B146" s="444" t="s">
        <v>178</v>
      </c>
      <c r="C146" s="444"/>
      <c r="D146" s="444"/>
      <c r="E146" s="444"/>
      <c r="F146" s="444"/>
      <c r="G146" s="444"/>
      <c r="H146" s="444"/>
      <c r="I146" s="444"/>
      <c r="J146" s="444"/>
      <c r="K146" s="444"/>
      <c r="L146" s="444"/>
      <c r="M146" s="444"/>
      <c r="N146" s="444"/>
      <c r="O146" s="444"/>
      <c r="P146" s="444"/>
      <c r="Q146" s="444"/>
      <c r="R146" s="444"/>
      <c r="S146" s="444"/>
      <c r="T146" s="444"/>
      <c r="U146" s="444"/>
      <c r="V146" s="517">
        <v>0</v>
      </c>
      <c r="W146" s="558"/>
      <c r="X146" s="406"/>
    </row>
    <row r="147" spans="1:25" x14ac:dyDescent="0.3">
      <c r="A147" s="543"/>
      <c r="B147" s="444" t="s">
        <v>45</v>
      </c>
      <c r="C147" s="444"/>
      <c r="D147" s="444"/>
      <c r="E147" s="444"/>
      <c r="F147" s="444"/>
      <c r="G147" s="444"/>
      <c r="H147" s="444"/>
      <c r="I147" s="444"/>
      <c r="J147" s="444"/>
      <c r="K147" s="444"/>
      <c r="L147" s="444"/>
      <c r="M147" s="444"/>
      <c r="N147" s="444"/>
      <c r="O147" s="444"/>
      <c r="P147" s="444"/>
      <c r="Q147" s="444"/>
      <c r="R147" s="444"/>
      <c r="S147" s="444"/>
      <c r="T147" s="444"/>
      <c r="U147" s="444"/>
      <c r="V147" s="517">
        <v>0</v>
      </c>
      <c r="W147" s="558"/>
      <c r="X147" s="406"/>
    </row>
    <row r="148" spans="1:25" x14ac:dyDescent="0.3">
      <c r="A148" s="543"/>
      <c r="B148" s="444" t="s">
        <v>132</v>
      </c>
      <c r="C148" s="444"/>
      <c r="D148" s="444"/>
      <c r="E148" s="444"/>
      <c r="F148" s="444"/>
      <c r="G148" s="444"/>
      <c r="H148" s="444"/>
      <c r="I148" s="444"/>
      <c r="J148" s="444"/>
      <c r="K148" s="444"/>
      <c r="L148" s="444"/>
      <c r="M148" s="444"/>
      <c r="N148" s="444"/>
      <c r="O148" s="444"/>
      <c r="P148" s="444"/>
      <c r="Q148" s="444"/>
      <c r="R148" s="444"/>
      <c r="S148" s="444"/>
      <c r="T148" s="444"/>
      <c r="U148" s="444"/>
      <c r="V148" s="517">
        <v>0</v>
      </c>
      <c r="W148" s="558"/>
      <c r="X148" s="406"/>
    </row>
    <row r="149" spans="1:25" x14ac:dyDescent="0.3">
      <c r="A149" s="543"/>
      <c r="B149" s="444" t="s">
        <v>267</v>
      </c>
      <c r="C149" s="444"/>
      <c r="D149" s="444"/>
      <c r="E149" s="444"/>
      <c r="F149" s="444"/>
      <c r="G149" s="444"/>
      <c r="H149" s="444"/>
      <c r="I149" s="444"/>
      <c r="J149" s="444"/>
      <c r="K149" s="444"/>
      <c r="L149" s="444"/>
      <c r="M149" s="444"/>
      <c r="N149" s="444"/>
      <c r="O149" s="444"/>
      <c r="P149" s="444"/>
      <c r="Q149" s="444"/>
      <c r="R149" s="444"/>
      <c r="S149" s="444"/>
      <c r="T149" s="444"/>
      <c r="U149" s="444"/>
      <c r="V149" s="517">
        <v>0</v>
      </c>
      <c r="W149" s="558"/>
      <c r="X149" s="406"/>
      <c r="Y149" s="559"/>
    </row>
    <row r="150" spans="1:25" x14ac:dyDescent="0.3">
      <c r="A150" s="543"/>
      <c r="B150" s="444" t="s">
        <v>46</v>
      </c>
      <c r="C150" s="444"/>
      <c r="D150" s="444"/>
      <c r="E150" s="444"/>
      <c r="F150" s="444"/>
      <c r="G150" s="444"/>
      <c r="H150" s="444"/>
      <c r="I150" s="444"/>
      <c r="J150" s="444"/>
      <c r="K150" s="444"/>
      <c r="L150" s="444"/>
      <c r="M150" s="444"/>
      <c r="N150" s="444"/>
      <c r="O150" s="444"/>
      <c r="P150" s="444"/>
      <c r="Q150" s="444"/>
      <c r="R150" s="444"/>
      <c r="S150" s="444"/>
      <c r="T150" s="444"/>
      <c r="U150" s="444"/>
      <c r="V150" s="517">
        <f>SUM(V142:V149)</f>
        <v>28504</v>
      </c>
      <c r="W150" s="558"/>
      <c r="X150" s="406"/>
    </row>
    <row r="151" spans="1:25" x14ac:dyDescent="0.3">
      <c r="A151" s="543"/>
      <c r="B151" s="465"/>
      <c r="C151" s="465"/>
      <c r="D151" s="465"/>
      <c r="E151" s="465"/>
      <c r="F151" s="465"/>
      <c r="G151" s="465"/>
      <c r="H151" s="465"/>
      <c r="I151" s="465"/>
      <c r="J151" s="465"/>
      <c r="K151" s="465"/>
      <c r="L151" s="465"/>
      <c r="M151" s="465"/>
      <c r="N151" s="465"/>
      <c r="O151" s="465"/>
      <c r="P151" s="465"/>
      <c r="Q151" s="465"/>
      <c r="R151" s="465"/>
      <c r="S151" s="465"/>
      <c r="T151" s="465"/>
      <c r="U151" s="465"/>
      <c r="V151" s="546"/>
      <c r="W151" s="547"/>
      <c r="X151" s="406"/>
    </row>
    <row r="152" spans="1:25" x14ac:dyDescent="0.3">
      <c r="A152" s="543"/>
      <c r="B152" s="544" t="s">
        <v>268</v>
      </c>
      <c r="C152" s="465"/>
      <c r="D152" s="465"/>
      <c r="E152" s="465"/>
      <c r="F152" s="465"/>
      <c r="G152" s="465"/>
      <c r="H152" s="465"/>
      <c r="I152" s="465"/>
      <c r="J152" s="465"/>
      <c r="K152" s="465"/>
      <c r="L152" s="465"/>
      <c r="M152" s="465"/>
      <c r="N152" s="465"/>
      <c r="O152" s="465"/>
      <c r="P152" s="465"/>
      <c r="Q152" s="465"/>
      <c r="R152" s="465"/>
      <c r="S152" s="465"/>
      <c r="T152" s="465"/>
      <c r="U152" s="465"/>
      <c r="V152" s="546"/>
      <c r="W152" s="547"/>
      <c r="X152" s="406"/>
    </row>
    <row r="153" spans="1:25" x14ac:dyDescent="0.3">
      <c r="A153" s="543"/>
      <c r="B153" s="444" t="s">
        <v>158</v>
      </c>
      <c r="C153" s="444"/>
      <c r="D153" s="444"/>
      <c r="E153" s="444"/>
      <c r="F153" s="444"/>
      <c r="G153" s="444"/>
      <c r="H153" s="444"/>
      <c r="I153" s="444"/>
      <c r="J153" s="444"/>
      <c r="K153" s="444"/>
      <c r="L153" s="444"/>
      <c r="M153" s="444"/>
      <c r="N153" s="444"/>
      <c r="O153" s="444"/>
      <c r="P153" s="444"/>
      <c r="Q153" s="444"/>
      <c r="R153" s="444"/>
      <c r="S153" s="444"/>
      <c r="T153" s="444"/>
      <c r="U153" s="444"/>
      <c r="V153" s="517">
        <v>15000</v>
      </c>
      <c r="W153" s="558"/>
      <c r="X153" s="406"/>
    </row>
    <row r="154" spans="1:25" x14ac:dyDescent="0.3">
      <c r="A154" s="543"/>
      <c r="B154" s="444" t="s">
        <v>175</v>
      </c>
      <c r="C154" s="444"/>
      <c r="D154" s="444"/>
      <c r="E154" s="444"/>
      <c r="F154" s="444"/>
      <c r="G154" s="444"/>
      <c r="H154" s="444"/>
      <c r="I154" s="444"/>
      <c r="J154" s="444"/>
      <c r="K154" s="444"/>
      <c r="L154" s="444"/>
      <c r="M154" s="444"/>
      <c r="N154" s="444"/>
      <c r="O154" s="444"/>
      <c r="P154" s="444"/>
      <c r="Q154" s="444"/>
      <c r="R154" s="444"/>
      <c r="S154" s="444"/>
      <c r="T154" s="444"/>
      <c r="U154" s="444"/>
      <c r="V154" s="517">
        <v>0</v>
      </c>
      <c r="W154" s="558"/>
      <c r="X154" s="406"/>
    </row>
    <row r="155" spans="1:25" x14ac:dyDescent="0.3">
      <c r="A155" s="543"/>
      <c r="B155" s="444" t="s">
        <v>341</v>
      </c>
      <c r="C155" s="444"/>
      <c r="D155" s="444"/>
      <c r="E155" s="444"/>
      <c r="F155" s="444"/>
      <c r="G155" s="444"/>
      <c r="H155" s="444"/>
      <c r="I155" s="444"/>
      <c r="J155" s="444"/>
      <c r="K155" s="444"/>
      <c r="L155" s="444"/>
      <c r="M155" s="444"/>
      <c r="N155" s="444"/>
      <c r="O155" s="444"/>
      <c r="P155" s="444"/>
      <c r="Q155" s="444"/>
      <c r="R155" s="444"/>
      <c r="S155" s="444"/>
      <c r="T155" s="444"/>
      <c r="U155" s="444"/>
      <c r="V155" s="517">
        <v>0</v>
      </c>
      <c r="W155" s="558"/>
      <c r="X155" s="406"/>
    </row>
    <row r="156" spans="1:25" x14ac:dyDescent="0.3">
      <c r="A156" s="543"/>
      <c r="B156" s="465"/>
      <c r="C156" s="465"/>
      <c r="D156" s="465"/>
      <c r="E156" s="465"/>
      <c r="F156" s="465"/>
      <c r="G156" s="465"/>
      <c r="H156" s="465"/>
      <c r="I156" s="465"/>
      <c r="J156" s="465"/>
      <c r="K156" s="465"/>
      <c r="L156" s="465"/>
      <c r="M156" s="465"/>
      <c r="N156" s="465"/>
      <c r="O156" s="465"/>
      <c r="P156" s="465"/>
      <c r="Q156" s="465"/>
      <c r="R156" s="465"/>
      <c r="S156" s="465"/>
      <c r="T156" s="465"/>
      <c r="U156" s="465"/>
      <c r="V156" s="546"/>
      <c r="W156" s="547"/>
      <c r="X156" s="406"/>
    </row>
    <row r="157" spans="1:25" x14ac:dyDescent="0.3">
      <c r="A157" s="408"/>
      <c r="B157" s="518"/>
      <c r="C157" s="518"/>
      <c r="D157" s="518"/>
      <c r="E157" s="518"/>
      <c r="F157" s="518"/>
      <c r="G157" s="518"/>
      <c r="H157" s="518"/>
      <c r="I157" s="518"/>
      <c r="J157" s="518"/>
      <c r="K157" s="518"/>
      <c r="L157" s="518"/>
      <c r="M157" s="518"/>
      <c r="N157" s="518"/>
      <c r="O157" s="518"/>
      <c r="P157" s="518"/>
      <c r="Q157" s="518"/>
      <c r="R157" s="518"/>
      <c r="S157" s="518"/>
      <c r="T157" s="518"/>
      <c r="U157" s="518"/>
      <c r="V157" s="560"/>
      <c r="W157" s="411"/>
      <c r="X157" s="406"/>
    </row>
    <row r="158" spans="1:25" x14ac:dyDescent="0.3">
      <c r="A158" s="408"/>
      <c r="B158" s="557" t="s">
        <v>24</v>
      </c>
      <c r="C158" s="410"/>
      <c r="D158" s="410"/>
      <c r="E158" s="410"/>
      <c r="F158" s="410"/>
      <c r="G158" s="410"/>
      <c r="H158" s="410"/>
      <c r="I158" s="410"/>
      <c r="J158" s="410"/>
      <c r="K158" s="410"/>
      <c r="L158" s="410"/>
      <c r="M158" s="410"/>
      <c r="N158" s="410"/>
      <c r="O158" s="410"/>
      <c r="P158" s="410"/>
      <c r="Q158" s="410"/>
      <c r="R158" s="410"/>
      <c r="S158" s="410"/>
      <c r="T158" s="410"/>
      <c r="U158" s="410"/>
      <c r="V158" s="510"/>
      <c r="W158" s="411"/>
      <c r="X158" s="406"/>
    </row>
    <row r="159" spans="1:25" x14ac:dyDescent="0.3">
      <c r="A159" s="543"/>
      <c r="B159" s="444" t="s">
        <v>47</v>
      </c>
      <c r="C159" s="444"/>
      <c r="D159" s="444"/>
      <c r="E159" s="444"/>
      <c r="F159" s="444"/>
      <c r="G159" s="444"/>
      <c r="H159" s="444"/>
      <c r="I159" s="444"/>
      <c r="J159" s="444"/>
      <c r="K159" s="444"/>
      <c r="L159" s="444"/>
      <c r="M159" s="444"/>
      <c r="N159" s="444"/>
      <c r="O159" s="444"/>
      <c r="P159" s="444"/>
      <c r="Q159" s="444"/>
      <c r="R159" s="444"/>
      <c r="S159" s="444"/>
      <c r="T159" s="444"/>
      <c r="U159" s="444"/>
      <c r="V159" s="561" t="s">
        <v>121</v>
      </c>
      <c r="W159" s="558"/>
      <c r="X159" s="406"/>
    </row>
    <row r="160" spans="1:25" x14ac:dyDescent="0.3">
      <c r="A160" s="543"/>
      <c r="B160" s="444" t="s">
        <v>48</v>
      </c>
      <c r="C160" s="444"/>
      <c r="D160" s="444"/>
      <c r="E160" s="444"/>
      <c r="F160" s="444"/>
      <c r="G160" s="444"/>
      <c r="H160" s="444"/>
      <c r="I160" s="444"/>
      <c r="J160" s="444"/>
      <c r="K160" s="444"/>
      <c r="L160" s="444"/>
      <c r="M160" s="444"/>
      <c r="N160" s="444"/>
      <c r="O160" s="444"/>
      <c r="P160" s="444"/>
      <c r="Q160" s="444"/>
      <c r="R160" s="444"/>
      <c r="S160" s="444"/>
      <c r="T160" s="444"/>
      <c r="U160" s="444"/>
      <c r="V160" s="561" t="s">
        <v>121</v>
      </c>
      <c r="W160" s="558"/>
      <c r="X160" s="406"/>
    </row>
    <row r="161" spans="1:24" x14ac:dyDescent="0.3">
      <c r="A161" s="543"/>
      <c r="B161" s="444" t="s">
        <v>49</v>
      </c>
      <c r="C161" s="444"/>
      <c r="D161" s="444"/>
      <c r="E161" s="444"/>
      <c r="F161" s="444"/>
      <c r="G161" s="444"/>
      <c r="H161" s="444"/>
      <c r="I161" s="444"/>
      <c r="J161" s="444"/>
      <c r="K161" s="444"/>
      <c r="L161" s="444"/>
      <c r="M161" s="444"/>
      <c r="N161" s="444"/>
      <c r="O161" s="444"/>
      <c r="P161" s="444"/>
      <c r="Q161" s="444"/>
      <c r="R161" s="444"/>
      <c r="S161" s="444"/>
      <c r="T161" s="444"/>
      <c r="U161" s="444"/>
      <c r="V161" s="561" t="s">
        <v>121</v>
      </c>
      <c r="W161" s="558"/>
      <c r="X161" s="406"/>
    </row>
    <row r="162" spans="1:24" x14ac:dyDescent="0.3">
      <c r="A162" s="543"/>
      <c r="B162" s="444" t="s">
        <v>50</v>
      </c>
      <c r="C162" s="444"/>
      <c r="D162" s="444"/>
      <c r="E162" s="444"/>
      <c r="F162" s="444"/>
      <c r="G162" s="444"/>
      <c r="H162" s="444"/>
      <c r="I162" s="444"/>
      <c r="J162" s="444"/>
      <c r="K162" s="444"/>
      <c r="L162" s="444"/>
      <c r="M162" s="444"/>
      <c r="N162" s="444"/>
      <c r="O162" s="444"/>
      <c r="P162" s="444"/>
      <c r="Q162" s="444"/>
      <c r="R162" s="444"/>
      <c r="S162" s="444"/>
      <c r="T162" s="444"/>
      <c r="U162" s="444"/>
      <c r="V162" s="561" t="s">
        <v>121</v>
      </c>
      <c r="W162" s="558"/>
      <c r="X162" s="406"/>
    </row>
    <row r="163" spans="1:24" x14ac:dyDescent="0.3">
      <c r="A163" s="408"/>
      <c r="B163" s="518"/>
      <c r="C163" s="518"/>
      <c r="D163" s="518"/>
      <c r="E163" s="518"/>
      <c r="F163" s="518"/>
      <c r="G163" s="518"/>
      <c r="H163" s="518"/>
      <c r="I163" s="518"/>
      <c r="J163" s="518"/>
      <c r="K163" s="518"/>
      <c r="L163" s="518"/>
      <c r="M163" s="518"/>
      <c r="N163" s="518"/>
      <c r="O163" s="518"/>
      <c r="P163" s="518"/>
      <c r="Q163" s="518"/>
      <c r="R163" s="518"/>
      <c r="S163" s="518"/>
      <c r="T163" s="518"/>
      <c r="U163" s="518"/>
      <c r="V163" s="560"/>
      <c r="W163" s="411"/>
      <c r="X163" s="406"/>
    </row>
    <row r="164" spans="1:24" x14ac:dyDescent="0.3">
      <c r="A164" s="408"/>
      <c r="B164" s="557" t="s">
        <v>51</v>
      </c>
      <c r="C164" s="410"/>
      <c r="D164" s="410"/>
      <c r="E164" s="410"/>
      <c r="F164" s="410"/>
      <c r="G164" s="410"/>
      <c r="H164" s="410"/>
      <c r="I164" s="410"/>
      <c r="J164" s="410"/>
      <c r="K164" s="410"/>
      <c r="L164" s="410"/>
      <c r="M164" s="410"/>
      <c r="N164" s="410"/>
      <c r="O164" s="410"/>
      <c r="P164" s="410"/>
      <c r="Q164" s="410"/>
      <c r="R164" s="410"/>
      <c r="S164" s="410"/>
      <c r="T164" s="410"/>
      <c r="U164" s="410"/>
      <c r="V164" s="562"/>
      <c r="W164" s="411"/>
      <c r="X164" s="406"/>
    </row>
    <row r="165" spans="1:24" x14ac:dyDescent="0.3">
      <c r="A165" s="563"/>
      <c r="B165" s="548" t="s">
        <v>52</v>
      </c>
      <c r="C165" s="548"/>
      <c r="D165" s="548"/>
      <c r="E165" s="548"/>
      <c r="F165" s="548"/>
      <c r="G165" s="548"/>
      <c r="H165" s="548"/>
      <c r="I165" s="548"/>
      <c r="J165" s="548"/>
      <c r="K165" s="548"/>
      <c r="L165" s="548"/>
      <c r="M165" s="548"/>
      <c r="N165" s="548"/>
      <c r="O165" s="548"/>
      <c r="P165" s="548"/>
      <c r="Q165" s="548"/>
      <c r="R165" s="548"/>
      <c r="S165" s="548"/>
      <c r="T165" s="548"/>
      <c r="U165" s="548"/>
      <c r="V165" s="564">
        <v>0</v>
      </c>
      <c r="W165" s="565"/>
      <c r="X165" s="406"/>
    </row>
    <row r="166" spans="1:24" x14ac:dyDescent="0.3">
      <c r="A166" s="563"/>
      <c r="B166" s="548" t="s">
        <v>53</v>
      </c>
      <c r="C166" s="548"/>
      <c r="D166" s="548"/>
      <c r="E166" s="548"/>
      <c r="F166" s="548"/>
      <c r="G166" s="548"/>
      <c r="H166" s="548"/>
      <c r="I166" s="548"/>
      <c r="J166" s="548"/>
      <c r="K166" s="548"/>
      <c r="L166" s="548"/>
      <c r="M166" s="548"/>
      <c r="N166" s="548"/>
      <c r="O166" s="548"/>
      <c r="P166" s="548"/>
      <c r="Q166" s="548"/>
      <c r="R166" s="548"/>
      <c r="S166" s="548"/>
      <c r="T166" s="548"/>
      <c r="U166" s="548"/>
      <c r="V166" s="564">
        <v>775</v>
      </c>
      <c r="W166" s="565"/>
      <c r="X166" s="406"/>
    </row>
    <row r="167" spans="1:24" x14ac:dyDescent="0.3">
      <c r="A167" s="563"/>
      <c r="B167" s="548" t="s">
        <v>54</v>
      </c>
      <c r="C167" s="548"/>
      <c r="D167" s="548"/>
      <c r="E167" s="548"/>
      <c r="F167" s="548"/>
      <c r="G167" s="548"/>
      <c r="H167" s="548"/>
      <c r="I167" s="548"/>
      <c r="J167" s="548"/>
      <c r="K167" s="548"/>
      <c r="L167" s="548"/>
      <c r="M167" s="548"/>
      <c r="N167" s="548"/>
      <c r="O167" s="548"/>
      <c r="P167" s="548"/>
      <c r="Q167" s="548"/>
      <c r="R167" s="548"/>
      <c r="S167" s="548"/>
      <c r="T167" s="548"/>
      <c r="U167" s="548"/>
      <c r="V167" s="564">
        <f>V166+V165</f>
        <v>775</v>
      </c>
      <c r="W167" s="565"/>
      <c r="X167" s="406"/>
    </row>
    <row r="168" spans="1:24" x14ac:dyDescent="0.3">
      <c r="A168" s="563"/>
      <c r="B168" s="444" t="s">
        <v>318</v>
      </c>
      <c r="C168" s="548"/>
      <c r="D168" s="548"/>
      <c r="E168" s="548"/>
      <c r="F168" s="548"/>
      <c r="G168" s="548"/>
      <c r="H168" s="548"/>
      <c r="I168" s="548"/>
      <c r="J168" s="548"/>
      <c r="K168" s="548"/>
      <c r="L168" s="548"/>
      <c r="M168" s="548"/>
      <c r="N168" s="548"/>
      <c r="O168" s="548"/>
      <c r="P168" s="548"/>
      <c r="Q168" s="548"/>
      <c r="R168" s="548"/>
      <c r="S168" s="548"/>
      <c r="T168" s="548"/>
      <c r="U168" s="548"/>
      <c r="V168" s="564">
        <f>V114</f>
        <v>-775</v>
      </c>
      <c r="W168" s="565"/>
      <c r="X168" s="406"/>
    </row>
    <row r="169" spans="1:24" x14ac:dyDescent="0.3">
      <c r="A169" s="563"/>
      <c r="B169" s="548" t="s">
        <v>55</v>
      </c>
      <c r="C169" s="548"/>
      <c r="D169" s="548"/>
      <c r="E169" s="548"/>
      <c r="F169" s="548"/>
      <c r="G169" s="548"/>
      <c r="H169" s="548"/>
      <c r="I169" s="548"/>
      <c r="J169" s="548"/>
      <c r="K169" s="548"/>
      <c r="L169" s="548"/>
      <c r="M169" s="548"/>
      <c r="N169" s="548"/>
      <c r="O169" s="548"/>
      <c r="P169" s="548"/>
      <c r="Q169" s="548"/>
      <c r="R169" s="548"/>
      <c r="S169" s="548"/>
      <c r="T169" s="548"/>
      <c r="U169" s="548"/>
      <c r="V169" s="564">
        <f>V167+V168</f>
        <v>0</v>
      </c>
      <c r="W169" s="565"/>
      <c r="X169" s="406"/>
    </row>
    <row r="170" spans="1:24" x14ac:dyDescent="0.3">
      <c r="A170" s="563"/>
      <c r="B170" s="548" t="s">
        <v>288</v>
      </c>
      <c r="C170" s="548"/>
      <c r="D170" s="548"/>
      <c r="E170" s="548"/>
      <c r="F170" s="548"/>
      <c r="G170" s="548"/>
      <c r="H170" s="548"/>
      <c r="I170" s="548"/>
      <c r="J170" s="548"/>
      <c r="K170" s="548"/>
      <c r="L170" s="548"/>
      <c r="M170" s="548"/>
      <c r="N170" s="548"/>
      <c r="O170" s="548"/>
      <c r="P170" s="548"/>
      <c r="Q170" s="548"/>
      <c r="R170" s="548"/>
      <c r="S170" s="548"/>
      <c r="T170" s="548"/>
      <c r="U170" s="548"/>
      <c r="V170" s="564">
        <v>0</v>
      </c>
      <c r="W170" s="565"/>
      <c r="X170" s="406"/>
    </row>
    <row r="171" spans="1:24" ht="16.2" thickBot="1" x14ac:dyDescent="0.35">
      <c r="A171" s="408"/>
      <c r="B171" s="518"/>
      <c r="C171" s="518"/>
      <c r="D171" s="518"/>
      <c r="E171" s="518"/>
      <c r="F171" s="518"/>
      <c r="G171" s="518"/>
      <c r="H171" s="518"/>
      <c r="I171" s="518"/>
      <c r="J171" s="518"/>
      <c r="K171" s="518"/>
      <c r="L171" s="518"/>
      <c r="M171" s="518"/>
      <c r="N171" s="518"/>
      <c r="O171" s="518"/>
      <c r="P171" s="518"/>
      <c r="Q171" s="518"/>
      <c r="R171" s="518"/>
      <c r="S171" s="518"/>
      <c r="T171" s="518"/>
      <c r="U171" s="518"/>
      <c r="V171" s="560"/>
      <c r="W171" s="411"/>
      <c r="X171" s="406"/>
    </row>
    <row r="172" spans="1:24" x14ac:dyDescent="0.3">
      <c r="A172" s="402"/>
      <c r="B172" s="404"/>
      <c r="C172" s="404"/>
      <c r="D172" s="404"/>
      <c r="E172" s="404"/>
      <c r="F172" s="404"/>
      <c r="G172" s="404"/>
      <c r="H172" s="404"/>
      <c r="I172" s="404"/>
      <c r="J172" s="404"/>
      <c r="K172" s="404"/>
      <c r="L172" s="404"/>
      <c r="M172" s="404"/>
      <c r="N172" s="404"/>
      <c r="O172" s="404"/>
      <c r="P172" s="404"/>
      <c r="Q172" s="404"/>
      <c r="R172" s="404"/>
      <c r="S172" s="404"/>
      <c r="T172" s="404"/>
      <c r="U172" s="404"/>
      <c r="V172" s="566"/>
      <c r="W172" s="405"/>
      <c r="X172" s="406"/>
    </row>
    <row r="173" spans="1:24" x14ac:dyDescent="0.3">
      <c r="A173" s="408"/>
      <c r="B173" s="557" t="s">
        <v>56</v>
      </c>
      <c r="C173" s="410"/>
      <c r="D173" s="410"/>
      <c r="E173" s="410"/>
      <c r="F173" s="410"/>
      <c r="G173" s="410"/>
      <c r="H173" s="410"/>
      <c r="I173" s="410"/>
      <c r="J173" s="410"/>
      <c r="K173" s="410"/>
      <c r="L173" s="410"/>
      <c r="M173" s="410"/>
      <c r="N173" s="410"/>
      <c r="O173" s="410"/>
      <c r="P173" s="410"/>
      <c r="Q173" s="410"/>
      <c r="R173" s="410"/>
      <c r="S173" s="410"/>
      <c r="T173" s="410"/>
      <c r="U173" s="410"/>
      <c r="V173" s="510"/>
      <c r="W173" s="411"/>
      <c r="X173" s="406"/>
    </row>
    <row r="174" spans="1:24" x14ac:dyDescent="0.3">
      <c r="A174" s="408"/>
      <c r="B174" s="556"/>
      <c r="C174" s="410"/>
      <c r="D174" s="410"/>
      <c r="E174" s="410"/>
      <c r="F174" s="410"/>
      <c r="G174" s="410"/>
      <c r="H174" s="410"/>
      <c r="I174" s="410"/>
      <c r="J174" s="410"/>
      <c r="K174" s="410"/>
      <c r="L174" s="410"/>
      <c r="M174" s="410"/>
      <c r="N174" s="410"/>
      <c r="O174" s="410"/>
      <c r="P174" s="410"/>
      <c r="Q174" s="410"/>
      <c r="R174" s="410"/>
      <c r="S174" s="410"/>
      <c r="T174" s="410"/>
      <c r="U174" s="410"/>
      <c r="V174" s="510"/>
      <c r="W174" s="411"/>
      <c r="X174" s="406"/>
    </row>
    <row r="175" spans="1:24" x14ac:dyDescent="0.3">
      <c r="A175" s="543"/>
      <c r="B175" s="444" t="s">
        <v>57</v>
      </c>
      <c r="C175" s="444"/>
      <c r="D175" s="444"/>
      <c r="E175" s="444"/>
      <c r="F175" s="444"/>
      <c r="G175" s="444"/>
      <c r="H175" s="444"/>
      <c r="I175" s="444"/>
      <c r="J175" s="444"/>
      <c r="K175" s="444"/>
      <c r="L175" s="444"/>
      <c r="M175" s="444"/>
      <c r="N175" s="444"/>
      <c r="O175" s="444"/>
      <c r="P175" s="444"/>
      <c r="Q175" s="444"/>
      <c r="R175" s="444"/>
      <c r="S175" s="444"/>
      <c r="T175" s="444"/>
      <c r="U175" s="444"/>
      <c r="V175" s="517">
        <f>V70</f>
        <v>733723</v>
      </c>
      <c r="W175" s="558"/>
      <c r="X175" s="406"/>
    </row>
    <row r="176" spans="1:24" x14ac:dyDescent="0.3">
      <c r="A176" s="543"/>
      <c r="B176" s="444" t="s">
        <v>58</v>
      </c>
      <c r="C176" s="444"/>
      <c r="D176" s="444"/>
      <c r="E176" s="444"/>
      <c r="F176" s="444"/>
      <c r="G176" s="444"/>
      <c r="H176" s="444"/>
      <c r="I176" s="444"/>
      <c r="J176" s="444"/>
      <c r="K176" s="444"/>
      <c r="L176" s="444"/>
      <c r="M176" s="444"/>
      <c r="N176" s="444"/>
      <c r="O176" s="444"/>
      <c r="P176" s="444"/>
      <c r="Q176" s="444"/>
      <c r="R176" s="444"/>
      <c r="S176" s="444"/>
      <c r="T176" s="444"/>
      <c r="U176" s="444"/>
      <c r="V176" s="517">
        <f>V83</f>
        <v>733723</v>
      </c>
      <c r="W176" s="558"/>
      <c r="X176" s="406"/>
    </row>
    <row r="177" spans="1:24" ht="16.2" thickBot="1" x14ac:dyDescent="0.35">
      <c r="A177" s="408"/>
      <c r="B177" s="518"/>
      <c r="C177" s="518"/>
      <c r="D177" s="518"/>
      <c r="E177" s="518"/>
      <c r="F177" s="518"/>
      <c r="G177" s="518"/>
      <c r="H177" s="518"/>
      <c r="I177" s="518"/>
      <c r="J177" s="518"/>
      <c r="K177" s="518"/>
      <c r="L177" s="518"/>
      <c r="M177" s="518"/>
      <c r="N177" s="518"/>
      <c r="O177" s="518"/>
      <c r="P177" s="518"/>
      <c r="Q177" s="518"/>
      <c r="R177" s="518"/>
      <c r="S177" s="518"/>
      <c r="T177" s="518"/>
      <c r="U177" s="518"/>
      <c r="V177" s="560"/>
      <c r="W177" s="411"/>
      <c r="X177" s="406"/>
    </row>
    <row r="178" spans="1:24" x14ac:dyDescent="0.3">
      <c r="A178" s="402"/>
      <c r="B178" s="404"/>
      <c r="C178" s="404"/>
      <c r="D178" s="404"/>
      <c r="E178" s="404"/>
      <c r="F178" s="404"/>
      <c r="G178" s="404"/>
      <c r="H178" s="404"/>
      <c r="I178" s="404"/>
      <c r="J178" s="404"/>
      <c r="K178" s="404"/>
      <c r="L178" s="404"/>
      <c r="M178" s="404"/>
      <c r="N178" s="404"/>
      <c r="O178" s="404"/>
      <c r="P178" s="404"/>
      <c r="Q178" s="404"/>
      <c r="R178" s="404"/>
      <c r="S178" s="404"/>
      <c r="T178" s="404"/>
      <c r="U178" s="404"/>
      <c r="V178" s="566"/>
      <c r="W178" s="405"/>
      <c r="X178" s="406"/>
    </row>
    <row r="179" spans="1:24" s="473" customFormat="1" x14ac:dyDescent="0.3">
      <c r="A179" s="511"/>
      <c r="B179" s="557" t="s">
        <v>59</v>
      </c>
      <c r="C179" s="567"/>
      <c r="D179" s="567"/>
      <c r="E179" s="567"/>
      <c r="F179" s="567"/>
      <c r="G179" s="567"/>
      <c r="H179" s="568"/>
      <c r="I179" s="568"/>
      <c r="J179" s="568"/>
      <c r="K179" s="568"/>
      <c r="L179" s="568"/>
      <c r="M179" s="568"/>
      <c r="N179" s="568"/>
      <c r="O179" s="568"/>
      <c r="P179" s="568"/>
      <c r="Q179" s="568"/>
      <c r="R179" s="568"/>
      <c r="S179" s="568" t="s">
        <v>102</v>
      </c>
      <c r="T179" s="568" t="s">
        <v>179</v>
      </c>
      <c r="U179" s="413"/>
      <c r="V179" s="569" t="s">
        <v>117</v>
      </c>
      <c r="W179" s="570"/>
      <c r="X179" s="472"/>
    </row>
    <row r="180" spans="1:24" s="426" customFormat="1" x14ac:dyDescent="0.3">
      <c r="A180" s="443"/>
      <c r="B180" s="444" t="s">
        <v>60</v>
      </c>
      <c r="C180" s="444"/>
      <c r="D180" s="444"/>
      <c r="E180" s="444"/>
      <c r="F180" s="444"/>
      <c r="G180" s="444"/>
      <c r="H180" s="444"/>
      <c r="I180" s="444"/>
      <c r="J180" s="444"/>
      <c r="K180" s="444"/>
      <c r="L180" s="444"/>
      <c r="M180" s="444"/>
      <c r="N180" s="444"/>
      <c r="O180" s="444"/>
      <c r="P180" s="444"/>
      <c r="Q180" s="444"/>
      <c r="R180" s="444"/>
      <c r="S180" s="517">
        <f>+V34*0.16</f>
        <v>240030.4</v>
      </c>
      <c r="T180" s="482"/>
      <c r="U180" s="444"/>
      <c r="V180" s="517"/>
      <c r="W180" s="446"/>
      <c r="X180" s="425"/>
    </row>
    <row r="181" spans="1:24" s="426" customFormat="1" x14ac:dyDescent="0.3">
      <c r="A181" s="443"/>
      <c r="B181" s="444" t="s">
        <v>61</v>
      </c>
      <c r="C181" s="444"/>
      <c r="D181" s="444"/>
      <c r="E181" s="444"/>
      <c r="F181" s="444"/>
      <c r="G181" s="444"/>
      <c r="H181" s="444"/>
      <c r="I181" s="444"/>
      <c r="J181" s="444"/>
      <c r="K181" s="444"/>
      <c r="L181" s="444"/>
      <c r="M181" s="444"/>
      <c r="N181" s="444"/>
      <c r="O181" s="444"/>
      <c r="P181" s="444"/>
      <c r="Q181" s="444"/>
      <c r="R181" s="444"/>
      <c r="S181" s="517">
        <f>+'Sept 18'!S183</f>
        <v>55822</v>
      </c>
      <c r="T181" s="517">
        <f>+'Sept 18'!T183</f>
        <v>9760</v>
      </c>
      <c r="U181" s="444"/>
      <c r="V181" s="517">
        <f>S181+T181</f>
        <v>65582</v>
      </c>
      <c r="W181" s="446"/>
      <c r="X181" s="425"/>
    </row>
    <row r="182" spans="1:24" s="426" customFormat="1" x14ac:dyDescent="0.3">
      <c r="A182" s="443"/>
      <c r="B182" s="444" t="s">
        <v>62</v>
      </c>
      <c r="C182" s="444"/>
      <c r="D182" s="444"/>
      <c r="E182" s="444"/>
      <c r="F182" s="444"/>
      <c r="G182" s="444"/>
      <c r="H182" s="444"/>
      <c r="I182" s="444"/>
      <c r="J182" s="444"/>
      <c r="K182" s="444"/>
      <c r="L182" s="444"/>
      <c r="M182" s="444"/>
      <c r="N182" s="444"/>
      <c r="O182" s="444"/>
      <c r="P182" s="444"/>
      <c r="Q182" s="444"/>
      <c r="R182" s="444"/>
      <c r="S182" s="516">
        <v>23</v>
      </c>
      <c r="T182" s="516">
        <v>0</v>
      </c>
      <c r="U182" s="444"/>
      <c r="V182" s="517">
        <f>S182+T182</f>
        <v>23</v>
      </c>
      <c r="W182" s="446"/>
      <c r="X182" s="425"/>
    </row>
    <row r="183" spans="1:24" s="426" customFormat="1" x14ac:dyDescent="0.3">
      <c r="A183" s="443"/>
      <c r="B183" s="444" t="s">
        <v>63</v>
      </c>
      <c r="C183" s="444"/>
      <c r="D183" s="444"/>
      <c r="E183" s="444"/>
      <c r="F183" s="444"/>
      <c r="G183" s="444"/>
      <c r="H183" s="444"/>
      <c r="I183" s="444"/>
      <c r="J183" s="444"/>
      <c r="K183" s="444"/>
      <c r="L183" s="444"/>
      <c r="M183" s="444"/>
      <c r="N183" s="444"/>
      <c r="O183" s="444"/>
      <c r="P183" s="444"/>
      <c r="Q183" s="444"/>
      <c r="R183" s="444"/>
      <c r="S183" s="517">
        <f>+S181+S182</f>
        <v>55845</v>
      </c>
      <c r="T183" s="517">
        <f>T182+T181</f>
        <v>9760</v>
      </c>
      <c r="U183" s="444"/>
      <c r="V183" s="517">
        <f>S183+T183</f>
        <v>65605</v>
      </c>
      <c r="W183" s="446"/>
      <c r="X183" s="425"/>
    </row>
    <row r="184" spans="1:24" s="426" customFormat="1" x14ac:dyDescent="0.3">
      <c r="A184" s="443"/>
      <c r="B184" s="444" t="s">
        <v>64</v>
      </c>
      <c r="C184" s="444"/>
      <c r="D184" s="444"/>
      <c r="E184" s="444"/>
      <c r="F184" s="444"/>
      <c r="G184" s="444"/>
      <c r="H184" s="444"/>
      <c r="I184" s="444"/>
      <c r="J184" s="444"/>
      <c r="K184" s="444"/>
      <c r="L184" s="444"/>
      <c r="M184" s="444"/>
      <c r="N184" s="444"/>
      <c r="O184" s="444"/>
      <c r="P184" s="444"/>
      <c r="Q184" s="444"/>
      <c r="R184" s="444"/>
      <c r="S184" s="517">
        <f>S180-S183-T183</f>
        <v>174425.4</v>
      </c>
      <c r="T184" s="482"/>
      <c r="U184" s="444"/>
      <c r="V184" s="517"/>
      <c r="W184" s="446"/>
      <c r="X184" s="425"/>
    </row>
    <row r="185" spans="1:24" ht="16.2" thickBot="1" x14ac:dyDescent="0.35">
      <c r="A185" s="408"/>
      <c r="B185" s="518"/>
      <c r="C185" s="518"/>
      <c r="D185" s="518"/>
      <c r="E185" s="518"/>
      <c r="F185" s="518"/>
      <c r="G185" s="518"/>
      <c r="H185" s="518"/>
      <c r="I185" s="518"/>
      <c r="J185" s="518"/>
      <c r="K185" s="518"/>
      <c r="L185" s="518"/>
      <c r="M185" s="518"/>
      <c r="N185" s="518"/>
      <c r="O185" s="518"/>
      <c r="P185" s="518"/>
      <c r="Q185" s="518"/>
      <c r="R185" s="518"/>
      <c r="S185" s="518"/>
      <c r="T185" s="518"/>
      <c r="U185" s="518"/>
      <c r="V185" s="560"/>
      <c r="W185" s="411"/>
      <c r="X185" s="406"/>
    </row>
    <row r="186" spans="1:24" x14ac:dyDescent="0.3">
      <c r="A186" s="402"/>
      <c r="B186" s="404"/>
      <c r="C186" s="404"/>
      <c r="D186" s="404"/>
      <c r="E186" s="404"/>
      <c r="F186" s="404"/>
      <c r="G186" s="404"/>
      <c r="H186" s="404"/>
      <c r="I186" s="404"/>
      <c r="J186" s="404"/>
      <c r="K186" s="404"/>
      <c r="L186" s="404"/>
      <c r="M186" s="404"/>
      <c r="N186" s="404"/>
      <c r="O186" s="404"/>
      <c r="P186" s="404"/>
      <c r="Q186" s="404"/>
      <c r="R186" s="404"/>
      <c r="S186" s="404"/>
      <c r="T186" s="404"/>
      <c r="U186" s="404"/>
      <c r="V186" s="566"/>
      <c r="W186" s="405"/>
      <c r="X186" s="406"/>
    </row>
    <row r="187" spans="1:24" x14ac:dyDescent="0.3">
      <c r="A187" s="408"/>
      <c r="B187" s="557" t="s">
        <v>65</v>
      </c>
      <c r="C187" s="410"/>
      <c r="D187" s="410"/>
      <c r="E187" s="410"/>
      <c r="F187" s="410"/>
      <c r="G187" s="410"/>
      <c r="H187" s="410"/>
      <c r="I187" s="410"/>
      <c r="J187" s="410"/>
      <c r="K187" s="410"/>
      <c r="L187" s="410"/>
      <c r="M187" s="410"/>
      <c r="N187" s="410"/>
      <c r="O187" s="410"/>
      <c r="P187" s="410"/>
      <c r="Q187" s="410"/>
      <c r="R187" s="410"/>
      <c r="S187" s="410"/>
      <c r="T187" s="410"/>
      <c r="U187" s="410"/>
      <c r="V187" s="571"/>
      <c r="W187" s="411"/>
      <c r="X187" s="406"/>
    </row>
    <row r="188" spans="1:24" s="426" customFormat="1" x14ac:dyDescent="0.3">
      <c r="A188" s="443"/>
      <c r="B188" s="444" t="s">
        <v>66</v>
      </c>
      <c r="C188" s="444"/>
      <c r="D188" s="444"/>
      <c r="E188" s="444"/>
      <c r="F188" s="444"/>
      <c r="G188" s="444"/>
      <c r="H188" s="444"/>
      <c r="I188" s="444"/>
      <c r="J188" s="444"/>
      <c r="K188" s="444"/>
      <c r="L188" s="444"/>
      <c r="M188" s="444"/>
      <c r="N188" s="444"/>
      <c r="O188" s="444"/>
      <c r="P188" s="444"/>
      <c r="Q188" s="444"/>
      <c r="R188" s="444"/>
      <c r="S188" s="444"/>
      <c r="T188" s="444"/>
      <c r="U188" s="444"/>
      <c r="V188" s="561">
        <f>(V99+V101+V102+V103+V104)/-(V105+V106)</f>
        <v>3.4523339907955291</v>
      </c>
      <c r="W188" s="446" t="s">
        <v>118</v>
      </c>
      <c r="X188" s="425"/>
    </row>
    <row r="189" spans="1:24" s="426" customFormat="1" x14ac:dyDescent="0.3">
      <c r="A189" s="443"/>
      <c r="B189" s="444" t="s">
        <v>67</v>
      </c>
      <c r="C189" s="444"/>
      <c r="D189" s="444"/>
      <c r="E189" s="444"/>
      <c r="F189" s="444"/>
      <c r="G189" s="444"/>
      <c r="H189" s="444"/>
      <c r="I189" s="444"/>
      <c r="J189" s="444"/>
      <c r="K189" s="444"/>
      <c r="L189" s="444"/>
      <c r="M189" s="444"/>
      <c r="N189" s="444"/>
      <c r="O189" s="444"/>
      <c r="P189" s="444"/>
      <c r="Q189" s="444"/>
      <c r="R189" s="444"/>
      <c r="S189" s="444"/>
      <c r="T189" s="444"/>
      <c r="U189" s="444"/>
      <c r="V189" s="572">
        <v>1.95</v>
      </c>
      <c r="W189" s="446" t="s">
        <v>118</v>
      </c>
      <c r="X189" s="425"/>
    </row>
    <row r="190" spans="1:24" s="426" customFormat="1" x14ac:dyDescent="0.3">
      <c r="A190" s="443"/>
      <c r="B190" s="444" t="s">
        <v>68</v>
      </c>
      <c r="C190" s="444"/>
      <c r="D190" s="444"/>
      <c r="E190" s="444"/>
      <c r="F190" s="444"/>
      <c r="G190" s="444"/>
      <c r="H190" s="444"/>
      <c r="I190" s="444"/>
      <c r="J190" s="444"/>
      <c r="K190" s="444"/>
      <c r="L190" s="444"/>
      <c r="M190" s="444"/>
      <c r="N190" s="444"/>
      <c r="O190" s="444"/>
      <c r="P190" s="444"/>
      <c r="Q190" s="444"/>
      <c r="R190" s="444"/>
      <c r="S190" s="444"/>
      <c r="T190" s="444"/>
      <c r="U190" s="444"/>
      <c r="V190" s="561">
        <f>(V99+V101+V102+V103+V104+V105+V106)/-(V108+V109)</f>
        <v>10.780346820809248</v>
      </c>
      <c r="W190" s="446" t="s">
        <v>118</v>
      </c>
      <c r="X190" s="425"/>
    </row>
    <row r="191" spans="1:24" s="426" customFormat="1" x14ac:dyDescent="0.3">
      <c r="A191" s="443"/>
      <c r="B191" s="444" t="s">
        <v>69</v>
      </c>
      <c r="C191" s="444"/>
      <c r="D191" s="444"/>
      <c r="E191" s="444"/>
      <c r="F191" s="444"/>
      <c r="G191" s="444"/>
      <c r="H191" s="444"/>
      <c r="I191" s="444"/>
      <c r="J191" s="444"/>
      <c r="K191" s="444"/>
      <c r="L191" s="444"/>
      <c r="M191" s="444"/>
      <c r="N191" s="444"/>
      <c r="O191" s="444"/>
      <c r="P191" s="444"/>
      <c r="Q191" s="444"/>
      <c r="R191" s="444"/>
      <c r="S191" s="444"/>
      <c r="T191" s="444"/>
      <c r="U191" s="444"/>
      <c r="V191" s="572">
        <v>8</v>
      </c>
      <c r="W191" s="446" t="s">
        <v>118</v>
      </c>
      <c r="X191" s="425"/>
    </row>
    <row r="192" spans="1:24" s="426" customFormat="1" x14ac:dyDescent="0.3">
      <c r="A192" s="443"/>
      <c r="B192" s="444" t="s">
        <v>201</v>
      </c>
      <c r="C192" s="444"/>
      <c r="D192" s="444"/>
      <c r="E192" s="444"/>
      <c r="F192" s="444"/>
      <c r="G192" s="444"/>
      <c r="H192" s="444"/>
      <c r="I192" s="444"/>
      <c r="J192" s="444"/>
      <c r="K192" s="444"/>
      <c r="L192" s="444"/>
      <c r="M192" s="444"/>
      <c r="N192" s="444"/>
      <c r="O192" s="444"/>
      <c r="P192" s="444"/>
      <c r="Q192" s="444"/>
      <c r="R192" s="444"/>
      <c r="S192" s="444"/>
      <c r="T192" s="444"/>
      <c r="U192" s="444"/>
      <c r="V192" s="561">
        <f>(V99+V101+V102+V103+V104+V105+V106+V108+V109)/-(V110+V111)</f>
        <v>12.129032258064516</v>
      </c>
      <c r="W192" s="446" t="s">
        <v>118</v>
      </c>
      <c r="X192" s="425"/>
    </row>
    <row r="193" spans="1:24" s="426" customFormat="1" x14ac:dyDescent="0.3">
      <c r="A193" s="443"/>
      <c r="B193" s="444" t="s">
        <v>202</v>
      </c>
      <c r="C193" s="444"/>
      <c r="D193" s="444"/>
      <c r="E193" s="444"/>
      <c r="F193" s="444"/>
      <c r="G193" s="444"/>
      <c r="H193" s="444"/>
      <c r="I193" s="444"/>
      <c r="J193" s="444"/>
      <c r="K193" s="444"/>
      <c r="L193" s="444"/>
      <c r="M193" s="444"/>
      <c r="N193" s="444"/>
      <c r="O193" s="444"/>
      <c r="P193" s="444"/>
      <c r="Q193" s="444"/>
      <c r="R193" s="444"/>
      <c r="S193" s="444"/>
      <c r="T193" s="444"/>
      <c r="U193" s="444"/>
      <c r="V193" s="572">
        <v>9.9600000000000009</v>
      </c>
      <c r="W193" s="446" t="s">
        <v>118</v>
      </c>
      <c r="X193" s="425"/>
    </row>
    <row r="194" spans="1:24" x14ac:dyDescent="0.3">
      <c r="A194" s="543"/>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547"/>
      <c r="X194" s="406"/>
    </row>
    <row r="195" spans="1:24" x14ac:dyDescent="0.3">
      <c r="A195" s="408"/>
      <c r="B195" s="518"/>
      <c r="C195" s="518"/>
      <c r="D195" s="518"/>
      <c r="E195" s="518"/>
      <c r="F195" s="518"/>
      <c r="G195" s="518"/>
      <c r="H195" s="518"/>
      <c r="I195" s="518"/>
      <c r="J195" s="518"/>
      <c r="K195" s="518"/>
      <c r="L195" s="518"/>
      <c r="M195" s="518"/>
      <c r="N195" s="518"/>
      <c r="O195" s="518"/>
      <c r="P195" s="518"/>
      <c r="Q195" s="518"/>
      <c r="R195" s="518"/>
      <c r="S195" s="518"/>
      <c r="T195" s="518"/>
      <c r="U195" s="518"/>
      <c r="V195" s="518"/>
      <c r="W195" s="411"/>
      <c r="X195" s="406"/>
    </row>
    <row r="196" spans="1:24" x14ac:dyDescent="0.3">
      <c r="A196" s="408"/>
      <c r="B196" s="410"/>
      <c r="C196" s="410"/>
      <c r="D196" s="410"/>
      <c r="E196" s="410"/>
      <c r="F196" s="410"/>
      <c r="G196" s="410"/>
      <c r="H196" s="410"/>
      <c r="I196" s="410"/>
      <c r="J196" s="410"/>
      <c r="K196" s="410"/>
      <c r="L196" s="410"/>
      <c r="M196" s="410"/>
      <c r="N196" s="410"/>
      <c r="O196" s="410"/>
      <c r="P196" s="410"/>
      <c r="Q196" s="410"/>
      <c r="R196" s="410"/>
      <c r="S196" s="410"/>
      <c r="T196" s="410"/>
      <c r="U196" s="410"/>
      <c r="V196" s="410"/>
      <c r="W196" s="411"/>
      <c r="X196" s="406"/>
    </row>
    <row r="197" spans="1:24" ht="18.600000000000001" thickBot="1" x14ac:dyDescent="0.4">
      <c r="A197" s="573"/>
      <c r="B197" s="501" t="str">
        <f>B137</f>
        <v>PM13 INVESTOR REPORT QUARTER ENDING DECEMBER 2018</v>
      </c>
      <c r="C197" s="574"/>
      <c r="D197" s="574"/>
      <c r="E197" s="574"/>
      <c r="F197" s="574"/>
      <c r="G197" s="574"/>
      <c r="H197" s="574"/>
      <c r="I197" s="574"/>
      <c r="J197" s="574"/>
      <c r="K197" s="574"/>
      <c r="L197" s="574"/>
      <c r="M197" s="574"/>
      <c r="N197" s="574"/>
      <c r="O197" s="574"/>
      <c r="P197" s="574"/>
      <c r="Q197" s="574"/>
      <c r="R197" s="574"/>
      <c r="S197" s="574"/>
      <c r="T197" s="574"/>
      <c r="U197" s="574"/>
      <c r="V197" s="574"/>
      <c r="W197" s="575"/>
      <c r="X197" s="406"/>
    </row>
    <row r="198" spans="1:24" x14ac:dyDescent="0.3">
      <c r="A198" s="505"/>
      <c r="B198" s="506" t="s">
        <v>70</v>
      </c>
      <c r="C198" s="576"/>
      <c r="D198" s="576"/>
      <c r="E198" s="576"/>
      <c r="F198" s="576"/>
      <c r="G198" s="577"/>
      <c r="H198" s="577"/>
      <c r="I198" s="577"/>
      <c r="J198" s="577"/>
      <c r="K198" s="577"/>
      <c r="L198" s="577"/>
      <c r="M198" s="577"/>
      <c r="N198" s="577"/>
      <c r="O198" s="577"/>
      <c r="P198" s="577"/>
      <c r="Q198" s="577"/>
      <c r="R198" s="577"/>
      <c r="S198" s="577"/>
      <c r="T198" s="577">
        <v>43465</v>
      </c>
      <c r="U198" s="507"/>
      <c r="V198" s="507"/>
      <c r="W198" s="509"/>
      <c r="X198" s="406"/>
    </row>
    <row r="199" spans="1:24" x14ac:dyDescent="0.3">
      <c r="A199" s="578"/>
      <c r="B199" s="579"/>
      <c r="C199" s="580"/>
      <c r="D199" s="580"/>
      <c r="E199" s="580"/>
      <c r="F199" s="580"/>
      <c r="G199" s="581"/>
      <c r="H199" s="581"/>
      <c r="I199" s="581"/>
      <c r="J199" s="581"/>
      <c r="K199" s="581"/>
      <c r="L199" s="581"/>
      <c r="M199" s="581"/>
      <c r="N199" s="581"/>
      <c r="O199" s="581"/>
      <c r="P199" s="581"/>
      <c r="Q199" s="581"/>
      <c r="R199" s="581"/>
      <c r="S199" s="581"/>
      <c r="T199" s="581"/>
      <c r="U199" s="410"/>
      <c r="V199" s="410"/>
      <c r="W199" s="411"/>
      <c r="X199" s="406"/>
    </row>
    <row r="200" spans="1:24" s="426" customFormat="1" x14ac:dyDescent="0.3">
      <c r="A200" s="443"/>
      <c r="B200" s="444" t="s">
        <v>71</v>
      </c>
      <c r="C200" s="582"/>
      <c r="D200" s="582"/>
      <c r="E200" s="582"/>
      <c r="F200" s="582"/>
      <c r="G200" s="488"/>
      <c r="H200" s="488"/>
      <c r="I200" s="488"/>
      <c r="J200" s="488"/>
      <c r="K200" s="488"/>
      <c r="L200" s="488"/>
      <c r="M200" s="488"/>
      <c r="N200" s="488"/>
      <c r="O200" s="488"/>
      <c r="P200" s="488"/>
      <c r="Q200" s="488"/>
      <c r="R200" s="488"/>
      <c r="S200" s="488"/>
      <c r="T200" s="479">
        <v>5.4539999999999998E-2</v>
      </c>
      <c r="U200" s="444"/>
      <c r="V200" s="444"/>
      <c r="W200" s="446"/>
      <c r="X200" s="425"/>
    </row>
    <row r="201" spans="1:24" s="426" customFormat="1" x14ac:dyDescent="0.3">
      <c r="A201" s="443"/>
      <c r="B201" s="444" t="s">
        <v>154</v>
      </c>
      <c r="C201" s="582"/>
      <c r="D201" s="582"/>
      <c r="E201" s="582"/>
      <c r="F201" s="582"/>
      <c r="G201" s="488"/>
      <c r="H201" s="488"/>
      <c r="I201" s="488"/>
      <c r="J201" s="488"/>
      <c r="K201" s="488"/>
      <c r="L201" s="488"/>
      <c r="M201" s="488"/>
      <c r="N201" s="488"/>
      <c r="O201" s="488"/>
      <c r="P201" s="488"/>
      <c r="Q201" s="488"/>
      <c r="R201" s="488"/>
      <c r="S201" s="488"/>
      <c r="T201" s="479">
        <f>'Dec 06'!T199</f>
        <v>5.238600504269459E-2</v>
      </c>
      <c r="U201" s="444"/>
      <c r="V201" s="444"/>
      <c r="W201" s="446"/>
      <c r="X201" s="425"/>
    </row>
    <row r="202" spans="1:24" s="426" customFormat="1" x14ac:dyDescent="0.3">
      <c r="A202" s="443"/>
      <c r="B202" s="444" t="s">
        <v>72</v>
      </c>
      <c r="C202" s="582"/>
      <c r="D202" s="582"/>
      <c r="E202" s="582"/>
      <c r="F202" s="582"/>
      <c r="G202" s="488"/>
      <c r="H202" s="488"/>
      <c r="I202" s="488"/>
      <c r="J202" s="488"/>
      <c r="K202" s="488"/>
      <c r="L202" s="488"/>
      <c r="M202" s="488"/>
      <c r="N202" s="488"/>
      <c r="O202" s="488"/>
      <c r="P202" s="488"/>
      <c r="Q202" s="488"/>
      <c r="R202" s="488"/>
      <c r="S202" s="488"/>
      <c r="T202" s="479">
        <f>+T200-T201</f>
        <v>2.1539949573054079E-3</v>
      </c>
      <c r="U202" s="444"/>
      <c r="V202" s="444"/>
      <c r="W202" s="446"/>
      <c r="X202" s="425"/>
    </row>
    <row r="203" spans="1:24" s="426" customFormat="1" x14ac:dyDescent="0.3">
      <c r="A203" s="443"/>
      <c r="B203" s="444" t="s">
        <v>73</v>
      </c>
      <c r="C203" s="582"/>
      <c r="D203" s="582"/>
      <c r="E203" s="582"/>
      <c r="F203" s="582"/>
      <c r="G203" s="488"/>
      <c r="H203" s="488"/>
      <c r="I203" s="488"/>
      <c r="J203" s="488"/>
      <c r="K203" s="488"/>
      <c r="L203" s="488"/>
      <c r="M203" s="488"/>
      <c r="N203" s="488"/>
      <c r="O203" s="488"/>
      <c r="P203" s="488"/>
      <c r="Q203" s="488"/>
      <c r="R203" s="488"/>
      <c r="S203" s="488"/>
      <c r="T203" s="479">
        <v>2.6179999999999998E-2</v>
      </c>
      <c r="U203" s="444"/>
      <c r="V203" s="444"/>
      <c r="W203" s="446"/>
      <c r="X203" s="425"/>
    </row>
    <row r="204" spans="1:24" s="426" customFormat="1" x14ac:dyDescent="0.3">
      <c r="A204" s="443"/>
      <c r="B204" s="444" t="s">
        <v>222</v>
      </c>
      <c r="C204" s="582"/>
      <c r="D204" s="582"/>
      <c r="E204" s="582"/>
      <c r="F204" s="582"/>
      <c r="G204" s="488"/>
      <c r="H204" s="488"/>
      <c r="I204" s="488"/>
      <c r="J204" s="488"/>
      <c r="K204" s="488"/>
      <c r="L204" s="488"/>
      <c r="M204" s="488"/>
      <c r="N204" s="488"/>
      <c r="O204" s="488"/>
      <c r="P204" s="488"/>
      <c r="Q204" s="488"/>
      <c r="R204" s="488"/>
      <c r="S204" s="488"/>
      <c r="T204" s="479">
        <f>V43</f>
        <v>1.1352257878588652E-2</v>
      </c>
      <c r="U204" s="444"/>
      <c r="V204" s="444"/>
      <c r="W204" s="446"/>
      <c r="X204" s="425"/>
    </row>
    <row r="205" spans="1:24" s="426" customFormat="1" x14ac:dyDescent="0.3">
      <c r="A205" s="443"/>
      <c r="B205" s="444" t="s">
        <v>74</v>
      </c>
      <c r="C205" s="582"/>
      <c r="D205" s="582"/>
      <c r="E205" s="582"/>
      <c r="F205" s="582"/>
      <c r="G205" s="488"/>
      <c r="H205" s="488"/>
      <c r="I205" s="488"/>
      <c r="J205" s="488"/>
      <c r="K205" s="488"/>
      <c r="L205" s="488"/>
      <c r="M205" s="488"/>
      <c r="N205" s="488"/>
      <c r="O205" s="488"/>
      <c r="P205" s="488"/>
      <c r="Q205" s="488"/>
      <c r="R205" s="488"/>
      <c r="S205" s="488"/>
      <c r="T205" s="479">
        <f>T203-T204</f>
        <v>1.4827742121411346E-2</v>
      </c>
      <c r="U205" s="444"/>
      <c r="V205" s="444"/>
      <c r="W205" s="446"/>
      <c r="X205" s="425"/>
    </row>
    <row r="206" spans="1:24" s="426" customFormat="1" x14ac:dyDescent="0.3">
      <c r="A206" s="443"/>
      <c r="B206" s="444" t="s">
        <v>274</v>
      </c>
      <c r="C206" s="582"/>
      <c r="D206" s="582"/>
      <c r="E206" s="582"/>
      <c r="F206" s="582"/>
      <c r="G206" s="488"/>
      <c r="H206" s="488"/>
      <c r="I206" s="488"/>
      <c r="J206" s="488"/>
      <c r="K206" s="488"/>
      <c r="L206" s="488"/>
      <c r="M206" s="488"/>
      <c r="N206" s="488"/>
      <c r="O206" s="488"/>
      <c r="P206" s="488"/>
      <c r="Q206" s="488"/>
      <c r="R206" s="488"/>
      <c r="S206" s="488"/>
      <c r="T206" s="479">
        <f>+V99/N70</f>
        <v>7.5395777836441162E-3</v>
      </c>
      <c r="U206" s="444"/>
      <c r="V206" s="444"/>
      <c r="W206" s="446"/>
      <c r="X206" s="425"/>
    </row>
    <row r="207" spans="1:24" s="426" customFormat="1" x14ac:dyDescent="0.3">
      <c r="A207" s="443"/>
      <c r="B207" s="444" t="s">
        <v>211</v>
      </c>
      <c r="C207" s="582"/>
      <c r="D207" s="582"/>
      <c r="E207" s="582"/>
      <c r="F207" s="582"/>
      <c r="G207" s="488"/>
      <c r="H207" s="488"/>
      <c r="I207" s="488"/>
      <c r="J207" s="488"/>
      <c r="K207" s="488"/>
      <c r="L207" s="488"/>
      <c r="M207" s="488"/>
      <c r="N207" s="488"/>
      <c r="O207" s="488"/>
      <c r="P207" s="488"/>
      <c r="Q207" s="488"/>
      <c r="R207" s="488"/>
      <c r="S207" s="488"/>
      <c r="T207" s="583">
        <v>50771</v>
      </c>
      <c r="U207" s="444"/>
      <c r="V207" s="444"/>
      <c r="W207" s="446"/>
      <c r="X207" s="425"/>
    </row>
    <row r="208" spans="1:24" s="426" customFormat="1" x14ac:dyDescent="0.3">
      <c r="A208" s="443"/>
      <c r="B208" s="444" t="s">
        <v>212</v>
      </c>
      <c r="C208" s="582"/>
      <c r="D208" s="582"/>
      <c r="E208" s="582"/>
      <c r="F208" s="582"/>
      <c r="G208" s="488"/>
      <c r="H208" s="488"/>
      <c r="I208" s="488"/>
      <c r="J208" s="488"/>
      <c r="K208" s="488"/>
      <c r="L208" s="488"/>
      <c r="M208" s="488"/>
      <c r="N208" s="488"/>
      <c r="O208" s="488"/>
      <c r="P208" s="488"/>
      <c r="Q208" s="488"/>
      <c r="R208" s="488"/>
      <c r="S208" s="488"/>
      <c r="T208" s="583">
        <v>50771</v>
      </c>
      <c r="U208" s="444"/>
      <c r="V208" s="444"/>
      <c r="W208" s="446"/>
      <c r="X208" s="425"/>
    </row>
    <row r="209" spans="1:24" s="426" customFormat="1" x14ac:dyDescent="0.3">
      <c r="A209" s="443"/>
      <c r="B209" s="444" t="s">
        <v>213</v>
      </c>
      <c r="C209" s="582"/>
      <c r="D209" s="582"/>
      <c r="E209" s="582"/>
      <c r="F209" s="582"/>
      <c r="G209" s="488"/>
      <c r="H209" s="488"/>
      <c r="I209" s="488"/>
      <c r="J209" s="488"/>
      <c r="K209" s="488"/>
      <c r="L209" s="488"/>
      <c r="M209" s="488"/>
      <c r="N209" s="488"/>
      <c r="O209" s="488"/>
      <c r="P209" s="488"/>
      <c r="Q209" s="488"/>
      <c r="R209" s="488"/>
      <c r="S209" s="488"/>
      <c r="T209" s="583">
        <v>50771</v>
      </c>
      <c r="U209" s="444"/>
      <c r="V209" s="444"/>
      <c r="W209" s="446"/>
      <c r="X209" s="425"/>
    </row>
    <row r="210" spans="1:24" s="426" customFormat="1" x14ac:dyDescent="0.3">
      <c r="A210" s="443"/>
      <c r="B210" s="444" t="s">
        <v>75</v>
      </c>
      <c r="C210" s="582"/>
      <c r="D210" s="582"/>
      <c r="E210" s="582"/>
      <c r="F210" s="582"/>
      <c r="G210" s="488"/>
      <c r="H210" s="488"/>
      <c r="I210" s="488"/>
      <c r="J210" s="488"/>
      <c r="K210" s="488"/>
      <c r="L210" s="488"/>
      <c r="M210" s="488"/>
      <c r="N210" s="488"/>
      <c r="O210" s="488"/>
      <c r="P210" s="488"/>
      <c r="Q210" s="488"/>
      <c r="R210" s="488"/>
      <c r="S210" s="488"/>
      <c r="T210" s="484">
        <v>20.66</v>
      </c>
      <c r="U210" s="444" t="s">
        <v>113</v>
      </c>
      <c r="V210" s="444"/>
      <c r="W210" s="446"/>
      <c r="X210" s="425"/>
    </row>
    <row r="211" spans="1:24" s="426" customFormat="1" x14ac:dyDescent="0.3">
      <c r="A211" s="443"/>
      <c r="B211" s="444" t="s">
        <v>76</v>
      </c>
      <c r="C211" s="582"/>
      <c r="D211" s="582"/>
      <c r="E211" s="582"/>
      <c r="F211" s="582"/>
      <c r="G211" s="488"/>
      <c r="H211" s="488"/>
      <c r="I211" s="488"/>
      <c r="J211" s="488"/>
      <c r="K211" s="488"/>
      <c r="L211" s="488"/>
      <c r="M211" s="488"/>
      <c r="N211" s="488"/>
      <c r="O211" s="488"/>
      <c r="P211" s="488"/>
      <c r="Q211" s="488"/>
      <c r="R211" s="488"/>
      <c r="S211" s="488"/>
      <c r="T211" s="484">
        <v>9.73</v>
      </c>
      <c r="U211" s="444" t="s">
        <v>113</v>
      </c>
      <c r="V211" s="444"/>
      <c r="W211" s="446"/>
      <c r="X211" s="425"/>
    </row>
    <row r="212" spans="1:24" s="426" customFormat="1" x14ac:dyDescent="0.3">
      <c r="A212" s="443"/>
      <c r="B212" s="444" t="s">
        <v>77</v>
      </c>
      <c r="C212" s="582"/>
      <c r="D212" s="582"/>
      <c r="E212" s="582"/>
      <c r="F212" s="582"/>
      <c r="G212" s="488"/>
      <c r="H212" s="488"/>
      <c r="I212" s="488"/>
      <c r="J212" s="488"/>
      <c r="K212" s="488"/>
      <c r="L212" s="488"/>
      <c r="M212" s="488"/>
      <c r="N212" s="488"/>
      <c r="O212" s="488"/>
      <c r="P212" s="488"/>
      <c r="Q212" s="488"/>
      <c r="R212" s="488"/>
      <c r="S212" s="488"/>
      <c r="T212" s="479">
        <f>P67/N67</f>
        <v>2.178811319899419E-2</v>
      </c>
      <c r="U212" s="444"/>
      <c r="V212" s="444"/>
      <c r="W212" s="446"/>
      <c r="X212" s="425"/>
    </row>
    <row r="213" spans="1:24" s="426" customFormat="1" x14ac:dyDescent="0.3">
      <c r="A213" s="443"/>
      <c r="B213" s="444" t="s">
        <v>78</v>
      </c>
      <c r="C213" s="582"/>
      <c r="D213" s="582"/>
      <c r="E213" s="582"/>
      <c r="F213" s="582"/>
      <c r="G213" s="488"/>
      <c r="H213" s="488"/>
      <c r="I213" s="488"/>
      <c r="J213" s="488"/>
      <c r="K213" s="488"/>
      <c r="L213" s="488"/>
      <c r="M213" s="488"/>
      <c r="N213" s="488"/>
      <c r="O213" s="488"/>
      <c r="P213" s="488"/>
      <c r="Q213" s="488"/>
      <c r="R213" s="488"/>
      <c r="S213" s="488"/>
      <c r="T213" s="479">
        <v>6.3200000000000006E-2</v>
      </c>
      <c r="U213" s="444"/>
      <c r="V213" s="444"/>
      <c r="W213" s="446"/>
      <c r="X213" s="425"/>
    </row>
    <row r="214" spans="1:24" s="426" customFormat="1" x14ac:dyDescent="0.3">
      <c r="A214" s="421"/>
      <c r="B214" s="494"/>
      <c r="C214" s="494"/>
      <c r="D214" s="494"/>
      <c r="E214" s="494"/>
      <c r="F214" s="494"/>
      <c r="G214" s="494"/>
      <c r="H214" s="494"/>
      <c r="I214" s="494"/>
      <c r="J214" s="494"/>
      <c r="K214" s="494"/>
      <c r="L214" s="494"/>
      <c r="M214" s="494"/>
      <c r="N214" s="494"/>
      <c r="O214" s="494"/>
      <c r="P214" s="494"/>
      <c r="Q214" s="494"/>
      <c r="R214" s="494"/>
      <c r="S214" s="494"/>
      <c r="T214" s="584"/>
      <c r="U214" s="494"/>
      <c r="V214" s="585"/>
      <c r="W214" s="424"/>
      <c r="X214" s="425"/>
    </row>
    <row r="215" spans="1:24" s="426" customFormat="1" x14ac:dyDescent="0.3">
      <c r="A215" s="586"/>
      <c r="B215" s="420" t="s">
        <v>79</v>
      </c>
      <c r="C215" s="429"/>
      <c r="D215" s="429"/>
      <c r="E215" s="429"/>
      <c r="F215" s="587"/>
      <c r="G215" s="429"/>
      <c r="H215" s="429"/>
      <c r="I215" s="429"/>
      <c r="J215" s="429"/>
      <c r="K215" s="429"/>
      <c r="L215" s="429"/>
      <c r="M215" s="429"/>
      <c r="N215" s="429"/>
      <c r="O215" s="429"/>
      <c r="P215" s="429"/>
      <c r="Q215" s="429"/>
      <c r="R215" s="429"/>
      <c r="S215" s="429" t="s">
        <v>103</v>
      </c>
      <c r="T215" s="587" t="s">
        <v>110</v>
      </c>
      <c r="U215" s="422"/>
      <c r="V215" s="422"/>
      <c r="W215" s="424"/>
      <c r="X215" s="425"/>
    </row>
    <row r="216" spans="1:24" s="426" customFormat="1" x14ac:dyDescent="0.3">
      <c r="A216" s="588"/>
      <c r="B216" s="444" t="s">
        <v>80</v>
      </c>
      <c r="C216" s="516"/>
      <c r="D216" s="516"/>
      <c r="E216" s="516"/>
      <c r="F216" s="444"/>
      <c r="G216" s="444"/>
      <c r="H216" s="450"/>
      <c r="I216" s="450"/>
      <c r="J216" s="450"/>
      <c r="K216" s="450"/>
      <c r="L216" s="450"/>
      <c r="M216" s="450"/>
      <c r="N216" s="450"/>
      <c r="O216" s="450"/>
      <c r="P216" s="450"/>
      <c r="Q216" s="450"/>
      <c r="R216" s="450"/>
      <c r="S216" s="450">
        <v>1</v>
      </c>
      <c r="T216" s="589">
        <v>97</v>
      </c>
      <c r="U216" s="444"/>
      <c r="V216" s="590"/>
      <c r="W216" s="591"/>
      <c r="X216" s="425"/>
    </row>
    <row r="217" spans="1:24" s="426" customFormat="1" x14ac:dyDescent="0.3">
      <c r="A217" s="588"/>
      <c r="B217" s="444" t="s">
        <v>148</v>
      </c>
      <c r="C217" s="516"/>
      <c r="D217" s="516"/>
      <c r="E217" s="516"/>
      <c r="F217" s="444"/>
      <c r="G217" s="444"/>
      <c r="H217" s="450"/>
      <c r="I217" s="450"/>
      <c r="J217" s="450"/>
      <c r="K217" s="450"/>
      <c r="L217" s="450"/>
      <c r="M217" s="450"/>
      <c r="N217" s="450"/>
      <c r="O217" s="450"/>
      <c r="P217" s="450"/>
      <c r="Q217" s="450"/>
      <c r="R217" s="450"/>
      <c r="S217" s="592">
        <f>+R269</f>
        <v>90</v>
      </c>
      <c r="T217" s="589">
        <f>+T269</f>
        <v>15798</v>
      </c>
      <c r="U217" s="444"/>
      <c r="V217" s="590"/>
      <c r="W217" s="591"/>
      <c r="X217" s="425"/>
    </row>
    <row r="218" spans="1:24" s="426" customFormat="1" x14ac:dyDescent="0.3">
      <c r="A218" s="588"/>
      <c r="B218" s="444" t="s">
        <v>81</v>
      </c>
      <c r="C218" s="516"/>
      <c r="D218" s="516"/>
      <c r="E218" s="516"/>
      <c r="F218" s="444"/>
      <c r="G218" s="444"/>
      <c r="H218" s="450"/>
      <c r="I218" s="450"/>
      <c r="J218" s="450"/>
      <c r="K218" s="450"/>
      <c r="L218" s="450"/>
      <c r="M218" s="450"/>
      <c r="N218" s="450"/>
      <c r="O218" s="450"/>
      <c r="P218" s="450"/>
      <c r="Q218" s="450"/>
      <c r="R218" s="450"/>
      <c r="S218" s="592">
        <f>+R281</f>
        <v>0</v>
      </c>
      <c r="T218" s="589">
        <f>+T281</f>
        <v>0</v>
      </c>
      <c r="U218" s="444"/>
      <c r="V218" s="590"/>
      <c r="W218" s="591"/>
      <c r="X218" s="425"/>
    </row>
    <row r="219" spans="1:24" x14ac:dyDescent="0.3">
      <c r="A219" s="593"/>
      <c r="B219" s="594" t="s">
        <v>82</v>
      </c>
      <c r="C219" s="595"/>
      <c r="D219" s="595"/>
      <c r="E219" s="595"/>
      <c r="F219" s="465"/>
      <c r="G219" s="465"/>
      <c r="H219" s="465"/>
      <c r="I219" s="465"/>
      <c r="J219" s="465"/>
      <c r="K219" s="465"/>
      <c r="L219" s="465"/>
      <c r="M219" s="465"/>
      <c r="N219" s="465"/>
      <c r="O219" s="465"/>
      <c r="P219" s="465"/>
      <c r="Q219" s="465"/>
      <c r="R219" s="465"/>
      <c r="S219" s="465"/>
      <c r="T219" s="589">
        <v>0</v>
      </c>
      <c r="U219" s="465"/>
      <c r="V219" s="596"/>
      <c r="W219" s="597"/>
      <c r="X219" s="406"/>
    </row>
    <row r="220" spans="1:24" x14ac:dyDescent="0.3">
      <c r="A220" s="593"/>
      <c r="B220" s="594" t="s">
        <v>275</v>
      </c>
      <c r="C220" s="595"/>
      <c r="D220" s="595"/>
      <c r="E220" s="595"/>
      <c r="F220" s="465"/>
      <c r="G220" s="465"/>
      <c r="H220" s="465"/>
      <c r="I220" s="465"/>
      <c r="J220" s="465"/>
      <c r="K220" s="465"/>
      <c r="L220" s="465"/>
      <c r="M220" s="465"/>
      <c r="N220" s="465"/>
      <c r="O220" s="465"/>
      <c r="P220" s="465"/>
      <c r="Q220" s="465"/>
      <c r="R220" s="465"/>
      <c r="S220" s="465"/>
      <c r="T220" s="589">
        <f>+N80</f>
        <v>0</v>
      </c>
      <c r="U220" s="465"/>
      <c r="V220" s="596"/>
      <c r="W220" s="597"/>
      <c r="X220" s="406"/>
    </row>
    <row r="221" spans="1:24" x14ac:dyDescent="0.3">
      <c r="A221" s="598"/>
      <c r="B221" s="594" t="s">
        <v>83</v>
      </c>
      <c r="C221" s="599"/>
      <c r="D221" s="599"/>
      <c r="E221" s="599"/>
      <c r="F221" s="599"/>
      <c r="G221" s="465"/>
      <c r="H221" s="465"/>
      <c r="I221" s="465"/>
      <c r="J221" s="465"/>
      <c r="K221" s="465"/>
      <c r="L221" s="465"/>
      <c r="M221" s="465"/>
      <c r="N221" s="465"/>
      <c r="O221" s="465"/>
      <c r="P221" s="465"/>
      <c r="Q221" s="465"/>
      <c r="R221" s="465"/>
      <c r="S221" s="465"/>
      <c r="T221" s="600"/>
      <c r="U221" s="465"/>
      <c r="V221" s="596"/>
      <c r="W221" s="601"/>
      <c r="X221" s="406"/>
    </row>
    <row r="222" spans="1:24" s="426" customFormat="1" x14ac:dyDescent="0.3">
      <c r="A222" s="602"/>
      <c r="B222" s="444" t="s">
        <v>84</v>
      </c>
      <c r="C222" s="444"/>
      <c r="D222" s="444"/>
      <c r="E222" s="444"/>
      <c r="F222" s="444"/>
      <c r="G222" s="444"/>
      <c r="H222" s="444"/>
      <c r="I222" s="444"/>
      <c r="J222" s="444"/>
      <c r="K222" s="444"/>
      <c r="L222" s="444"/>
      <c r="M222" s="444"/>
      <c r="N222" s="444"/>
      <c r="O222" s="444"/>
      <c r="P222" s="444"/>
      <c r="Q222" s="444"/>
      <c r="R222" s="444"/>
      <c r="S222" s="450"/>
      <c r="T222" s="589">
        <f>V166</f>
        <v>775</v>
      </c>
      <c r="U222" s="444"/>
      <c r="V222" s="590"/>
      <c r="W222" s="603"/>
      <c r="X222" s="425"/>
    </row>
    <row r="223" spans="1:24" s="426" customFormat="1" x14ac:dyDescent="0.3">
      <c r="A223" s="588"/>
      <c r="B223" s="444" t="s">
        <v>85</v>
      </c>
      <c r="C223" s="516"/>
      <c r="D223" s="516"/>
      <c r="E223" s="516"/>
      <c r="F223" s="516"/>
      <c r="G223" s="444"/>
      <c r="H223" s="444"/>
      <c r="I223" s="444"/>
      <c r="J223" s="444"/>
      <c r="K223" s="444"/>
      <c r="L223" s="444"/>
      <c r="M223" s="444"/>
      <c r="N223" s="444"/>
      <c r="O223" s="444"/>
      <c r="P223" s="444"/>
      <c r="Q223" s="444"/>
      <c r="R223" s="444"/>
      <c r="S223" s="450"/>
      <c r="T223" s="589">
        <f>'Sept 18'!T223+T222</f>
        <v>11951</v>
      </c>
      <c r="U223" s="444"/>
      <c r="V223" s="590"/>
      <c r="W223" s="603"/>
      <c r="X223" s="425"/>
    </row>
    <row r="224" spans="1:24" x14ac:dyDescent="0.3">
      <c r="A224" s="598"/>
      <c r="B224" s="594" t="s">
        <v>297</v>
      </c>
      <c r="C224" s="599"/>
      <c r="D224" s="599"/>
      <c r="E224" s="599"/>
      <c r="F224" s="599"/>
      <c r="G224" s="465"/>
      <c r="H224" s="465"/>
      <c r="I224" s="465"/>
      <c r="J224" s="465"/>
      <c r="K224" s="465"/>
      <c r="L224" s="465"/>
      <c r="M224" s="465"/>
      <c r="N224" s="465"/>
      <c r="O224" s="465"/>
      <c r="P224" s="465"/>
      <c r="Q224" s="465"/>
      <c r="R224" s="465"/>
      <c r="S224" s="604"/>
      <c r="T224" s="600"/>
      <c r="U224" s="465"/>
      <c r="V224" s="596"/>
      <c r="W224" s="601"/>
      <c r="X224" s="406"/>
    </row>
    <row r="225" spans="1:25" s="426" customFormat="1" x14ac:dyDescent="0.3">
      <c r="A225" s="602"/>
      <c r="B225" s="444" t="s">
        <v>295</v>
      </c>
      <c r="C225" s="444"/>
      <c r="D225" s="444"/>
      <c r="E225" s="444"/>
      <c r="F225" s="444"/>
      <c r="G225" s="444"/>
      <c r="H225" s="444"/>
      <c r="I225" s="444"/>
      <c r="J225" s="444"/>
      <c r="K225" s="444"/>
      <c r="L225" s="444"/>
      <c r="M225" s="444"/>
      <c r="N225" s="444"/>
      <c r="O225" s="444"/>
      <c r="P225" s="444"/>
      <c r="Q225" s="444"/>
      <c r="R225" s="444"/>
      <c r="S225" s="450">
        <v>0</v>
      </c>
      <c r="T225" s="589">
        <v>0</v>
      </c>
      <c r="U225" s="444"/>
      <c r="V225" s="590"/>
      <c r="W225" s="603"/>
      <c r="X225" s="425"/>
    </row>
    <row r="226" spans="1:25" s="426" customFormat="1" x14ac:dyDescent="0.3">
      <c r="A226" s="588"/>
      <c r="B226" s="444" t="s">
        <v>87</v>
      </c>
      <c r="C226" s="482"/>
      <c r="D226" s="482"/>
      <c r="E226" s="482"/>
      <c r="F226" s="605"/>
      <c r="G226" s="444"/>
      <c r="H226" s="444"/>
      <c r="I226" s="444"/>
      <c r="J226" s="444"/>
      <c r="K226" s="444"/>
      <c r="L226" s="444"/>
      <c r="M226" s="444"/>
      <c r="N226" s="444"/>
      <c r="O226" s="444"/>
      <c r="P226" s="444"/>
      <c r="Q226" s="444"/>
      <c r="R226" s="444"/>
      <c r="S226" s="444"/>
      <c r="T226" s="606">
        <v>0</v>
      </c>
      <c r="U226" s="444"/>
      <c r="V226" s="590"/>
      <c r="W226" s="603"/>
      <c r="X226" s="425"/>
    </row>
    <row r="227" spans="1:25" s="426" customFormat="1" x14ac:dyDescent="0.3">
      <c r="A227" s="588"/>
      <c r="B227" s="444" t="s">
        <v>88</v>
      </c>
      <c r="C227" s="482"/>
      <c r="D227" s="482"/>
      <c r="E227" s="482"/>
      <c r="F227" s="605"/>
      <c r="G227" s="444"/>
      <c r="H227" s="444"/>
      <c r="I227" s="444"/>
      <c r="J227" s="444"/>
      <c r="K227" s="444"/>
      <c r="L227" s="444"/>
      <c r="M227" s="444"/>
      <c r="N227" s="444"/>
      <c r="O227" s="444"/>
      <c r="P227" s="444"/>
      <c r="Q227" s="444"/>
      <c r="R227" s="444"/>
      <c r="S227" s="444"/>
      <c r="T227" s="606">
        <v>0</v>
      </c>
      <c r="U227" s="444"/>
      <c r="V227" s="590"/>
      <c r="W227" s="603"/>
      <c r="X227" s="425"/>
    </row>
    <row r="228" spans="1:25" x14ac:dyDescent="0.3">
      <c r="A228" s="593"/>
      <c r="B228" s="594" t="s">
        <v>220</v>
      </c>
      <c r="C228" s="607"/>
      <c r="D228" s="607"/>
      <c r="E228" s="607"/>
      <c r="F228" s="608"/>
      <c r="G228" s="465"/>
      <c r="H228" s="465"/>
      <c r="I228" s="465"/>
      <c r="J228" s="465"/>
      <c r="K228" s="465"/>
      <c r="L228" s="465"/>
      <c r="M228" s="465"/>
      <c r="N228" s="465"/>
      <c r="O228" s="465"/>
      <c r="P228" s="465"/>
      <c r="Q228" s="465"/>
      <c r="R228" s="465"/>
      <c r="S228" s="609"/>
      <c r="T228" s="610"/>
      <c r="U228" s="465"/>
      <c r="V228" s="596"/>
      <c r="W228" s="601"/>
      <c r="X228" s="406"/>
    </row>
    <row r="229" spans="1:25" s="426" customFormat="1" x14ac:dyDescent="0.3">
      <c r="A229" s="588"/>
      <c r="B229" s="444" t="s">
        <v>295</v>
      </c>
      <c r="C229" s="482"/>
      <c r="D229" s="482"/>
      <c r="E229" s="482"/>
      <c r="F229" s="605"/>
      <c r="G229" s="444"/>
      <c r="H229" s="444"/>
      <c r="I229" s="444"/>
      <c r="J229" s="444"/>
      <c r="K229" s="444"/>
      <c r="L229" s="444"/>
      <c r="M229" s="444"/>
      <c r="N229" s="444"/>
      <c r="O229" s="444"/>
      <c r="P229" s="444"/>
      <c r="Q229" s="444"/>
      <c r="R229" s="444"/>
      <c r="S229" s="450">
        <v>8</v>
      </c>
      <c r="T229" s="589">
        <v>836</v>
      </c>
      <c r="U229" s="444"/>
      <c r="V229" s="590"/>
      <c r="W229" s="603"/>
      <c r="X229" s="425"/>
    </row>
    <row r="230" spans="1:25" s="426" customFormat="1" x14ac:dyDescent="0.3">
      <c r="A230" s="588"/>
      <c r="B230" s="444" t="s">
        <v>221</v>
      </c>
      <c r="C230" s="482"/>
      <c r="D230" s="482"/>
      <c r="E230" s="482"/>
      <c r="F230" s="605"/>
      <c r="G230" s="444"/>
      <c r="H230" s="444"/>
      <c r="I230" s="444"/>
      <c r="J230" s="444"/>
      <c r="K230" s="444"/>
      <c r="L230" s="444"/>
      <c r="M230" s="444"/>
      <c r="N230" s="444"/>
      <c r="O230" s="444"/>
      <c r="P230" s="444"/>
      <c r="Q230" s="444"/>
      <c r="R230" s="444"/>
      <c r="S230" s="444"/>
      <c r="T230" s="606">
        <v>9</v>
      </c>
      <c r="U230" s="444"/>
      <c r="V230" s="590"/>
      <c r="W230" s="603"/>
      <c r="X230" s="425"/>
    </row>
    <row r="231" spans="1:25" x14ac:dyDescent="0.3">
      <c r="A231" s="593"/>
      <c r="B231" s="599"/>
      <c r="C231" s="607"/>
      <c r="D231" s="607"/>
      <c r="E231" s="607"/>
      <c r="F231" s="608"/>
      <c r="G231" s="465"/>
      <c r="H231" s="465"/>
      <c r="I231" s="465"/>
      <c r="J231" s="465"/>
      <c r="K231" s="465"/>
      <c r="L231" s="465"/>
      <c r="M231" s="465"/>
      <c r="N231" s="465"/>
      <c r="O231" s="465"/>
      <c r="P231" s="465"/>
      <c r="Q231" s="465"/>
      <c r="R231" s="465"/>
      <c r="S231" s="465"/>
      <c r="T231" s="611"/>
      <c r="U231" s="465"/>
      <c r="V231" s="596"/>
      <c r="W231" s="601"/>
      <c r="X231" s="406"/>
    </row>
    <row r="232" spans="1:25" x14ac:dyDescent="0.3">
      <c r="A232" s="593"/>
      <c r="B232" s="599"/>
      <c r="C232" s="607"/>
      <c r="D232" s="607"/>
      <c r="E232" s="607"/>
      <c r="F232" s="608"/>
      <c r="G232" s="465"/>
      <c r="H232" s="465"/>
      <c r="I232" s="465"/>
      <c r="J232" s="465"/>
      <c r="K232" s="465"/>
      <c r="L232" s="465"/>
      <c r="M232" s="465"/>
      <c r="N232" s="465"/>
      <c r="O232" s="465"/>
      <c r="P232" s="465"/>
      <c r="Q232" s="465"/>
      <c r="R232" s="465"/>
      <c r="S232" s="465"/>
      <c r="T232" s="611"/>
      <c r="U232" s="465"/>
      <c r="V232" s="596"/>
      <c r="W232" s="601"/>
      <c r="X232" s="406"/>
    </row>
    <row r="233" spans="1:25" ht="18" x14ac:dyDescent="0.35">
      <c r="A233" s="593"/>
      <c r="B233" s="612" t="s">
        <v>171</v>
      </c>
      <c r="C233" s="607"/>
      <c r="D233" s="607"/>
      <c r="E233" s="607"/>
      <c r="F233" s="608"/>
      <c r="G233" s="465"/>
      <c r="H233" s="465"/>
      <c r="I233" s="465"/>
      <c r="J233" s="465"/>
      <c r="K233" s="465"/>
      <c r="L233" s="465"/>
      <c r="M233" s="465"/>
      <c r="N233" s="465"/>
      <c r="O233" s="465"/>
      <c r="P233" s="613" t="s">
        <v>370</v>
      </c>
      <c r="Q233" s="465"/>
      <c r="R233" s="465"/>
      <c r="S233" s="465"/>
      <c r="T233" s="611"/>
      <c r="U233" s="465"/>
      <c r="V233" s="596"/>
      <c r="W233" s="601"/>
      <c r="X233" s="406"/>
    </row>
    <row r="234" spans="1:25" x14ac:dyDescent="0.3">
      <c r="A234" s="614"/>
      <c r="B234" s="615"/>
      <c r="C234" s="616"/>
      <c r="D234" s="616"/>
      <c r="E234" s="616"/>
      <c r="F234" s="617"/>
      <c r="G234" s="518"/>
      <c r="H234" s="518"/>
      <c r="I234" s="518"/>
      <c r="J234" s="518"/>
      <c r="K234" s="518"/>
      <c r="L234" s="518"/>
      <c r="M234" s="518"/>
      <c r="N234" s="518"/>
      <c r="O234" s="518"/>
      <c r="P234" s="518"/>
      <c r="Q234" s="518"/>
      <c r="R234" s="518"/>
      <c r="S234" s="518"/>
      <c r="T234" s="618"/>
      <c r="U234" s="518"/>
      <c r="V234" s="619"/>
      <c r="W234" s="620"/>
      <c r="X234" s="406"/>
    </row>
    <row r="235" spans="1:25" x14ac:dyDescent="0.3">
      <c r="A235" s="533"/>
      <c r="B235" s="534" t="s">
        <v>310</v>
      </c>
      <c r="C235" s="535"/>
      <c r="D235" s="535"/>
      <c r="E235" s="535"/>
      <c r="F235" s="621"/>
      <c r="G235" s="535"/>
      <c r="H235" s="535"/>
      <c r="I235" s="535"/>
      <c r="J235" s="535"/>
      <c r="K235" s="535"/>
      <c r="L235" s="535"/>
      <c r="M235" s="535"/>
      <c r="N235" s="535"/>
      <c r="O235" s="535"/>
      <c r="P235" s="535"/>
      <c r="Q235" s="535"/>
      <c r="R235" s="621" t="s">
        <v>103</v>
      </c>
      <c r="S235" s="535" t="s">
        <v>104</v>
      </c>
      <c r="T235" s="621" t="s">
        <v>111</v>
      </c>
      <c r="U235" s="535" t="s">
        <v>104</v>
      </c>
      <c r="V235" s="622"/>
      <c r="W235" s="623"/>
      <c r="X235" s="406"/>
    </row>
    <row r="236" spans="1:25" s="426" customFormat="1" x14ac:dyDescent="0.3">
      <c r="A236" s="421"/>
      <c r="B236" s="552" t="s">
        <v>89</v>
      </c>
      <c r="C236" s="624"/>
      <c r="D236" s="624"/>
      <c r="E236" s="624"/>
      <c r="F236" s="494"/>
      <c r="G236" s="624"/>
      <c r="H236" s="624"/>
      <c r="I236" s="624"/>
      <c r="J236" s="624"/>
      <c r="K236" s="624"/>
      <c r="L236" s="624"/>
      <c r="M236" s="624"/>
      <c r="N236" s="624"/>
      <c r="O236" s="624"/>
      <c r="P236" s="624"/>
      <c r="Q236" s="624"/>
      <c r="R236" s="539">
        <f t="shared" ref="R236:R243" si="1">+R248+R260+R272</f>
        <v>5708</v>
      </c>
      <c r="S236" s="625">
        <f t="shared" ref="S236:S243" si="2">R236/$R$245</f>
        <v>0.99338670379394356</v>
      </c>
      <c r="T236" s="540">
        <f t="shared" ref="T236:T243" si="3">+T248+T260+T272</f>
        <v>727672</v>
      </c>
      <c r="U236" s="625">
        <f t="shared" ref="U236:U243" si="4">T236/$T$245</f>
        <v>0.99175301850971009</v>
      </c>
      <c r="V236" s="585"/>
      <c r="W236" s="626"/>
      <c r="X236" s="425"/>
    </row>
    <row r="237" spans="1:25" s="426" customFormat="1" x14ac:dyDescent="0.3">
      <c r="A237" s="443"/>
      <c r="B237" s="516" t="s">
        <v>90</v>
      </c>
      <c r="C237" s="627"/>
      <c r="D237" s="627"/>
      <c r="E237" s="627"/>
      <c r="F237" s="444"/>
      <c r="G237" s="628"/>
      <c r="H237" s="627"/>
      <c r="I237" s="627"/>
      <c r="J237" s="627"/>
      <c r="K237" s="627"/>
      <c r="L237" s="627"/>
      <c r="M237" s="627"/>
      <c r="N237" s="627"/>
      <c r="O237" s="627"/>
      <c r="P237" s="627"/>
      <c r="Q237" s="627"/>
      <c r="R237" s="516">
        <f t="shared" si="1"/>
        <v>18</v>
      </c>
      <c r="S237" s="628">
        <f t="shared" si="2"/>
        <v>3.1326139923424992E-3</v>
      </c>
      <c r="T237" s="517">
        <f t="shared" si="3"/>
        <v>2688</v>
      </c>
      <c r="U237" s="628">
        <f t="shared" si="4"/>
        <v>3.6635078905799599E-3</v>
      </c>
      <c r="V237" s="590"/>
      <c r="W237" s="603"/>
      <c r="X237" s="425"/>
      <c r="Y237" s="549"/>
    </row>
    <row r="238" spans="1:25" s="426" customFormat="1" x14ac:dyDescent="0.3">
      <c r="A238" s="443"/>
      <c r="B238" s="516" t="s">
        <v>91</v>
      </c>
      <c r="C238" s="627"/>
      <c r="D238" s="627"/>
      <c r="E238" s="627"/>
      <c r="F238" s="444"/>
      <c r="G238" s="628"/>
      <c r="H238" s="627"/>
      <c r="I238" s="627"/>
      <c r="J238" s="627"/>
      <c r="K238" s="627"/>
      <c r="L238" s="627"/>
      <c r="M238" s="627"/>
      <c r="N238" s="627"/>
      <c r="O238" s="627"/>
      <c r="P238" s="627"/>
      <c r="Q238" s="627"/>
      <c r="R238" s="516">
        <f t="shared" si="1"/>
        <v>5</v>
      </c>
      <c r="S238" s="628">
        <f t="shared" si="2"/>
        <v>8.7017055342847197E-4</v>
      </c>
      <c r="T238" s="517">
        <f t="shared" si="3"/>
        <v>712</v>
      </c>
      <c r="U238" s="628">
        <f t="shared" si="4"/>
        <v>9.703934591119537E-4</v>
      </c>
      <c r="V238" s="590"/>
      <c r="W238" s="603"/>
      <c r="X238" s="425"/>
    </row>
    <row r="239" spans="1:25" s="426" customFormat="1" x14ac:dyDescent="0.3">
      <c r="A239" s="443"/>
      <c r="B239" s="516" t="s">
        <v>159</v>
      </c>
      <c r="C239" s="627"/>
      <c r="D239" s="627"/>
      <c r="E239" s="627"/>
      <c r="F239" s="444"/>
      <c r="G239" s="628"/>
      <c r="H239" s="627"/>
      <c r="I239" s="627"/>
      <c r="J239" s="627"/>
      <c r="K239" s="627"/>
      <c r="L239" s="627"/>
      <c r="M239" s="627"/>
      <c r="N239" s="627"/>
      <c r="O239" s="627"/>
      <c r="P239" s="627"/>
      <c r="Q239" s="627"/>
      <c r="R239" s="516">
        <f t="shared" si="1"/>
        <v>1</v>
      </c>
      <c r="S239" s="628">
        <f t="shared" si="2"/>
        <v>1.7403411068569441E-4</v>
      </c>
      <c r="T239" s="517">
        <f t="shared" si="3"/>
        <v>172</v>
      </c>
      <c r="U239" s="628">
        <f t="shared" si="4"/>
        <v>2.3442089180794387E-4</v>
      </c>
      <c r="V239" s="590"/>
      <c r="W239" s="603"/>
      <c r="X239" s="425"/>
      <c r="Y239" s="549"/>
    </row>
    <row r="240" spans="1:25" s="426" customFormat="1" x14ac:dyDescent="0.3">
      <c r="A240" s="443"/>
      <c r="B240" s="516" t="s">
        <v>160</v>
      </c>
      <c r="C240" s="627"/>
      <c r="D240" s="627"/>
      <c r="E240" s="627"/>
      <c r="F240" s="444"/>
      <c r="G240" s="628"/>
      <c r="H240" s="627"/>
      <c r="I240" s="627"/>
      <c r="J240" s="627"/>
      <c r="K240" s="627"/>
      <c r="L240" s="627"/>
      <c r="M240" s="627"/>
      <c r="N240" s="627"/>
      <c r="O240" s="627"/>
      <c r="P240" s="627"/>
      <c r="Q240" s="627"/>
      <c r="R240" s="516">
        <f t="shared" si="1"/>
        <v>1</v>
      </c>
      <c r="S240" s="628">
        <f t="shared" si="2"/>
        <v>1.7403411068569441E-4</v>
      </c>
      <c r="T240" s="517">
        <f t="shared" si="3"/>
        <v>126</v>
      </c>
      <c r="U240" s="628">
        <f t="shared" si="4"/>
        <v>1.7172693237093561E-4</v>
      </c>
      <c r="V240" s="590"/>
      <c r="W240" s="603"/>
      <c r="X240" s="425"/>
    </row>
    <row r="241" spans="1:25" s="426" customFormat="1" x14ac:dyDescent="0.3">
      <c r="A241" s="443"/>
      <c r="B241" s="516" t="s">
        <v>161</v>
      </c>
      <c r="C241" s="627"/>
      <c r="D241" s="627"/>
      <c r="E241" s="627"/>
      <c r="F241" s="444"/>
      <c r="G241" s="628"/>
      <c r="H241" s="627"/>
      <c r="I241" s="627"/>
      <c r="J241" s="627"/>
      <c r="K241" s="627"/>
      <c r="L241" s="627"/>
      <c r="M241" s="627"/>
      <c r="N241" s="627"/>
      <c r="O241" s="627"/>
      <c r="P241" s="627"/>
      <c r="Q241" s="627"/>
      <c r="R241" s="516">
        <f t="shared" si="1"/>
        <v>0</v>
      </c>
      <c r="S241" s="628">
        <f t="shared" si="2"/>
        <v>0</v>
      </c>
      <c r="T241" s="517">
        <f t="shared" si="3"/>
        <v>0</v>
      </c>
      <c r="U241" s="628">
        <f t="shared" si="4"/>
        <v>0</v>
      </c>
      <c r="V241" s="590"/>
      <c r="W241" s="603"/>
      <c r="X241" s="425"/>
      <c r="Y241" s="549"/>
    </row>
    <row r="242" spans="1:25" s="426" customFormat="1" x14ac:dyDescent="0.3">
      <c r="A242" s="443"/>
      <c r="B242" s="516" t="s">
        <v>162</v>
      </c>
      <c r="C242" s="627"/>
      <c r="D242" s="627"/>
      <c r="E242" s="627"/>
      <c r="F242" s="444"/>
      <c r="G242" s="628"/>
      <c r="H242" s="627"/>
      <c r="I242" s="627"/>
      <c r="J242" s="627"/>
      <c r="K242" s="627"/>
      <c r="L242" s="627"/>
      <c r="M242" s="627"/>
      <c r="N242" s="627"/>
      <c r="O242" s="627"/>
      <c r="P242" s="627"/>
      <c r="Q242" s="627"/>
      <c r="R242" s="516">
        <f t="shared" si="1"/>
        <v>1</v>
      </c>
      <c r="S242" s="628">
        <f t="shared" si="2"/>
        <v>1.7403411068569441E-4</v>
      </c>
      <c r="T242" s="517">
        <f t="shared" si="3"/>
        <v>110</v>
      </c>
      <c r="U242" s="628">
        <f t="shared" si="4"/>
        <v>1.4992033778415015E-4</v>
      </c>
      <c r="V242" s="590"/>
      <c r="W242" s="603"/>
      <c r="X242" s="425"/>
    </row>
    <row r="243" spans="1:25" s="426" customFormat="1" x14ac:dyDescent="0.3">
      <c r="A243" s="443"/>
      <c r="B243" s="516" t="s">
        <v>163</v>
      </c>
      <c r="C243" s="627"/>
      <c r="D243" s="627"/>
      <c r="E243" s="627"/>
      <c r="F243" s="444"/>
      <c r="G243" s="628"/>
      <c r="H243" s="627"/>
      <c r="I243" s="627"/>
      <c r="J243" s="627"/>
      <c r="K243" s="627"/>
      <c r="L243" s="627"/>
      <c r="M243" s="627"/>
      <c r="N243" s="627"/>
      <c r="O243" s="627"/>
      <c r="P243" s="627"/>
      <c r="Q243" s="627"/>
      <c r="R243" s="516">
        <f t="shared" si="1"/>
        <v>12</v>
      </c>
      <c r="S243" s="628">
        <f t="shared" si="2"/>
        <v>2.0884093282283328E-3</v>
      </c>
      <c r="T243" s="517">
        <f t="shared" si="3"/>
        <v>2243</v>
      </c>
      <c r="U243" s="628">
        <f t="shared" si="4"/>
        <v>3.0570119786349891E-3</v>
      </c>
      <c r="V243" s="590"/>
      <c r="W243" s="603"/>
      <c r="X243" s="425"/>
      <c r="Y243" s="549"/>
    </row>
    <row r="244" spans="1:25" s="426" customFormat="1" x14ac:dyDescent="0.3">
      <c r="A244" s="443"/>
      <c r="B244" s="516"/>
      <c r="C244" s="627"/>
      <c r="D244" s="627"/>
      <c r="E244" s="627"/>
      <c r="F244" s="444"/>
      <c r="G244" s="628"/>
      <c r="H244" s="627"/>
      <c r="I244" s="627"/>
      <c r="J244" s="627"/>
      <c r="K244" s="627"/>
      <c r="L244" s="627"/>
      <c r="M244" s="627"/>
      <c r="N244" s="627"/>
      <c r="O244" s="627"/>
      <c r="P244" s="627"/>
      <c r="Q244" s="627"/>
      <c r="R244" s="516"/>
      <c r="S244" s="628"/>
      <c r="T244" s="517"/>
      <c r="U244" s="628"/>
      <c r="V244" s="590"/>
      <c r="W244" s="603"/>
      <c r="X244" s="425"/>
    </row>
    <row r="245" spans="1:25" s="426" customFormat="1" x14ac:dyDescent="0.3">
      <c r="A245" s="443"/>
      <c r="B245" s="444" t="s">
        <v>117</v>
      </c>
      <c r="C245" s="444"/>
      <c r="D245" s="444"/>
      <c r="E245" s="444"/>
      <c r="F245" s="444"/>
      <c r="G245" s="444"/>
      <c r="H245" s="629"/>
      <c r="I245" s="629"/>
      <c r="J245" s="629"/>
      <c r="K245" s="629"/>
      <c r="L245" s="629"/>
      <c r="M245" s="629"/>
      <c r="N245" s="629"/>
      <c r="O245" s="629"/>
      <c r="P245" s="629"/>
      <c r="Q245" s="629"/>
      <c r="R245" s="516">
        <f>SUM(R236:R244)</f>
        <v>5746</v>
      </c>
      <c r="S245" s="628">
        <f>SUM(S236:S244)</f>
        <v>1</v>
      </c>
      <c r="T245" s="517">
        <f>SUM(T236:T244)</f>
        <v>733723</v>
      </c>
      <c r="U245" s="628">
        <f>SUM(U236:U244)</f>
        <v>1</v>
      </c>
      <c r="V245" s="444"/>
      <c r="W245" s="446"/>
      <c r="X245" s="425"/>
    </row>
    <row r="246" spans="1:25" x14ac:dyDescent="0.3">
      <c r="A246" s="614"/>
      <c r="B246" s="615"/>
      <c r="C246" s="616"/>
      <c r="D246" s="616"/>
      <c r="E246" s="616"/>
      <c r="F246" s="617"/>
      <c r="G246" s="518"/>
      <c r="H246" s="518"/>
      <c r="I246" s="518"/>
      <c r="J246" s="518"/>
      <c r="K246" s="518"/>
      <c r="L246" s="518"/>
      <c r="M246" s="518"/>
      <c r="N246" s="518"/>
      <c r="O246" s="518"/>
      <c r="P246" s="518"/>
      <c r="Q246" s="518"/>
      <c r="R246" s="518"/>
      <c r="S246" s="518"/>
      <c r="T246" s="618"/>
      <c r="U246" s="518"/>
      <c r="V246" s="619"/>
      <c r="W246" s="620"/>
      <c r="X246" s="406"/>
    </row>
    <row r="247" spans="1:25" x14ac:dyDescent="0.3">
      <c r="A247" s="533"/>
      <c r="B247" s="534" t="s">
        <v>165</v>
      </c>
      <c r="C247" s="535"/>
      <c r="D247" s="535"/>
      <c r="E247" s="535"/>
      <c r="F247" s="621"/>
      <c r="G247" s="535"/>
      <c r="H247" s="535"/>
      <c r="I247" s="535"/>
      <c r="J247" s="535"/>
      <c r="K247" s="535"/>
      <c r="L247" s="535"/>
      <c r="M247" s="535"/>
      <c r="N247" s="535"/>
      <c r="O247" s="535"/>
      <c r="P247" s="535"/>
      <c r="Q247" s="535"/>
      <c r="R247" s="621" t="s">
        <v>103</v>
      </c>
      <c r="S247" s="535" t="s">
        <v>104</v>
      </c>
      <c r="T247" s="621" t="s">
        <v>111</v>
      </c>
      <c r="U247" s="535" t="s">
        <v>104</v>
      </c>
      <c r="V247" s="622"/>
      <c r="W247" s="623"/>
      <c r="X247" s="406"/>
    </row>
    <row r="248" spans="1:25" s="426" customFormat="1" x14ac:dyDescent="0.3">
      <c r="A248" s="421"/>
      <c r="B248" s="552" t="s">
        <v>89</v>
      </c>
      <c r="C248" s="624"/>
      <c r="D248" s="624"/>
      <c r="E248" s="624"/>
      <c r="F248" s="494"/>
      <c r="G248" s="624"/>
      <c r="H248" s="624"/>
      <c r="I248" s="624"/>
      <c r="J248" s="624"/>
      <c r="K248" s="624"/>
      <c r="L248" s="624"/>
      <c r="M248" s="624"/>
      <c r="N248" s="624"/>
      <c r="O248" s="624"/>
      <c r="P248" s="624"/>
      <c r="Q248" s="624"/>
      <c r="R248" s="552">
        <v>5631</v>
      </c>
      <c r="S248" s="630">
        <f t="shared" ref="S248:S255" si="5">R248/$R$257</f>
        <v>0.99557991513437061</v>
      </c>
      <c r="T248" s="631">
        <v>713716</v>
      </c>
      <c r="U248" s="630">
        <f t="shared" ref="U248:U255" si="6">T248/$T$257</f>
        <v>0.99413727060626111</v>
      </c>
      <c r="V248" s="585"/>
      <c r="W248" s="626"/>
      <c r="X248" s="425"/>
    </row>
    <row r="249" spans="1:25" s="426" customFormat="1" x14ac:dyDescent="0.3">
      <c r="A249" s="443"/>
      <c r="B249" s="516" t="s">
        <v>90</v>
      </c>
      <c r="C249" s="627"/>
      <c r="D249" s="627"/>
      <c r="E249" s="627"/>
      <c r="F249" s="444"/>
      <c r="G249" s="628"/>
      <c r="H249" s="627"/>
      <c r="I249" s="627"/>
      <c r="J249" s="627"/>
      <c r="K249" s="627"/>
      <c r="L249" s="627"/>
      <c r="M249" s="627"/>
      <c r="N249" s="627"/>
      <c r="O249" s="627"/>
      <c r="P249" s="627"/>
      <c r="Q249" s="627"/>
      <c r="R249" s="516">
        <v>18</v>
      </c>
      <c r="S249" s="628">
        <f t="shared" si="5"/>
        <v>3.1824611032531826E-3</v>
      </c>
      <c r="T249" s="517">
        <v>2688</v>
      </c>
      <c r="U249" s="628">
        <f t="shared" si="6"/>
        <v>3.7441236898004666E-3</v>
      </c>
      <c r="V249" s="590"/>
      <c r="W249" s="603"/>
      <c r="X249" s="425"/>
      <c r="Y249" s="549"/>
    </row>
    <row r="250" spans="1:25" s="426" customFormat="1" x14ac:dyDescent="0.3">
      <c r="A250" s="443"/>
      <c r="B250" s="516" t="s">
        <v>91</v>
      </c>
      <c r="C250" s="627"/>
      <c r="D250" s="627"/>
      <c r="E250" s="627"/>
      <c r="F250" s="444"/>
      <c r="G250" s="628"/>
      <c r="H250" s="627"/>
      <c r="I250" s="627"/>
      <c r="J250" s="627"/>
      <c r="K250" s="627"/>
      <c r="L250" s="627"/>
      <c r="M250" s="627"/>
      <c r="N250" s="627"/>
      <c r="O250" s="627"/>
      <c r="P250" s="627"/>
      <c r="Q250" s="627"/>
      <c r="R250" s="516">
        <v>5</v>
      </c>
      <c r="S250" s="628">
        <f t="shared" si="5"/>
        <v>8.8401697312588397E-4</v>
      </c>
      <c r="T250" s="517">
        <v>712</v>
      </c>
      <c r="U250" s="628">
        <f t="shared" si="6"/>
        <v>9.9174704878643308E-4</v>
      </c>
      <c r="V250" s="590"/>
      <c r="W250" s="603"/>
      <c r="X250" s="425"/>
    </row>
    <row r="251" spans="1:25" s="426" customFormat="1" x14ac:dyDescent="0.3">
      <c r="A251" s="443"/>
      <c r="B251" s="516" t="s">
        <v>159</v>
      </c>
      <c r="C251" s="627"/>
      <c r="D251" s="627"/>
      <c r="E251" s="627"/>
      <c r="F251" s="444"/>
      <c r="G251" s="628"/>
      <c r="H251" s="627"/>
      <c r="I251" s="627"/>
      <c r="J251" s="627"/>
      <c r="K251" s="627"/>
      <c r="L251" s="627"/>
      <c r="M251" s="627"/>
      <c r="N251" s="627"/>
      <c r="O251" s="627"/>
      <c r="P251" s="627"/>
      <c r="Q251" s="627"/>
      <c r="R251" s="516">
        <v>0</v>
      </c>
      <c r="S251" s="628">
        <f t="shared" si="5"/>
        <v>0</v>
      </c>
      <c r="T251" s="517">
        <v>0</v>
      </c>
      <c r="U251" s="628">
        <f t="shared" si="6"/>
        <v>0</v>
      </c>
      <c r="V251" s="590"/>
      <c r="W251" s="603"/>
      <c r="X251" s="425"/>
      <c r="Y251" s="549"/>
    </row>
    <row r="252" spans="1:25" s="426" customFormat="1" x14ac:dyDescent="0.3">
      <c r="A252" s="443"/>
      <c r="B252" s="516" t="s">
        <v>160</v>
      </c>
      <c r="C252" s="627"/>
      <c r="D252" s="627"/>
      <c r="E252" s="627"/>
      <c r="F252" s="444"/>
      <c r="G252" s="628"/>
      <c r="H252" s="627"/>
      <c r="I252" s="627"/>
      <c r="J252" s="627"/>
      <c r="K252" s="627"/>
      <c r="L252" s="627"/>
      <c r="M252" s="627"/>
      <c r="N252" s="627"/>
      <c r="O252" s="627"/>
      <c r="P252" s="627"/>
      <c r="Q252" s="627"/>
      <c r="R252" s="516">
        <v>0</v>
      </c>
      <c r="S252" s="628">
        <f t="shared" si="5"/>
        <v>0</v>
      </c>
      <c r="T252" s="517">
        <v>0</v>
      </c>
      <c r="U252" s="628">
        <f t="shared" si="6"/>
        <v>0</v>
      </c>
      <c r="V252" s="590"/>
      <c r="W252" s="603"/>
      <c r="X252" s="425"/>
    </row>
    <row r="253" spans="1:25" s="426" customFormat="1" x14ac:dyDescent="0.3">
      <c r="A253" s="443"/>
      <c r="B253" s="516" t="s">
        <v>161</v>
      </c>
      <c r="C253" s="627"/>
      <c r="D253" s="627"/>
      <c r="E253" s="627"/>
      <c r="F253" s="444"/>
      <c r="G253" s="628"/>
      <c r="H253" s="627"/>
      <c r="I253" s="627"/>
      <c r="J253" s="627"/>
      <c r="K253" s="627"/>
      <c r="L253" s="627"/>
      <c r="M253" s="627"/>
      <c r="N253" s="627"/>
      <c r="O253" s="627"/>
      <c r="P253" s="627"/>
      <c r="Q253" s="627"/>
      <c r="R253" s="516">
        <v>0</v>
      </c>
      <c r="S253" s="628">
        <f t="shared" si="5"/>
        <v>0</v>
      </c>
      <c r="T253" s="517">
        <v>0</v>
      </c>
      <c r="U253" s="628">
        <f t="shared" si="6"/>
        <v>0</v>
      </c>
      <c r="V253" s="590"/>
      <c r="W253" s="603"/>
      <c r="X253" s="425"/>
      <c r="Y253" s="549"/>
    </row>
    <row r="254" spans="1:25" s="426" customFormat="1" x14ac:dyDescent="0.3">
      <c r="A254" s="443"/>
      <c r="B254" s="516" t="s">
        <v>162</v>
      </c>
      <c r="C254" s="627"/>
      <c r="D254" s="627"/>
      <c r="E254" s="627"/>
      <c r="F254" s="444"/>
      <c r="G254" s="628"/>
      <c r="H254" s="627"/>
      <c r="I254" s="627"/>
      <c r="J254" s="627"/>
      <c r="K254" s="627"/>
      <c r="L254" s="627"/>
      <c r="M254" s="627"/>
      <c r="N254" s="627"/>
      <c r="O254" s="627"/>
      <c r="P254" s="627"/>
      <c r="Q254" s="627"/>
      <c r="R254" s="516">
        <v>0</v>
      </c>
      <c r="S254" s="628">
        <f t="shared" si="5"/>
        <v>0</v>
      </c>
      <c r="T254" s="517">
        <v>0</v>
      </c>
      <c r="U254" s="628">
        <f t="shared" si="6"/>
        <v>0</v>
      </c>
      <c r="V254" s="590"/>
      <c r="W254" s="603"/>
      <c r="X254" s="425"/>
    </row>
    <row r="255" spans="1:25" s="426" customFormat="1" x14ac:dyDescent="0.3">
      <c r="A255" s="443"/>
      <c r="B255" s="516" t="s">
        <v>163</v>
      </c>
      <c r="C255" s="627"/>
      <c r="D255" s="627"/>
      <c r="E255" s="627"/>
      <c r="F255" s="444"/>
      <c r="G255" s="628"/>
      <c r="H255" s="627"/>
      <c r="I255" s="627"/>
      <c r="J255" s="627"/>
      <c r="K255" s="627"/>
      <c r="L255" s="627"/>
      <c r="M255" s="627"/>
      <c r="N255" s="627"/>
      <c r="O255" s="627"/>
      <c r="P255" s="627"/>
      <c r="Q255" s="627"/>
      <c r="R255" s="516">
        <v>2</v>
      </c>
      <c r="S255" s="628">
        <f t="shared" si="5"/>
        <v>3.5360678925035362E-4</v>
      </c>
      <c r="T255" s="517">
        <v>809</v>
      </c>
      <c r="U255" s="628">
        <f t="shared" si="6"/>
        <v>1.1268586551520005E-3</v>
      </c>
      <c r="V255" s="590"/>
      <c r="W255" s="603"/>
      <c r="X255" s="425"/>
      <c r="Y255" s="549"/>
    </row>
    <row r="256" spans="1:25" s="426" customFormat="1" x14ac:dyDescent="0.3">
      <c r="A256" s="443"/>
      <c r="B256" s="516"/>
      <c r="C256" s="627"/>
      <c r="D256" s="627"/>
      <c r="E256" s="627"/>
      <c r="F256" s="444"/>
      <c r="G256" s="628"/>
      <c r="H256" s="627"/>
      <c r="I256" s="627"/>
      <c r="J256" s="627"/>
      <c r="K256" s="627"/>
      <c r="L256" s="627"/>
      <c r="M256" s="627"/>
      <c r="N256" s="627"/>
      <c r="O256" s="627"/>
      <c r="P256" s="627"/>
      <c r="Q256" s="627"/>
      <c r="R256" s="516"/>
      <c r="S256" s="628"/>
      <c r="T256" s="517"/>
      <c r="U256" s="628"/>
      <c r="V256" s="590"/>
      <c r="W256" s="603"/>
      <c r="X256" s="425"/>
    </row>
    <row r="257" spans="1:24" s="426" customFormat="1" x14ac:dyDescent="0.3">
      <c r="A257" s="443"/>
      <c r="B257" s="444" t="s">
        <v>117</v>
      </c>
      <c r="C257" s="444"/>
      <c r="D257" s="444"/>
      <c r="E257" s="444"/>
      <c r="F257" s="444"/>
      <c r="G257" s="444"/>
      <c r="H257" s="629"/>
      <c r="I257" s="629"/>
      <c r="J257" s="629"/>
      <c r="K257" s="629"/>
      <c r="L257" s="629"/>
      <c r="M257" s="629"/>
      <c r="N257" s="629"/>
      <c r="O257" s="629"/>
      <c r="P257" s="629"/>
      <c r="Q257" s="629"/>
      <c r="R257" s="516">
        <f>SUM(R248:R256)</f>
        <v>5656</v>
      </c>
      <c r="S257" s="628">
        <f>SUM(S248:S256)</f>
        <v>1</v>
      </c>
      <c r="T257" s="517">
        <f>SUM(T248:T256)</f>
        <v>717925</v>
      </c>
      <c r="U257" s="628">
        <f>SUM(U248:U256)</f>
        <v>1</v>
      </c>
      <c r="V257" s="444"/>
      <c r="W257" s="446"/>
      <c r="X257" s="425"/>
    </row>
    <row r="258" spans="1:24" x14ac:dyDescent="0.3">
      <c r="A258" s="408"/>
      <c r="B258" s="518"/>
      <c r="C258" s="518"/>
      <c r="D258" s="518"/>
      <c r="E258" s="518"/>
      <c r="F258" s="518"/>
      <c r="G258" s="518"/>
      <c r="H258" s="632"/>
      <c r="I258" s="632"/>
      <c r="J258" s="632"/>
      <c r="K258" s="632"/>
      <c r="L258" s="632"/>
      <c r="M258" s="632"/>
      <c r="N258" s="632"/>
      <c r="O258" s="632"/>
      <c r="P258" s="632"/>
      <c r="Q258" s="632"/>
      <c r="R258" s="519"/>
      <c r="S258" s="633"/>
      <c r="T258" s="634"/>
      <c r="U258" s="633"/>
      <c r="V258" s="518"/>
      <c r="W258" s="411"/>
      <c r="X258" s="406"/>
    </row>
    <row r="259" spans="1:24" x14ac:dyDescent="0.3">
      <c r="A259" s="533"/>
      <c r="B259" s="534" t="s">
        <v>279</v>
      </c>
      <c r="C259" s="535"/>
      <c r="D259" s="535"/>
      <c r="E259" s="535"/>
      <c r="F259" s="621"/>
      <c r="G259" s="535"/>
      <c r="H259" s="535"/>
      <c r="I259" s="535"/>
      <c r="J259" s="535"/>
      <c r="K259" s="535"/>
      <c r="L259" s="535"/>
      <c r="M259" s="535"/>
      <c r="N259" s="535"/>
      <c r="O259" s="535"/>
      <c r="P259" s="535"/>
      <c r="Q259" s="535"/>
      <c r="R259" s="621" t="s">
        <v>103</v>
      </c>
      <c r="S259" s="535" t="s">
        <v>104</v>
      </c>
      <c r="T259" s="621" t="s">
        <v>111</v>
      </c>
      <c r="U259" s="535" t="s">
        <v>104</v>
      </c>
      <c r="V259" s="622"/>
      <c r="W259" s="538"/>
      <c r="X259" s="406"/>
    </row>
    <row r="260" spans="1:24" s="426" customFormat="1" x14ac:dyDescent="0.3">
      <c r="A260" s="421"/>
      <c r="B260" s="552" t="s">
        <v>89</v>
      </c>
      <c r="C260" s="624"/>
      <c r="D260" s="624"/>
      <c r="E260" s="624"/>
      <c r="F260" s="494"/>
      <c r="G260" s="624"/>
      <c r="H260" s="624"/>
      <c r="I260" s="624"/>
      <c r="J260" s="624"/>
      <c r="K260" s="624"/>
      <c r="L260" s="624"/>
      <c r="M260" s="624"/>
      <c r="N260" s="624"/>
      <c r="O260" s="624"/>
      <c r="P260" s="624"/>
      <c r="Q260" s="624"/>
      <c r="R260" s="552">
        <v>77</v>
      </c>
      <c r="S260" s="630">
        <f>R260/$R$269</f>
        <v>0.85555555555555551</v>
      </c>
      <c r="T260" s="631">
        <v>13956</v>
      </c>
      <c r="U260" s="630">
        <f t="shared" ref="U260:U267" si="7">T260/$T$269</f>
        <v>0.8834029624003038</v>
      </c>
      <c r="V260" s="494"/>
      <c r="W260" s="424"/>
      <c r="X260" s="425"/>
    </row>
    <row r="261" spans="1:24" s="426" customFormat="1" x14ac:dyDescent="0.3">
      <c r="A261" s="443"/>
      <c r="B261" s="516" t="s">
        <v>90</v>
      </c>
      <c r="C261" s="627"/>
      <c r="D261" s="627"/>
      <c r="E261" s="627"/>
      <c r="F261" s="444"/>
      <c r="G261" s="628"/>
      <c r="H261" s="627"/>
      <c r="I261" s="627"/>
      <c r="J261" s="627"/>
      <c r="K261" s="627"/>
      <c r="L261" s="627"/>
      <c r="M261" s="627"/>
      <c r="N261" s="627"/>
      <c r="O261" s="627"/>
      <c r="P261" s="627"/>
      <c r="Q261" s="627"/>
      <c r="R261" s="516">
        <v>0</v>
      </c>
      <c r="S261" s="628">
        <f t="shared" ref="S261:S265" si="8">R261/$R$269</f>
        <v>0</v>
      </c>
      <c r="T261" s="517">
        <v>0</v>
      </c>
      <c r="U261" s="628">
        <f t="shared" si="7"/>
        <v>0</v>
      </c>
      <c r="V261" s="444"/>
      <c r="W261" s="446"/>
      <c r="X261" s="425"/>
    </row>
    <row r="262" spans="1:24" s="426" customFormat="1" x14ac:dyDescent="0.3">
      <c r="A262" s="443"/>
      <c r="B262" s="516" t="s">
        <v>91</v>
      </c>
      <c r="C262" s="627"/>
      <c r="D262" s="627"/>
      <c r="E262" s="627"/>
      <c r="F262" s="444"/>
      <c r="G262" s="628"/>
      <c r="H262" s="627"/>
      <c r="I262" s="627"/>
      <c r="J262" s="627"/>
      <c r="K262" s="627"/>
      <c r="L262" s="627"/>
      <c r="M262" s="627"/>
      <c r="N262" s="627"/>
      <c r="O262" s="627"/>
      <c r="P262" s="627"/>
      <c r="Q262" s="627"/>
      <c r="R262" s="516">
        <v>0</v>
      </c>
      <c r="S262" s="628">
        <f t="shared" si="8"/>
        <v>0</v>
      </c>
      <c r="T262" s="517">
        <v>0</v>
      </c>
      <c r="U262" s="628">
        <f t="shared" si="7"/>
        <v>0</v>
      </c>
      <c r="V262" s="444"/>
      <c r="W262" s="446"/>
      <c r="X262" s="425"/>
    </row>
    <row r="263" spans="1:24" s="426" customFormat="1" x14ac:dyDescent="0.3">
      <c r="A263" s="443"/>
      <c r="B263" s="516" t="s">
        <v>159</v>
      </c>
      <c r="C263" s="627"/>
      <c r="D263" s="627"/>
      <c r="E263" s="627"/>
      <c r="F263" s="444"/>
      <c r="G263" s="628"/>
      <c r="H263" s="627"/>
      <c r="I263" s="627"/>
      <c r="J263" s="627"/>
      <c r="K263" s="627"/>
      <c r="L263" s="627"/>
      <c r="M263" s="627"/>
      <c r="N263" s="627"/>
      <c r="O263" s="627"/>
      <c r="P263" s="627"/>
      <c r="Q263" s="627"/>
      <c r="R263" s="516">
        <v>1</v>
      </c>
      <c r="S263" s="628">
        <f t="shared" si="8"/>
        <v>1.1111111111111112E-2</v>
      </c>
      <c r="T263" s="517">
        <v>172</v>
      </c>
      <c r="U263" s="628">
        <f t="shared" si="7"/>
        <v>1.0887454108114951E-2</v>
      </c>
      <c r="V263" s="444"/>
      <c r="W263" s="446"/>
      <c r="X263" s="425"/>
    </row>
    <row r="264" spans="1:24" s="426" customFormat="1" x14ac:dyDescent="0.3">
      <c r="A264" s="443"/>
      <c r="B264" s="516" t="s">
        <v>160</v>
      </c>
      <c r="C264" s="627"/>
      <c r="D264" s="627"/>
      <c r="E264" s="627"/>
      <c r="F264" s="444"/>
      <c r="G264" s="628"/>
      <c r="H264" s="627"/>
      <c r="I264" s="627"/>
      <c r="J264" s="627"/>
      <c r="K264" s="627"/>
      <c r="L264" s="627"/>
      <c r="M264" s="627"/>
      <c r="N264" s="627"/>
      <c r="O264" s="627"/>
      <c r="P264" s="627"/>
      <c r="Q264" s="627"/>
      <c r="R264" s="516">
        <v>1</v>
      </c>
      <c r="S264" s="628">
        <f t="shared" si="8"/>
        <v>1.1111111111111112E-2</v>
      </c>
      <c r="T264" s="517">
        <v>126</v>
      </c>
      <c r="U264" s="628">
        <f t="shared" si="7"/>
        <v>7.975693125712115E-3</v>
      </c>
      <c r="V264" s="444"/>
      <c r="W264" s="446"/>
      <c r="X264" s="425"/>
    </row>
    <row r="265" spans="1:24" s="426" customFormat="1" x14ac:dyDescent="0.3">
      <c r="A265" s="443"/>
      <c r="B265" s="516" t="s">
        <v>161</v>
      </c>
      <c r="C265" s="627"/>
      <c r="D265" s="627"/>
      <c r="E265" s="627"/>
      <c r="F265" s="444"/>
      <c r="G265" s="628"/>
      <c r="H265" s="627"/>
      <c r="I265" s="627"/>
      <c r="J265" s="627"/>
      <c r="K265" s="627"/>
      <c r="L265" s="627"/>
      <c r="M265" s="627"/>
      <c r="N265" s="627"/>
      <c r="O265" s="627"/>
      <c r="P265" s="627"/>
      <c r="Q265" s="627"/>
      <c r="R265" s="516">
        <v>0</v>
      </c>
      <c r="S265" s="628">
        <f t="shared" si="8"/>
        <v>0</v>
      </c>
      <c r="T265" s="517">
        <v>0</v>
      </c>
      <c r="U265" s="628">
        <f t="shared" si="7"/>
        <v>0</v>
      </c>
      <c r="V265" s="444"/>
      <c r="W265" s="446"/>
      <c r="X265" s="425"/>
    </row>
    <row r="266" spans="1:24" s="426" customFormat="1" x14ac:dyDescent="0.3">
      <c r="A266" s="443"/>
      <c r="B266" s="516" t="s">
        <v>162</v>
      </c>
      <c r="C266" s="627"/>
      <c r="D266" s="627"/>
      <c r="E266" s="627"/>
      <c r="F266" s="444"/>
      <c r="G266" s="628"/>
      <c r="H266" s="627"/>
      <c r="I266" s="627"/>
      <c r="J266" s="627"/>
      <c r="K266" s="627"/>
      <c r="L266" s="627"/>
      <c r="M266" s="627"/>
      <c r="N266" s="627"/>
      <c r="O266" s="627"/>
      <c r="P266" s="627"/>
      <c r="Q266" s="627"/>
      <c r="R266" s="516">
        <v>1</v>
      </c>
      <c r="S266" s="628">
        <f>R266/$R$269</f>
        <v>1.1111111111111112E-2</v>
      </c>
      <c r="T266" s="517">
        <v>110</v>
      </c>
      <c r="U266" s="628">
        <f t="shared" si="7"/>
        <v>6.9629066970502591E-3</v>
      </c>
      <c r="V266" s="444"/>
      <c r="W266" s="446"/>
      <c r="X266" s="425"/>
    </row>
    <row r="267" spans="1:24" s="426" customFormat="1" x14ac:dyDescent="0.3">
      <c r="A267" s="443"/>
      <c r="B267" s="516" t="s">
        <v>163</v>
      </c>
      <c r="C267" s="627"/>
      <c r="D267" s="627"/>
      <c r="E267" s="627"/>
      <c r="F267" s="444"/>
      <c r="G267" s="628"/>
      <c r="H267" s="627"/>
      <c r="I267" s="627"/>
      <c r="J267" s="627"/>
      <c r="K267" s="627"/>
      <c r="L267" s="627"/>
      <c r="M267" s="627"/>
      <c r="N267" s="627"/>
      <c r="O267" s="627"/>
      <c r="P267" s="627"/>
      <c r="Q267" s="627"/>
      <c r="R267" s="516">
        <v>10</v>
      </c>
      <c r="S267" s="628">
        <f>R267/$R$269</f>
        <v>0.1111111111111111</v>
      </c>
      <c r="T267" s="517">
        <v>1434</v>
      </c>
      <c r="U267" s="628">
        <f t="shared" si="7"/>
        <v>9.0770983668818833E-2</v>
      </c>
      <c r="V267" s="444"/>
      <c r="W267" s="446"/>
      <c r="X267" s="425"/>
    </row>
    <row r="268" spans="1:24" s="426" customFormat="1" x14ac:dyDescent="0.3">
      <c r="A268" s="443"/>
      <c r="B268" s="516"/>
      <c r="C268" s="627"/>
      <c r="D268" s="627"/>
      <c r="E268" s="627"/>
      <c r="F268" s="444"/>
      <c r="G268" s="628"/>
      <c r="H268" s="627"/>
      <c r="I268" s="627"/>
      <c r="J268" s="627"/>
      <c r="K268" s="627"/>
      <c r="L268" s="627"/>
      <c r="M268" s="627"/>
      <c r="N268" s="627"/>
      <c r="O268" s="627"/>
      <c r="P268" s="627"/>
      <c r="Q268" s="627"/>
      <c r="R268" s="516"/>
      <c r="S268" s="628"/>
      <c r="T268" s="517"/>
      <c r="U268" s="628"/>
      <c r="V268" s="444"/>
      <c r="W268" s="446"/>
      <c r="X268" s="425"/>
    </row>
    <row r="269" spans="1:24" s="426" customFormat="1" x14ac:dyDescent="0.3">
      <c r="A269" s="443"/>
      <c r="B269" s="444" t="s">
        <v>117</v>
      </c>
      <c r="C269" s="444"/>
      <c r="D269" s="444"/>
      <c r="E269" s="444"/>
      <c r="F269" s="444"/>
      <c r="G269" s="444"/>
      <c r="H269" s="629"/>
      <c r="I269" s="629"/>
      <c r="J269" s="629"/>
      <c r="K269" s="629"/>
      <c r="L269" s="629"/>
      <c r="M269" s="629"/>
      <c r="N269" s="629"/>
      <c r="O269" s="629"/>
      <c r="P269" s="629"/>
      <c r="Q269" s="629"/>
      <c r="R269" s="516">
        <f>SUM(R260:R268)</f>
        <v>90</v>
      </c>
      <c r="S269" s="628">
        <f>SUM(S260:S268)</f>
        <v>0.99999999999999978</v>
      </c>
      <c r="T269" s="517">
        <f>SUM(T260:T268)</f>
        <v>15798</v>
      </c>
      <c r="U269" s="628">
        <f>SUM(U260:U268)</f>
        <v>1</v>
      </c>
      <c r="V269" s="444"/>
      <c r="W269" s="446"/>
      <c r="X269" s="425"/>
    </row>
    <row r="270" spans="1:24" x14ac:dyDescent="0.3">
      <c r="A270" s="408"/>
      <c r="B270" s="518"/>
      <c r="C270" s="518"/>
      <c r="D270" s="518"/>
      <c r="E270" s="518"/>
      <c r="F270" s="518"/>
      <c r="G270" s="518"/>
      <c r="H270" s="632"/>
      <c r="I270" s="632"/>
      <c r="J270" s="632"/>
      <c r="K270" s="632"/>
      <c r="L270" s="632"/>
      <c r="M270" s="632"/>
      <c r="N270" s="632"/>
      <c r="O270" s="632"/>
      <c r="P270" s="632"/>
      <c r="Q270" s="632"/>
      <c r="R270" s="519"/>
      <c r="S270" s="633"/>
      <c r="T270" s="634"/>
      <c r="U270" s="633"/>
      <c r="V270" s="518"/>
      <c r="W270" s="411"/>
      <c r="X270" s="406"/>
    </row>
    <row r="271" spans="1:24" x14ac:dyDescent="0.3">
      <c r="A271" s="533"/>
      <c r="B271" s="534" t="s">
        <v>166</v>
      </c>
      <c r="C271" s="622"/>
      <c r="D271" s="622"/>
      <c r="E271" s="622"/>
      <c r="F271" s="622"/>
      <c r="G271" s="622"/>
      <c r="H271" s="635"/>
      <c r="I271" s="635"/>
      <c r="J271" s="635"/>
      <c r="K271" s="635"/>
      <c r="L271" s="635"/>
      <c r="M271" s="635"/>
      <c r="N271" s="635"/>
      <c r="O271" s="635"/>
      <c r="P271" s="635"/>
      <c r="Q271" s="635"/>
      <c r="R271" s="621" t="s">
        <v>103</v>
      </c>
      <c r="S271" s="535" t="s">
        <v>104</v>
      </c>
      <c r="T271" s="621" t="s">
        <v>111</v>
      </c>
      <c r="U271" s="535" t="s">
        <v>104</v>
      </c>
      <c r="V271" s="622"/>
      <c r="W271" s="538"/>
      <c r="X271" s="406"/>
    </row>
    <row r="272" spans="1:24" s="426" customFormat="1" x14ac:dyDescent="0.3">
      <c r="A272" s="421"/>
      <c r="B272" s="552" t="s">
        <v>89</v>
      </c>
      <c r="C272" s="494"/>
      <c r="D272" s="494"/>
      <c r="E272" s="494"/>
      <c r="F272" s="494"/>
      <c r="G272" s="494"/>
      <c r="H272" s="636"/>
      <c r="I272" s="636"/>
      <c r="J272" s="636"/>
      <c r="K272" s="636"/>
      <c r="L272" s="636"/>
      <c r="M272" s="636"/>
      <c r="N272" s="636"/>
      <c r="O272" s="636"/>
      <c r="P272" s="636"/>
      <c r="Q272" s="636"/>
      <c r="R272" s="552">
        <v>0</v>
      </c>
      <c r="S272" s="630">
        <v>0</v>
      </c>
      <c r="T272" s="631">
        <v>0</v>
      </c>
      <c r="U272" s="630">
        <v>0</v>
      </c>
      <c r="V272" s="494"/>
      <c r="W272" s="424"/>
      <c r="X272" s="425"/>
    </row>
    <row r="273" spans="1:24" s="426" customFormat="1" x14ac:dyDescent="0.3">
      <c r="A273" s="443"/>
      <c r="B273" s="516" t="s">
        <v>90</v>
      </c>
      <c r="C273" s="444"/>
      <c r="D273" s="444"/>
      <c r="E273" s="444"/>
      <c r="F273" s="444"/>
      <c r="G273" s="444"/>
      <c r="H273" s="629"/>
      <c r="I273" s="629"/>
      <c r="J273" s="629"/>
      <c r="K273" s="629"/>
      <c r="L273" s="629"/>
      <c r="M273" s="629"/>
      <c r="N273" s="629"/>
      <c r="O273" s="629"/>
      <c r="P273" s="629"/>
      <c r="Q273" s="629"/>
      <c r="R273" s="516">
        <v>0</v>
      </c>
      <c r="S273" s="628">
        <v>0</v>
      </c>
      <c r="T273" s="517">
        <v>0</v>
      </c>
      <c r="U273" s="628">
        <v>0</v>
      </c>
      <c r="V273" s="444"/>
      <c r="W273" s="446"/>
      <c r="X273" s="425"/>
    </row>
    <row r="274" spans="1:24" s="426" customFormat="1" x14ac:dyDescent="0.3">
      <c r="A274" s="443"/>
      <c r="B274" s="516" t="s">
        <v>91</v>
      </c>
      <c r="C274" s="444"/>
      <c r="D274" s="444"/>
      <c r="E274" s="444"/>
      <c r="F274" s="444"/>
      <c r="G274" s="444"/>
      <c r="H274" s="629"/>
      <c r="I274" s="629"/>
      <c r="J274" s="629"/>
      <c r="K274" s="629"/>
      <c r="L274" s="629"/>
      <c r="M274" s="629"/>
      <c r="N274" s="629"/>
      <c r="O274" s="629"/>
      <c r="P274" s="629"/>
      <c r="Q274" s="629"/>
      <c r="R274" s="516">
        <v>0</v>
      </c>
      <c r="S274" s="628">
        <v>0</v>
      </c>
      <c r="T274" s="517">
        <v>0</v>
      </c>
      <c r="U274" s="628">
        <v>0</v>
      </c>
      <c r="V274" s="444"/>
      <c r="W274" s="446"/>
      <c r="X274" s="425"/>
    </row>
    <row r="275" spans="1:24" s="426" customFormat="1" x14ac:dyDescent="0.3">
      <c r="A275" s="443"/>
      <c r="B275" s="516" t="s">
        <v>159</v>
      </c>
      <c r="C275" s="444"/>
      <c r="D275" s="444"/>
      <c r="E275" s="444"/>
      <c r="F275" s="444"/>
      <c r="G275" s="444"/>
      <c r="H275" s="629"/>
      <c r="I275" s="629"/>
      <c r="J275" s="629"/>
      <c r="K275" s="629"/>
      <c r="L275" s="629"/>
      <c r="M275" s="629"/>
      <c r="N275" s="629"/>
      <c r="O275" s="629"/>
      <c r="P275" s="629"/>
      <c r="Q275" s="629"/>
      <c r="R275" s="516">
        <v>0</v>
      </c>
      <c r="S275" s="628">
        <v>0</v>
      </c>
      <c r="T275" s="517">
        <v>0</v>
      </c>
      <c r="U275" s="628">
        <v>0</v>
      </c>
      <c r="V275" s="444"/>
      <c r="W275" s="446"/>
      <c r="X275" s="425"/>
    </row>
    <row r="276" spans="1:24" s="426" customFormat="1" x14ac:dyDescent="0.3">
      <c r="A276" s="443"/>
      <c r="B276" s="516" t="s">
        <v>160</v>
      </c>
      <c r="C276" s="444"/>
      <c r="D276" s="444"/>
      <c r="E276" s="444"/>
      <c r="F276" s="444"/>
      <c r="G276" s="444"/>
      <c r="H276" s="629"/>
      <c r="I276" s="629"/>
      <c r="J276" s="629"/>
      <c r="K276" s="629"/>
      <c r="L276" s="629"/>
      <c r="M276" s="629"/>
      <c r="N276" s="629"/>
      <c r="O276" s="629"/>
      <c r="P276" s="629"/>
      <c r="Q276" s="629"/>
      <c r="R276" s="516">
        <v>0</v>
      </c>
      <c r="S276" s="628">
        <v>0</v>
      </c>
      <c r="T276" s="517">
        <v>0</v>
      </c>
      <c r="U276" s="628">
        <v>0</v>
      </c>
      <c r="V276" s="444"/>
      <c r="W276" s="446"/>
      <c r="X276" s="425"/>
    </row>
    <row r="277" spans="1:24" s="426" customFormat="1" x14ac:dyDescent="0.3">
      <c r="A277" s="443"/>
      <c r="B277" s="516" t="s">
        <v>161</v>
      </c>
      <c r="C277" s="444"/>
      <c r="D277" s="444"/>
      <c r="E277" s="444"/>
      <c r="F277" s="444"/>
      <c r="G277" s="444"/>
      <c r="H277" s="629"/>
      <c r="I277" s="629"/>
      <c r="J277" s="629"/>
      <c r="K277" s="629"/>
      <c r="L277" s="629"/>
      <c r="M277" s="629"/>
      <c r="N277" s="629"/>
      <c r="O277" s="629"/>
      <c r="P277" s="629"/>
      <c r="Q277" s="629"/>
      <c r="R277" s="516">
        <v>0</v>
      </c>
      <c r="S277" s="628">
        <v>0</v>
      </c>
      <c r="T277" s="517">
        <v>0</v>
      </c>
      <c r="U277" s="628">
        <v>0</v>
      </c>
      <c r="V277" s="444"/>
      <c r="W277" s="446"/>
      <c r="X277" s="425"/>
    </row>
    <row r="278" spans="1:24" s="426" customFormat="1" x14ac:dyDescent="0.3">
      <c r="A278" s="443"/>
      <c r="B278" s="516" t="s">
        <v>162</v>
      </c>
      <c r="C278" s="444"/>
      <c r="D278" s="444"/>
      <c r="E278" s="444"/>
      <c r="F278" s="444"/>
      <c r="G278" s="444"/>
      <c r="H278" s="629"/>
      <c r="I278" s="629"/>
      <c r="J278" s="629"/>
      <c r="K278" s="629"/>
      <c r="L278" s="629"/>
      <c r="M278" s="629"/>
      <c r="N278" s="629"/>
      <c r="O278" s="629"/>
      <c r="P278" s="629"/>
      <c r="Q278" s="629"/>
      <c r="R278" s="516">
        <v>0</v>
      </c>
      <c r="S278" s="628">
        <v>0</v>
      </c>
      <c r="T278" s="517">
        <v>0</v>
      </c>
      <c r="U278" s="628">
        <v>0</v>
      </c>
      <c r="V278" s="444"/>
      <c r="W278" s="446"/>
      <c r="X278" s="425"/>
    </row>
    <row r="279" spans="1:24" s="426" customFormat="1" x14ac:dyDescent="0.3">
      <c r="A279" s="443"/>
      <c r="B279" s="516" t="s">
        <v>163</v>
      </c>
      <c r="C279" s="444"/>
      <c r="D279" s="444"/>
      <c r="E279" s="444"/>
      <c r="F279" s="444"/>
      <c r="G279" s="444"/>
      <c r="H279" s="629"/>
      <c r="I279" s="629"/>
      <c r="J279" s="629"/>
      <c r="K279" s="629"/>
      <c r="L279" s="629"/>
      <c r="M279" s="629"/>
      <c r="N279" s="629"/>
      <c r="O279" s="629"/>
      <c r="P279" s="629"/>
      <c r="Q279" s="629"/>
      <c r="R279" s="516">
        <v>0</v>
      </c>
      <c r="S279" s="628">
        <v>0</v>
      </c>
      <c r="T279" s="517">
        <v>0</v>
      </c>
      <c r="U279" s="628">
        <v>0</v>
      </c>
      <c r="V279" s="444"/>
      <c r="W279" s="446"/>
      <c r="X279" s="425"/>
    </row>
    <row r="280" spans="1:24" s="426" customFormat="1" x14ac:dyDescent="0.3">
      <c r="A280" s="443"/>
      <c r="B280" s="516"/>
      <c r="C280" s="444"/>
      <c r="D280" s="444"/>
      <c r="E280" s="444"/>
      <c r="F280" s="444"/>
      <c r="G280" s="444"/>
      <c r="H280" s="629"/>
      <c r="I280" s="629"/>
      <c r="J280" s="629"/>
      <c r="K280" s="629"/>
      <c r="L280" s="629"/>
      <c r="M280" s="629"/>
      <c r="N280" s="629"/>
      <c r="O280" s="629"/>
      <c r="P280" s="629"/>
      <c r="Q280" s="629"/>
      <c r="R280" s="516"/>
      <c r="S280" s="628"/>
      <c r="T280" s="517"/>
      <c r="U280" s="628"/>
      <c r="V280" s="444"/>
      <c r="W280" s="446"/>
      <c r="X280" s="425"/>
    </row>
    <row r="281" spans="1:24" s="426" customFormat="1" x14ac:dyDescent="0.3">
      <c r="A281" s="443"/>
      <c r="B281" s="444" t="s">
        <v>117</v>
      </c>
      <c r="C281" s="444"/>
      <c r="D281" s="444"/>
      <c r="E281" s="444"/>
      <c r="F281" s="444"/>
      <c r="G281" s="444"/>
      <c r="H281" s="629"/>
      <c r="I281" s="629"/>
      <c r="J281" s="629"/>
      <c r="K281" s="629"/>
      <c r="L281" s="629"/>
      <c r="M281" s="629"/>
      <c r="N281" s="629"/>
      <c r="O281" s="629"/>
      <c r="P281" s="629"/>
      <c r="Q281" s="629"/>
      <c r="R281" s="516">
        <f>SUM(R272:R279)</f>
        <v>0</v>
      </c>
      <c r="S281" s="628">
        <f>SUM(S272:S279)</f>
        <v>0</v>
      </c>
      <c r="T281" s="517">
        <f>SUM(T272:T279)</f>
        <v>0</v>
      </c>
      <c r="U281" s="628">
        <f>SUM(U272:U279)</f>
        <v>0</v>
      </c>
      <c r="V281" s="444"/>
      <c r="W281" s="446"/>
      <c r="X281" s="425"/>
    </row>
    <row r="282" spans="1:24" s="426" customFormat="1" x14ac:dyDescent="0.3">
      <c r="A282" s="443"/>
      <c r="B282" s="444"/>
      <c r="C282" s="444"/>
      <c r="D282" s="444"/>
      <c r="E282" s="444"/>
      <c r="F282" s="444"/>
      <c r="G282" s="444"/>
      <c r="H282" s="629"/>
      <c r="I282" s="629"/>
      <c r="J282" s="629"/>
      <c r="K282" s="629"/>
      <c r="L282" s="629"/>
      <c r="M282" s="629"/>
      <c r="N282" s="629"/>
      <c r="O282" s="629"/>
      <c r="P282" s="629"/>
      <c r="Q282" s="629"/>
      <c r="R282" s="516"/>
      <c r="S282" s="628"/>
      <c r="T282" s="517"/>
      <c r="U282" s="628"/>
      <c r="V282" s="444"/>
      <c r="W282" s="446"/>
      <c r="X282" s="425"/>
    </row>
    <row r="283" spans="1:24" s="426" customFormat="1" x14ac:dyDescent="0.3">
      <c r="A283" s="443"/>
      <c r="B283" s="449" t="s">
        <v>167</v>
      </c>
      <c r="C283" s="444"/>
      <c r="D283" s="444"/>
      <c r="E283" s="444"/>
      <c r="F283" s="444"/>
      <c r="G283" s="444"/>
      <c r="H283" s="629"/>
      <c r="I283" s="629"/>
      <c r="J283" s="629"/>
      <c r="K283" s="629"/>
      <c r="L283" s="629"/>
      <c r="M283" s="629"/>
      <c r="N283" s="629"/>
      <c r="O283" s="629"/>
      <c r="P283" s="629"/>
      <c r="Q283" s="629"/>
      <c r="R283" s="637">
        <f>R281+R269+R257</f>
        <v>5746</v>
      </c>
      <c r="S283" s="628"/>
      <c r="T283" s="638">
        <f>+T281+T269+T257</f>
        <v>733723</v>
      </c>
      <c r="U283" s="628"/>
      <c r="V283" s="444"/>
      <c r="W283" s="446"/>
      <c r="X283" s="425"/>
    </row>
    <row r="284" spans="1:24" s="426" customFormat="1" x14ac:dyDescent="0.3">
      <c r="A284" s="421"/>
      <c r="B284" s="494"/>
      <c r="C284" s="494"/>
      <c r="D284" s="494"/>
      <c r="E284" s="494"/>
      <c r="F284" s="494"/>
      <c r="G284" s="494"/>
      <c r="H284" s="636"/>
      <c r="I284" s="636"/>
      <c r="J284" s="636"/>
      <c r="K284" s="636"/>
      <c r="L284" s="636"/>
      <c r="M284" s="636"/>
      <c r="N284" s="636"/>
      <c r="O284" s="636"/>
      <c r="P284" s="636"/>
      <c r="Q284" s="636"/>
      <c r="R284" s="636"/>
      <c r="S284" s="636"/>
      <c r="T284" s="631"/>
      <c r="U284" s="636"/>
      <c r="V284" s="494"/>
      <c r="W284" s="424"/>
      <c r="X284" s="425"/>
    </row>
    <row r="285" spans="1:24" s="426" customFormat="1" x14ac:dyDescent="0.3">
      <c r="A285" s="421"/>
      <c r="B285" s="422"/>
      <c r="C285" s="422"/>
      <c r="D285" s="422"/>
      <c r="E285" s="422"/>
      <c r="F285" s="422"/>
      <c r="G285" s="422"/>
      <c r="H285" s="639"/>
      <c r="I285" s="639"/>
      <c r="J285" s="639"/>
      <c r="K285" s="639"/>
      <c r="L285" s="639"/>
      <c r="M285" s="639"/>
      <c r="N285" s="639"/>
      <c r="O285" s="639"/>
      <c r="P285" s="639"/>
      <c r="Q285" s="639"/>
      <c r="R285" s="639"/>
      <c r="S285" s="639"/>
      <c r="T285" s="640"/>
      <c r="U285" s="639"/>
      <c r="V285" s="422"/>
      <c r="W285" s="424"/>
      <c r="X285" s="425"/>
    </row>
    <row r="286" spans="1:24" s="426" customFormat="1" x14ac:dyDescent="0.3">
      <c r="A286" s="421"/>
      <c r="B286" s="420" t="s">
        <v>92</v>
      </c>
      <c r="C286" s="422"/>
      <c r="D286" s="422"/>
      <c r="E286" s="422"/>
      <c r="F286" s="429" t="s">
        <v>98</v>
      </c>
      <c r="G286" s="422"/>
      <c r="H286" s="420" t="s">
        <v>100</v>
      </c>
      <c r="I286" s="420"/>
      <c r="J286" s="420"/>
      <c r="K286" s="422"/>
      <c r="L286" s="422"/>
      <c r="M286" s="422"/>
      <c r="N286" s="422"/>
      <c r="O286" s="422"/>
      <c r="P286" s="422"/>
      <c r="Q286" s="422"/>
      <c r="R286" s="422"/>
      <c r="S286" s="422"/>
      <c r="T286" s="422"/>
      <c r="U286" s="422"/>
      <c r="V286" s="422"/>
      <c r="W286" s="424"/>
      <c r="X286" s="425"/>
    </row>
    <row r="287" spans="1:24" s="426" customFormat="1" x14ac:dyDescent="0.3">
      <c r="A287" s="421"/>
      <c r="B287" s="420" t="s">
        <v>336</v>
      </c>
      <c r="C287" s="420"/>
      <c r="D287" s="420"/>
      <c r="E287" s="420"/>
      <c r="F287" s="641" t="s">
        <v>282</v>
      </c>
      <c r="G287" s="420"/>
      <c r="H287" s="420" t="s">
        <v>371</v>
      </c>
      <c r="I287" s="422"/>
      <c r="J287" s="420"/>
      <c r="K287" s="422"/>
      <c r="L287" s="422"/>
      <c r="M287" s="422"/>
      <c r="N287" s="422"/>
      <c r="O287" s="422"/>
      <c r="P287" s="422"/>
      <c r="Q287" s="422"/>
      <c r="R287" s="422"/>
      <c r="S287" s="422"/>
      <c r="T287" s="422"/>
      <c r="U287" s="422"/>
      <c r="V287" s="422"/>
      <c r="W287" s="424"/>
      <c r="X287" s="425"/>
    </row>
    <row r="288" spans="1:24" s="426" customFormat="1" x14ac:dyDescent="0.3">
      <c r="A288" s="421"/>
      <c r="B288" s="420" t="s">
        <v>337</v>
      </c>
      <c r="C288" s="420"/>
      <c r="D288" s="420"/>
      <c r="E288" s="420"/>
      <c r="F288" s="641" t="s">
        <v>150</v>
      </c>
      <c r="G288" s="420"/>
      <c r="H288" s="420" t="s">
        <v>372</v>
      </c>
      <c r="I288" s="420"/>
      <c r="J288" s="420"/>
      <c r="K288" s="422"/>
      <c r="L288" s="422"/>
      <c r="M288" s="422"/>
      <c r="N288" s="422"/>
      <c r="O288" s="422"/>
      <c r="P288" s="422"/>
      <c r="Q288" s="422"/>
      <c r="R288" s="422"/>
      <c r="S288" s="422"/>
      <c r="T288" s="422"/>
      <c r="U288" s="422"/>
      <c r="V288" s="422"/>
      <c r="W288" s="424"/>
      <c r="X288" s="425"/>
    </row>
    <row r="289" spans="1:24" s="426" customFormat="1" x14ac:dyDescent="0.3">
      <c r="A289" s="421"/>
      <c r="B289" s="420"/>
      <c r="C289" s="420"/>
      <c r="D289" s="420"/>
      <c r="E289" s="420"/>
      <c r="F289" s="641"/>
      <c r="G289" s="420"/>
      <c r="H289" s="420"/>
      <c r="I289" s="420"/>
      <c r="J289" s="420"/>
      <c r="K289" s="422"/>
      <c r="L289" s="422"/>
      <c r="M289" s="422"/>
      <c r="N289" s="422"/>
      <c r="O289" s="422"/>
      <c r="P289" s="422"/>
      <c r="Q289" s="422"/>
      <c r="R289" s="422"/>
      <c r="S289" s="422"/>
      <c r="T289" s="422"/>
      <c r="U289" s="422"/>
      <c r="V289" s="422"/>
      <c r="W289" s="424"/>
      <c r="X289" s="425"/>
    </row>
    <row r="290" spans="1:24" s="426" customFormat="1" x14ac:dyDescent="0.3">
      <c r="A290" s="421"/>
      <c r="B290" s="494" t="s">
        <v>367</v>
      </c>
      <c r="C290" s="420"/>
      <c r="D290" s="420"/>
      <c r="E290" s="420"/>
      <c r="F290" s="641"/>
      <c r="G290" s="420"/>
      <c r="H290" s="420"/>
      <c r="I290" s="420"/>
      <c r="J290" s="420"/>
      <c r="K290" s="422"/>
      <c r="L290" s="422"/>
      <c r="M290" s="422"/>
      <c r="N290" s="422"/>
      <c r="O290" s="422"/>
      <c r="P290" s="422"/>
      <c r="Q290" s="422"/>
      <c r="R290" s="422"/>
      <c r="S290" s="422"/>
      <c r="T290" s="422"/>
      <c r="U290" s="422"/>
      <c r="V290" s="422"/>
      <c r="W290" s="424"/>
      <c r="X290" s="425"/>
    </row>
    <row r="291" spans="1:24" s="426" customFormat="1" x14ac:dyDescent="0.3">
      <c r="A291" s="421"/>
      <c r="B291" s="494" t="s">
        <v>373</v>
      </c>
      <c r="C291" s="420"/>
      <c r="D291" s="420"/>
      <c r="E291" s="420"/>
      <c r="F291" s="641"/>
      <c r="G291" s="420"/>
      <c r="H291" s="420"/>
      <c r="I291" s="420"/>
      <c r="J291" s="420"/>
      <c r="K291" s="422"/>
      <c r="L291" s="422"/>
      <c r="M291" s="422"/>
      <c r="N291" s="422"/>
      <c r="O291" s="422"/>
      <c r="P291" s="422"/>
      <c r="Q291" s="422"/>
      <c r="R291" s="422"/>
      <c r="S291" s="422"/>
      <c r="T291" s="422"/>
      <c r="U291" s="422"/>
      <c r="V291" s="422"/>
      <c r="W291" s="424"/>
      <c r="X291" s="425"/>
    </row>
    <row r="292" spans="1:24" s="426" customFormat="1" x14ac:dyDescent="0.3">
      <c r="A292" s="421"/>
      <c r="B292" s="494" t="s">
        <v>365</v>
      </c>
      <c r="C292" s="420"/>
      <c r="D292" s="420"/>
      <c r="E292" s="420"/>
      <c r="F292" s="641"/>
      <c r="G292" s="420"/>
      <c r="H292" s="420"/>
      <c r="I292" s="420"/>
      <c r="J292" s="420"/>
      <c r="K292" s="422"/>
      <c r="L292" s="422"/>
      <c r="M292" s="422"/>
      <c r="N292" s="422"/>
      <c r="O292" s="422"/>
      <c r="P292" s="422"/>
      <c r="Q292" s="422"/>
      <c r="R292" s="422"/>
      <c r="S292" s="422"/>
      <c r="T292" s="422"/>
      <c r="U292" s="422"/>
      <c r="V292" s="422"/>
      <c r="W292" s="424"/>
      <c r="X292" s="425"/>
    </row>
    <row r="293" spans="1:24" s="426" customFormat="1" x14ac:dyDescent="0.3">
      <c r="A293" s="421"/>
      <c r="B293" s="494" t="s">
        <v>366</v>
      </c>
      <c r="C293" s="420"/>
      <c r="D293" s="420"/>
      <c r="E293" s="420"/>
      <c r="F293" s="641"/>
      <c r="G293" s="420"/>
      <c r="H293" s="420"/>
      <c r="I293" s="420"/>
      <c r="J293" s="420"/>
      <c r="K293" s="422"/>
      <c r="L293" s="422"/>
      <c r="M293" s="422"/>
      <c r="N293" s="422"/>
      <c r="O293" s="422"/>
      <c r="P293" s="422"/>
      <c r="Q293" s="422"/>
      <c r="R293" s="422"/>
      <c r="S293" s="422"/>
      <c r="T293" s="422"/>
      <c r="U293" s="422"/>
      <c r="V293" s="422"/>
      <c r="W293" s="424"/>
      <c r="X293" s="425"/>
    </row>
    <row r="294" spans="1:24" x14ac:dyDescent="0.3">
      <c r="A294" s="408"/>
      <c r="B294" s="642"/>
      <c r="C294" s="642"/>
      <c r="D294" s="642"/>
      <c r="E294" s="642"/>
      <c r="F294" s="643"/>
      <c r="G294" s="642"/>
      <c r="H294" s="642"/>
      <c r="I294" s="642"/>
      <c r="J294" s="642"/>
      <c r="K294" s="531"/>
      <c r="L294" s="531"/>
      <c r="M294" s="531"/>
      <c r="N294" s="531"/>
      <c r="O294" s="531"/>
      <c r="P294" s="531"/>
      <c r="Q294" s="531"/>
      <c r="R294" s="531"/>
      <c r="S294" s="531"/>
      <c r="T294" s="531"/>
      <c r="U294" s="531"/>
      <c r="V294" s="531"/>
      <c r="W294" s="532"/>
      <c r="X294" s="406"/>
    </row>
    <row r="295" spans="1:24" ht="18" x14ac:dyDescent="0.35">
      <c r="A295" s="408"/>
      <c r="B295" s="644" t="s">
        <v>368</v>
      </c>
      <c r="C295" s="642"/>
      <c r="D295" s="642"/>
      <c r="E295" s="642"/>
      <c r="F295" s="642"/>
      <c r="G295" s="642"/>
      <c r="H295" s="531"/>
      <c r="I295" s="531"/>
      <c r="J295" s="531"/>
      <c r="K295" s="531"/>
      <c r="L295" s="410"/>
      <c r="M295" s="410"/>
      <c r="N295" s="645"/>
      <c r="O295" s="410"/>
      <c r="P295" s="646" t="s">
        <v>370</v>
      </c>
      <c r="Q295" s="531"/>
      <c r="R295" s="531"/>
      <c r="S295" s="531"/>
      <c r="T295" s="531"/>
      <c r="U295" s="531"/>
      <c r="V295" s="531"/>
      <c r="W295" s="532"/>
      <c r="X295" s="406"/>
    </row>
    <row r="296" spans="1:24" x14ac:dyDescent="0.3">
      <c r="A296" s="408"/>
      <c r="B296" s="642"/>
      <c r="C296" s="642"/>
      <c r="D296" s="642"/>
      <c r="E296" s="642"/>
      <c r="F296" s="642"/>
      <c r="G296" s="642"/>
      <c r="H296" s="531"/>
      <c r="I296" s="531"/>
      <c r="J296" s="531"/>
      <c r="K296" s="531"/>
      <c r="L296" s="531"/>
      <c r="M296" s="531"/>
      <c r="N296" s="531"/>
      <c r="O296" s="531"/>
      <c r="P296" s="531"/>
      <c r="Q296" s="531"/>
      <c r="R296" s="531"/>
      <c r="S296" s="531"/>
      <c r="T296" s="531"/>
      <c r="U296" s="531"/>
      <c r="V296" s="531"/>
      <c r="W296" s="532"/>
      <c r="X296" s="406"/>
    </row>
    <row r="297" spans="1:24" ht="18.600000000000001" thickBot="1" x14ac:dyDescent="0.4">
      <c r="A297" s="408"/>
      <c r="B297" s="647" t="str">
        <f>B197</f>
        <v>PM13 INVESTOR REPORT QUARTER ENDING DECEMBER 2018</v>
      </c>
      <c r="C297" s="642"/>
      <c r="D297" s="642"/>
      <c r="E297" s="642"/>
      <c r="F297" s="642"/>
      <c r="G297" s="642"/>
      <c r="H297" s="531"/>
      <c r="I297" s="531"/>
      <c r="J297" s="531"/>
      <c r="K297" s="531"/>
      <c r="L297" s="531"/>
      <c r="M297" s="531"/>
      <c r="N297" s="531"/>
      <c r="O297" s="531"/>
      <c r="P297" s="531"/>
      <c r="Q297" s="531"/>
      <c r="R297" s="531"/>
      <c r="S297" s="531"/>
      <c r="T297" s="531"/>
      <c r="U297" s="531"/>
      <c r="V297" s="531"/>
      <c r="W297" s="648"/>
      <c r="X297" s="406"/>
    </row>
    <row r="298" spans="1:24" x14ac:dyDescent="0.3">
      <c r="A298" s="649"/>
      <c r="B298" s="649"/>
      <c r="C298" s="649"/>
      <c r="D298" s="649"/>
      <c r="E298" s="649"/>
      <c r="F298" s="649"/>
      <c r="G298" s="649"/>
      <c r="H298" s="649"/>
      <c r="I298" s="649"/>
      <c r="J298" s="649"/>
      <c r="K298" s="649"/>
      <c r="L298" s="649"/>
      <c r="M298" s="649"/>
      <c r="N298" s="649"/>
      <c r="O298" s="649"/>
      <c r="P298" s="649"/>
      <c r="Q298" s="649"/>
      <c r="R298" s="649"/>
      <c r="S298" s="649"/>
      <c r="T298" s="649"/>
      <c r="U298" s="649"/>
      <c r="V298" s="649"/>
      <c r="W298" s="649"/>
    </row>
  </sheetData>
  <hyperlinks>
    <hyperlink ref="P233" r:id="rId1" display="http://www.paragon-group.co.uk" xr:uid="{00000000-0004-0000-3000-000000000000}"/>
    <hyperlink ref="I9" r:id="rId2" display="http://www.paragon-group.co.uk" xr:uid="{00000000-0004-0000-3000-000001000000}"/>
    <hyperlink ref="P295" r:id="rId3" display="http://www.paragon-group.co.uk" xr:uid="{00000000-0004-0000-3000-000002000000}"/>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37" max="22" man="1"/>
    <brk id="197" max="22"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9CB31"/>
  </sheetPr>
  <dimension ref="A1:Y28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238</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239</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140</v>
      </c>
      <c r="C5" s="8"/>
      <c r="D5" s="8"/>
      <c r="E5" s="8"/>
      <c r="F5" s="8"/>
      <c r="G5" s="8"/>
      <c r="H5" s="8"/>
      <c r="I5" s="8"/>
      <c r="J5" s="8"/>
      <c r="K5" s="8"/>
      <c r="L5" s="8"/>
      <c r="M5" s="8"/>
      <c r="N5" s="8"/>
      <c r="O5" s="8"/>
      <c r="P5" s="8"/>
      <c r="Q5" s="8"/>
      <c r="R5" s="8"/>
      <c r="S5" s="8"/>
      <c r="T5" s="8"/>
      <c r="U5" s="8"/>
      <c r="V5" s="8"/>
      <c r="W5" s="8"/>
      <c r="X5" s="5"/>
    </row>
    <row r="6" spans="1:24" ht="15.6" x14ac:dyDescent="0.3">
      <c r="A6" s="6"/>
      <c r="B6" s="11" t="s">
        <v>142</v>
      </c>
      <c r="C6" s="8"/>
      <c r="D6" s="8"/>
      <c r="E6" s="8"/>
      <c r="F6" s="8"/>
      <c r="G6" s="8"/>
      <c r="H6" s="8"/>
      <c r="I6" s="8"/>
      <c r="J6" s="8"/>
      <c r="K6" s="8"/>
      <c r="L6" s="8"/>
      <c r="M6" s="8"/>
      <c r="N6" s="8"/>
      <c r="O6" s="8"/>
      <c r="P6" s="8"/>
      <c r="Q6" s="8"/>
      <c r="R6" s="8"/>
      <c r="S6" s="8"/>
      <c r="T6" s="8"/>
      <c r="U6" s="8"/>
      <c r="V6" s="8"/>
      <c r="W6" s="8"/>
      <c r="X6" s="5"/>
    </row>
    <row r="7" spans="1:24" ht="15.6" x14ac:dyDescent="0.3">
      <c r="A7" s="6"/>
      <c r="B7" s="11" t="s">
        <v>141</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169</v>
      </c>
      <c r="C9" s="8"/>
      <c r="D9" s="8"/>
      <c r="E9" s="8"/>
      <c r="F9" s="8"/>
      <c r="G9" s="8"/>
      <c r="H9" s="8"/>
      <c r="I9" s="148" t="s">
        <v>170</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240</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105</v>
      </c>
      <c r="S15" s="137">
        <v>0.57609999999999995</v>
      </c>
      <c r="T15" s="17" t="s">
        <v>143</v>
      </c>
      <c r="U15" s="137">
        <v>0.4239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105</v>
      </c>
      <c r="S16" s="137">
        <v>0.55779999999999996</v>
      </c>
      <c r="T16" s="17" t="s">
        <v>143</v>
      </c>
      <c r="U16" s="137">
        <v>0.44219999999999998</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39016</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39469</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106</v>
      </c>
      <c r="U20" s="8"/>
      <c r="V20" s="16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180</v>
      </c>
      <c r="E22" s="112"/>
      <c r="F22" s="112" t="s">
        <v>181</v>
      </c>
      <c r="G22" s="112"/>
      <c r="H22" s="112" t="s">
        <v>182</v>
      </c>
      <c r="I22" s="112"/>
      <c r="J22" s="112" t="s">
        <v>223</v>
      </c>
      <c r="K22" s="112"/>
      <c r="L22" s="112" t="s">
        <v>183</v>
      </c>
      <c r="M22" s="112"/>
      <c r="N22" s="112" t="s">
        <v>184</v>
      </c>
      <c r="O22" s="112"/>
      <c r="P22" s="112" t="s">
        <v>224</v>
      </c>
      <c r="Q22" s="112"/>
      <c r="R22" s="112" t="s">
        <v>185</v>
      </c>
      <c r="S22" s="113"/>
      <c r="T22" s="23"/>
      <c r="U22" s="162"/>
      <c r="V22" s="162"/>
      <c r="W22" s="8"/>
      <c r="X22" s="5"/>
    </row>
    <row r="23" spans="1:24" ht="15.6" x14ac:dyDescent="0.3">
      <c r="A23" s="24"/>
      <c r="B23" s="25" t="s">
        <v>7</v>
      </c>
      <c r="C23" s="26"/>
      <c r="D23" s="26" t="s">
        <v>216</v>
      </c>
      <c r="E23" s="26"/>
      <c r="F23" s="26" t="s">
        <v>144</v>
      </c>
      <c r="G23" s="26"/>
      <c r="H23" s="26" t="s">
        <v>144</v>
      </c>
      <c r="I23" s="26"/>
      <c r="J23" s="26" t="s">
        <v>144</v>
      </c>
      <c r="K23" s="26"/>
      <c r="L23" s="26" t="s">
        <v>186</v>
      </c>
      <c r="M23" s="26"/>
      <c r="N23" s="26" t="s">
        <v>186</v>
      </c>
      <c r="O23" s="26"/>
      <c r="P23" s="26" t="s">
        <v>145</v>
      </c>
      <c r="Q23" s="26"/>
      <c r="R23" s="26" t="s">
        <v>145</v>
      </c>
      <c r="S23" s="26"/>
      <c r="T23" s="26"/>
      <c r="U23" s="163"/>
      <c r="V23" s="163"/>
      <c r="W23" s="25"/>
      <c r="X23" s="5"/>
    </row>
    <row r="24" spans="1:24" ht="15.6" x14ac:dyDescent="0.3">
      <c r="A24" s="24"/>
      <c r="B24" s="25" t="s">
        <v>8</v>
      </c>
      <c r="C24" s="26"/>
      <c r="D24" s="26" t="s">
        <v>217</v>
      </c>
      <c r="E24" s="26"/>
      <c r="F24" s="26" t="s">
        <v>146</v>
      </c>
      <c r="G24" s="26"/>
      <c r="H24" s="26" t="s">
        <v>146</v>
      </c>
      <c r="I24" s="26"/>
      <c r="J24" s="26" t="s">
        <v>146</v>
      </c>
      <c r="K24" s="26"/>
      <c r="L24" s="26" t="s">
        <v>168</v>
      </c>
      <c r="M24" s="26"/>
      <c r="N24" s="26" t="s">
        <v>168</v>
      </c>
      <c r="O24" s="26"/>
      <c r="P24" s="26" t="s">
        <v>147</v>
      </c>
      <c r="Q24" s="26"/>
      <c r="R24" s="26" t="s">
        <v>147</v>
      </c>
      <c r="S24" s="26"/>
      <c r="T24" s="26"/>
      <c r="U24" s="163"/>
      <c r="V24" s="163"/>
      <c r="W24" s="25"/>
      <c r="X24" s="5"/>
    </row>
    <row r="25" spans="1:24" ht="15.6" x14ac:dyDescent="0.3">
      <c r="A25" s="28"/>
      <c r="B25" s="131" t="s">
        <v>193</v>
      </c>
      <c r="C25" s="123"/>
      <c r="D25" s="26" t="s">
        <v>218</v>
      </c>
      <c r="E25" s="26"/>
      <c r="F25" s="26" t="s">
        <v>146</v>
      </c>
      <c r="G25" s="26"/>
      <c r="H25" s="26" t="s">
        <v>146</v>
      </c>
      <c r="I25" s="26"/>
      <c r="J25" s="26" t="s">
        <v>146</v>
      </c>
      <c r="K25" s="26"/>
      <c r="L25" s="26" t="s">
        <v>168</v>
      </c>
      <c r="M25" s="26"/>
      <c r="N25" s="26" t="s">
        <v>168</v>
      </c>
      <c r="O25" s="26"/>
      <c r="P25" s="26" t="s">
        <v>147</v>
      </c>
      <c r="Q25" s="26"/>
      <c r="R25" s="26" t="s">
        <v>147</v>
      </c>
      <c r="S25" s="123"/>
      <c r="T25" s="26"/>
      <c r="U25" s="163"/>
      <c r="V25" s="163"/>
      <c r="W25" s="25"/>
      <c r="X25" s="5"/>
    </row>
    <row r="26" spans="1:24" ht="15.6" x14ac:dyDescent="0.3">
      <c r="A26" s="28"/>
      <c r="B26" s="29" t="s">
        <v>9</v>
      </c>
      <c r="C26" s="123"/>
      <c r="D26" s="123" t="s">
        <v>216</v>
      </c>
      <c r="E26" s="123"/>
      <c r="F26" s="123" t="s">
        <v>144</v>
      </c>
      <c r="G26" s="123"/>
      <c r="H26" s="123" t="s">
        <v>144</v>
      </c>
      <c r="I26" s="123"/>
      <c r="J26" s="123" t="s">
        <v>144</v>
      </c>
      <c r="K26" s="123"/>
      <c r="L26" s="123" t="s">
        <v>186</v>
      </c>
      <c r="M26" s="123"/>
      <c r="N26" s="123" t="s">
        <v>186</v>
      </c>
      <c r="O26" s="123"/>
      <c r="P26" s="123" t="s">
        <v>145</v>
      </c>
      <c r="Q26" s="123"/>
      <c r="R26" s="123" t="s">
        <v>145</v>
      </c>
      <c r="S26" s="123"/>
      <c r="T26" s="26"/>
      <c r="U26" s="163"/>
      <c r="V26" s="163"/>
      <c r="W26" s="25"/>
      <c r="X26" s="5"/>
    </row>
    <row r="27" spans="1:24" ht="15.6" x14ac:dyDescent="0.3">
      <c r="A27" s="24"/>
      <c r="B27" s="29" t="s">
        <v>194</v>
      </c>
      <c r="C27" s="26"/>
      <c r="D27" s="123" t="s">
        <v>217</v>
      </c>
      <c r="E27" s="123"/>
      <c r="F27" s="123" t="s">
        <v>146</v>
      </c>
      <c r="G27" s="123"/>
      <c r="H27" s="123" t="s">
        <v>146</v>
      </c>
      <c r="I27" s="123"/>
      <c r="J27" s="123" t="s">
        <v>146</v>
      </c>
      <c r="K27" s="123"/>
      <c r="L27" s="123" t="s">
        <v>168</v>
      </c>
      <c r="M27" s="123"/>
      <c r="N27" s="123" t="s">
        <v>168</v>
      </c>
      <c r="O27" s="123"/>
      <c r="P27" s="123" t="s">
        <v>147</v>
      </c>
      <c r="Q27" s="123"/>
      <c r="R27" s="123" t="s">
        <v>147</v>
      </c>
      <c r="S27" s="26"/>
      <c r="T27" s="30"/>
      <c r="U27" s="163"/>
      <c r="V27" s="163"/>
      <c r="W27" s="25"/>
      <c r="X27" s="5"/>
    </row>
    <row r="28" spans="1:24" ht="15.6" x14ac:dyDescent="0.3">
      <c r="A28" s="24"/>
      <c r="B28" s="153" t="s">
        <v>195</v>
      </c>
      <c r="C28" s="26"/>
      <c r="D28" s="123" t="s">
        <v>218</v>
      </c>
      <c r="E28" s="123"/>
      <c r="F28" s="123" t="s">
        <v>146</v>
      </c>
      <c r="G28" s="123"/>
      <c r="H28" s="123" t="s">
        <v>146</v>
      </c>
      <c r="I28" s="123"/>
      <c r="J28" s="123" t="s">
        <v>146</v>
      </c>
      <c r="K28" s="123"/>
      <c r="L28" s="123" t="s">
        <v>168</v>
      </c>
      <c r="M28" s="123"/>
      <c r="N28" s="123" t="s">
        <v>168</v>
      </c>
      <c r="O28" s="123"/>
      <c r="P28" s="123" t="s">
        <v>147</v>
      </c>
      <c r="Q28" s="123"/>
      <c r="R28" s="123" t="s">
        <v>147</v>
      </c>
      <c r="S28" s="26"/>
      <c r="T28" s="30"/>
      <c r="U28" s="163"/>
      <c r="V28" s="163"/>
      <c r="W28" s="25"/>
      <c r="X28" s="5"/>
    </row>
    <row r="29" spans="1:24" ht="15.6" x14ac:dyDescent="0.3">
      <c r="A29" s="24"/>
      <c r="B29" s="25" t="s">
        <v>10</v>
      </c>
      <c r="C29" s="32"/>
      <c r="D29" s="26" t="s">
        <v>348</v>
      </c>
      <c r="E29" s="26"/>
      <c r="F29" s="30" t="s">
        <v>242</v>
      </c>
      <c r="G29" s="26"/>
      <c r="H29" s="26" t="s">
        <v>243</v>
      </c>
      <c r="I29" s="26"/>
      <c r="J29" s="26" t="s">
        <v>245</v>
      </c>
      <c r="K29" s="26"/>
      <c r="L29" s="26" t="s">
        <v>246</v>
      </c>
      <c r="M29" s="26"/>
      <c r="N29" s="26" t="s">
        <v>247</v>
      </c>
      <c r="O29" s="26"/>
      <c r="P29" s="26" t="s">
        <v>248</v>
      </c>
      <c r="Q29" s="26"/>
      <c r="R29" s="26" t="s">
        <v>249</v>
      </c>
      <c r="S29" s="31"/>
      <c r="T29" s="31"/>
      <c r="U29" s="164"/>
      <c r="V29" s="31"/>
      <c r="W29" s="34"/>
      <c r="X29" s="5"/>
    </row>
    <row r="30" spans="1:24" ht="15.6" x14ac:dyDescent="0.3">
      <c r="A30" s="24"/>
      <c r="B30" s="25" t="s">
        <v>10</v>
      </c>
      <c r="C30" s="32"/>
      <c r="D30" s="26" t="s">
        <v>241</v>
      </c>
      <c r="E30" s="26"/>
      <c r="F30" s="30" t="s">
        <v>121</v>
      </c>
      <c r="G30" s="26"/>
      <c r="H30" s="26" t="s">
        <v>121</v>
      </c>
      <c r="I30" s="26"/>
      <c r="J30" s="26" t="s">
        <v>244</v>
      </c>
      <c r="K30" s="26"/>
      <c r="L30" s="26" t="s">
        <v>121</v>
      </c>
      <c r="M30" s="26"/>
      <c r="N30" s="26" t="s">
        <v>121</v>
      </c>
      <c r="O30" s="26"/>
      <c r="P30" s="26" t="s">
        <v>121</v>
      </c>
      <c r="Q30" s="26"/>
      <c r="R30" s="26" t="s">
        <v>121</v>
      </c>
      <c r="S30" s="31"/>
      <c r="T30" s="31"/>
      <c r="U30" s="164"/>
      <c r="V30" s="31"/>
      <c r="W30" s="34"/>
      <c r="X30" s="5"/>
    </row>
    <row r="31" spans="1:24" ht="15.6" x14ac:dyDescent="0.3">
      <c r="A31" s="28"/>
      <c r="B31" s="25" t="s">
        <v>136</v>
      </c>
      <c r="C31" s="36"/>
      <c r="D31" s="146">
        <v>1500000</v>
      </c>
      <c r="E31" s="32"/>
      <c r="F31" s="31">
        <v>125000</v>
      </c>
      <c r="G31" s="31"/>
      <c r="H31" s="124">
        <v>315000</v>
      </c>
      <c r="I31" s="124"/>
      <c r="J31" s="146">
        <v>350000</v>
      </c>
      <c r="K31" s="31"/>
      <c r="L31" s="31">
        <v>56000</v>
      </c>
      <c r="M31" s="31"/>
      <c r="N31" s="124">
        <v>84000</v>
      </c>
      <c r="O31" s="31"/>
      <c r="P31" s="31">
        <v>13000</v>
      </c>
      <c r="Q31" s="31"/>
      <c r="R31" s="124">
        <v>81000</v>
      </c>
      <c r="S31" s="35"/>
      <c r="T31" s="35"/>
      <c r="U31" s="37"/>
      <c r="V31" s="35"/>
      <c r="W31" s="34"/>
      <c r="X31" s="5"/>
    </row>
    <row r="32" spans="1:24" ht="15.6" x14ac:dyDescent="0.3">
      <c r="A32" s="24"/>
      <c r="B32" s="25" t="s">
        <v>135</v>
      </c>
      <c r="C32" s="32"/>
      <c r="D32" s="146">
        <f>D31*D38</f>
        <v>1369147.95</v>
      </c>
      <c r="E32" s="32"/>
      <c r="F32" s="31">
        <f>F31*F38</f>
        <v>114095.7</v>
      </c>
      <c r="G32" s="31"/>
      <c r="H32" s="124">
        <f>H31*H38</f>
        <v>287521.16399999999</v>
      </c>
      <c r="I32" s="124"/>
      <c r="J32" s="146">
        <f>J31*J38</f>
        <v>319467.85499999998</v>
      </c>
      <c r="K32" s="31"/>
      <c r="L32" s="31">
        <f>L31*L38</f>
        <v>56000</v>
      </c>
      <c r="M32" s="31"/>
      <c r="N32" s="124">
        <f>N31*N38</f>
        <v>84000</v>
      </c>
      <c r="O32" s="31"/>
      <c r="P32" s="31">
        <f>P31*P38</f>
        <v>13000</v>
      </c>
      <c r="Q32" s="31"/>
      <c r="R32" s="124">
        <f>R31*R38</f>
        <v>81000</v>
      </c>
      <c r="S32" s="31"/>
      <c r="T32" s="31"/>
      <c r="U32" s="164"/>
      <c r="V32" s="31"/>
      <c r="W32" s="34"/>
      <c r="X32" s="5"/>
    </row>
    <row r="33" spans="1:24" ht="15.6" x14ac:dyDescent="0.3">
      <c r="A33" s="24"/>
      <c r="B33" s="29" t="s">
        <v>137</v>
      </c>
      <c r="C33" s="32"/>
      <c r="D33" s="151">
        <f>D37*D31</f>
        <v>1325949.6000000001</v>
      </c>
      <c r="E33" s="36"/>
      <c r="F33" s="35">
        <f>F37*F31</f>
        <v>110495.85</v>
      </c>
      <c r="G33" s="35"/>
      <c r="H33" s="125">
        <f>H31*H37</f>
        <v>278449.54200000002</v>
      </c>
      <c r="I33" s="125"/>
      <c r="J33" s="151">
        <f>J37*J31</f>
        <v>309388.24</v>
      </c>
      <c r="K33" s="35"/>
      <c r="L33" s="35">
        <f>L31*L37</f>
        <v>56000</v>
      </c>
      <c r="M33" s="35"/>
      <c r="N33" s="125">
        <f>N31*N37</f>
        <v>84000</v>
      </c>
      <c r="O33" s="35"/>
      <c r="P33" s="35">
        <f>P31*P37</f>
        <v>13000</v>
      </c>
      <c r="Q33" s="35"/>
      <c r="R33" s="125">
        <f>R31*R37</f>
        <v>81000</v>
      </c>
      <c r="S33" s="31"/>
      <c r="T33" s="31"/>
      <c r="U33" s="164"/>
      <c r="V33" s="31"/>
      <c r="W33" s="34"/>
      <c r="X33" s="5"/>
    </row>
    <row r="34" spans="1:24" ht="15.6" x14ac:dyDescent="0.3">
      <c r="A34" s="28"/>
      <c r="B34" s="25" t="s">
        <v>298</v>
      </c>
      <c r="C34" s="36"/>
      <c r="D34" s="31">
        <v>797872</v>
      </c>
      <c r="E34" s="32"/>
      <c r="F34" s="31">
        <v>125000</v>
      </c>
      <c r="G34" s="31"/>
      <c r="H34" s="31">
        <v>211409</v>
      </c>
      <c r="I34" s="31"/>
      <c r="J34" s="31">
        <v>186170</v>
      </c>
      <c r="K34" s="31"/>
      <c r="L34" s="31">
        <v>56000</v>
      </c>
      <c r="M34" s="31"/>
      <c r="N34" s="31">
        <v>56376</v>
      </c>
      <c r="O34" s="31"/>
      <c r="P34" s="31">
        <v>13000</v>
      </c>
      <c r="Q34" s="31"/>
      <c r="R34" s="31">
        <v>54363</v>
      </c>
      <c r="S34" s="35"/>
      <c r="T34" s="35"/>
      <c r="U34" s="37"/>
      <c r="V34" s="154">
        <f>SUM(C34:R34)</f>
        <v>1500190</v>
      </c>
      <c r="W34" s="34"/>
      <c r="X34" s="5"/>
    </row>
    <row r="35" spans="1:24" ht="15.6" x14ac:dyDescent="0.3">
      <c r="A35" s="28"/>
      <c r="B35" s="25" t="s">
        <v>299</v>
      </c>
      <c r="C35" s="126"/>
      <c r="D35" s="31">
        <f>D34*D38</f>
        <v>728269.87544159999</v>
      </c>
      <c r="E35" s="32"/>
      <c r="F35" s="31">
        <f>F34*F38</f>
        <v>114095.7</v>
      </c>
      <c r="G35" s="31"/>
      <c r="H35" s="31">
        <f>H34*H38</f>
        <v>192966.8627304</v>
      </c>
      <c r="I35" s="31"/>
      <c r="J35" s="31">
        <f>J34*J38</f>
        <v>169929.51590100001</v>
      </c>
      <c r="K35" s="31"/>
      <c r="L35" s="31">
        <f>L34*L38</f>
        <v>56000</v>
      </c>
      <c r="M35" s="31"/>
      <c r="N35" s="31">
        <f>N34*N38</f>
        <v>56376</v>
      </c>
      <c r="O35" s="31"/>
      <c r="P35" s="31">
        <f>P34*P38</f>
        <v>13000</v>
      </c>
      <c r="Q35" s="31"/>
      <c r="R35" s="31">
        <f>R34*R38</f>
        <v>54363</v>
      </c>
      <c r="S35" s="31"/>
      <c r="T35" s="31"/>
      <c r="U35" s="164"/>
      <c r="V35" s="154">
        <f>SUM(C35:R35)-1</f>
        <v>1384999.954073</v>
      </c>
      <c r="W35" s="34"/>
      <c r="X35" s="5"/>
    </row>
    <row r="36" spans="1:24" ht="15.6" x14ac:dyDescent="0.3">
      <c r="A36" s="28"/>
      <c r="B36" s="29" t="s">
        <v>304</v>
      </c>
      <c r="C36" s="126"/>
      <c r="D36" s="35">
        <f>D34*D37</f>
        <v>705292.03950080008</v>
      </c>
      <c r="E36" s="36"/>
      <c r="F36" s="35">
        <f>F34*F37</f>
        <v>110495.85</v>
      </c>
      <c r="G36" s="35"/>
      <c r="H36" s="35">
        <f>H34*H37</f>
        <v>186878.53722120001</v>
      </c>
      <c r="I36" s="35"/>
      <c r="J36" s="35">
        <f>J34*J37</f>
        <v>164568.024688</v>
      </c>
      <c r="K36" s="35"/>
      <c r="L36" s="35">
        <v>56000</v>
      </c>
      <c r="M36" s="35"/>
      <c r="N36" s="35">
        <v>56376</v>
      </c>
      <c r="O36" s="35"/>
      <c r="P36" s="35">
        <v>13000</v>
      </c>
      <c r="Q36" s="35"/>
      <c r="R36" s="35">
        <v>54363</v>
      </c>
      <c r="S36" s="128"/>
      <c r="T36" s="128"/>
      <c r="U36" s="164"/>
      <c r="V36" s="155">
        <f>SUM(C36:R36)</f>
        <v>1346973.4514100002</v>
      </c>
      <c r="W36" s="34"/>
      <c r="X36" s="5"/>
    </row>
    <row r="37" spans="1:24" ht="15.6" x14ac:dyDescent="0.3">
      <c r="A37" s="24"/>
      <c r="B37" s="122" t="s">
        <v>133</v>
      </c>
      <c r="C37" s="25"/>
      <c r="D37" s="168">
        <v>0.88396640000000004</v>
      </c>
      <c r="E37" s="136"/>
      <c r="F37" s="168">
        <v>0.88396680000000005</v>
      </c>
      <c r="G37" s="135"/>
      <c r="H37" s="168">
        <v>0.88396680000000005</v>
      </c>
      <c r="I37" s="135"/>
      <c r="J37" s="168">
        <v>0.88396640000000004</v>
      </c>
      <c r="K37" s="135"/>
      <c r="L37" s="168">
        <v>1</v>
      </c>
      <c r="M37" s="135"/>
      <c r="N37" s="168">
        <v>1</v>
      </c>
      <c r="O37" s="135"/>
      <c r="P37" s="168">
        <v>1</v>
      </c>
      <c r="Q37" s="135"/>
      <c r="R37" s="168">
        <v>1</v>
      </c>
      <c r="S37" s="30"/>
      <c r="T37" s="30"/>
      <c r="U37" s="163"/>
      <c r="V37" s="163"/>
      <c r="W37" s="25"/>
      <c r="X37" s="5"/>
    </row>
    <row r="38" spans="1:24" ht="15.6" x14ac:dyDescent="0.3">
      <c r="A38" s="24"/>
      <c r="B38" s="122" t="s">
        <v>134</v>
      </c>
      <c r="C38" s="25"/>
      <c r="D38" s="168">
        <v>0.9127653</v>
      </c>
      <c r="E38" s="136"/>
      <c r="F38" s="168">
        <v>0.91276559999999995</v>
      </c>
      <c r="G38" s="135"/>
      <c r="H38" s="168">
        <v>0.91276559999999995</v>
      </c>
      <c r="I38" s="135"/>
      <c r="J38" s="168">
        <v>0.9127653</v>
      </c>
      <c r="K38" s="135"/>
      <c r="L38" s="135">
        <v>1</v>
      </c>
      <c r="M38" s="135"/>
      <c r="N38" s="135">
        <v>1</v>
      </c>
      <c r="O38" s="135"/>
      <c r="P38" s="135">
        <v>1</v>
      </c>
      <c r="Q38" s="135"/>
      <c r="R38" s="135">
        <v>1</v>
      </c>
      <c r="S38" s="39"/>
      <c r="T38" s="38"/>
      <c r="U38" s="163"/>
      <c r="V38" s="39"/>
      <c r="W38" s="25"/>
      <c r="X38" s="5"/>
    </row>
    <row r="39" spans="1:24" ht="15.6" x14ac:dyDescent="0.3">
      <c r="A39" s="24"/>
      <c r="B39" s="25" t="s">
        <v>11</v>
      </c>
      <c r="C39" s="25"/>
      <c r="D39" s="30" t="s">
        <v>280</v>
      </c>
      <c r="E39" s="25"/>
      <c r="F39" s="30" t="s">
        <v>225</v>
      </c>
      <c r="G39" s="30"/>
      <c r="H39" s="30" t="s">
        <v>225</v>
      </c>
      <c r="I39" s="30"/>
      <c r="J39" s="30" t="s">
        <v>251</v>
      </c>
      <c r="K39" s="30"/>
      <c r="L39" s="30" t="s">
        <v>252</v>
      </c>
      <c r="M39" s="30"/>
      <c r="N39" s="30" t="s">
        <v>253</v>
      </c>
      <c r="O39" s="30"/>
      <c r="P39" s="30" t="s">
        <v>254</v>
      </c>
      <c r="Q39" s="30"/>
      <c r="R39" s="30" t="s">
        <v>255</v>
      </c>
      <c r="S39" s="39"/>
      <c r="T39" s="38"/>
      <c r="U39" s="163"/>
      <c r="V39" s="163"/>
      <c r="W39" s="25"/>
      <c r="X39" s="5"/>
    </row>
    <row r="40" spans="1:24" ht="15.6" x14ac:dyDescent="0.3">
      <c r="A40" s="24"/>
      <c r="B40" s="25" t="s">
        <v>12</v>
      </c>
      <c r="C40" s="25"/>
      <c r="D40" s="38">
        <v>5.0375000000000003E-2</v>
      </c>
      <c r="E40" s="25"/>
      <c r="F40" s="38">
        <v>6.4131300000000002E-2</v>
      </c>
      <c r="G40" s="39"/>
      <c r="H40" s="38">
        <v>4.8520000000000001E-2</v>
      </c>
      <c r="I40" s="38"/>
      <c r="J40" s="38">
        <v>5.3324999999999997E-2</v>
      </c>
      <c r="K40" s="39"/>
      <c r="L40" s="38">
        <v>6.4931299999999997E-2</v>
      </c>
      <c r="M40" s="39"/>
      <c r="N40" s="38">
        <v>4.922E-2</v>
      </c>
      <c r="O40" s="39"/>
      <c r="P40" s="38">
        <v>6.6931299999999999E-2</v>
      </c>
      <c r="Q40" s="39"/>
      <c r="R40" s="38">
        <v>5.1220000000000002E-2</v>
      </c>
      <c r="S40" s="39"/>
      <c r="T40" s="38"/>
      <c r="U40" s="163"/>
      <c r="V40" s="30"/>
      <c r="W40" s="25"/>
      <c r="X40" s="5"/>
    </row>
    <row r="41" spans="1:24" ht="15.6" x14ac:dyDescent="0.3">
      <c r="A41" s="24"/>
      <c r="B41" s="25" t="s">
        <v>13</v>
      </c>
      <c r="C41" s="25"/>
      <c r="D41" s="38">
        <v>5.7525E-2</v>
      </c>
      <c r="E41" s="25"/>
      <c r="F41" s="38">
        <v>6.13E-2</v>
      </c>
      <c r="G41" s="39"/>
      <c r="H41" s="38">
        <v>4.3290000000000002E-2</v>
      </c>
      <c r="I41" s="38"/>
      <c r="J41" s="38">
        <v>5.45E-2</v>
      </c>
      <c r="K41" s="39"/>
      <c r="L41" s="38">
        <v>6.2100000000000002E-2</v>
      </c>
      <c r="M41" s="39"/>
      <c r="N41" s="38">
        <v>4.3990000000000001E-2</v>
      </c>
      <c r="O41" s="39"/>
      <c r="P41" s="38">
        <v>6.4100000000000004E-2</v>
      </c>
      <c r="Q41" s="39"/>
      <c r="R41" s="38">
        <v>4.5990000000000003E-2</v>
      </c>
      <c r="S41" s="39"/>
      <c r="T41" s="38"/>
      <c r="U41" s="163"/>
      <c r="V41" s="39" t="s">
        <v>196</v>
      </c>
      <c r="W41" s="25"/>
      <c r="X41" s="5"/>
    </row>
    <row r="42" spans="1:24" ht="15.6" x14ac:dyDescent="0.3">
      <c r="A42" s="24"/>
      <c r="B42" s="25" t="s">
        <v>300</v>
      </c>
      <c r="C42" s="25"/>
      <c r="D42" s="30" t="s">
        <v>285</v>
      </c>
      <c r="E42" s="25"/>
      <c r="F42" s="30" t="s">
        <v>225</v>
      </c>
      <c r="G42" s="30"/>
      <c r="H42" s="30" t="s">
        <v>263</v>
      </c>
      <c r="I42" s="30"/>
      <c r="J42" s="30" t="s">
        <v>262</v>
      </c>
      <c r="K42" s="30"/>
      <c r="L42" s="30" t="s">
        <v>252</v>
      </c>
      <c r="M42" s="30"/>
      <c r="N42" s="30" t="s">
        <v>264</v>
      </c>
      <c r="O42" s="30"/>
      <c r="P42" s="30" t="s">
        <v>254</v>
      </c>
      <c r="Q42" s="30"/>
      <c r="R42" s="30" t="s">
        <v>260</v>
      </c>
      <c r="S42" s="39"/>
      <c r="T42" s="38"/>
      <c r="U42" s="163"/>
      <c r="V42" s="163"/>
      <c r="W42" s="25"/>
      <c r="X42" s="5"/>
    </row>
    <row r="43" spans="1:24" ht="15.6" x14ac:dyDescent="0.3">
      <c r="A43" s="24"/>
      <c r="B43" s="25" t="s">
        <v>301</v>
      </c>
      <c r="C43" s="110"/>
      <c r="D43" s="38">
        <v>6.3349600000000006E-2</v>
      </c>
      <c r="E43" s="38"/>
      <c r="F43" s="38">
        <f>+F40</f>
        <v>6.4131300000000002E-2</v>
      </c>
      <c r="G43" s="38"/>
      <c r="H43" s="38">
        <v>6.4253299999999999E-2</v>
      </c>
      <c r="I43" s="38"/>
      <c r="J43" s="38">
        <v>6.4171300000000001E-2</v>
      </c>
      <c r="K43" s="38"/>
      <c r="L43" s="38">
        <f>+L40</f>
        <v>6.4931299999999997E-2</v>
      </c>
      <c r="M43" s="38"/>
      <c r="N43" s="38">
        <v>6.5021300000000004E-2</v>
      </c>
      <c r="O43" s="38"/>
      <c r="P43" s="38">
        <f>+P40</f>
        <v>6.6931299999999999E-2</v>
      </c>
      <c r="Q43" s="39"/>
      <c r="R43" s="38">
        <v>6.7131300000000005E-2</v>
      </c>
      <c r="S43" s="30"/>
      <c r="T43" s="30"/>
      <c r="U43" s="163"/>
      <c r="V43" s="39">
        <f>SUMPRODUCT(D43:R43,D35:R35)/V35</f>
        <v>6.3954822266751879E-2</v>
      </c>
      <c r="W43" s="25"/>
      <c r="X43" s="5"/>
    </row>
    <row r="44" spans="1:24" ht="15.6" x14ac:dyDescent="0.3">
      <c r="A44" s="24"/>
      <c r="B44" s="25" t="s">
        <v>302</v>
      </c>
      <c r="C44" s="110"/>
      <c r="D44" s="38">
        <v>6.0518299999999997E-2</v>
      </c>
      <c r="E44" s="38"/>
      <c r="F44" s="38">
        <f>+F41</f>
        <v>6.13E-2</v>
      </c>
      <c r="G44" s="38"/>
      <c r="H44" s="38">
        <v>6.1421999999999997E-2</v>
      </c>
      <c r="I44" s="38"/>
      <c r="J44" s="38">
        <v>6.1339999999999999E-2</v>
      </c>
      <c r="K44" s="38"/>
      <c r="L44" s="38">
        <f>+L41</f>
        <v>6.2100000000000002E-2</v>
      </c>
      <c r="M44" s="38"/>
      <c r="N44" s="38">
        <v>6.2190000000000002E-2</v>
      </c>
      <c r="O44" s="38"/>
      <c r="P44" s="38">
        <f>+P41</f>
        <v>6.4100000000000004E-2</v>
      </c>
      <c r="Q44" s="39"/>
      <c r="R44" s="38">
        <v>6.4299999999999996E-2</v>
      </c>
      <c r="S44" s="30"/>
      <c r="T44" s="30"/>
      <c r="U44" s="163"/>
      <c r="V44" s="163"/>
      <c r="W44" s="25"/>
      <c r="X44" s="5"/>
    </row>
    <row r="45" spans="1:24" ht="15.6" x14ac:dyDescent="0.3">
      <c r="A45" s="24"/>
      <c r="B45" s="25" t="s">
        <v>14</v>
      </c>
      <c r="C45" s="25"/>
      <c r="D45" s="110">
        <v>40466</v>
      </c>
      <c r="E45" s="110"/>
      <c r="F45" s="110">
        <v>40466</v>
      </c>
      <c r="G45" s="110"/>
      <c r="H45" s="110">
        <v>40466</v>
      </c>
      <c r="I45" s="110"/>
      <c r="J45" s="110">
        <v>40466</v>
      </c>
      <c r="K45" s="110"/>
      <c r="L45" s="110">
        <v>40466</v>
      </c>
      <c r="M45" s="110"/>
      <c r="N45" s="110">
        <v>40466</v>
      </c>
      <c r="O45" s="110"/>
      <c r="P45" s="110">
        <v>40466</v>
      </c>
      <c r="Q45" s="110"/>
      <c r="R45" s="110">
        <v>40466</v>
      </c>
      <c r="S45" s="30"/>
      <c r="T45" s="30"/>
      <c r="U45" s="163"/>
      <c r="V45" s="163"/>
      <c r="W45" s="25"/>
      <c r="X45" s="5"/>
    </row>
    <row r="46" spans="1:24" ht="15.6" x14ac:dyDescent="0.3">
      <c r="A46" s="24"/>
      <c r="B46" s="25" t="s">
        <v>15</v>
      </c>
      <c r="C46" s="25"/>
      <c r="D46" s="110" t="s">
        <v>121</v>
      </c>
      <c r="E46" s="110"/>
      <c r="F46" s="110">
        <v>40831</v>
      </c>
      <c r="G46" s="110"/>
      <c r="H46" s="110">
        <v>40831</v>
      </c>
      <c r="I46" s="110"/>
      <c r="J46" s="110">
        <v>40831</v>
      </c>
      <c r="K46" s="30"/>
      <c r="L46" s="110">
        <v>40831</v>
      </c>
      <c r="M46" s="30"/>
      <c r="N46" s="110">
        <v>40831</v>
      </c>
      <c r="O46" s="30"/>
      <c r="P46" s="110">
        <v>40831</v>
      </c>
      <c r="Q46" s="30"/>
      <c r="R46" s="110">
        <v>40831</v>
      </c>
      <c r="S46" s="30"/>
      <c r="T46" s="30"/>
      <c r="U46" s="163"/>
      <c r="V46" s="163"/>
      <c r="W46" s="25"/>
      <c r="X46" s="5"/>
    </row>
    <row r="47" spans="1:24" ht="15.6" x14ac:dyDescent="0.3">
      <c r="A47" s="24"/>
      <c r="B47" s="25" t="s">
        <v>122</v>
      </c>
      <c r="C47" s="25"/>
      <c r="D47" s="160" t="s">
        <v>121</v>
      </c>
      <c r="E47" s="25"/>
      <c r="F47" s="30" t="s">
        <v>226</v>
      </c>
      <c r="G47" s="30"/>
      <c r="H47" s="30" t="s">
        <v>226</v>
      </c>
      <c r="I47" s="30"/>
      <c r="J47" s="30" t="s">
        <v>256</v>
      </c>
      <c r="K47" s="30"/>
      <c r="L47" s="30" t="s">
        <v>254</v>
      </c>
      <c r="M47" s="30"/>
      <c r="N47" s="30" t="s">
        <v>257</v>
      </c>
      <c r="O47" s="30"/>
      <c r="P47" s="30" t="s">
        <v>258</v>
      </c>
      <c r="Q47" s="30"/>
      <c r="R47" s="30" t="s">
        <v>259</v>
      </c>
      <c r="S47" s="40"/>
      <c r="T47" s="40"/>
      <c r="U47" s="40"/>
      <c r="V47" s="40"/>
      <c r="W47" s="25"/>
      <c r="X47" s="5"/>
    </row>
    <row r="48" spans="1:24" ht="15.6" x14ac:dyDescent="0.3">
      <c r="A48" s="24"/>
      <c r="B48" s="25" t="s">
        <v>303</v>
      </c>
      <c r="C48" s="25"/>
      <c r="D48" s="30" t="s">
        <v>203</v>
      </c>
      <c r="E48" s="25"/>
      <c r="F48" s="30" t="s">
        <v>226</v>
      </c>
      <c r="G48" s="30"/>
      <c r="H48" s="30" t="s">
        <v>227</v>
      </c>
      <c r="I48" s="30"/>
      <c r="J48" s="30" t="s">
        <v>237</v>
      </c>
      <c r="K48" s="30"/>
      <c r="L48" s="30" t="s">
        <v>254</v>
      </c>
      <c r="M48" s="30"/>
      <c r="N48" s="30" t="s">
        <v>260</v>
      </c>
      <c r="O48" s="30"/>
      <c r="P48" s="30" t="s">
        <v>258</v>
      </c>
      <c r="Q48" s="30"/>
      <c r="R48" s="30" t="s">
        <v>261</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196</v>
      </c>
      <c r="W49" s="25"/>
      <c r="X49" s="5"/>
    </row>
    <row r="50" spans="1:25" ht="15.6" x14ac:dyDescent="0.3">
      <c r="A50" s="24"/>
      <c r="B50" s="25" t="s">
        <v>172</v>
      </c>
      <c r="C50" s="25"/>
      <c r="D50" s="30"/>
      <c r="E50" s="25"/>
      <c r="F50" s="30"/>
      <c r="G50" s="30"/>
      <c r="H50" s="30"/>
      <c r="I50" s="30"/>
      <c r="J50" s="30"/>
      <c r="K50" s="30"/>
      <c r="L50" s="30"/>
      <c r="M50" s="30"/>
      <c r="N50" s="30"/>
      <c r="O50" s="30"/>
      <c r="P50" s="30"/>
      <c r="Q50" s="30"/>
      <c r="R50" s="30"/>
      <c r="S50" s="25"/>
      <c r="T50" s="25"/>
      <c r="U50" s="25"/>
      <c r="V50" s="39">
        <f>SUM(L34:R34)/SUM(D34:J34)</f>
        <v>0.13611940162868597</v>
      </c>
      <c r="W50" s="25"/>
      <c r="X50" s="5"/>
    </row>
    <row r="51" spans="1:25" ht="15.6" x14ac:dyDescent="0.3">
      <c r="A51" s="24"/>
      <c r="B51" s="25" t="s">
        <v>173</v>
      </c>
      <c r="C51" s="25"/>
      <c r="D51" s="25"/>
      <c r="E51" s="25"/>
      <c r="F51" s="41"/>
      <c r="G51" s="25"/>
      <c r="H51" s="25"/>
      <c r="I51" s="25"/>
      <c r="J51" s="25"/>
      <c r="K51" s="25"/>
      <c r="L51" s="25"/>
      <c r="M51" s="25"/>
      <c r="N51" s="25"/>
      <c r="O51" s="25"/>
      <c r="P51" s="25"/>
      <c r="Q51" s="25"/>
      <c r="R51" s="25"/>
      <c r="S51" s="25"/>
      <c r="T51" s="25"/>
      <c r="U51" s="25"/>
      <c r="V51" s="39">
        <f>SUM(L36:R36)/SUM(D36:J36)</f>
        <v>0.15398705871205071</v>
      </c>
      <c r="W51" s="25"/>
      <c r="X51" s="5"/>
    </row>
    <row r="52" spans="1:25" ht="15.6" x14ac:dyDescent="0.3">
      <c r="A52" s="24"/>
      <c r="B52" s="25" t="s">
        <v>174</v>
      </c>
      <c r="C52" s="25"/>
      <c r="D52" s="25"/>
      <c r="E52" s="25"/>
      <c r="F52" s="25"/>
      <c r="G52" s="25"/>
      <c r="H52" s="25"/>
      <c r="I52" s="25"/>
      <c r="J52" s="25"/>
      <c r="K52" s="25"/>
      <c r="L52" s="25"/>
      <c r="M52" s="25"/>
      <c r="N52" s="25"/>
      <c r="O52" s="25"/>
      <c r="P52" s="25"/>
      <c r="Q52" s="25"/>
      <c r="R52" s="25"/>
      <c r="S52" s="25"/>
      <c r="T52" s="30" t="s">
        <v>107</v>
      </c>
      <c r="U52" s="30" t="s">
        <v>112</v>
      </c>
      <c r="V52" s="31">
        <f>+V34/2-SUM(L34:R34)</f>
        <v>570356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205</v>
      </c>
      <c r="C54" s="25"/>
      <c r="D54" s="25"/>
      <c r="E54" s="25"/>
      <c r="F54" s="25"/>
      <c r="G54" s="25"/>
      <c r="H54" s="25"/>
      <c r="I54" s="25"/>
      <c r="J54" s="25"/>
      <c r="K54" s="25"/>
      <c r="L54" s="25"/>
      <c r="M54" s="25"/>
      <c r="N54" s="25"/>
      <c r="O54" s="25"/>
      <c r="P54" s="25"/>
      <c r="Q54" s="25"/>
      <c r="R54" s="25"/>
      <c r="S54" s="25"/>
      <c r="T54" s="25"/>
      <c r="U54" s="25"/>
      <c r="V54" s="156" t="s">
        <v>206</v>
      </c>
      <c r="W54" s="25"/>
      <c r="X54" s="5"/>
    </row>
    <row r="55" spans="1:25" ht="15.6" x14ac:dyDescent="0.3">
      <c r="A55" s="24"/>
      <c r="B55" s="25" t="s">
        <v>236</v>
      </c>
      <c r="C55" s="25"/>
      <c r="D55" s="25"/>
      <c r="E55" s="25"/>
      <c r="F55" s="25"/>
      <c r="G55" s="25"/>
      <c r="H55" s="25"/>
      <c r="I55" s="25"/>
      <c r="J55" s="25"/>
      <c r="K55" s="25"/>
      <c r="L55" s="25"/>
      <c r="M55" s="25"/>
      <c r="N55" s="25"/>
      <c r="O55" s="25"/>
      <c r="P55" s="25"/>
      <c r="Q55" s="25"/>
      <c r="R55" s="25"/>
      <c r="S55" s="25"/>
      <c r="T55" s="30"/>
      <c r="U55" s="30"/>
      <c r="V55" s="157" t="s">
        <v>114</v>
      </c>
      <c r="W55" s="25"/>
      <c r="X55" s="5"/>
    </row>
    <row r="56" spans="1:25" ht="15.6" x14ac:dyDescent="0.3">
      <c r="A56" s="24"/>
      <c r="B56" s="29" t="s">
        <v>204</v>
      </c>
      <c r="C56" s="29"/>
      <c r="D56" s="29"/>
      <c r="E56" s="29"/>
      <c r="F56" s="29"/>
      <c r="G56" s="29"/>
      <c r="H56" s="29"/>
      <c r="I56" s="29"/>
      <c r="J56" s="29"/>
      <c r="K56" s="29"/>
      <c r="L56" s="29"/>
      <c r="M56" s="29"/>
      <c r="N56" s="29"/>
      <c r="O56" s="29"/>
      <c r="P56" s="29"/>
      <c r="Q56" s="29"/>
      <c r="R56" s="29"/>
      <c r="S56" s="29"/>
      <c r="T56" s="43"/>
      <c r="U56" s="43"/>
      <c r="V56" s="44">
        <v>39462</v>
      </c>
      <c r="W56" s="25"/>
      <c r="X56" s="5"/>
    </row>
    <row r="57" spans="1:25" ht="15.6" x14ac:dyDescent="0.3">
      <c r="A57" s="24"/>
      <c r="B57" s="25" t="s">
        <v>124</v>
      </c>
      <c r="C57" s="25"/>
      <c r="D57" s="25"/>
      <c r="E57" s="25"/>
      <c r="F57" s="25"/>
      <c r="G57" s="25"/>
      <c r="H57" s="58"/>
      <c r="I57" s="58"/>
      <c r="J57" s="58"/>
      <c r="K57" s="58"/>
      <c r="L57" s="58"/>
      <c r="M57" s="58"/>
      <c r="N57" s="58"/>
      <c r="O57" s="58"/>
      <c r="P57" s="58"/>
      <c r="Q57" s="58"/>
      <c r="R57" s="25">
        <f>+V57-T57+1</f>
        <v>91</v>
      </c>
      <c r="S57" s="58"/>
      <c r="T57" s="45">
        <v>39279</v>
      </c>
      <c r="U57" s="46"/>
      <c r="V57" s="45">
        <v>39369</v>
      </c>
      <c r="W57" s="25"/>
      <c r="X57" s="5"/>
    </row>
    <row r="58" spans="1:25" ht="15.6" x14ac:dyDescent="0.3">
      <c r="A58" s="24"/>
      <c r="B58" s="25" t="s">
        <v>125</v>
      </c>
      <c r="C58" s="25"/>
      <c r="D58" s="25"/>
      <c r="E58" s="25"/>
      <c r="F58" s="25"/>
      <c r="G58" s="25"/>
      <c r="H58" s="25"/>
      <c r="I58" s="25"/>
      <c r="J58" s="25"/>
      <c r="K58" s="25"/>
      <c r="L58" s="25"/>
      <c r="M58" s="25"/>
      <c r="N58" s="25"/>
      <c r="O58" s="25"/>
      <c r="P58" s="25"/>
      <c r="Q58" s="25"/>
      <c r="R58" s="25">
        <f>+V58-T58+1</f>
        <v>92</v>
      </c>
      <c r="S58" s="25"/>
      <c r="T58" s="45">
        <v>39370</v>
      </c>
      <c r="U58" s="46"/>
      <c r="V58" s="45">
        <v>39461</v>
      </c>
      <c r="W58" s="25"/>
      <c r="X58" s="5"/>
    </row>
    <row r="59" spans="1:25" ht="15.6" x14ac:dyDescent="0.3">
      <c r="A59" s="24"/>
      <c r="B59" s="25" t="s">
        <v>235</v>
      </c>
      <c r="C59" s="25"/>
      <c r="D59" s="25"/>
      <c r="E59" s="25"/>
      <c r="F59" s="25"/>
      <c r="G59" s="25"/>
      <c r="H59" s="25"/>
      <c r="I59" s="25"/>
      <c r="J59" s="25"/>
      <c r="K59" s="25"/>
      <c r="L59" s="25"/>
      <c r="M59" s="25"/>
      <c r="N59" s="25"/>
      <c r="O59" s="25"/>
      <c r="P59" s="25"/>
      <c r="Q59" s="25"/>
      <c r="R59" s="25"/>
      <c r="S59" s="25"/>
      <c r="T59" s="45"/>
      <c r="U59" s="46"/>
      <c r="V59" s="45" t="s">
        <v>123</v>
      </c>
      <c r="W59" s="25"/>
      <c r="X59" s="5"/>
    </row>
    <row r="60" spans="1:25" ht="15.6" x14ac:dyDescent="0.3">
      <c r="A60" s="24"/>
      <c r="B60" s="25" t="s">
        <v>234</v>
      </c>
      <c r="C60" s="25"/>
      <c r="D60" s="25"/>
      <c r="E60" s="25"/>
      <c r="F60" s="25"/>
      <c r="G60" s="25"/>
      <c r="H60" s="25"/>
      <c r="I60" s="25"/>
      <c r="J60" s="25"/>
      <c r="K60" s="25"/>
      <c r="L60" s="25"/>
      <c r="M60" s="25"/>
      <c r="N60" s="25"/>
      <c r="O60" s="25"/>
      <c r="P60" s="25"/>
      <c r="Q60" s="25"/>
      <c r="R60" s="25"/>
      <c r="S60" s="25"/>
      <c r="T60" s="45"/>
      <c r="U60" s="46"/>
      <c r="V60" s="45" t="s">
        <v>157</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39449</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287</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95</v>
      </c>
      <c r="M68" s="115"/>
      <c r="N68" s="115" t="s">
        <v>97</v>
      </c>
      <c r="O68" s="115"/>
      <c r="P68" s="115" t="s">
        <v>99</v>
      </c>
      <c r="Q68" s="115"/>
      <c r="R68" s="115" t="s">
        <v>101</v>
      </c>
      <c r="S68" s="115"/>
      <c r="T68" s="115" t="s">
        <v>108</v>
      </c>
      <c r="U68" s="115"/>
      <c r="V68" s="116" t="s">
        <v>115</v>
      </c>
      <c r="W68" s="117"/>
      <c r="X68" s="5"/>
    </row>
    <row r="69" spans="1:24" ht="15.6" x14ac:dyDescent="0.3">
      <c r="A69" s="24"/>
      <c r="B69" s="25" t="s">
        <v>19</v>
      </c>
      <c r="C69" s="34"/>
      <c r="D69" s="34"/>
      <c r="E69" s="34"/>
      <c r="F69" s="34"/>
      <c r="G69" s="34"/>
      <c r="H69" s="34"/>
      <c r="I69" s="34"/>
      <c r="J69" s="34"/>
      <c r="K69" s="34"/>
      <c r="L69" s="34">
        <f>1085286</f>
        <v>1085286</v>
      </c>
      <c r="M69" s="34"/>
      <c r="N69" s="53">
        <v>1385001</v>
      </c>
      <c r="O69" s="34"/>
      <c r="P69" s="34">
        <f>38028+5967+2703+397</f>
        <v>47095</v>
      </c>
      <c r="Q69" s="34"/>
      <c r="R69" s="34">
        <f>5967+2703+397</f>
        <v>9067</v>
      </c>
      <c r="S69" s="34"/>
      <c r="T69" s="34">
        <v>0</v>
      </c>
      <c r="U69" s="34"/>
      <c r="V69" s="53">
        <f>+N69-P69+R69-T69</f>
        <v>1346973</v>
      </c>
      <c r="W69" s="25"/>
      <c r="X69" s="5"/>
    </row>
    <row r="70" spans="1:24" ht="15.6" x14ac:dyDescent="0.3">
      <c r="A70" s="24"/>
      <c r="B70" s="25" t="s">
        <v>20</v>
      </c>
      <c r="C70" s="34"/>
      <c r="D70" s="34"/>
      <c r="E70" s="34"/>
      <c r="F70" s="34"/>
      <c r="G70" s="34"/>
      <c r="H70" s="34"/>
      <c r="I70" s="34"/>
      <c r="J70" s="34"/>
      <c r="K70" s="34"/>
      <c r="L70" s="34">
        <v>35</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1085321</v>
      </c>
      <c r="M72" s="34"/>
      <c r="N72" s="54">
        <f>N69+N70</f>
        <v>1385001</v>
      </c>
      <c r="O72" s="34"/>
      <c r="P72" s="34">
        <f>SUM(P69:P71)</f>
        <v>47095</v>
      </c>
      <c r="Q72" s="34"/>
      <c r="R72" s="34">
        <f>SUM(R69:R71)</f>
        <v>9067</v>
      </c>
      <c r="S72" s="34"/>
      <c r="T72" s="34">
        <f>SUM(T69:T71)</f>
        <v>0</v>
      </c>
      <c r="U72" s="34"/>
      <c r="V72" s="54">
        <f>SUM(V69:V71)</f>
        <v>1346973</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120</v>
      </c>
      <c r="C82" s="34"/>
      <c r="D82" s="34"/>
      <c r="E82" s="34"/>
      <c r="F82" s="34"/>
      <c r="G82" s="34"/>
      <c r="H82" s="34"/>
      <c r="I82" s="34"/>
      <c r="J82" s="34"/>
      <c r="K82" s="34"/>
      <c r="L82" s="34">
        <f>414862+7</f>
        <v>414869</v>
      </c>
      <c r="M82" s="34"/>
      <c r="N82" s="34">
        <v>0</v>
      </c>
      <c r="O82" s="34"/>
      <c r="P82" s="34">
        <v>0</v>
      </c>
      <c r="Q82" s="34"/>
      <c r="R82" s="34"/>
      <c r="S82" s="34"/>
      <c r="T82" s="34"/>
      <c r="U82" s="34"/>
      <c r="V82" s="54">
        <f>SUM(N82:R82)</f>
        <v>0</v>
      </c>
      <c r="W82" s="25"/>
      <c r="X82" s="5"/>
    </row>
    <row r="83" spans="1:24" ht="15.6" x14ac:dyDescent="0.3">
      <c r="A83" s="24"/>
      <c r="B83" s="25" t="s">
        <v>149</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1500190</v>
      </c>
      <c r="M85" s="34"/>
      <c r="N85" s="54">
        <f>SUM(N72:N84)</f>
        <v>1385001</v>
      </c>
      <c r="O85" s="34"/>
      <c r="P85" s="34"/>
      <c r="Q85" s="34"/>
      <c r="R85" s="34"/>
      <c r="S85" s="34"/>
      <c r="T85" s="54"/>
      <c r="U85" s="34"/>
      <c r="V85" s="54">
        <f>SUM(V72:V84)</f>
        <v>1346973</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96</v>
      </c>
      <c r="M88" s="17"/>
      <c r="N88" s="158">
        <f>+T198</f>
        <v>39447</v>
      </c>
      <c r="O88" s="17"/>
      <c r="P88" s="17"/>
      <c r="Q88" s="17"/>
      <c r="R88" s="17"/>
      <c r="S88" s="17"/>
      <c r="T88" s="17" t="s">
        <v>109</v>
      </c>
      <c r="U88" s="17"/>
      <c r="V88" s="17" t="s">
        <v>116</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v>47095</v>
      </c>
      <c r="U90" s="25"/>
      <c r="V90" s="53"/>
      <c r="W90" s="25"/>
      <c r="X90" s="5"/>
    </row>
    <row r="91" spans="1:24" ht="15.6" x14ac:dyDescent="0.3">
      <c r="A91" s="24"/>
      <c r="B91" s="25" t="s">
        <v>219</v>
      </c>
      <c r="C91" s="25"/>
      <c r="D91" s="25"/>
      <c r="E91" s="25"/>
      <c r="F91" s="25"/>
      <c r="G91" s="25"/>
      <c r="H91" s="40"/>
      <c r="I91" s="40"/>
      <c r="J91" s="40"/>
      <c r="K91" s="57"/>
      <c r="L91" s="40"/>
      <c r="M91" s="25"/>
      <c r="N91" s="127"/>
      <c r="O91" s="25"/>
      <c r="P91" s="25"/>
      <c r="Q91" s="25"/>
      <c r="R91" s="25"/>
      <c r="S91" s="25"/>
      <c r="T91" s="34"/>
      <c r="U91" s="25"/>
      <c r="V91" s="53">
        <f>11921+11238-949-3965-1</f>
        <v>18244</v>
      </c>
      <c r="W91" s="25"/>
      <c r="X91" s="5"/>
    </row>
    <row r="92" spans="1:24" ht="15.6" x14ac:dyDescent="0.3">
      <c r="A92" s="24"/>
      <c r="B92" s="25" t="s">
        <v>214</v>
      </c>
      <c r="C92" s="25"/>
      <c r="D92" s="25"/>
      <c r="E92" s="25"/>
      <c r="F92" s="25"/>
      <c r="G92" s="25"/>
      <c r="H92" s="40"/>
      <c r="I92" s="40"/>
      <c r="J92" s="40"/>
      <c r="K92" s="57"/>
      <c r="L92" s="40"/>
      <c r="M92" s="25"/>
      <c r="N92" s="127"/>
      <c r="O92" s="25"/>
      <c r="P92" s="25"/>
      <c r="Q92" s="25"/>
      <c r="R92" s="25"/>
      <c r="S92" s="25"/>
      <c r="T92" s="34"/>
      <c r="U92" s="25"/>
      <c r="V92" s="53">
        <f>310+290</f>
        <v>600</v>
      </c>
      <c r="W92" s="25"/>
      <c r="X92" s="5"/>
    </row>
    <row r="93" spans="1:24" ht="15.6" x14ac:dyDescent="0.3">
      <c r="A93" s="24"/>
      <c r="B93" s="25" t="s">
        <v>215</v>
      </c>
      <c r="C93" s="25"/>
      <c r="D93" s="25"/>
      <c r="E93" s="25"/>
      <c r="F93" s="25"/>
      <c r="G93" s="25"/>
      <c r="H93" s="40"/>
      <c r="I93" s="40"/>
      <c r="J93" s="40"/>
      <c r="K93" s="57"/>
      <c r="L93" s="40"/>
      <c r="M93" s="25"/>
      <c r="N93" s="127"/>
      <c r="O93" s="25"/>
      <c r="P93" s="25"/>
      <c r="Q93" s="25"/>
      <c r="R93" s="25"/>
      <c r="S93" s="25"/>
      <c r="T93" s="34"/>
      <c r="U93" s="25"/>
      <c r="V93" s="53">
        <v>651</v>
      </c>
      <c r="W93" s="25"/>
      <c r="X93" s="5"/>
    </row>
    <row r="94" spans="1:24" ht="15.6" x14ac:dyDescent="0.3">
      <c r="A94" s="24"/>
      <c r="B94" s="25" t="s">
        <v>277</v>
      </c>
      <c r="C94" s="25"/>
      <c r="D94" s="25"/>
      <c r="E94" s="25"/>
      <c r="F94" s="25"/>
      <c r="G94" s="25"/>
      <c r="H94" s="40"/>
      <c r="I94" s="40"/>
      <c r="J94" s="40"/>
      <c r="K94" s="57"/>
      <c r="L94" s="40"/>
      <c r="M94" s="25"/>
      <c r="N94" s="127"/>
      <c r="O94" s="25"/>
      <c r="P94" s="25"/>
      <c r="Q94" s="25"/>
      <c r="R94" s="25"/>
      <c r="S94" s="25"/>
      <c r="T94" s="34"/>
      <c r="U94" s="25"/>
      <c r="V94" s="53">
        <f>2228+24</f>
        <v>2252</v>
      </c>
      <c r="W94" s="25"/>
      <c r="X94" s="5"/>
    </row>
    <row r="95" spans="1:24" ht="15.6" x14ac:dyDescent="0.3">
      <c r="A95" s="24"/>
      <c r="B95" s="25" t="s">
        <v>138</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265</v>
      </c>
      <c r="C96" s="25"/>
      <c r="D96" s="25"/>
      <c r="E96" s="25"/>
      <c r="F96" s="25"/>
      <c r="G96" s="25"/>
      <c r="H96" s="25"/>
      <c r="I96" s="25"/>
      <c r="J96" s="25"/>
      <c r="K96" s="25"/>
      <c r="L96" s="25"/>
      <c r="M96" s="25"/>
      <c r="N96" s="25"/>
      <c r="O96" s="25"/>
      <c r="P96" s="25"/>
      <c r="Q96" s="25"/>
      <c r="R96" s="25"/>
      <c r="S96" s="25"/>
      <c r="T96" s="34"/>
      <c r="U96" s="25"/>
      <c r="V96" s="53">
        <v>4190</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SUM(T89:T96)+12</f>
        <v>47107</v>
      </c>
      <c r="U97" s="25"/>
      <c r="V97" s="54">
        <f>SUM(V89:V96)</f>
        <v>25937</v>
      </c>
      <c r="W97" s="25"/>
      <c r="X97" s="5"/>
    </row>
    <row r="98" spans="1:25" ht="15.6" x14ac:dyDescent="0.3">
      <c r="A98" s="24"/>
      <c r="B98" s="25" t="s">
        <v>164</v>
      </c>
      <c r="C98" s="25"/>
      <c r="D98" s="25"/>
      <c r="E98" s="25"/>
      <c r="F98" s="25"/>
      <c r="G98" s="25"/>
      <c r="H98" s="25"/>
      <c r="I98" s="25"/>
      <c r="J98" s="25"/>
      <c r="K98" s="25"/>
      <c r="L98" s="25"/>
      <c r="M98" s="25"/>
      <c r="N98" s="25"/>
      <c r="O98" s="25"/>
      <c r="P98" s="25"/>
      <c r="Q98" s="25"/>
      <c r="R98" s="25"/>
      <c r="S98" s="25"/>
      <c r="T98" s="34">
        <f>-V98</f>
        <v>-1209</v>
      </c>
      <c r="U98" s="25"/>
      <c r="V98" s="54">
        <v>1209</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288</v>
      </c>
      <c r="C100" s="25"/>
      <c r="D100" s="25"/>
      <c r="E100" s="25"/>
      <c r="F100" s="25"/>
      <c r="G100" s="25"/>
      <c r="H100" s="25"/>
      <c r="I100" s="25"/>
      <c r="J100" s="25"/>
      <c r="K100" s="25"/>
      <c r="L100" s="25"/>
      <c r="M100" s="25"/>
      <c r="N100" s="25"/>
      <c r="O100" s="25"/>
      <c r="P100" s="25"/>
      <c r="Q100" s="25"/>
      <c r="R100" s="25"/>
      <c r="S100" s="25"/>
      <c r="T100" s="34"/>
      <c r="U100" s="25"/>
      <c r="V100" s="53">
        <v>0</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45898</v>
      </c>
      <c r="U101" s="25"/>
      <c r="V101" s="54">
        <f>V97+V99+V98+V100</f>
        <v>27146</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231</v>
      </c>
      <c r="C104" s="25"/>
      <c r="D104" s="25"/>
      <c r="E104" s="25"/>
      <c r="F104" s="25"/>
      <c r="G104" s="25"/>
      <c r="H104" s="25"/>
      <c r="I104" s="25"/>
      <c r="J104" s="25"/>
      <c r="K104" s="25"/>
      <c r="L104" s="25"/>
      <c r="M104" s="25"/>
      <c r="N104" s="25"/>
      <c r="O104" s="25"/>
      <c r="P104" s="25"/>
      <c r="Q104" s="25"/>
      <c r="R104" s="25"/>
      <c r="S104" s="25"/>
      <c r="T104" s="25"/>
      <c r="U104" s="25"/>
      <c r="V104" s="53">
        <f>-2</f>
        <v>-2</v>
      </c>
      <c r="W104" s="25"/>
      <c r="X104" s="5"/>
    </row>
    <row r="105" spans="1:25" ht="15.6" x14ac:dyDescent="0.3">
      <c r="A105" s="24">
        <f>+A104+1</f>
        <v>3</v>
      </c>
      <c r="B105" s="25" t="s">
        <v>207</v>
      </c>
      <c r="C105" s="25"/>
      <c r="D105" s="25"/>
      <c r="E105" s="25"/>
      <c r="F105" s="25"/>
      <c r="G105" s="25"/>
      <c r="H105" s="25"/>
      <c r="I105" s="25"/>
      <c r="J105" s="25"/>
      <c r="K105" s="25"/>
      <c r="L105" s="25"/>
      <c r="M105" s="25"/>
      <c r="N105" s="25"/>
      <c r="O105" s="25"/>
      <c r="P105" s="25"/>
      <c r="Q105" s="25"/>
      <c r="R105" s="25"/>
      <c r="S105" s="25"/>
      <c r="T105" s="25"/>
      <c r="U105" s="25"/>
      <c r="V105" s="53">
        <f>-524-13-16</f>
        <v>-553</v>
      </c>
      <c r="W105" s="25"/>
      <c r="X105" s="5"/>
    </row>
    <row r="106" spans="1:25" ht="15.6" x14ac:dyDescent="0.3">
      <c r="A106" s="24" t="s">
        <v>130</v>
      </c>
      <c r="B106" s="25" t="s">
        <v>119</v>
      </c>
      <c r="C106" s="25"/>
      <c r="D106" s="25"/>
      <c r="E106" s="25"/>
      <c r="F106" s="25"/>
      <c r="G106" s="25"/>
      <c r="H106" s="25"/>
      <c r="I106" s="25"/>
      <c r="J106" s="25"/>
      <c r="K106" s="25"/>
      <c r="L106" s="25"/>
      <c r="M106" s="25"/>
      <c r="N106" s="25"/>
      <c r="O106" s="25"/>
      <c r="P106" s="25"/>
      <c r="Q106" s="25"/>
      <c r="R106" s="25"/>
      <c r="S106" s="25"/>
      <c r="T106" s="25"/>
      <c r="U106" s="25"/>
      <c r="V106" s="53">
        <v>0</v>
      </c>
      <c r="W106" s="25"/>
      <c r="X106" s="5"/>
    </row>
    <row r="107" spans="1:25" ht="15.6" x14ac:dyDescent="0.3">
      <c r="A107" s="24" t="s">
        <v>131</v>
      </c>
      <c r="B107" s="25" t="s">
        <v>228</v>
      </c>
      <c r="C107" s="25"/>
      <c r="D107" s="25"/>
      <c r="E107" s="25"/>
      <c r="F107" s="25"/>
      <c r="G107" s="25"/>
      <c r="H107" s="25"/>
      <c r="I107" s="25"/>
      <c r="J107" s="25"/>
      <c r="K107" s="25"/>
      <c r="L107" s="25"/>
      <c r="M107" s="25"/>
      <c r="N107" s="25"/>
      <c r="O107" s="25"/>
      <c r="P107" s="25"/>
      <c r="Q107" s="25"/>
      <c r="R107" s="25"/>
      <c r="S107" s="25"/>
      <c r="T107" s="25"/>
      <c r="U107" s="25"/>
      <c r="V107" s="53">
        <f>-11629-3125-2749</f>
        <v>-17503</v>
      </c>
      <c r="W107" s="25"/>
      <c r="X107" s="5"/>
      <c r="Y107" s="109"/>
    </row>
    <row r="108" spans="1:25" ht="15.6" x14ac:dyDescent="0.3">
      <c r="A108" s="24" t="s">
        <v>153</v>
      </c>
      <c r="B108" s="25" t="s">
        <v>187</v>
      </c>
      <c r="C108" s="25"/>
      <c r="D108" s="25"/>
      <c r="E108" s="25"/>
      <c r="F108" s="25"/>
      <c r="G108" s="25"/>
      <c r="H108" s="25"/>
      <c r="I108" s="25"/>
      <c r="J108" s="25"/>
      <c r="K108" s="25"/>
      <c r="L108" s="25"/>
      <c r="M108" s="25"/>
      <c r="N108" s="25"/>
      <c r="O108" s="25"/>
      <c r="P108" s="25"/>
      <c r="Q108" s="25"/>
      <c r="R108" s="25"/>
      <c r="S108" s="25"/>
      <c r="T108" s="25"/>
      <c r="U108" s="25"/>
      <c r="V108" s="53">
        <v>-1844</v>
      </c>
      <c r="W108" s="25"/>
      <c r="X108" s="5"/>
      <c r="Y108" s="109"/>
    </row>
    <row r="109" spans="1:25" ht="15.6" x14ac:dyDescent="0.3">
      <c r="A109" s="24" t="s">
        <v>266</v>
      </c>
      <c r="B109" s="25" t="s">
        <v>269</v>
      </c>
      <c r="C109" s="25"/>
      <c r="D109" s="25"/>
      <c r="E109" s="25"/>
      <c r="F109" s="25"/>
      <c r="G109" s="25"/>
      <c r="H109" s="25"/>
      <c r="I109" s="25"/>
      <c r="J109" s="25"/>
      <c r="K109" s="25"/>
      <c r="L109" s="25"/>
      <c r="M109" s="25"/>
      <c r="N109" s="25"/>
      <c r="O109" s="25"/>
      <c r="P109" s="25"/>
      <c r="Q109" s="25"/>
      <c r="R109" s="25"/>
      <c r="S109" s="25"/>
      <c r="T109" s="25"/>
      <c r="U109" s="25"/>
      <c r="V109" s="53">
        <v>-4</v>
      </c>
      <c r="W109" s="25"/>
      <c r="X109" s="5"/>
    </row>
    <row r="110" spans="1:25" ht="15.6" x14ac:dyDescent="0.3">
      <c r="A110" s="24" t="s">
        <v>208</v>
      </c>
      <c r="B110" s="25" t="s">
        <v>188</v>
      </c>
      <c r="C110" s="25"/>
      <c r="D110" s="25"/>
      <c r="E110" s="25"/>
      <c r="F110" s="25"/>
      <c r="G110" s="25"/>
      <c r="H110" s="25"/>
      <c r="I110" s="25"/>
      <c r="J110" s="25"/>
      <c r="K110" s="25"/>
      <c r="L110" s="25"/>
      <c r="M110" s="25"/>
      <c r="N110" s="25"/>
      <c r="O110" s="25"/>
      <c r="P110" s="25"/>
      <c r="Q110" s="25"/>
      <c r="R110" s="25"/>
      <c r="S110" s="25"/>
      <c r="T110" s="25"/>
      <c r="U110" s="25"/>
      <c r="V110" s="53">
        <v>-924</v>
      </c>
      <c r="W110" s="25"/>
      <c r="X110" s="5"/>
      <c r="Y110" s="109"/>
    </row>
    <row r="111" spans="1:25" ht="15.6" x14ac:dyDescent="0.3">
      <c r="A111" s="24" t="s">
        <v>209</v>
      </c>
      <c r="B111" s="25" t="s">
        <v>189</v>
      </c>
      <c r="C111" s="25"/>
      <c r="D111" s="25"/>
      <c r="E111" s="25"/>
      <c r="F111" s="25"/>
      <c r="G111" s="25"/>
      <c r="H111" s="25"/>
      <c r="I111" s="25"/>
      <c r="J111" s="25"/>
      <c r="K111" s="25"/>
      <c r="L111" s="25"/>
      <c r="M111" s="25"/>
      <c r="N111" s="25"/>
      <c r="O111" s="25"/>
      <c r="P111" s="25"/>
      <c r="Q111" s="25"/>
      <c r="R111" s="25"/>
      <c r="S111" s="25"/>
      <c r="T111" s="25"/>
      <c r="U111" s="25"/>
      <c r="V111" s="53">
        <v>-916</v>
      </c>
      <c r="W111" s="25"/>
      <c r="X111" s="5"/>
      <c r="Y111" s="109"/>
    </row>
    <row r="112" spans="1:25" ht="15.6" x14ac:dyDescent="0.3">
      <c r="A112" s="24" t="s">
        <v>210</v>
      </c>
      <c r="B112" s="25" t="s">
        <v>199</v>
      </c>
      <c r="C112" s="25"/>
      <c r="D112" s="25"/>
      <c r="E112" s="25"/>
      <c r="F112" s="25"/>
      <c r="G112" s="25"/>
      <c r="H112" s="25"/>
      <c r="I112" s="25"/>
      <c r="J112" s="25"/>
      <c r="K112" s="25"/>
      <c r="L112" s="25"/>
      <c r="M112" s="25"/>
      <c r="N112" s="25"/>
      <c r="O112" s="25"/>
      <c r="P112" s="25"/>
      <c r="Q112" s="25"/>
      <c r="R112" s="25"/>
      <c r="S112" s="25"/>
      <c r="T112" s="25"/>
      <c r="U112" s="25"/>
      <c r="V112" s="53">
        <v>-920</v>
      </c>
      <c r="W112" s="25"/>
      <c r="X112" s="5"/>
      <c r="Y112" s="109"/>
    </row>
    <row r="113" spans="1:25" ht="15.6" x14ac:dyDescent="0.3">
      <c r="A113" s="24" t="s">
        <v>230</v>
      </c>
      <c r="B113" s="25" t="s">
        <v>229</v>
      </c>
      <c r="C113" s="25"/>
      <c r="D113" s="25"/>
      <c r="E113" s="25"/>
      <c r="F113" s="25"/>
      <c r="G113" s="25"/>
      <c r="H113" s="25"/>
      <c r="I113" s="25"/>
      <c r="J113" s="25"/>
      <c r="K113" s="25"/>
      <c r="L113" s="25"/>
      <c r="M113" s="25"/>
      <c r="N113" s="25"/>
      <c r="O113" s="25"/>
      <c r="P113" s="25"/>
      <c r="Q113" s="25"/>
      <c r="R113" s="25"/>
      <c r="S113" s="25"/>
      <c r="T113" s="25"/>
      <c r="U113" s="25"/>
      <c r="V113" s="53">
        <v>-219</v>
      </c>
      <c r="W113" s="25"/>
      <c r="X113" s="5"/>
      <c r="Y113" s="109"/>
    </row>
    <row r="114" spans="1:25" ht="15.6" x14ac:dyDescent="0.3">
      <c r="A114" s="24">
        <v>7</v>
      </c>
      <c r="B114" s="25" t="s">
        <v>35</v>
      </c>
      <c r="C114" s="25"/>
      <c r="D114" s="25"/>
      <c r="E114" s="25"/>
      <c r="F114" s="25"/>
      <c r="G114" s="25"/>
      <c r="H114" s="25"/>
      <c r="I114" s="25"/>
      <c r="J114" s="25"/>
      <c r="K114" s="25"/>
      <c r="L114" s="25"/>
      <c r="M114" s="25"/>
      <c r="N114" s="25"/>
      <c r="O114" s="25"/>
      <c r="P114" s="25"/>
      <c r="Q114" s="25"/>
      <c r="R114" s="25"/>
      <c r="S114" s="25"/>
      <c r="T114" s="25"/>
      <c r="U114" s="25"/>
      <c r="V114" s="53">
        <v>-10</v>
      </c>
      <c r="W114" s="25"/>
      <c r="X114" s="5"/>
    </row>
    <row r="115" spans="1:25" ht="15.6" x14ac:dyDescent="0.3">
      <c r="A115" s="24">
        <f t="shared" ref="A115:A121" si="0">+A114+1</f>
        <v>8</v>
      </c>
      <c r="B115" s="25" t="s">
        <v>45</v>
      </c>
      <c r="C115" s="25"/>
      <c r="D115" s="25"/>
      <c r="E115" s="25"/>
      <c r="F115" s="25"/>
      <c r="G115" s="25"/>
      <c r="H115" s="25"/>
      <c r="I115" s="25"/>
      <c r="J115" s="25"/>
      <c r="K115" s="25"/>
      <c r="L115" s="25"/>
      <c r="M115" s="25"/>
      <c r="N115" s="25"/>
      <c r="O115" s="25"/>
      <c r="P115" s="25"/>
      <c r="Q115" s="25"/>
      <c r="R115" s="25"/>
      <c r="S115" s="25"/>
      <c r="T115" s="34">
        <f>-V115</f>
        <v>-12</v>
      </c>
      <c r="U115" s="25"/>
      <c r="V115" s="53">
        <v>12</v>
      </c>
      <c r="W115" s="25"/>
      <c r="X115" s="5"/>
    </row>
    <row r="116" spans="1:25" ht="15.6" x14ac:dyDescent="0.3">
      <c r="A116" s="24">
        <f t="shared" si="0"/>
        <v>9</v>
      </c>
      <c r="B116" s="25" t="s">
        <v>128</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5" ht="15.6" x14ac:dyDescent="0.3">
      <c r="A117" s="24">
        <f t="shared" si="0"/>
        <v>10</v>
      </c>
      <c r="B117" s="25" t="s">
        <v>271</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11</v>
      </c>
      <c r="B118" s="25" t="s">
        <v>36</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12</v>
      </c>
      <c r="B119" s="25" t="s">
        <v>270</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13</v>
      </c>
      <c r="B120" s="25" t="s">
        <v>152</v>
      </c>
      <c r="C120" s="25"/>
      <c r="D120" s="25"/>
      <c r="E120" s="25"/>
      <c r="F120" s="25"/>
      <c r="G120" s="25"/>
      <c r="H120" s="25"/>
      <c r="I120" s="25"/>
      <c r="J120" s="25"/>
      <c r="K120" s="25"/>
      <c r="L120" s="25"/>
      <c r="M120" s="25"/>
      <c r="N120" s="25"/>
      <c r="O120" s="25"/>
      <c r="P120" s="25"/>
      <c r="Q120" s="25"/>
      <c r="R120" s="25"/>
      <c r="S120" s="25"/>
      <c r="T120" s="25"/>
      <c r="U120" s="25"/>
      <c r="V120" s="53">
        <v>-524</v>
      </c>
      <c r="W120" s="25"/>
      <c r="X120" s="5"/>
    </row>
    <row r="121" spans="1:25" ht="15.6" x14ac:dyDescent="0.3">
      <c r="A121" s="24">
        <f t="shared" si="0"/>
        <v>14</v>
      </c>
      <c r="B121" s="25" t="s">
        <v>129</v>
      </c>
      <c r="C121" s="25"/>
      <c r="D121" s="25"/>
      <c r="E121" s="25"/>
      <c r="F121" s="25"/>
      <c r="G121" s="25"/>
      <c r="H121" s="25"/>
      <c r="I121" s="25"/>
      <c r="J121" s="25"/>
      <c r="K121" s="25"/>
      <c r="L121" s="25"/>
      <c r="M121" s="25"/>
      <c r="N121" s="25"/>
      <c r="O121" s="25"/>
      <c r="P121" s="25"/>
      <c r="Q121" s="25"/>
      <c r="R121" s="25"/>
      <c r="S121" s="25"/>
      <c r="T121" s="25"/>
      <c r="U121" s="25"/>
      <c r="V121" s="53">
        <f>-V101-SUM(V103:V120)</f>
        <v>-3739</v>
      </c>
      <c r="W121" s="25"/>
      <c r="X121" s="5"/>
    </row>
    <row r="122" spans="1:25" ht="15.6" x14ac:dyDescent="0.3">
      <c r="A122" s="24"/>
      <c r="B122" s="118" t="s">
        <v>37</v>
      </c>
      <c r="C122" s="25"/>
      <c r="D122" s="25"/>
      <c r="E122" s="25"/>
      <c r="F122" s="25"/>
      <c r="G122" s="25"/>
      <c r="H122" s="25"/>
      <c r="I122" s="25"/>
      <c r="J122" s="25"/>
      <c r="K122" s="25"/>
      <c r="L122" s="25"/>
      <c r="M122" s="25"/>
      <c r="N122" s="25"/>
      <c r="O122" s="25"/>
      <c r="P122" s="25"/>
      <c r="Q122" s="25"/>
      <c r="R122" s="25"/>
      <c r="S122" s="25"/>
      <c r="T122" s="25"/>
      <c r="U122" s="25"/>
      <c r="V122" s="59"/>
      <c r="W122" s="25"/>
      <c r="X122" s="5"/>
    </row>
    <row r="123" spans="1:25" ht="15.6" x14ac:dyDescent="0.3">
      <c r="A123" s="24"/>
      <c r="B123" s="25" t="s">
        <v>176</v>
      </c>
      <c r="C123" s="25"/>
      <c r="D123" s="25"/>
      <c r="E123" s="25"/>
      <c r="F123" s="25"/>
      <c r="G123" s="25"/>
      <c r="H123" s="25"/>
      <c r="I123" s="25"/>
      <c r="J123" s="25"/>
      <c r="K123" s="25"/>
      <c r="L123" s="25"/>
      <c r="M123" s="25"/>
      <c r="N123" s="25"/>
      <c r="O123" s="25"/>
      <c r="P123" s="25"/>
      <c r="Q123" s="25"/>
      <c r="R123" s="25"/>
      <c r="S123" s="25"/>
      <c r="T123" s="34">
        <f>-T182</f>
        <v>-665</v>
      </c>
      <c r="U123" s="34"/>
      <c r="V123" s="53"/>
      <c r="W123" s="25"/>
      <c r="X123" s="5"/>
    </row>
    <row r="124" spans="1:25" ht="15.6" x14ac:dyDescent="0.3">
      <c r="A124" s="24"/>
      <c r="B124" s="25" t="s">
        <v>177</v>
      </c>
      <c r="C124" s="25"/>
      <c r="D124" s="25"/>
      <c r="E124" s="25"/>
      <c r="F124" s="25"/>
      <c r="G124" s="25"/>
      <c r="H124" s="25"/>
      <c r="I124" s="25"/>
      <c r="J124" s="25"/>
      <c r="K124" s="25"/>
      <c r="L124" s="25"/>
      <c r="M124" s="25"/>
      <c r="N124" s="25"/>
      <c r="O124" s="25"/>
      <c r="P124" s="25"/>
      <c r="Q124" s="25"/>
      <c r="R124" s="25"/>
      <c r="S124" s="25"/>
      <c r="T124" s="34">
        <v>-592</v>
      </c>
      <c r="U124" s="34"/>
      <c r="V124" s="53"/>
      <c r="W124" s="25"/>
      <c r="X124" s="5"/>
    </row>
    <row r="125" spans="1:25" ht="15.6" x14ac:dyDescent="0.3">
      <c r="A125" s="24"/>
      <c r="B125" s="25" t="s">
        <v>38</v>
      </c>
      <c r="C125" s="25"/>
      <c r="D125" s="25"/>
      <c r="E125" s="25"/>
      <c r="F125" s="25"/>
      <c r="G125" s="25"/>
      <c r="H125" s="25"/>
      <c r="I125" s="25"/>
      <c r="J125" s="25"/>
      <c r="K125" s="25"/>
      <c r="L125" s="25"/>
      <c r="M125" s="25"/>
      <c r="N125" s="25"/>
      <c r="O125" s="25"/>
      <c r="P125" s="25"/>
      <c r="Q125" s="25"/>
      <c r="R125" s="25"/>
      <c r="S125" s="25"/>
      <c r="T125" s="34">
        <f>-S182</f>
        <v>-6601</v>
      </c>
      <c r="U125" s="34"/>
      <c r="V125" s="53"/>
      <c r="W125" s="25"/>
      <c r="X125" s="5"/>
    </row>
    <row r="126" spans="1:25" ht="15.6" x14ac:dyDescent="0.3">
      <c r="A126" s="24"/>
      <c r="B126" s="25" t="s">
        <v>200</v>
      </c>
      <c r="C126" s="25"/>
      <c r="D126" s="25"/>
      <c r="E126" s="25"/>
      <c r="F126" s="25"/>
      <c r="G126" s="25"/>
      <c r="H126" s="25"/>
      <c r="I126" s="25"/>
      <c r="J126" s="25"/>
      <c r="K126" s="25"/>
      <c r="L126" s="25"/>
      <c r="M126" s="25"/>
      <c r="N126" s="25"/>
      <c r="O126" s="25"/>
      <c r="P126" s="25"/>
      <c r="Q126" s="25"/>
      <c r="R126" s="25"/>
      <c r="S126" s="25"/>
      <c r="T126" s="34">
        <v>-22978</v>
      </c>
      <c r="U126" s="34"/>
      <c r="V126" s="53"/>
      <c r="W126" s="25"/>
      <c r="X126" s="5"/>
    </row>
    <row r="127" spans="1:25" ht="15.6" x14ac:dyDescent="0.3">
      <c r="A127" s="24"/>
      <c r="B127" s="25" t="s">
        <v>198</v>
      </c>
      <c r="C127" s="25"/>
      <c r="D127" s="25"/>
      <c r="E127" s="25"/>
      <c r="F127" s="25"/>
      <c r="G127" s="25"/>
      <c r="H127" s="25"/>
      <c r="I127" s="25"/>
      <c r="J127" s="25"/>
      <c r="K127" s="25"/>
      <c r="L127" s="25"/>
      <c r="M127" s="25"/>
      <c r="N127" s="25"/>
      <c r="O127" s="25"/>
      <c r="P127" s="25"/>
      <c r="Q127" s="25"/>
      <c r="R127" s="25"/>
      <c r="S127" s="25"/>
      <c r="T127" s="34">
        <v>-3600</v>
      </c>
      <c r="U127" s="34"/>
      <c r="V127" s="53"/>
      <c r="W127" s="25"/>
      <c r="X127" s="5"/>
    </row>
    <row r="128" spans="1:25" ht="15.6" x14ac:dyDescent="0.3">
      <c r="A128" s="24"/>
      <c r="B128" s="25" t="s">
        <v>197</v>
      </c>
      <c r="C128" s="25"/>
      <c r="D128" s="25"/>
      <c r="E128" s="25"/>
      <c r="F128" s="25"/>
      <c r="G128" s="25"/>
      <c r="H128" s="25"/>
      <c r="I128" s="25"/>
      <c r="J128" s="25"/>
      <c r="K128" s="25"/>
      <c r="L128" s="25"/>
      <c r="M128" s="25"/>
      <c r="N128" s="25"/>
      <c r="O128" s="25"/>
      <c r="P128" s="25"/>
      <c r="Q128" s="25"/>
      <c r="R128" s="25"/>
      <c r="S128" s="25"/>
      <c r="T128" s="34">
        <v>-6088</v>
      </c>
      <c r="U128" s="34"/>
      <c r="V128" s="53"/>
      <c r="W128" s="25"/>
      <c r="X128" s="5"/>
    </row>
    <row r="129" spans="1:24" ht="15.6" x14ac:dyDescent="0.3">
      <c r="A129" s="24"/>
      <c r="B129" s="25" t="s">
        <v>232</v>
      </c>
      <c r="C129" s="25"/>
      <c r="D129" s="25"/>
      <c r="E129" s="25"/>
      <c r="F129" s="25"/>
      <c r="G129" s="25"/>
      <c r="H129" s="25"/>
      <c r="I129" s="25"/>
      <c r="J129" s="25"/>
      <c r="K129" s="25"/>
      <c r="L129" s="25"/>
      <c r="M129" s="25"/>
      <c r="N129" s="25"/>
      <c r="O129" s="25"/>
      <c r="P129" s="25"/>
      <c r="Q129" s="25"/>
      <c r="R129" s="25"/>
      <c r="S129" s="25"/>
      <c r="T129" s="34">
        <v>-5362</v>
      </c>
      <c r="U129" s="34"/>
      <c r="V129" s="53"/>
      <c r="W129" s="25"/>
      <c r="X129" s="5"/>
    </row>
    <row r="130" spans="1:24" ht="15.6" x14ac:dyDescent="0.3">
      <c r="A130" s="24"/>
      <c r="B130" s="25" t="s">
        <v>192</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191</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233</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190</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39</v>
      </c>
      <c r="C134" s="25"/>
      <c r="D134" s="25"/>
      <c r="E134" s="25"/>
      <c r="F134" s="25"/>
      <c r="G134" s="25"/>
      <c r="H134" s="25"/>
      <c r="I134" s="25"/>
      <c r="J134" s="25"/>
      <c r="K134" s="25"/>
      <c r="L134" s="25"/>
      <c r="M134" s="25"/>
      <c r="N134" s="25"/>
      <c r="O134" s="25"/>
      <c r="P134" s="25"/>
      <c r="Q134" s="25"/>
      <c r="R134" s="25"/>
      <c r="S134" s="25"/>
      <c r="T134" s="34">
        <f>SUM(T123:T133)</f>
        <v>-45886</v>
      </c>
      <c r="U134" s="34"/>
      <c r="V134" s="34">
        <f>SUM(V102:V131)</f>
        <v>-27146</v>
      </c>
      <c r="W134" s="25"/>
      <c r="X134" s="5"/>
    </row>
    <row r="135" spans="1:24" ht="15.6" x14ac:dyDescent="0.3">
      <c r="A135" s="24"/>
      <c r="B135" s="25" t="s">
        <v>40</v>
      </c>
      <c r="C135" s="25"/>
      <c r="D135" s="25"/>
      <c r="E135" s="25"/>
      <c r="F135" s="25"/>
      <c r="G135" s="25"/>
      <c r="H135" s="25"/>
      <c r="I135" s="25"/>
      <c r="J135" s="25"/>
      <c r="K135" s="25"/>
      <c r="L135" s="25"/>
      <c r="M135" s="25"/>
      <c r="N135" s="25"/>
      <c r="O135" s="25"/>
      <c r="P135" s="25"/>
      <c r="Q135" s="25"/>
      <c r="R135" s="25"/>
      <c r="S135" s="25"/>
      <c r="T135" s="34">
        <f>T101+T134+T115</f>
        <v>0</v>
      </c>
      <c r="U135" s="34"/>
      <c r="V135" s="34">
        <f>V101+V134</f>
        <v>0</v>
      </c>
      <c r="W135" s="25"/>
      <c r="X135" s="5"/>
    </row>
    <row r="136" spans="1:24" ht="15.6" x14ac:dyDescent="0.3">
      <c r="A136" s="24"/>
      <c r="B136" s="25"/>
      <c r="C136" s="25"/>
      <c r="D136" s="25"/>
      <c r="E136" s="25"/>
      <c r="F136" s="25"/>
      <c r="G136" s="25"/>
      <c r="H136" s="25"/>
      <c r="I136" s="25"/>
      <c r="J136" s="25"/>
      <c r="K136" s="25"/>
      <c r="L136" s="25"/>
      <c r="M136" s="25"/>
      <c r="N136" s="25"/>
      <c r="O136" s="25"/>
      <c r="P136" s="25"/>
      <c r="Q136" s="25"/>
      <c r="R136" s="25"/>
      <c r="S136" s="25"/>
      <c r="T136" s="34"/>
      <c r="U136" s="34"/>
      <c r="V136" s="34"/>
      <c r="W136" s="25"/>
      <c r="X136" s="5"/>
    </row>
    <row r="137" spans="1:24" ht="15.6" x14ac:dyDescent="0.3">
      <c r="A137" s="6"/>
      <c r="B137" s="8"/>
      <c r="C137" s="8"/>
      <c r="D137" s="8"/>
      <c r="E137" s="8"/>
      <c r="F137" s="8"/>
      <c r="G137" s="8"/>
      <c r="H137" s="8"/>
      <c r="I137" s="8"/>
      <c r="J137" s="8"/>
      <c r="K137" s="8"/>
      <c r="L137" s="8"/>
      <c r="M137" s="8"/>
      <c r="N137" s="8"/>
      <c r="O137" s="8"/>
      <c r="P137" s="8"/>
      <c r="Q137" s="8"/>
      <c r="R137" s="8"/>
      <c r="S137" s="8"/>
      <c r="T137" s="8"/>
      <c r="U137" s="8"/>
      <c r="V137" s="52"/>
      <c r="W137" s="8"/>
      <c r="X137" s="5"/>
    </row>
    <row r="138" spans="1:24" ht="18" thickBot="1" x14ac:dyDescent="0.35">
      <c r="A138" s="101"/>
      <c r="B138" s="102" t="str">
        <f>B64</f>
        <v>PM13 INVESTOR REPORT QUARTER ENDING DECEMBER 2007</v>
      </c>
      <c r="C138" s="103"/>
      <c r="D138" s="103"/>
      <c r="E138" s="103"/>
      <c r="F138" s="103"/>
      <c r="G138" s="103"/>
      <c r="H138" s="103"/>
      <c r="I138" s="103"/>
      <c r="J138" s="103"/>
      <c r="K138" s="103"/>
      <c r="L138" s="103"/>
      <c r="M138" s="103"/>
      <c r="N138" s="103"/>
      <c r="O138" s="103"/>
      <c r="P138" s="103"/>
      <c r="Q138" s="103"/>
      <c r="R138" s="103"/>
      <c r="S138" s="103"/>
      <c r="T138" s="103"/>
      <c r="U138" s="103"/>
      <c r="V138" s="106"/>
      <c r="W138" s="105"/>
      <c r="X138" s="5"/>
    </row>
    <row r="139" spans="1:24" ht="15.6" x14ac:dyDescent="0.3">
      <c r="A139" s="2"/>
      <c r="B139" s="60" t="s">
        <v>41</v>
      </c>
      <c r="C139" s="4"/>
      <c r="D139" s="4"/>
      <c r="E139" s="4"/>
      <c r="F139" s="4"/>
      <c r="G139" s="4"/>
      <c r="H139" s="4"/>
      <c r="I139" s="4"/>
      <c r="J139" s="4"/>
      <c r="K139" s="4"/>
      <c r="L139" s="4"/>
      <c r="M139" s="4"/>
      <c r="N139" s="4"/>
      <c r="O139" s="4"/>
      <c r="P139" s="4"/>
      <c r="Q139" s="4"/>
      <c r="R139" s="4"/>
      <c r="S139" s="4"/>
      <c r="T139" s="4"/>
      <c r="U139" s="4"/>
      <c r="V139" s="50"/>
      <c r="W139" s="4"/>
      <c r="X139" s="5"/>
    </row>
    <row r="140" spans="1:24" ht="15.6" x14ac:dyDescent="0.3">
      <c r="A140" s="6"/>
      <c r="B140" s="21"/>
      <c r="C140" s="8"/>
      <c r="D140" s="8"/>
      <c r="E140" s="8"/>
      <c r="F140" s="8"/>
      <c r="G140" s="8"/>
      <c r="H140" s="8"/>
      <c r="I140" s="8"/>
      <c r="J140" s="8"/>
      <c r="K140" s="8"/>
      <c r="L140" s="8"/>
      <c r="M140" s="8"/>
      <c r="N140" s="8"/>
      <c r="O140" s="8"/>
      <c r="P140" s="8"/>
      <c r="Q140" s="8"/>
      <c r="R140" s="8"/>
      <c r="S140" s="8"/>
      <c r="T140" s="8"/>
      <c r="U140" s="8"/>
      <c r="V140" s="52"/>
      <c r="W140" s="8"/>
      <c r="X140" s="5"/>
    </row>
    <row r="141" spans="1:24" ht="15.6" x14ac:dyDescent="0.3">
      <c r="A141" s="6"/>
      <c r="B141" s="119" t="s">
        <v>42</v>
      </c>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24"/>
      <c r="B142" s="25" t="s">
        <v>43</v>
      </c>
      <c r="C142" s="25"/>
      <c r="D142" s="25"/>
      <c r="E142" s="25"/>
      <c r="F142" s="25"/>
      <c r="G142" s="25"/>
      <c r="H142" s="25"/>
      <c r="I142" s="25"/>
      <c r="J142" s="25"/>
      <c r="K142" s="25"/>
      <c r="L142" s="25"/>
      <c r="M142" s="25"/>
      <c r="N142" s="25"/>
      <c r="O142" s="25"/>
      <c r="P142" s="25"/>
      <c r="Q142" s="25"/>
      <c r="R142" s="25"/>
      <c r="S142" s="25"/>
      <c r="T142" s="25"/>
      <c r="U142" s="25"/>
      <c r="V142" s="53">
        <f>+V34*0.019</f>
        <v>28503.61</v>
      </c>
      <c r="W142" s="25"/>
      <c r="X142" s="5"/>
    </row>
    <row r="143" spans="1:24" ht="15.6" x14ac:dyDescent="0.3">
      <c r="A143" s="24"/>
      <c r="B143" s="25" t="s">
        <v>44</v>
      </c>
      <c r="C143" s="25"/>
      <c r="D143" s="25"/>
      <c r="E143" s="25"/>
      <c r="F143" s="25"/>
      <c r="G143" s="25"/>
      <c r="H143" s="25"/>
      <c r="I143" s="25"/>
      <c r="J143" s="25"/>
      <c r="K143" s="25"/>
      <c r="L143" s="25"/>
      <c r="M143" s="25"/>
      <c r="N143" s="25"/>
      <c r="O143" s="25"/>
      <c r="P143" s="25"/>
      <c r="Q143" s="25"/>
      <c r="R143" s="25"/>
      <c r="S143" s="25"/>
      <c r="T143" s="25"/>
      <c r="U143" s="25"/>
      <c r="V143" s="53">
        <v>28504</v>
      </c>
      <c r="W143" s="25"/>
      <c r="X143" s="5"/>
    </row>
    <row r="144" spans="1:24" ht="15.6" x14ac:dyDescent="0.3">
      <c r="A144" s="24"/>
      <c r="B144" s="25" t="s">
        <v>139</v>
      </c>
      <c r="C144" s="25"/>
      <c r="D144" s="25"/>
      <c r="E144" s="25"/>
      <c r="F144" s="25"/>
      <c r="G144" s="25"/>
      <c r="H144" s="25"/>
      <c r="I144" s="25"/>
      <c r="J144" s="25"/>
      <c r="K144" s="25"/>
      <c r="L144" s="25"/>
      <c r="M144" s="25"/>
      <c r="N144" s="25"/>
      <c r="O144" s="25"/>
      <c r="P144" s="25"/>
      <c r="Q144" s="25"/>
      <c r="R144" s="25"/>
      <c r="S144" s="25"/>
      <c r="T144" s="25"/>
      <c r="U144" s="25"/>
      <c r="V144" s="53"/>
      <c r="W144" s="25"/>
      <c r="X144" s="5"/>
    </row>
    <row r="145" spans="1:25" ht="15.6" x14ac:dyDescent="0.3">
      <c r="A145" s="24"/>
      <c r="B145" s="25" t="s">
        <v>126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127</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178</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45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132</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267</v>
      </c>
      <c r="C150" s="25"/>
      <c r="D150" s="25"/>
      <c r="E150" s="25"/>
      <c r="F150" s="25"/>
      <c r="G150" s="25"/>
      <c r="H150" s="25"/>
      <c r="I150" s="25"/>
      <c r="J150" s="25"/>
      <c r="K150" s="25"/>
      <c r="L150" s="25"/>
      <c r="M150" s="25"/>
      <c r="N150" s="25"/>
      <c r="O150" s="25"/>
      <c r="P150" s="25"/>
      <c r="Q150" s="25"/>
      <c r="R150" s="25"/>
      <c r="S150" s="25"/>
      <c r="T150" s="25"/>
      <c r="U150" s="25"/>
      <c r="V150" s="53">
        <v>0</v>
      </c>
      <c r="W150" s="25"/>
      <c r="X150" s="5"/>
      <c r="Y150" s="109"/>
    </row>
    <row r="151" spans="1:25" ht="15.6" x14ac:dyDescent="0.3">
      <c r="A151" s="24"/>
      <c r="B151" s="25" t="s">
        <v>46</v>
      </c>
      <c r="C151" s="25"/>
      <c r="D151" s="25"/>
      <c r="E151" s="25"/>
      <c r="F151" s="25"/>
      <c r="G151" s="25"/>
      <c r="H151" s="25"/>
      <c r="I151" s="25"/>
      <c r="J151" s="25"/>
      <c r="K151" s="25"/>
      <c r="L151" s="25"/>
      <c r="M151" s="25"/>
      <c r="N151" s="25"/>
      <c r="O151" s="25"/>
      <c r="P151" s="25"/>
      <c r="Q151" s="25"/>
      <c r="R151" s="25"/>
      <c r="S151" s="25"/>
      <c r="T151" s="25"/>
      <c r="U151" s="25"/>
      <c r="V151" s="53">
        <f>SUM(V143:V150)</f>
        <v>28504</v>
      </c>
      <c r="W151" s="25"/>
      <c r="X151" s="5"/>
    </row>
    <row r="152" spans="1:25" ht="15.6" x14ac:dyDescent="0.3">
      <c r="A152" s="24"/>
      <c r="B152" s="25"/>
      <c r="C152" s="25"/>
      <c r="D152" s="25"/>
      <c r="E152" s="25"/>
      <c r="F152" s="25"/>
      <c r="G152" s="25"/>
      <c r="H152" s="25"/>
      <c r="I152" s="25"/>
      <c r="J152" s="25"/>
      <c r="K152" s="25"/>
      <c r="L152" s="25"/>
      <c r="M152" s="25"/>
      <c r="N152" s="25"/>
      <c r="O152" s="25"/>
      <c r="P152" s="25"/>
      <c r="Q152" s="25"/>
      <c r="R152" s="25"/>
      <c r="S152" s="25"/>
      <c r="T152" s="25"/>
      <c r="U152" s="25"/>
      <c r="V152" s="53"/>
      <c r="W152" s="25"/>
      <c r="X152" s="5"/>
    </row>
    <row r="153" spans="1:25" ht="15.6" x14ac:dyDescent="0.3">
      <c r="A153" s="24"/>
      <c r="B153" s="138" t="s">
        <v>268</v>
      </c>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25" t="s">
        <v>158</v>
      </c>
      <c r="C154" s="25"/>
      <c r="D154" s="25"/>
      <c r="E154" s="25"/>
      <c r="F154" s="25"/>
      <c r="G154" s="25"/>
      <c r="H154" s="25"/>
      <c r="I154" s="25"/>
      <c r="J154" s="25"/>
      <c r="K154" s="25"/>
      <c r="L154" s="25"/>
      <c r="M154" s="25"/>
      <c r="N154" s="25"/>
      <c r="O154" s="25"/>
      <c r="P154" s="25"/>
      <c r="Q154" s="25"/>
      <c r="R154" s="25"/>
      <c r="S154" s="25"/>
      <c r="T154" s="25"/>
      <c r="U154" s="25"/>
      <c r="V154" s="53">
        <v>15000</v>
      </c>
      <c r="W154" s="25"/>
      <c r="X154" s="5"/>
    </row>
    <row r="155" spans="1:25" ht="15.6" x14ac:dyDescent="0.3">
      <c r="A155" s="24"/>
      <c r="B155" s="25" t="s">
        <v>175</v>
      </c>
      <c r="C155" s="25"/>
      <c r="D155" s="25"/>
      <c r="E155" s="25"/>
      <c r="F155" s="25"/>
      <c r="G155" s="25"/>
      <c r="H155" s="25"/>
      <c r="I155" s="25"/>
      <c r="J155" s="25"/>
      <c r="K155" s="25"/>
      <c r="L155" s="25"/>
      <c r="M155" s="25"/>
      <c r="N155" s="25"/>
      <c r="O155" s="25"/>
      <c r="P155" s="25"/>
      <c r="Q155" s="25"/>
      <c r="R155" s="25"/>
      <c r="S155" s="25"/>
      <c r="T155" s="25"/>
      <c r="U155" s="25"/>
      <c r="V155" s="53">
        <v>0</v>
      </c>
      <c r="W155" s="25"/>
      <c r="X155" s="5"/>
    </row>
    <row r="156" spans="1:25" ht="15.6" x14ac:dyDescent="0.3">
      <c r="A156" s="24"/>
      <c r="B156" s="25" t="s">
        <v>272</v>
      </c>
      <c r="C156" s="25"/>
      <c r="D156" s="25"/>
      <c r="E156" s="25"/>
      <c r="F156" s="25"/>
      <c r="G156" s="25"/>
      <c r="H156" s="25"/>
      <c r="I156" s="25"/>
      <c r="J156" s="25"/>
      <c r="K156" s="25"/>
      <c r="L156" s="25"/>
      <c r="M156" s="25"/>
      <c r="N156" s="25"/>
      <c r="O156" s="25"/>
      <c r="P156" s="25"/>
      <c r="Q156" s="25"/>
      <c r="R156" s="25"/>
      <c r="S156" s="25"/>
      <c r="T156" s="25"/>
      <c r="U156" s="25"/>
      <c r="V156" s="53">
        <v>10008</v>
      </c>
      <c r="W156" s="25"/>
      <c r="X156" s="5"/>
    </row>
    <row r="157" spans="1:25" ht="15.6" x14ac:dyDescent="0.3">
      <c r="A157" s="24"/>
      <c r="B157" s="25"/>
      <c r="C157" s="25"/>
      <c r="D157" s="25"/>
      <c r="E157" s="25"/>
      <c r="F157" s="25"/>
      <c r="G157" s="25"/>
      <c r="H157" s="25"/>
      <c r="I157" s="25"/>
      <c r="J157" s="25"/>
      <c r="K157" s="25"/>
      <c r="L157" s="25"/>
      <c r="M157" s="25"/>
      <c r="N157" s="25"/>
      <c r="O157" s="25"/>
      <c r="P157" s="25"/>
      <c r="Q157" s="25"/>
      <c r="R157" s="25"/>
      <c r="S157" s="25"/>
      <c r="T157" s="25"/>
      <c r="U157" s="25"/>
      <c r="V157" s="53"/>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61"/>
      <c r="W158" s="25"/>
      <c r="X158" s="5"/>
    </row>
    <row r="159" spans="1:25" ht="15.6" x14ac:dyDescent="0.3">
      <c r="A159" s="6"/>
      <c r="B159" s="119" t="s">
        <v>24</v>
      </c>
      <c r="C159" s="8"/>
      <c r="D159" s="8"/>
      <c r="E159" s="8"/>
      <c r="F159" s="8"/>
      <c r="G159" s="8"/>
      <c r="H159" s="8"/>
      <c r="I159" s="8"/>
      <c r="J159" s="8"/>
      <c r="K159" s="8"/>
      <c r="L159" s="8"/>
      <c r="M159" s="8"/>
      <c r="N159" s="8"/>
      <c r="O159" s="8"/>
      <c r="P159" s="8"/>
      <c r="Q159" s="8"/>
      <c r="R159" s="8"/>
      <c r="S159" s="8"/>
      <c r="T159" s="8"/>
      <c r="U159" s="8"/>
      <c r="V159" s="52"/>
      <c r="W159" s="8"/>
      <c r="X159" s="5"/>
    </row>
    <row r="160" spans="1:25" ht="15.6" x14ac:dyDescent="0.3">
      <c r="A160" s="24"/>
      <c r="B160" s="25" t="s">
        <v>47</v>
      </c>
      <c r="C160" s="25"/>
      <c r="D160" s="25"/>
      <c r="E160" s="25"/>
      <c r="F160" s="25"/>
      <c r="G160" s="25"/>
      <c r="H160" s="25"/>
      <c r="I160" s="25"/>
      <c r="J160" s="25"/>
      <c r="K160" s="25"/>
      <c r="L160" s="25"/>
      <c r="M160" s="25"/>
      <c r="N160" s="25"/>
      <c r="O160" s="25"/>
      <c r="P160" s="25"/>
      <c r="Q160" s="25"/>
      <c r="R160" s="25"/>
      <c r="S160" s="25"/>
      <c r="T160" s="25"/>
      <c r="U160" s="25"/>
      <c r="V160" s="59" t="s">
        <v>121</v>
      </c>
      <c r="W160" s="25"/>
      <c r="X160" s="5"/>
    </row>
    <row r="161" spans="1:24" ht="15.6" x14ac:dyDescent="0.3">
      <c r="A161" s="24"/>
      <c r="B161" s="25" t="s">
        <v>48</v>
      </c>
      <c r="C161" s="163"/>
      <c r="D161" s="163"/>
      <c r="E161" s="163"/>
      <c r="F161" s="163"/>
      <c r="G161" s="163"/>
      <c r="H161" s="163"/>
      <c r="I161" s="163"/>
      <c r="J161" s="163"/>
      <c r="K161" s="163"/>
      <c r="L161" s="163"/>
      <c r="M161" s="163"/>
      <c r="N161" s="163"/>
      <c r="O161" s="163"/>
      <c r="P161" s="163"/>
      <c r="Q161" s="163"/>
      <c r="R161" s="163"/>
      <c r="S161" s="163"/>
      <c r="T161" s="163"/>
      <c r="U161" s="163"/>
      <c r="V161" s="59" t="s">
        <v>121</v>
      </c>
      <c r="W161" s="25"/>
      <c r="X161" s="5"/>
    </row>
    <row r="162" spans="1:24" ht="15.6" x14ac:dyDescent="0.3">
      <c r="A162" s="24"/>
      <c r="B162" s="25" t="s">
        <v>49</v>
      </c>
      <c r="C162" s="25"/>
      <c r="D162" s="25"/>
      <c r="E162" s="25"/>
      <c r="F162" s="25"/>
      <c r="G162" s="25"/>
      <c r="H162" s="25"/>
      <c r="I162" s="25"/>
      <c r="J162" s="25"/>
      <c r="K162" s="25"/>
      <c r="L162" s="25"/>
      <c r="M162" s="25"/>
      <c r="N162" s="25"/>
      <c r="O162" s="25"/>
      <c r="P162" s="25"/>
      <c r="Q162" s="25"/>
      <c r="R162" s="25"/>
      <c r="S162" s="25"/>
      <c r="T162" s="25"/>
      <c r="U162" s="25"/>
      <c r="V162" s="59" t="s">
        <v>121</v>
      </c>
      <c r="W162" s="25"/>
      <c r="X162" s="5"/>
    </row>
    <row r="163" spans="1:24" ht="15.6" x14ac:dyDescent="0.3">
      <c r="A163" s="24"/>
      <c r="B163" s="25" t="s">
        <v>50</v>
      </c>
      <c r="C163" s="25"/>
      <c r="D163" s="25"/>
      <c r="E163" s="25"/>
      <c r="F163" s="25"/>
      <c r="G163" s="25"/>
      <c r="H163" s="25"/>
      <c r="I163" s="25"/>
      <c r="J163" s="25"/>
      <c r="K163" s="25"/>
      <c r="L163" s="25"/>
      <c r="M163" s="25"/>
      <c r="N163" s="25"/>
      <c r="O163" s="25"/>
      <c r="P163" s="25"/>
      <c r="Q163" s="25"/>
      <c r="R163" s="25"/>
      <c r="S163" s="25"/>
      <c r="T163" s="25"/>
      <c r="U163" s="25"/>
      <c r="V163" s="59" t="s">
        <v>121</v>
      </c>
      <c r="W163" s="25"/>
      <c r="X163" s="5"/>
    </row>
    <row r="164" spans="1:24" ht="15.6" x14ac:dyDescent="0.3">
      <c r="A164" s="24"/>
      <c r="B164" s="25"/>
      <c r="C164" s="25"/>
      <c r="D164" s="25"/>
      <c r="E164" s="25"/>
      <c r="F164" s="25"/>
      <c r="G164" s="25"/>
      <c r="H164" s="25"/>
      <c r="I164" s="25"/>
      <c r="J164" s="25"/>
      <c r="K164" s="25"/>
      <c r="L164" s="25"/>
      <c r="M164" s="25"/>
      <c r="N164" s="25"/>
      <c r="O164" s="25"/>
      <c r="P164" s="25"/>
      <c r="Q164" s="25"/>
      <c r="R164" s="25"/>
      <c r="S164" s="25"/>
      <c r="T164" s="25"/>
      <c r="U164" s="25"/>
      <c r="V164" s="61"/>
      <c r="W164" s="25"/>
      <c r="X164" s="5"/>
    </row>
    <row r="165" spans="1:24" ht="15.6" x14ac:dyDescent="0.3">
      <c r="A165" s="6"/>
      <c r="B165" s="119" t="s">
        <v>51</v>
      </c>
      <c r="C165" s="8"/>
      <c r="D165" s="8"/>
      <c r="E165" s="8"/>
      <c r="F165" s="8"/>
      <c r="G165" s="8"/>
      <c r="H165" s="8"/>
      <c r="I165" s="8"/>
      <c r="J165" s="8"/>
      <c r="K165" s="8"/>
      <c r="L165" s="8"/>
      <c r="M165" s="8"/>
      <c r="N165" s="8"/>
      <c r="O165" s="8"/>
      <c r="P165" s="8"/>
      <c r="Q165" s="8"/>
      <c r="R165" s="8"/>
      <c r="S165" s="8"/>
      <c r="T165" s="8"/>
      <c r="U165" s="8"/>
      <c r="V165" s="63"/>
      <c r="W165" s="8"/>
      <c r="X165" s="5"/>
    </row>
    <row r="166" spans="1:24" ht="15.6" x14ac:dyDescent="0.3">
      <c r="A166" s="24"/>
      <c r="B166" s="25" t="s">
        <v>52</v>
      </c>
      <c r="C166" s="25"/>
      <c r="D166" s="25"/>
      <c r="E166" s="25"/>
      <c r="F166" s="25"/>
      <c r="G166" s="25"/>
      <c r="H166" s="25"/>
      <c r="I166" s="25"/>
      <c r="J166" s="25"/>
      <c r="K166" s="25"/>
      <c r="L166" s="25"/>
      <c r="M166" s="25"/>
      <c r="N166" s="25"/>
      <c r="O166" s="25"/>
      <c r="P166" s="25"/>
      <c r="Q166" s="25"/>
      <c r="R166" s="25"/>
      <c r="S166" s="25"/>
      <c r="T166" s="25"/>
      <c r="U166" s="25"/>
      <c r="V166" s="53">
        <v>0</v>
      </c>
      <c r="W166" s="25"/>
      <c r="X166" s="5"/>
    </row>
    <row r="167" spans="1:24" ht="15.6" x14ac:dyDescent="0.3">
      <c r="A167" s="24"/>
      <c r="B167" s="25" t="s">
        <v>53</v>
      </c>
      <c r="C167" s="25"/>
      <c r="D167" s="25"/>
      <c r="E167" s="25"/>
      <c r="F167" s="25"/>
      <c r="G167" s="25"/>
      <c r="H167" s="25"/>
      <c r="I167" s="25"/>
      <c r="J167" s="25"/>
      <c r="K167" s="25"/>
      <c r="L167" s="25"/>
      <c r="M167" s="25"/>
      <c r="N167" s="25"/>
      <c r="O167" s="25"/>
      <c r="P167" s="25"/>
      <c r="Q167" s="25"/>
      <c r="R167" s="25"/>
      <c r="S167" s="25"/>
      <c r="T167" s="25"/>
      <c r="U167" s="25"/>
      <c r="V167" s="53">
        <f>T115</f>
        <v>-12</v>
      </c>
      <c r="W167" s="25"/>
      <c r="X167" s="5"/>
    </row>
    <row r="168" spans="1:24" ht="15.6" x14ac:dyDescent="0.3">
      <c r="A168" s="24"/>
      <c r="B168" s="25" t="s">
        <v>54</v>
      </c>
      <c r="C168" s="25"/>
      <c r="D168" s="25"/>
      <c r="E168" s="25"/>
      <c r="F168" s="25"/>
      <c r="G168" s="25"/>
      <c r="H168" s="25"/>
      <c r="I168" s="25"/>
      <c r="J168" s="25"/>
      <c r="K168" s="25"/>
      <c r="L168" s="25"/>
      <c r="M168" s="25"/>
      <c r="N168" s="25"/>
      <c r="O168" s="25"/>
      <c r="P168" s="25"/>
      <c r="Q168" s="25"/>
      <c r="R168" s="25"/>
      <c r="S168" s="25"/>
      <c r="T168" s="25"/>
      <c r="U168" s="25"/>
      <c r="V168" s="53">
        <f>V167+V166</f>
        <v>-12</v>
      </c>
      <c r="W168" s="25"/>
      <c r="X168" s="5"/>
    </row>
    <row r="169" spans="1:24" ht="15.6" x14ac:dyDescent="0.3">
      <c r="A169" s="24"/>
      <c r="B169" s="391" t="s">
        <v>318</v>
      </c>
      <c r="C169" s="25"/>
      <c r="D169" s="25"/>
      <c r="E169" s="25"/>
      <c r="F169" s="25"/>
      <c r="G169" s="25"/>
      <c r="H169" s="25"/>
      <c r="I169" s="25"/>
      <c r="J169" s="25"/>
      <c r="K169" s="25"/>
      <c r="L169" s="25"/>
      <c r="M169" s="25"/>
      <c r="N169" s="25"/>
      <c r="O169" s="25"/>
      <c r="P169" s="25"/>
      <c r="Q169" s="25"/>
      <c r="R169" s="25"/>
      <c r="S169" s="25"/>
      <c r="T169" s="25"/>
      <c r="U169" s="25"/>
      <c r="V169" s="53">
        <f>V115</f>
        <v>12</v>
      </c>
      <c r="W169" s="25"/>
      <c r="X169" s="5"/>
    </row>
    <row r="170" spans="1:24" ht="15.6" x14ac:dyDescent="0.3">
      <c r="A170" s="24"/>
      <c r="B170" s="25" t="s">
        <v>55</v>
      </c>
      <c r="C170" s="25"/>
      <c r="D170" s="25"/>
      <c r="E170" s="25"/>
      <c r="F170" s="25"/>
      <c r="G170" s="25"/>
      <c r="H170" s="25"/>
      <c r="I170" s="25"/>
      <c r="J170" s="25"/>
      <c r="K170" s="25"/>
      <c r="L170" s="25"/>
      <c r="M170" s="25"/>
      <c r="N170" s="25"/>
      <c r="O170" s="25"/>
      <c r="P170" s="25"/>
      <c r="Q170" s="25"/>
      <c r="R170" s="25"/>
      <c r="S170" s="25"/>
      <c r="T170" s="25"/>
      <c r="U170" s="25"/>
      <c r="V170" s="53">
        <f>V168+V169</f>
        <v>0</v>
      </c>
      <c r="W170" s="25"/>
      <c r="X170" s="5"/>
    </row>
    <row r="171" spans="1:24" ht="16.2" thickBot="1" x14ac:dyDescent="0.35">
      <c r="A171" s="24"/>
      <c r="B171" s="25"/>
      <c r="C171" s="25"/>
      <c r="D171" s="25"/>
      <c r="E171" s="25"/>
      <c r="F171" s="25"/>
      <c r="G171" s="25"/>
      <c r="H171" s="25"/>
      <c r="I171" s="25"/>
      <c r="J171" s="25"/>
      <c r="K171" s="25"/>
      <c r="L171" s="25"/>
      <c r="M171" s="25"/>
      <c r="N171" s="25"/>
      <c r="O171" s="25"/>
      <c r="P171" s="25"/>
      <c r="Q171" s="25"/>
      <c r="R171" s="25"/>
      <c r="S171" s="25"/>
      <c r="T171" s="25"/>
      <c r="U171" s="25"/>
      <c r="V171" s="61"/>
      <c r="W171" s="25"/>
      <c r="X171" s="5"/>
    </row>
    <row r="172" spans="1:24" ht="15.6" x14ac:dyDescent="0.3">
      <c r="A172" s="2"/>
      <c r="B172" s="4"/>
      <c r="C172" s="4"/>
      <c r="D172" s="4"/>
      <c r="E172" s="4"/>
      <c r="F172" s="4"/>
      <c r="G172" s="4"/>
      <c r="H172" s="4"/>
      <c r="I172" s="4"/>
      <c r="J172" s="4"/>
      <c r="K172" s="4"/>
      <c r="L172" s="4"/>
      <c r="M172" s="4"/>
      <c r="N172" s="4"/>
      <c r="O172" s="4"/>
      <c r="P172" s="4"/>
      <c r="Q172" s="4"/>
      <c r="R172" s="4"/>
      <c r="S172" s="4"/>
      <c r="T172" s="4"/>
      <c r="U172" s="4"/>
      <c r="V172" s="50"/>
      <c r="W172" s="4"/>
      <c r="X172" s="5"/>
    </row>
    <row r="173" spans="1:24" ht="15.6" x14ac:dyDescent="0.3">
      <c r="A173" s="6"/>
      <c r="B173" s="119" t="s">
        <v>56</v>
      </c>
      <c r="C173" s="8"/>
      <c r="D173" s="8"/>
      <c r="E173" s="8"/>
      <c r="F173" s="8"/>
      <c r="G173" s="8"/>
      <c r="H173" s="8"/>
      <c r="I173" s="8"/>
      <c r="J173" s="8"/>
      <c r="K173" s="8"/>
      <c r="L173" s="8"/>
      <c r="M173" s="8"/>
      <c r="N173" s="8"/>
      <c r="O173" s="8"/>
      <c r="P173" s="8"/>
      <c r="Q173" s="8"/>
      <c r="R173" s="8"/>
      <c r="S173" s="8"/>
      <c r="T173" s="8"/>
      <c r="U173" s="8"/>
      <c r="V173" s="52"/>
      <c r="W173" s="8"/>
      <c r="X173" s="5"/>
    </row>
    <row r="174" spans="1:24" ht="15.6" x14ac:dyDescent="0.3">
      <c r="A174" s="6"/>
      <c r="B174" s="21"/>
      <c r="C174" s="8"/>
      <c r="D174" s="8"/>
      <c r="E174" s="8"/>
      <c r="F174" s="8"/>
      <c r="G174" s="8"/>
      <c r="H174" s="8"/>
      <c r="I174" s="8"/>
      <c r="J174" s="8"/>
      <c r="K174" s="8"/>
      <c r="L174" s="8"/>
      <c r="M174" s="8"/>
      <c r="N174" s="8"/>
      <c r="O174" s="8"/>
      <c r="P174" s="8"/>
      <c r="Q174" s="8"/>
      <c r="R174" s="8"/>
      <c r="S174" s="8"/>
      <c r="T174" s="8"/>
      <c r="U174" s="8"/>
      <c r="V174" s="52"/>
      <c r="W174" s="8"/>
      <c r="X174" s="5"/>
    </row>
    <row r="175" spans="1:24" ht="15.6" x14ac:dyDescent="0.3">
      <c r="A175" s="24"/>
      <c r="B175" s="25" t="s">
        <v>57</v>
      </c>
      <c r="C175" s="25"/>
      <c r="D175" s="25"/>
      <c r="E175" s="25"/>
      <c r="F175" s="25"/>
      <c r="G175" s="25"/>
      <c r="H175" s="25"/>
      <c r="I175" s="25"/>
      <c r="J175" s="25"/>
      <c r="K175" s="25"/>
      <c r="L175" s="25"/>
      <c r="M175" s="25"/>
      <c r="N175" s="25"/>
      <c r="O175" s="25"/>
      <c r="P175" s="25"/>
      <c r="Q175" s="25"/>
      <c r="R175" s="25"/>
      <c r="S175" s="25"/>
      <c r="T175" s="25"/>
      <c r="U175" s="25"/>
      <c r="V175" s="53">
        <f>V72</f>
        <v>1346973</v>
      </c>
      <c r="W175" s="25"/>
      <c r="X175" s="5"/>
    </row>
    <row r="176" spans="1:24" ht="15.6" x14ac:dyDescent="0.3">
      <c r="A176" s="24"/>
      <c r="B176" s="25" t="s">
        <v>58</v>
      </c>
      <c r="C176" s="25"/>
      <c r="D176" s="25"/>
      <c r="E176" s="25"/>
      <c r="F176" s="25"/>
      <c r="G176" s="25"/>
      <c r="H176" s="25"/>
      <c r="I176" s="25"/>
      <c r="J176" s="25"/>
      <c r="K176" s="25"/>
      <c r="L176" s="25"/>
      <c r="M176" s="25"/>
      <c r="N176" s="25"/>
      <c r="O176" s="25"/>
      <c r="P176" s="25"/>
      <c r="Q176" s="25"/>
      <c r="R176" s="25"/>
      <c r="S176" s="25"/>
      <c r="T176" s="25"/>
      <c r="U176" s="25"/>
      <c r="V176" s="53">
        <f>V85</f>
        <v>1346973</v>
      </c>
      <c r="W176" s="25"/>
      <c r="X176" s="5"/>
    </row>
    <row r="177" spans="1:24" ht="16.2" thickBot="1" x14ac:dyDescent="0.35">
      <c r="A177" s="24"/>
      <c r="B177" s="25"/>
      <c r="C177" s="25"/>
      <c r="D177" s="25"/>
      <c r="E177" s="25"/>
      <c r="F177" s="25"/>
      <c r="G177" s="25"/>
      <c r="H177" s="25"/>
      <c r="I177" s="25"/>
      <c r="J177" s="25"/>
      <c r="K177" s="25"/>
      <c r="L177" s="25"/>
      <c r="M177" s="25"/>
      <c r="N177" s="25"/>
      <c r="O177" s="25"/>
      <c r="P177" s="25"/>
      <c r="Q177" s="25"/>
      <c r="R177" s="25"/>
      <c r="S177" s="25"/>
      <c r="T177" s="25"/>
      <c r="U177" s="25"/>
      <c r="V177" s="61"/>
      <c r="W177" s="25"/>
      <c r="X177" s="5"/>
    </row>
    <row r="178" spans="1:24" ht="15.6" x14ac:dyDescent="0.3">
      <c r="A178" s="2"/>
      <c r="B178" s="4"/>
      <c r="C178" s="4"/>
      <c r="D178" s="4"/>
      <c r="E178" s="4"/>
      <c r="F178" s="4"/>
      <c r="G178" s="4"/>
      <c r="H178" s="4"/>
      <c r="I178" s="4"/>
      <c r="J178" s="4"/>
      <c r="K178" s="4"/>
      <c r="L178" s="4"/>
      <c r="M178" s="4"/>
      <c r="N178" s="4"/>
      <c r="O178" s="4"/>
      <c r="P178" s="4"/>
      <c r="Q178" s="4"/>
      <c r="R178" s="4"/>
      <c r="S178" s="4"/>
      <c r="T178" s="4"/>
      <c r="U178" s="4"/>
      <c r="V178" s="50"/>
      <c r="W178" s="4"/>
      <c r="X178" s="5"/>
    </row>
    <row r="179" spans="1:24" ht="15.6" x14ac:dyDescent="0.3">
      <c r="A179" s="6"/>
      <c r="B179" s="119" t="s">
        <v>59</v>
      </c>
      <c r="C179" s="117"/>
      <c r="D179" s="117"/>
      <c r="E179" s="117"/>
      <c r="F179" s="117"/>
      <c r="G179" s="117"/>
      <c r="H179" s="120"/>
      <c r="I179" s="120"/>
      <c r="J179" s="120"/>
      <c r="K179" s="120"/>
      <c r="L179" s="120"/>
      <c r="M179" s="120"/>
      <c r="N179" s="120"/>
      <c r="O179" s="120"/>
      <c r="P179" s="120"/>
      <c r="Q179" s="120"/>
      <c r="R179" s="120"/>
      <c r="S179" s="120" t="s">
        <v>102</v>
      </c>
      <c r="T179" s="120" t="s">
        <v>179</v>
      </c>
      <c r="U179" s="111"/>
      <c r="V179" s="121" t="s">
        <v>117</v>
      </c>
      <c r="W179" s="10"/>
      <c r="X179" s="5"/>
    </row>
    <row r="180" spans="1:24" ht="15.6" x14ac:dyDescent="0.3">
      <c r="A180" s="24"/>
      <c r="B180" s="25" t="s">
        <v>60</v>
      </c>
      <c r="C180" s="25"/>
      <c r="D180" s="25"/>
      <c r="E180" s="25"/>
      <c r="F180" s="25"/>
      <c r="G180" s="25"/>
      <c r="H180" s="25"/>
      <c r="I180" s="25"/>
      <c r="J180" s="25"/>
      <c r="K180" s="25"/>
      <c r="L180" s="25"/>
      <c r="M180" s="25"/>
      <c r="N180" s="25"/>
      <c r="O180" s="25"/>
      <c r="P180" s="25"/>
      <c r="Q180" s="25"/>
      <c r="R180" s="25"/>
      <c r="S180" s="53">
        <f>+V34*0.16</f>
        <v>240030.4</v>
      </c>
      <c r="T180" s="40"/>
      <c r="U180" s="25"/>
      <c r="V180" s="53"/>
      <c r="W180" s="25"/>
      <c r="X180" s="5"/>
    </row>
    <row r="181" spans="1:24" ht="15.6" x14ac:dyDescent="0.3">
      <c r="A181" s="24"/>
      <c r="B181" s="25" t="s">
        <v>61</v>
      </c>
      <c r="C181" s="25"/>
      <c r="D181" s="25"/>
      <c r="E181" s="25"/>
      <c r="F181" s="25"/>
      <c r="G181" s="25"/>
      <c r="H181" s="25"/>
      <c r="I181" s="25"/>
      <c r="J181" s="25"/>
      <c r="K181" s="25"/>
      <c r="L181" s="25"/>
      <c r="M181" s="25"/>
      <c r="N181" s="25"/>
      <c r="O181" s="25"/>
      <c r="P181" s="25"/>
      <c r="Q181" s="25"/>
      <c r="R181" s="25"/>
      <c r="S181" s="53">
        <f>+'September 07'!S182</f>
        <v>22051</v>
      </c>
      <c r="T181" s="53">
        <f>+'September 07'!T182</f>
        <v>6957</v>
      </c>
      <c r="U181" s="25"/>
      <c r="V181" s="53">
        <f>S181+T181</f>
        <v>29008</v>
      </c>
      <c r="W181" s="25"/>
      <c r="X181" s="5"/>
    </row>
    <row r="182" spans="1:24" ht="15.6" x14ac:dyDescent="0.3">
      <c r="A182" s="24"/>
      <c r="B182" s="25" t="s">
        <v>62</v>
      </c>
      <c r="C182" s="25"/>
      <c r="D182" s="25"/>
      <c r="E182" s="25"/>
      <c r="F182" s="25"/>
      <c r="G182" s="25"/>
      <c r="H182" s="25"/>
      <c r="I182" s="25"/>
      <c r="J182" s="25"/>
      <c r="K182" s="25"/>
      <c r="L182" s="25"/>
      <c r="M182" s="25"/>
      <c r="N182" s="25"/>
      <c r="O182" s="25"/>
      <c r="P182" s="25"/>
      <c r="Q182" s="25"/>
      <c r="R182" s="25"/>
      <c r="S182" s="34">
        <v>6601</v>
      </c>
      <c r="T182" s="34">
        <v>665</v>
      </c>
      <c r="U182" s="25"/>
      <c r="V182" s="53">
        <f>S182+T182</f>
        <v>7266</v>
      </c>
      <c r="W182" s="25"/>
      <c r="X182" s="5"/>
    </row>
    <row r="183" spans="1:24" ht="15.6" x14ac:dyDescent="0.3">
      <c r="A183" s="24"/>
      <c r="B183" s="25" t="s">
        <v>63</v>
      </c>
      <c r="C183" s="25"/>
      <c r="D183" s="25"/>
      <c r="E183" s="25"/>
      <c r="F183" s="25"/>
      <c r="G183" s="25"/>
      <c r="H183" s="25"/>
      <c r="I183" s="25"/>
      <c r="J183" s="25"/>
      <c r="K183" s="25"/>
      <c r="L183" s="25"/>
      <c r="M183" s="25"/>
      <c r="N183" s="25"/>
      <c r="O183" s="25"/>
      <c r="P183" s="25"/>
      <c r="Q183" s="25"/>
      <c r="R183" s="25"/>
      <c r="S183" s="53">
        <f>S181+S182</f>
        <v>28652</v>
      </c>
      <c r="T183" s="53">
        <f>T182+T181</f>
        <v>7622</v>
      </c>
      <c r="U183" s="25"/>
      <c r="V183" s="53">
        <f>S183+T183</f>
        <v>36274</v>
      </c>
      <c r="W183" s="25"/>
      <c r="X183" s="5"/>
    </row>
    <row r="184" spans="1:24" ht="15.6" x14ac:dyDescent="0.3">
      <c r="A184" s="24"/>
      <c r="B184" s="25" t="s">
        <v>64</v>
      </c>
      <c r="C184" s="25"/>
      <c r="D184" s="25"/>
      <c r="E184" s="25"/>
      <c r="F184" s="25"/>
      <c r="G184" s="25"/>
      <c r="H184" s="25"/>
      <c r="I184" s="25"/>
      <c r="J184" s="25"/>
      <c r="K184" s="25"/>
      <c r="L184" s="25"/>
      <c r="M184" s="25"/>
      <c r="N184" s="25"/>
      <c r="O184" s="25"/>
      <c r="P184" s="25"/>
      <c r="Q184" s="25"/>
      <c r="R184" s="25"/>
      <c r="S184" s="53">
        <f>S180-S183-T183</f>
        <v>203756.4</v>
      </c>
      <c r="T184" s="40"/>
      <c r="U184" s="25"/>
      <c r="V184" s="53"/>
      <c r="W184" s="25"/>
      <c r="X184" s="5"/>
    </row>
    <row r="185" spans="1:24" ht="16.2" thickBot="1" x14ac:dyDescent="0.35">
      <c r="A185" s="24"/>
      <c r="B185" s="25"/>
      <c r="C185" s="25"/>
      <c r="D185" s="25"/>
      <c r="E185" s="25"/>
      <c r="F185" s="25"/>
      <c r="G185" s="25"/>
      <c r="H185" s="25"/>
      <c r="I185" s="25"/>
      <c r="J185" s="25"/>
      <c r="K185" s="25"/>
      <c r="L185" s="25"/>
      <c r="M185" s="25"/>
      <c r="N185" s="25"/>
      <c r="O185" s="25"/>
      <c r="P185" s="25"/>
      <c r="Q185" s="25"/>
      <c r="R185" s="25"/>
      <c r="S185" s="25"/>
      <c r="T185" s="25"/>
      <c r="U185" s="25"/>
      <c r="V185" s="61"/>
      <c r="W185" s="25"/>
      <c r="X185" s="5"/>
    </row>
    <row r="186" spans="1:24" ht="15.6" x14ac:dyDescent="0.3">
      <c r="A186" s="2"/>
      <c r="B186" s="4"/>
      <c r="C186" s="4"/>
      <c r="D186" s="4"/>
      <c r="E186" s="4"/>
      <c r="F186" s="4"/>
      <c r="G186" s="4"/>
      <c r="H186" s="4"/>
      <c r="I186" s="4"/>
      <c r="J186" s="4"/>
      <c r="K186" s="4"/>
      <c r="L186" s="4"/>
      <c r="M186" s="4"/>
      <c r="N186" s="4"/>
      <c r="O186" s="4"/>
      <c r="P186" s="4"/>
      <c r="Q186" s="4"/>
      <c r="R186" s="4"/>
      <c r="S186" s="4"/>
      <c r="T186" s="4"/>
      <c r="U186" s="4"/>
      <c r="V186" s="50"/>
      <c r="W186" s="4"/>
      <c r="X186" s="5"/>
    </row>
    <row r="187" spans="1:24" ht="15.6" x14ac:dyDescent="0.3">
      <c r="A187" s="6"/>
      <c r="B187" s="119" t="s">
        <v>65</v>
      </c>
      <c r="C187" s="8"/>
      <c r="D187" s="8"/>
      <c r="E187" s="8"/>
      <c r="F187" s="8"/>
      <c r="G187" s="8"/>
      <c r="H187" s="8"/>
      <c r="I187" s="8"/>
      <c r="J187" s="8"/>
      <c r="K187" s="8"/>
      <c r="L187" s="8"/>
      <c r="M187" s="8"/>
      <c r="N187" s="8"/>
      <c r="O187" s="8"/>
      <c r="P187" s="8"/>
      <c r="Q187" s="8"/>
      <c r="R187" s="8"/>
      <c r="S187" s="8"/>
      <c r="T187" s="8"/>
      <c r="U187" s="8"/>
      <c r="V187" s="65"/>
      <c r="W187" s="8"/>
      <c r="X187" s="5"/>
    </row>
    <row r="188" spans="1:24" ht="15.6" x14ac:dyDescent="0.3">
      <c r="A188" s="24"/>
      <c r="B188" s="25" t="s">
        <v>66</v>
      </c>
      <c r="C188" s="25"/>
      <c r="D188" s="25"/>
      <c r="E188" s="25"/>
      <c r="F188" s="25"/>
      <c r="G188" s="25"/>
      <c r="H188" s="25"/>
      <c r="I188" s="25"/>
      <c r="J188" s="25"/>
      <c r="K188" s="25"/>
      <c r="L188" s="25"/>
      <c r="M188" s="25"/>
      <c r="N188" s="25"/>
      <c r="O188" s="25"/>
      <c r="P188" s="25"/>
      <c r="Q188" s="25"/>
      <c r="R188" s="25"/>
      <c r="S188" s="25"/>
      <c r="T188" s="25"/>
      <c r="U188" s="25"/>
      <c r="V188" s="59">
        <f>(V101+V103+V104+V105+V106)/-(V107+V108)</f>
        <v>1.3744249754483899</v>
      </c>
      <c r="W188" s="25" t="s">
        <v>118</v>
      </c>
      <c r="X188" s="5"/>
    </row>
    <row r="189" spans="1:24" ht="15.6" x14ac:dyDescent="0.3">
      <c r="A189" s="24"/>
      <c r="B189" s="25" t="s">
        <v>67</v>
      </c>
      <c r="C189" s="25"/>
      <c r="D189" s="25"/>
      <c r="E189" s="25"/>
      <c r="F189" s="25"/>
      <c r="G189" s="25"/>
      <c r="H189" s="25"/>
      <c r="I189" s="25"/>
      <c r="J189" s="25"/>
      <c r="K189" s="25"/>
      <c r="L189" s="25"/>
      <c r="M189" s="25"/>
      <c r="N189" s="25"/>
      <c r="O189" s="25"/>
      <c r="P189" s="25"/>
      <c r="Q189" s="25"/>
      <c r="R189" s="25"/>
      <c r="S189" s="25"/>
      <c r="T189" s="25"/>
      <c r="U189" s="25"/>
      <c r="V189" s="66">
        <v>1.36</v>
      </c>
      <c r="W189" s="25" t="s">
        <v>118</v>
      </c>
      <c r="X189" s="5"/>
    </row>
    <row r="190" spans="1:24" ht="15.6" x14ac:dyDescent="0.3">
      <c r="A190" s="24"/>
      <c r="B190" s="25" t="s">
        <v>68</v>
      </c>
      <c r="C190" s="25"/>
      <c r="D190" s="25"/>
      <c r="E190" s="25"/>
      <c r="F190" s="25"/>
      <c r="G190" s="25"/>
      <c r="H190" s="25"/>
      <c r="I190" s="25"/>
      <c r="J190" s="25"/>
      <c r="K190" s="25"/>
      <c r="L190" s="25"/>
      <c r="M190" s="25"/>
      <c r="N190" s="25"/>
      <c r="O190" s="25"/>
      <c r="P190" s="25"/>
      <c r="Q190" s="25"/>
      <c r="R190" s="25"/>
      <c r="S190" s="25"/>
      <c r="T190" s="25"/>
      <c r="U190" s="25"/>
      <c r="V190" s="59">
        <f>(V101+V103+V104+V105+V106+V107+V108)/-(V110+V111)</f>
        <v>3.9369565217391305</v>
      </c>
      <c r="W190" s="25" t="s">
        <v>118</v>
      </c>
      <c r="X190" s="5"/>
    </row>
    <row r="191" spans="1:24" ht="15.6" x14ac:dyDescent="0.3">
      <c r="A191" s="24"/>
      <c r="B191" s="25" t="s">
        <v>69</v>
      </c>
      <c r="C191" s="25"/>
      <c r="D191" s="25"/>
      <c r="E191" s="25"/>
      <c r="F191" s="25"/>
      <c r="G191" s="25"/>
      <c r="H191" s="25"/>
      <c r="I191" s="25"/>
      <c r="J191" s="25"/>
      <c r="K191" s="25"/>
      <c r="L191" s="25"/>
      <c r="M191" s="25"/>
      <c r="N191" s="25"/>
      <c r="O191" s="25"/>
      <c r="P191" s="25"/>
      <c r="Q191" s="25"/>
      <c r="R191" s="25"/>
      <c r="S191" s="25"/>
      <c r="T191" s="25"/>
      <c r="U191" s="25"/>
      <c r="V191" s="66">
        <v>3.93</v>
      </c>
      <c r="W191" s="25" t="s">
        <v>118</v>
      </c>
      <c r="X191" s="5"/>
    </row>
    <row r="192" spans="1:24" ht="15.6" x14ac:dyDescent="0.3">
      <c r="A192" s="24"/>
      <c r="B192" s="25" t="s">
        <v>201</v>
      </c>
      <c r="C192" s="25"/>
      <c r="D192" s="25"/>
      <c r="E192" s="25"/>
      <c r="F192" s="25"/>
      <c r="G192" s="25"/>
      <c r="H192" s="25"/>
      <c r="I192" s="25"/>
      <c r="J192" s="25"/>
      <c r="K192" s="25"/>
      <c r="L192" s="25"/>
      <c r="M192" s="25"/>
      <c r="N192" s="25"/>
      <c r="O192" s="25"/>
      <c r="P192" s="25"/>
      <c r="Q192" s="25"/>
      <c r="R192" s="25"/>
      <c r="S192" s="25"/>
      <c r="T192" s="25"/>
      <c r="U192" s="25"/>
      <c r="V192" s="59">
        <f>(V101+V103+V104+V105+V106+V107+V108+V110+V111)/-(V112+V113)</f>
        <v>4.7445127304653205</v>
      </c>
      <c r="W192" s="25" t="s">
        <v>118</v>
      </c>
      <c r="X192" s="5"/>
    </row>
    <row r="193" spans="1:24" ht="15.6" x14ac:dyDescent="0.3">
      <c r="A193" s="24"/>
      <c r="B193" s="25" t="s">
        <v>202</v>
      </c>
      <c r="C193" s="25"/>
      <c r="D193" s="25"/>
      <c r="E193" s="25"/>
      <c r="F193" s="25"/>
      <c r="G193" s="25"/>
      <c r="H193" s="25"/>
      <c r="I193" s="25"/>
      <c r="J193" s="25"/>
      <c r="K193" s="25"/>
      <c r="L193" s="25"/>
      <c r="M193" s="25"/>
      <c r="N193" s="25"/>
      <c r="O193" s="25"/>
      <c r="P193" s="25"/>
      <c r="Q193" s="25"/>
      <c r="R193" s="25"/>
      <c r="S193" s="25"/>
      <c r="T193" s="25"/>
      <c r="U193" s="25"/>
      <c r="V193" s="66">
        <v>4.71</v>
      </c>
      <c r="W193" s="25" t="s">
        <v>118</v>
      </c>
      <c r="X193" s="5"/>
    </row>
    <row r="194" spans="1:24" ht="15.6" x14ac:dyDescent="0.3">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5"/>
    </row>
    <row r="195" spans="1:24" ht="15.6" x14ac:dyDescent="0.3">
      <c r="A195" s="24"/>
      <c r="B195" s="25"/>
      <c r="C195" s="25"/>
      <c r="D195" s="25"/>
      <c r="E195" s="25"/>
      <c r="F195" s="25"/>
      <c r="G195" s="25"/>
      <c r="H195" s="25"/>
      <c r="I195" s="25"/>
      <c r="J195" s="25"/>
      <c r="K195" s="25"/>
      <c r="L195" s="25"/>
      <c r="M195" s="25"/>
      <c r="N195" s="25"/>
      <c r="O195" s="25"/>
      <c r="P195" s="25"/>
      <c r="Q195" s="25"/>
      <c r="R195" s="25"/>
      <c r="S195" s="25"/>
      <c r="T195" s="25"/>
      <c r="U195" s="25"/>
      <c r="V195" s="25"/>
      <c r="W195" s="25"/>
      <c r="X195" s="5"/>
    </row>
    <row r="196" spans="1:24" ht="15.6" x14ac:dyDescent="0.3">
      <c r="A196" s="6"/>
      <c r="B196" s="8"/>
      <c r="C196" s="8"/>
      <c r="D196" s="8"/>
      <c r="E196" s="8"/>
      <c r="F196" s="8"/>
      <c r="G196" s="8"/>
      <c r="H196" s="8"/>
      <c r="I196" s="8"/>
      <c r="J196" s="8"/>
      <c r="K196" s="8"/>
      <c r="L196" s="8"/>
      <c r="M196" s="8"/>
      <c r="N196" s="8"/>
      <c r="O196" s="8"/>
      <c r="P196" s="8"/>
      <c r="Q196" s="8"/>
      <c r="R196" s="8"/>
      <c r="S196" s="8"/>
      <c r="T196" s="8"/>
      <c r="U196" s="8"/>
      <c r="V196" s="8"/>
      <c r="W196" s="8"/>
      <c r="X196" s="5"/>
    </row>
    <row r="197" spans="1:24" ht="18" thickBot="1" x14ac:dyDescent="0.35">
      <c r="A197" s="101"/>
      <c r="B197" s="102" t="str">
        <f>B138</f>
        <v>PM13 INVESTOR REPORT QUARTER ENDING DECEMBER 2007</v>
      </c>
      <c r="C197" s="165"/>
      <c r="D197" s="165"/>
      <c r="E197" s="165"/>
      <c r="F197" s="165"/>
      <c r="G197" s="165"/>
      <c r="H197" s="165"/>
      <c r="I197" s="165"/>
      <c r="J197" s="165"/>
      <c r="K197" s="165"/>
      <c r="L197" s="165"/>
      <c r="M197" s="165"/>
      <c r="N197" s="165"/>
      <c r="O197" s="165"/>
      <c r="P197" s="165"/>
      <c r="Q197" s="165"/>
      <c r="R197" s="165"/>
      <c r="S197" s="165"/>
      <c r="T197" s="165"/>
      <c r="U197" s="165"/>
      <c r="V197" s="165"/>
      <c r="W197" s="166"/>
      <c r="X197" s="5"/>
    </row>
    <row r="198" spans="1:24" ht="15.6" x14ac:dyDescent="0.3">
      <c r="A198" s="67"/>
      <c r="B198" s="60" t="s">
        <v>70</v>
      </c>
      <c r="C198" s="68"/>
      <c r="D198" s="68"/>
      <c r="E198" s="68"/>
      <c r="F198" s="68"/>
      <c r="G198" s="69"/>
      <c r="H198" s="69"/>
      <c r="I198" s="69"/>
      <c r="J198" s="69"/>
      <c r="K198" s="69"/>
      <c r="L198" s="69"/>
      <c r="M198" s="69"/>
      <c r="N198" s="69"/>
      <c r="O198" s="69"/>
      <c r="P198" s="69"/>
      <c r="Q198" s="69"/>
      <c r="R198" s="69"/>
      <c r="S198" s="69"/>
      <c r="T198" s="70">
        <v>39447</v>
      </c>
      <c r="U198" s="4"/>
      <c r="V198" s="4"/>
      <c r="W198" s="4"/>
      <c r="X198" s="5"/>
    </row>
    <row r="199" spans="1:24" ht="15.6" x14ac:dyDescent="0.3">
      <c r="A199" s="71"/>
      <c r="B199" s="72"/>
      <c r="C199" s="73"/>
      <c r="D199" s="73"/>
      <c r="E199" s="73"/>
      <c r="F199" s="73"/>
      <c r="G199" s="74"/>
      <c r="H199" s="74"/>
      <c r="I199" s="74"/>
      <c r="J199" s="74"/>
      <c r="K199" s="74"/>
      <c r="L199" s="74"/>
      <c r="M199" s="74"/>
      <c r="N199" s="74"/>
      <c r="O199" s="74"/>
      <c r="P199" s="74"/>
      <c r="Q199" s="74"/>
      <c r="R199" s="74"/>
      <c r="S199" s="74"/>
      <c r="T199" s="74"/>
      <c r="U199" s="8"/>
      <c r="V199" s="8"/>
      <c r="W199" s="8"/>
      <c r="X199" s="5"/>
    </row>
    <row r="200" spans="1:24" ht="15.6" x14ac:dyDescent="0.3">
      <c r="A200" s="75"/>
      <c r="B200" s="76" t="s">
        <v>71</v>
      </c>
      <c r="C200" s="77"/>
      <c r="D200" s="77"/>
      <c r="E200" s="77"/>
      <c r="F200" s="77"/>
      <c r="G200" s="64"/>
      <c r="H200" s="64"/>
      <c r="I200" s="64"/>
      <c r="J200" s="64"/>
      <c r="K200" s="64"/>
      <c r="L200" s="64"/>
      <c r="M200" s="64"/>
      <c r="N200" s="64"/>
      <c r="O200" s="64"/>
      <c r="P200" s="64"/>
      <c r="Q200" s="64"/>
      <c r="R200" s="64"/>
      <c r="S200" s="64"/>
      <c r="T200" s="78">
        <v>5.4539999999999998E-2</v>
      </c>
      <c r="U200" s="25"/>
      <c r="V200" s="25"/>
      <c r="W200" s="25"/>
      <c r="X200" s="5"/>
    </row>
    <row r="201" spans="1:24" ht="15.6" x14ac:dyDescent="0.3">
      <c r="A201" s="75"/>
      <c r="B201" s="76" t="s">
        <v>154</v>
      </c>
      <c r="C201" s="77"/>
      <c r="D201" s="77"/>
      <c r="E201" s="77"/>
      <c r="F201" s="77"/>
      <c r="G201" s="64"/>
      <c r="H201" s="64"/>
      <c r="I201" s="64"/>
      <c r="J201" s="64"/>
      <c r="K201" s="64"/>
      <c r="L201" s="64"/>
      <c r="M201" s="64"/>
      <c r="N201" s="64"/>
      <c r="O201" s="64"/>
      <c r="P201" s="64"/>
      <c r="Q201" s="64"/>
      <c r="R201" s="64"/>
      <c r="S201" s="64"/>
      <c r="T201" s="39">
        <f>'Dec 06'!T199</f>
        <v>5.238600504269459E-2</v>
      </c>
      <c r="U201" s="25"/>
      <c r="V201" s="25"/>
      <c r="W201" s="25"/>
      <c r="X201" s="5"/>
    </row>
    <row r="202" spans="1:24" ht="15.6" x14ac:dyDescent="0.3">
      <c r="A202" s="75"/>
      <c r="B202" s="76" t="s">
        <v>72</v>
      </c>
      <c r="C202" s="77"/>
      <c r="D202" s="77"/>
      <c r="E202" s="77"/>
      <c r="F202" s="77"/>
      <c r="G202" s="64"/>
      <c r="H202" s="64"/>
      <c r="I202" s="64"/>
      <c r="J202" s="64"/>
      <c r="K202" s="64"/>
      <c r="L202" s="64"/>
      <c r="M202" s="64"/>
      <c r="N202" s="64"/>
      <c r="O202" s="64"/>
      <c r="P202" s="64"/>
      <c r="Q202" s="64"/>
      <c r="R202" s="64"/>
      <c r="S202" s="64"/>
      <c r="T202" s="78">
        <f>+T200-T201</f>
        <v>2.1539949573054079E-3</v>
      </c>
      <c r="U202" s="25"/>
      <c r="V202" s="25"/>
      <c r="W202" s="25"/>
      <c r="X202" s="5"/>
    </row>
    <row r="203" spans="1:24" ht="15.6" x14ac:dyDescent="0.3">
      <c r="A203" s="75"/>
      <c r="B203" s="76" t="s">
        <v>73</v>
      </c>
      <c r="C203" s="77"/>
      <c r="D203" s="77"/>
      <c r="E203" s="77"/>
      <c r="F203" s="77"/>
      <c r="G203" s="64"/>
      <c r="H203" s="64"/>
      <c r="I203" s="64"/>
      <c r="J203" s="64"/>
      <c r="K203" s="64"/>
      <c r="L203" s="64"/>
      <c r="M203" s="64"/>
      <c r="N203" s="64"/>
      <c r="O203" s="64"/>
      <c r="P203" s="64"/>
      <c r="Q203" s="64"/>
      <c r="R203" s="64"/>
      <c r="S203" s="64"/>
      <c r="T203" s="78">
        <v>5.7860000000000002E-2</v>
      </c>
      <c r="U203" s="25"/>
      <c r="V203" s="25"/>
      <c r="W203" s="25"/>
      <c r="X203" s="5"/>
    </row>
    <row r="204" spans="1:24" ht="15.6" x14ac:dyDescent="0.3">
      <c r="A204" s="75"/>
      <c r="B204" s="76" t="s">
        <v>222</v>
      </c>
      <c r="C204" s="77"/>
      <c r="D204" s="77"/>
      <c r="E204" s="77"/>
      <c r="F204" s="77"/>
      <c r="G204" s="64"/>
      <c r="H204" s="64"/>
      <c r="I204" s="64"/>
      <c r="J204" s="64"/>
      <c r="K204" s="64"/>
      <c r="L204" s="64"/>
      <c r="M204" s="64"/>
      <c r="N204" s="64"/>
      <c r="O204" s="64"/>
      <c r="P204" s="64"/>
      <c r="Q204" s="64"/>
      <c r="R204" s="64"/>
      <c r="S204" s="64"/>
      <c r="T204" s="78">
        <f>V43</f>
        <v>6.3954822266751879E-2</v>
      </c>
      <c r="U204" s="25"/>
      <c r="V204" s="25"/>
      <c r="W204" s="25"/>
      <c r="X204" s="5"/>
    </row>
    <row r="205" spans="1:24" ht="15.6" x14ac:dyDescent="0.3">
      <c r="A205" s="75"/>
      <c r="B205" s="76" t="s">
        <v>74</v>
      </c>
      <c r="C205" s="77"/>
      <c r="D205" s="77"/>
      <c r="E205" s="77"/>
      <c r="F205" s="77"/>
      <c r="G205" s="64"/>
      <c r="H205" s="64"/>
      <c r="I205" s="64"/>
      <c r="J205" s="64"/>
      <c r="K205" s="64"/>
      <c r="L205" s="64"/>
      <c r="M205" s="64"/>
      <c r="N205" s="64"/>
      <c r="O205" s="64"/>
      <c r="P205" s="64"/>
      <c r="Q205" s="64"/>
      <c r="R205" s="64"/>
      <c r="S205" s="64"/>
      <c r="T205" s="78">
        <f>T203-T204</f>
        <v>-6.0948222667518773E-3</v>
      </c>
      <c r="U205" s="25"/>
      <c r="V205" s="25"/>
      <c r="W205" s="25"/>
      <c r="X205" s="5"/>
    </row>
    <row r="206" spans="1:24" ht="15.6" x14ac:dyDescent="0.3">
      <c r="A206" s="75"/>
      <c r="B206" s="76" t="s">
        <v>274</v>
      </c>
      <c r="C206" s="77"/>
      <c r="D206" s="77"/>
      <c r="E206" s="77"/>
      <c r="F206" s="77"/>
      <c r="G206" s="64"/>
      <c r="H206" s="64"/>
      <c r="I206" s="64"/>
      <c r="J206" s="64"/>
      <c r="K206" s="64"/>
      <c r="L206" s="64"/>
      <c r="M206" s="64"/>
      <c r="N206" s="64"/>
      <c r="O206" s="64"/>
      <c r="P206" s="64"/>
      <c r="Q206" s="64"/>
      <c r="R206" s="64"/>
      <c r="S206" s="64"/>
      <c r="T206" s="78">
        <f>+V101/N72</f>
        <v>1.9599985848385668E-2</v>
      </c>
      <c r="U206" s="25"/>
      <c r="V206" s="25"/>
      <c r="W206" s="25"/>
      <c r="X206" s="5"/>
    </row>
    <row r="207" spans="1:24" ht="15.6" x14ac:dyDescent="0.3">
      <c r="A207" s="75"/>
      <c r="B207" s="76" t="s">
        <v>211</v>
      </c>
      <c r="C207" s="77"/>
      <c r="D207" s="77"/>
      <c r="E207" s="77"/>
      <c r="F207" s="77"/>
      <c r="G207" s="64"/>
      <c r="H207" s="64"/>
      <c r="I207" s="64"/>
      <c r="J207" s="64"/>
      <c r="K207" s="64"/>
      <c r="L207" s="64"/>
      <c r="M207" s="64"/>
      <c r="N207" s="64"/>
      <c r="O207" s="64"/>
      <c r="P207" s="64"/>
      <c r="Q207" s="64"/>
      <c r="R207" s="64"/>
      <c r="S207" s="64"/>
      <c r="T207" s="129">
        <v>50771</v>
      </c>
      <c r="U207" s="25"/>
      <c r="V207" s="25"/>
      <c r="W207" s="25"/>
      <c r="X207" s="5"/>
    </row>
    <row r="208" spans="1:24" ht="15.6" x14ac:dyDescent="0.3">
      <c r="A208" s="75"/>
      <c r="B208" s="76" t="s">
        <v>212</v>
      </c>
      <c r="C208" s="77"/>
      <c r="D208" s="77"/>
      <c r="E208" s="77"/>
      <c r="F208" s="77"/>
      <c r="G208" s="64"/>
      <c r="H208" s="64"/>
      <c r="I208" s="64"/>
      <c r="J208" s="64"/>
      <c r="K208" s="64"/>
      <c r="L208" s="64"/>
      <c r="M208" s="64"/>
      <c r="N208" s="64"/>
      <c r="O208" s="64"/>
      <c r="P208" s="64"/>
      <c r="Q208" s="64"/>
      <c r="R208" s="64"/>
      <c r="S208" s="64"/>
      <c r="T208" s="129">
        <v>50771</v>
      </c>
      <c r="U208" s="25"/>
      <c r="V208" s="25"/>
      <c r="W208" s="25"/>
      <c r="X208" s="5"/>
    </row>
    <row r="209" spans="1:24" ht="15.6" x14ac:dyDescent="0.3">
      <c r="A209" s="75"/>
      <c r="B209" s="76" t="s">
        <v>213</v>
      </c>
      <c r="C209" s="77"/>
      <c r="D209" s="77"/>
      <c r="E209" s="77"/>
      <c r="F209" s="77"/>
      <c r="G209" s="64"/>
      <c r="H209" s="64"/>
      <c r="I209" s="64"/>
      <c r="J209" s="64"/>
      <c r="K209" s="64"/>
      <c r="L209" s="64"/>
      <c r="M209" s="64"/>
      <c r="N209" s="64"/>
      <c r="O209" s="64"/>
      <c r="P209" s="64"/>
      <c r="Q209" s="64"/>
      <c r="R209" s="64"/>
      <c r="S209" s="64"/>
      <c r="T209" s="129">
        <v>50771</v>
      </c>
      <c r="U209" s="25"/>
      <c r="V209" s="25"/>
      <c r="W209" s="25"/>
      <c r="X209" s="5"/>
    </row>
    <row r="210" spans="1:24" ht="15.6" x14ac:dyDescent="0.3">
      <c r="A210" s="75"/>
      <c r="B210" s="76" t="s">
        <v>75</v>
      </c>
      <c r="C210" s="77"/>
      <c r="D210" s="77"/>
      <c r="E210" s="77"/>
      <c r="F210" s="77"/>
      <c r="G210" s="64"/>
      <c r="H210" s="64"/>
      <c r="I210" s="64"/>
      <c r="J210" s="64"/>
      <c r="K210" s="64"/>
      <c r="L210" s="64"/>
      <c r="M210" s="64"/>
      <c r="N210" s="64"/>
      <c r="O210" s="64"/>
      <c r="P210" s="64"/>
      <c r="Q210" s="64"/>
      <c r="R210" s="64"/>
      <c r="S210" s="64"/>
      <c r="T210" s="133">
        <v>20.66</v>
      </c>
      <c r="U210" s="25" t="s">
        <v>113</v>
      </c>
      <c r="V210" s="25"/>
      <c r="W210" s="25"/>
      <c r="X210" s="5"/>
    </row>
    <row r="211" spans="1:24" ht="15.6" x14ac:dyDescent="0.3">
      <c r="A211" s="75"/>
      <c r="B211" s="76" t="s">
        <v>76</v>
      </c>
      <c r="C211" s="77"/>
      <c r="D211" s="77"/>
      <c r="E211" s="77"/>
      <c r="F211" s="77"/>
      <c r="G211" s="64"/>
      <c r="H211" s="64"/>
      <c r="I211" s="64"/>
      <c r="J211" s="64"/>
      <c r="K211" s="64"/>
      <c r="L211" s="64"/>
      <c r="M211" s="64"/>
      <c r="N211" s="64"/>
      <c r="O211" s="64"/>
      <c r="P211" s="64"/>
      <c r="Q211" s="64"/>
      <c r="R211" s="64"/>
      <c r="S211" s="64"/>
      <c r="T211" s="133">
        <v>19.73</v>
      </c>
      <c r="U211" s="25" t="s">
        <v>113</v>
      </c>
      <c r="V211" s="25"/>
      <c r="W211" s="25"/>
      <c r="X211" s="5"/>
    </row>
    <row r="212" spans="1:24" ht="15.6" x14ac:dyDescent="0.3">
      <c r="A212" s="75"/>
      <c r="B212" s="76" t="s">
        <v>77</v>
      </c>
      <c r="C212" s="77"/>
      <c r="D212" s="77"/>
      <c r="E212" s="77"/>
      <c r="F212" s="77"/>
      <c r="G212" s="64"/>
      <c r="H212" s="64"/>
      <c r="I212" s="64"/>
      <c r="J212" s="64"/>
      <c r="K212" s="64"/>
      <c r="L212" s="64"/>
      <c r="M212" s="64"/>
      <c r="N212" s="64"/>
      <c r="O212" s="64"/>
      <c r="P212" s="64"/>
      <c r="Q212" s="64"/>
      <c r="R212" s="64"/>
      <c r="S212" s="64"/>
      <c r="T212" s="78">
        <f>+P69/N69</f>
        <v>3.4003585556977939E-2</v>
      </c>
      <c r="U212" s="25"/>
      <c r="V212" s="25"/>
      <c r="W212" s="25"/>
      <c r="X212" s="5"/>
    </row>
    <row r="213" spans="1:24" ht="15.6" x14ac:dyDescent="0.3">
      <c r="A213" s="75"/>
      <c r="B213" s="76" t="s">
        <v>78</v>
      </c>
      <c r="C213" s="77"/>
      <c r="D213" s="77"/>
      <c r="E213" s="77"/>
      <c r="F213" s="77"/>
      <c r="G213" s="64"/>
      <c r="H213" s="64"/>
      <c r="I213" s="64"/>
      <c r="J213" s="64"/>
      <c r="K213" s="64"/>
      <c r="L213" s="64"/>
      <c r="M213" s="64"/>
      <c r="N213" s="64"/>
      <c r="O213" s="64"/>
      <c r="P213" s="64"/>
      <c r="Q213" s="64"/>
      <c r="R213" s="64"/>
      <c r="S213" s="64"/>
      <c r="T213" s="78">
        <v>0.1124</v>
      </c>
      <c r="U213" s="25"/>
      <c r="V213" s="25"/>
      <c r="W213" s="25"/>
      <c r="X213" s="5"/>
    </row>
    <row r="214" spans="1:24" ht="15.6" x14ac:dyDescent="0.3">
      <c r="A214" s="75"/>
      <c r="B214" s="76"/>
      <c r="C214" s="76"/>
      <c r="D214" s="76"/>
      <c r="E214" s="76"/>
      <c r="F214" s="76"/>
      <c r="G214" s="25"/>
      <c r="H214" s="25"/>
      <c r="I214" s="25"/>
      <c r="J214" s="25"/>
      <c r="K214" s="25"/>
      <c r="L214" s="25"/>
      <c r="M214" s="25"/>
      <c r="N214" s="25"/>
      <c r="O214" s="25"/>
      <c r="P214" s="25"/>
      <c r="Q214" s="25"/>
      <c r="R214" s="25"/>
      <c r="S214" s="25"/>
      <c r="T214" s="61"/>
      <c r="U214" s="25"/>
      <c r="V214" s="79"/>
      <c r="W214" s="25"/>
      <c r="X214" s="5"/>
    </row>
    <row r="215" spans="1:24" ht="15.6" x14ac:dyDescent="0.3">
      <c r="A215" s="80"/>
      <c r="B215" s="14" t="s">
        <v>79</v>
      </c>
      <c r="C215" s="81"/>
      <c r="D215" s="81"/>
      <c r="E215" s="81"/>
      <c r="F215" s="82"/>
      <c r="G215" s="81"/>
      <c r="H215" s="17"/>
      <c r="I215" s="17"/>
      <c r="J215" s="17"/>
      <c r="K215" s="17"/>
      <c r="L215" s="17"/>
      <c r="M215" s="17"/>
      <c r="N215" s="17"/>
      <c r="O215" s="17"/>
      <c r="P215" s="17"/>
      <c r="Q215" s="17"/>
      <c r="R215" s="17"/>
      <c r="S215" s="17" t="s">
        <v>103</v>
      </c>
      <c r="T215" s="83" t="s">
        <v>110</v>
      </c>
      <c r="U215" s="8"/>
      <c r="V215" s="8"/>
      <c r="W215" s="8"/>
      <c r="X215" s="5"/>
    </row>
    <row r="216" spans="1:24" ht="15.6" x14ac:dyDescent="0.3">
      <c r="A216" s="84"/>
      <c r="B216" s="76" t="s">
        <v>80</v>
      </c>
      <c r="C216" s="54"/>
      <c r="D216" s="54"/>
      <c r="E216" s="54"/>
      <c r="F216" s="25"/>
      <c r="G216" s="25"/>
      <c r="H216" s="30"/>
      <c r="I216" s="30"/>
      <c r="J216" s="30"/>
      <c r="K216" s="30"/>
      <c r="L216" s="30"/>
      <c r="M216" s="30"/>
      <c r="N216" s="30"/>
      <c r="O216" s="30"/>
      <c r="P216" s="30"/>
      <c r="Q216" s="30"/>
      <c r="R216" s="30"/>
      <c r="S216" s="30">
        <v>0</v>
      </c>
      <c r="T216" s="85">
        <v>0</v>
      </c>
      <c r="U216" s="25"/>
      <c r="V216" s="79"/>
      <c r="W216" s="86"/>
      <c r="X216" s="5"/>
    </row>
    <row r="217" spans="1:24" ht="15.6" x14ac:dyDescent="0.3">
      <c r="A217" s="84"/>
      <c r="B217" s="76" t="s">
        <v>148</v>
      </c>
      <c r="C217" s="54"/>
      <c r="D217" s="54"/>
      <c r="E217" s="54"/>
      <c r="F217" s="25"/>
      <c r="G217" s="25"/>
      <c r="H217" s="30"/>
      <c r="I217" s="30"/>
      <c r="J217" s="30"/>
      <c r="K217" s="30"/>
      <c r="L217" s="30"/>
      <c r="M217" s="30"/>
      <c r="N217" s="30"/>
      <c r="O217" s="30"/>
      <c r="P217" s="30"/>
      <c r="Q217" s="30"/>
      <c r="R217" s="30"/>
      <c r="S217" s="152">
        <f>+R257</f>
        <v>22</v>
      </c>
      <c r="T217" s="85">
        <f>+T257</f>
        <v>2951</v>
      </c>
      <c r="U217" s="25"/>
      <c r="V217" s="79"/>
      <c r="W217" s="86"/>
      <c r="X217" s="5"/>
    </row>
    <row r="218" spans="1:24" ht="15.6" x14ac:dyDescent="0.3">
      <c r="A218" s="84"/>
      <c r="B218" s="76" t="s">
        <v>81</v>
      </c>
      <c r="C218" s="54"/>
      <c r="D218" s="54"/>
      <c r="E218" s="54"/>
      <c r="F218" s="25"/>
      <c r="G218" s="25"/>
      <c r="H218" s="30"/>
      <c r="I218" s="30"/>
      <c r="J218" s="30"/>
      <c r="K218" s="30"/>
      <c r="L218" s="30"/>
      <c r="M218" s="30"/>
      <c r="N218" s="30"/>
      <c r="O218" s="30"/>
      <c r="P218" s="30"/>
      <c r="Q218" s="30"/>
      <c r="R218" s="30"/>
      <c r="S218" s="30">
        <v>0</v>
      </c>
      <c r="T218" s="85">
        <v>0</v>
      </c>
      <c r="U218" s="25"/>
      <c r="V218" s="79"/>
      <c r="W218" s="86"/>
      <c r="X218" s="5"/>
    </row>
    <row r="219" spans="1:24" ht="15.6" x14ac:dyDescent="0.3">
      <c r="A219" s="84"/>
      <c r="B219" s="122" t="s">
        <v>82</v>
      </c>
      <c r="C219" s="54"/>
      <c r="D219" s="54"/>
      <c r="E219" s="54"/>
      <c r="F219" s="25"/>
      <c r="G219" s="25"/>
      <c r="H219" s="25"/>
      <c r="I219" s="25"/>
      <c r="J219" s="25"/>
      <c r="K219" s="25"/>
      <c r="L219" s="25"/>
      <c r="M219" s="25"/>
      <c r="N219" s="25"/>
      <c r="O219" s="25"/>
      <c r="P219" s="25"/>
      <c r="Q219" s="25"/>
      <c r="R219" s="25"/>
      <c r="S219" s="25"/>
      <c r="T219" s="85">
        <v>0</v>
      </c>
      <c r="U219" s="25"/>
      <c r="V219" s="79"/>
      <c r="W219" s="86"/>
      <c r="X219" s="5"/>
    </row>
    <row r="220" spans="1:24" ht="15.6" x14ac:dyDescent="0.3">
      <c r="A220" s="84"/>
      <c r="B220" s="122" t="s">
        <v>275</v>
      </c>
      <c r="C220" s="54"/>
      <c r="D220" s="54"/>
      <c r="E220" s="54"/>
      <c r="F220" s="25"/>
      <c r="G220" s="25"/>
      <c r="H220" s="25"/>
      <c r="I220" s="25"/>
      <c r="J220" s="25"/>
      <c r="K220" s="25"/>
      <c r="L220" s="25"/>
      <c r="M220" s="25"/>
      <c r="N220" s="25"/>
      <c r="O220" s="25"/>
      <c r="P220" s="25"/>
      <c r="Q220" s="25"/>
      <c r="R220" s="25"/>
      <c r="S220" s="25"/>
      <c r="T220" s="85">
        <f>+N82</f>
        <v>0</v>
      </c>
      <c r="U220" s="25"/>
      <c r="V220" s="79"/>
      <c r="W220" s="86"/>
      <c r="X220" s="5"/>
    </row>
    <row r="221" spans="1:24" ht="15.6" x14ac:dyDescent="0.3">
      <c r="A221" s="87"/>
      <c r="B221" s="122" t="s">
        <v>83</v>
      </c>
      <c r="C221" s="76"/>
      <c r="D221" s="76"/>
      <c r="E221" s="76"/>
      <c r="F221" s="76"/>
      <c r="G221" s="25"/>
      <c r="H221" s="25"/>
      <c r="I221" s="25"/>
      <c r="J221" s="25"/>
      <c r="K221" s="25"/>
      <c r="L221" s="25"/>
      <c r="M221" s="25"/>
      <c r="N221" s="25"/>
      <c r="O221" s="25"/>
      <c r="P221" s="25"/>
      <c r="Q221" s="25"/>
      <c r="R221" s="25"/>
      <c r="S221" s="25"/>
      <c r="T221" s="85"/>
      <c r="U221" s="25"/>
      <c r="V221" s="79"/>
      <c r="W221" s="88"/>
      <c r="X221" s="5"/>
    </row>
    <row r="222" spans="1:24" ht="15.6" x14ac:dyDescent="0.3">
      <c r="A222" s="87"/>
      <c r="B222" s="131" t="s">
        <v>84</v>
      </c>
      <c r="C222" s="76"/>
      <c r="D222" s="76"/>
      <c r="E222" s="76"/>
      <c r="F222" s="76"/>
      <c r="G222" s="25"/>
      <c r="H222" s="25"/>
      <c r="I222" s="25"/>
      <c r="J222" s="25"/>
      <c r="K222" s="25"/>
      <c r="L222" s="25"/>
      <c r="M222" s="25"/>
      <c r="N222" s="25"/>
      <c r="O222" s="25"/>
      <c r="P222" s="25"/>
      <c r="Q222" s="25"/>
      <c r="R222" s="25"/>
      <c r="S222" s="30"/>
      <c r="T222" s="85">
        <f>V167</f>
        <v>-12</v>
      </c>
      <c r="U222" s="25"/>
      <c r="V222" s="79"/>
      <c r="W222" s="88"/>
      <c r="X222" s="5"/>
    </row>
    <row r="223" spans="1:24" ht="15.6" x14ac:dyDescent="0.3">
      <c r="A223" s="84"/>
      <c r="B223" s="76" t="s">
        <v>85</v>
      </c>
      <c r="C223" s="54"/>
      <c r="D223" s="54"/>
      <c r="E223" s="54"/>
      <c r="F223" s="54"/>
      <c r="G223" s="25"/>
      <c r="H223" s="25"/>
      <c r="I223" s="25"/>
      <c r="J223" s="25"/>
      <c r="K223" s="25"/>
      <c r="L223" s="25"/>
      <c r="M223" s="25"/>
      <c r="N223" s="25"/>
      <c r="O223" s="25"/>
      <c r="P223" s="25"/>
      <c r="Q223" s="25"/>
      <c r="R223" s="25"/>
      <c r="S223" s="30"/>
      <c r="T223" s="85">
        <f>'September 07'!T222+T222</f>
        <v>4</v>
      </c>
      <c r="U223" s="25"/>
      <c r="V223" s="79"/>
      <c r="W223" s="88"/>
      <c r="X223" s="5"/>
    </row>
    <row r="224" spans="1:24" ht="15.6" x14ac:dyDescent="0.3">
      <c r="A224" s="87"/>
      <c r="B224" s="122" t="s">
        <v>297</v>
      </c>
      <c r="C224" s="76"/>
      <c r="D224" s="76"/>
      <c r="E224" s="76"/>
      <c r="F224" s="76"/>
      <c r="G224" s="25"/>
      <c r="H224" s="25"/>
      <c r="I224" s="25"/>
      <c r="J224" s="25"/>
      <c r="K224" s="25"/>
      <c r="L224" s="25"/>
      <c r="M224" s="25"/>
      <c r="N224" s="25"/>
      <c r="O224" s="25"/>
      <c r="P224" s="25"/>
      <c r="Q224" s="25"/>
      <c r="R224" s="25"/>
      <c r="S224" s="30"/>
      <c r="T224" s="85"/>
      <c r="U224" s="25"/>
      <c r="V224" s="79"/>
      <c r="W224" s="88"/>
      <c r="X224" s="5"/>
    </row>
    <row r="225" spans="1:25" ht="15.6" x14ac:dyDescent="0.3">
      <c r="A225" s="87"/>
      <c r="B225" s="76" t="s">
        <v>295</v>
      </c>
      <c r="C225" s="76"/>
      <c r="D225" s="76"/>
      <c r="E225" s="76"/>
      <c r="F225" s="76"/>
      <c r="G225" s="25"/>
      <c r="H225" s="25"/>
      <c r="I225" s="25"/>
      <c r="J225" s="25"/>
      <c r="K225" s="25"/>
      <c r="L225" s="25"/>
      <c r="M225" s="25"/>
      <c r="N225" s="25"/>
      <c r="O225" s="25"/>
      <c r="P225" s="25"/>
      <c r="Q225" s="25"/>
      <c r="R225" s="25"/>
      <c r="S225" s="30">
        <v>0</v>
      </c>
      <c r="T225" s="85">
        <v>0</v>
      </c>
      <c r="U225" s="25"/>
      <c r="V225" s="79"/>
      <c r="W225" s="88"/>
      <c r="X225" s="5"/>
    </row>
    <row r="226" spans="1:25" ht="15.6" x14ac:dyDescent="0.3">
      <c r="A226" s="84"/>
      <c r="B226" s="76" t="s">
        <v>87</v>
      </c>
      <c r="C226" s="89"/>
      <c r="D226" s="89"/>
      <c r="E226" s="89"/>
      <c r="F226" s="90"/>
      <c r="G226" s="25"/>
      <c r="H226" s="25"/>
      <c r="I226" s="25"/>
      <c r="J226" s="25"/>
      <c r="K226" s="25"/>
      <c r="L226" s="25"/>
      <c r="M226" s="25"/>
      <c r="N226" s="25"/>
      <c r="O226" s="25"/>
      <c r="P226" s="25"/>
      <c r="Q226" s="25"/>
      <c r="R226" s="25"/>
      <c r="S226" s="25"/>
      <c r="T226" s="62">
        <v>0</v>
      </c>
      <c r="U226" s="25"/>
      <c r="V226" s="79"/>
      <c r="W226" s="88"/>
      <c r="X226" s="5"/>
    </row>
    <row r="227" spans="1:25" ht="15.6" x14ac:dyDescent="0.3">
      <c r="A227" s="84"/>
      <c r="B227" s="76" t="s">
        <v>88</v>
      </c>
      <c r="C227" s="89"/>
      <c r="D227" s="89"/>
      <c r="E227" s="89"/>
      <c r="F227" s="90"/>
      <c r="G227" s="25"/>
      <c r="H227" s="25"/>
      <c r="I227" s="25"/>
      <c r="J227" s="25"/>
      <c r="K227" s="25"/>
      <c r="L227" s="25"/>
      <c r="M227" s="25"/>
      <c r="N227" s="25"/>
      <c r="O227" s="25"/>
      <c r="P227" s="25"/>
      <c r="Q227" s="25"/>
      <c r="R227" s="25"/>
      <c r="S227" s="25"/>
      <c r="T227" s="62">
        <v>0</v>
      </c>
      <c r="U227" s="25"/>
      <c r="V227" s="79"/>
      <c r="W227" s="88"/>
      <c r="X227" s="5"/>
    </row>
    <row r="228" spans="1:25" ht="15.6" x14ac:dyDescent="0.3">
      <c r="A228" s="84"/>
      <c r="B228" s="122" t="s">
        <v>220</v>
      </c>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5.6" x14ac:dyDescent="0.3">
      <c r="A229" s="84"/>
      <c r="B229" s="76" t="s">
        <v>295</v>
      </c>
      <c r="C229" s="89"/>
      <c r="D229" s="89"/>
      <c r="E229" s="89"/>
      <c r="F229" s="90"/>
      <c r="G229" s="25"/>
      <c r="H229" s="25"/>
      <c r="I229" s="25"/>
      <c r="J229" s="25"/>
      <c r="K229" s="25"/>
      <c r="L229" s="25"/>
      <c r="M229" s="25"/>
      <c r="N229" s="25"/>
      <c r="O229" s="25"/>
      <c r="P229" s="25"/>
      <c r="Q229" s="25"/>
      <c r="R229" s="25"/>
      <c r="S229" s="30">
        <v>0</v>
      </c>
      <c r="T229" s="85">
        <v>0</v>
      </c>
      <c r="U229" s="25"/>
      <c r="V229" s="79"/>
      <c r="W229" s="88"/>
      <c r="X229" s="5"/>
    </row>
    <row r="230" spans="1:25" ht="15.6" x14ac:dyDescent="0.3">
      <c r="A230" s="84"/>
      <c r="B230" s="76" t="s">
        <v>221</v>
      </c>
      <c r="C230" s="89"/>
      <c r="D230" s="89"/>
      <c r="E230" s="89"/>
      <c r="F230" s="90"/>
      <c r="G230" s="25"/>
      <c r="H230" s="25"/>
      <c r="I230" s="25"/>
      <c r="J230" s="25"/>
      <c r="K230" s="25"/>
      <c r="L230" s="25"/>
      <c r="M230" s="25"/>
      <c r="N230" s="25"/>
      <c r="O230" s="25"/>
      <c r="P230" s="25"/>
      <c r="Q230" s="25"/>
      <c r="R230" s="25"/>
      <c r="S230" s="25"/>
      <c r="T230" s="62">
        <v>0</v>
      </c>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7.399999999999999" x14ac:dyDescent="0.3">
      <c r="A233" s="84"/>
      <c r="B233" s="149" t="s">
        <v>171</v>
      </c>
      <c r="C233" s="89"/>
      <c r="D233" s="89"/>
      <c r="E233" s="89"/>
      <c r="F233" s="90"/>
      <c r="G233" s="25"/>
      <c r="H233" s="25"/>
      <c r="I233" s="25"/>
      <c r="J233" s="25"/>
      <c r="K233" s="25"/>
      <c r="L233" s="25"/>
      <c r="M233" s="25"/>
      <c r="N233" s="25"/>
      <c r="O233" s="25"/>
      <c r="P233" s="150" t="s">
        <v>170</v>
      </c>
      <c r="Q233" s="25"/>
      <c r="R233" s="25"/>
      <c r="S233" s="25"/>
      <c r="T233" s="91"/>
      <c r="U233" s="25"/>
      <c r="V233" s="79"/>
      <c r="W233" s="88"/>
      <c r="X233" s="5"/>
    </row>
    <row r="234" spans="1:25" ht="15.6" x14ac:dyDescent="0.3">
      <c r="A234" s="84"/>
      <c r="B234" s="76"/>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5" ht="15.6" x14ac:dyDescent="0.3">
      <c r="A235" s="6"/>
      <c r="B235" s="14" t="s">
        <v>165</v>
      </c>
      <c r="C235" s="81"/>
      <c r="D235" s="81"/>
      <c r="E235" s="81"/>
      <c r="F235" s="82"/>
      <c r="G235" s="81"/>
      <c r="H235" s="17"/>
      <c r="I235" s="17"/>
      <c r="J235" s="17"/>
      <c r="K235" s="17"/>
      <c r="L235" s="17"/>
      <c r="M235" s="17"/>
      <c r="N235" s="17"/>
      <c r="O235" s="17"/>
      <c r="P235" s="17"/>
      <c r="Q235" s="17"/>
      <c r="R235" s="83" t="s">
        <v>103</v>
      </c>
      <c r="S235" s="17" t="s">
        <v>104</v>
      </c>
      <c r="T235" s="83" t="s">
        <v>111</v>
      </c>
      <c r="U235" s="17" t="s">
        <v>104</v>
      </c>
      <c r="V235" s="8"/>
      <c r="W235" s="92"/>
      <c r="X235" s="5"/>
    </row>
    <row r="236" spans="1:25" ht="15.6" x14ac:dyDescent="0.3">
      <c r="A236" s="24"/>
      <c r="B236" s="54" t="s">
        <v>89</v>
      </c>
      <c r="C236" s="93"/>
      <c r="D236" s="93"/>
      <c r="E236" s="93"/>
      <c r="F236" s="25"/>
      <c r="G236" s="93"/>
      <c r="H236" s="93"/>
      <c r="I236" s="93"/>
      <c r="J236" s="93"/>
      <c r="K236" s="93"/>
      <c r="L236" s="93"/>
      <c r="M236" s="93"/>
      <c r="N236" s="93"/>
      <c r="O236" s="93"/>
      <c r="P236" s="93"/>
      <c r="Q236" s="93"/>
      <c r="R236" s="54">
        <v>10464</v>
      </c>
      <c r="S236" s="94">
        <f t="shared" ref="S236:S243" si="1">R236/$R$245</f>
        <v>0.98922291548496877</v>
      </c>
      <c r="T236" s="53">
        <v>1327372</v>
      </c>
      <c r="U236" s="132">
        <f t="shared" ref="U236:U243" si="2">T236/$T$245</f>
        <v>0.98761180992573039</v>
      </c>
      <c r="V236" s="79"/>
      <c r="W236" s="88"/>
      <c r="X236" s="5"/>
    </row>
    <row r="237" spans="1:25" ht="15.6" x14ac:dyDescent="0.3">
      <c r="A237" s="24"/>
      <c r="B237" s="54" t="s">
        <v>90</v>
      </c>
      <c r="C237" s="93"/>
      <c r="D237" s="93"/>
      <c r="E237" s="93"/>
      <c r="F237" s="25"/>
      <c r="G237" s="94"/>
      <c r="H237" s="93"/>
      <c r="I237" s="93"/>
      <c r="J237" s="93"/>
      <c r="K237" s="93"/>
      <c r="L237" s="93"/>
      <c r="M237" s="93"/>
      <c r="N237" s="93"/>
      <c r="O237" s="93"/>
      <c r="P237" s="93"/>
      <c r="Q237" s="93"/>
      <c r="R237" s="54">
        <v>58</v>
      </c>
      <c r="S237" s="94">
        <f t="shared" si="1"/>
        <v>5.4830780865948196E-3</v>
      </c>
      <c r="T237" s="53">
        <v>8052</v>
      </c>
      <c r="U237" s="132">
        <f t="shared" si="2"/>
        <v>5.9909733620431812E-3</v>
      </c>
      <c r="V237" s="79"/>
      <c r="W237" s="88"/>
      <c r="X237" s="5"/>
      <c r="Y237" s="109"/>
    </row>
    <row r="238" spans="1:25" ht="15.6" x14ac:dyDescent="0.3">
      <c r="A238" s="24"/>
      <c r="B238" s="54" t="s">
        <v>91</v>
      </c>
      <c r="C238" s="93"/>
      <c r="D238" s="93"/>
      <c r="E238" s="93"/>
      <c r="F238" s="25"/>
      <c r="G238" s="94"/>
      <c r="H238" s="93"/>
      <c r="I238" s="93"/>
      <c r="J238" s="93"/>
      <c r="K238" s="93"/>
      <c r="L238" s="93"/>
      <c r="M238" s="93"/>
      <c r="N238" s="93"/>
      <c r="O238" s="93"/>
      <c r="P238" s="93"/>
      <c r="Q238" s="93"/>
      <c r="R238" s="54">
        <v>49</v>
      </c>
      <c r="S238" s="94">
        <f t="shared" si="1"/>
        <v>4.6322556248818304E-3</v>
      </c>
      <c r="T238" s="53">
        <v>7821</v>
      </c>
      <c r="U238" s="132">
        <f t="shared" si="2"/>
        <v>5.8191011754271877E-3</v>
      </c>
      <c r="V238" s="79"/>
      <c r="W238" s="88"/>
      <c r="X238" s="5"/>
    </row>
    <row r="239" spans="1:25" ht="15.6" x14ac:dyDescent="0.3">
      <c r="A239" s="24"/>
      <c r="B239" s="54" t="s">
        <v>159</v>
      </c>
      <c r="C239" s="93"/>
      <c r="D239" s="93"/>
      <c r="E239" s="93"/>
      <c r="F239" s="25"/>
      <c r="G239" s="94"/>
      <c r="H239" s="93"/>
      <c r="I239" s="93"/>
      <c r="J239" s="93"/>
      <c r="K239" s="93"/>
      <c r="L239" s="93"/>
      <c r="M239" s="93"/>
      <c r="N239" s="93"/>
      <c r="O239" s="93"/>
      <c r="P239" s="93"/>
      <c r="Q239" s="93"/>
      <c r="R239" s="54">
        <v>7</v>
      </c>
      <c r="S239" s="94">
        <f t="shared" si="1"/>
        <v>6.6175080355454713E-4</v>
      </c>
      <c r="T239" s="53">
        <v>777</v>
      </c>
      <c r="U239" s="132">
        <f t="shared" si="2"/>
        <v>5.7811553679924885E-4</v>
      </c>
      <c r="V239" s="79"/>
      <c r="W239" s="88"/>
      <c r="X239" s="5"/>
      <c r="Y239" s="109"/>
    </row>
    <row r="240" spans="1:25" ht="15.6" x14ac:dyDescent="0.3">
      <c r="A240" s="24"/>
      <c r="B240" s="54" t="s">
        <v>160</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row>
    <row r="241" spans="1:25" ht="15.6" x14ac:dyDescent="0.3">
      <c r="A241" s="24"/>
      <c r="B241" s="54" t="s">
        <v>161</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c r="Y241" s="109"/>
    </row>
    <row r="242" spans="1:25" ht="15.6" x14ac:dyDescent="0.3">
      <c r="A242" s="24"/>
      <c r="B242" s="54" t="s">
        <v>162</v>
      </c>
      <c r="C242" s="93"/>
      <c r="D242" s="93"/>
      <c r="E242" s="93"/>
      <c r="F242" s="25"/>
      <c r="G242" s="94"/>
      <c r="H242" s="93"/>
      <c r="I242" s="93"/>
      <c r="J242" s="93"/>
      <c r="K242" s="93"/>
      <c r="L242" s="93"/>
      <c r="M242" s="93"/>
      <c r="N242" s="93"/>
      <c r="O242" s="93"/>
      <c r="P242" s="93"/>
      <c r="Q242" s="93"/>
      <c r="R242" s="54">
        <v>0</v>
      </c>
      <c r="S242" s="94">
        <f t="shared" si="1"/>
        <v>0</v>
      </c>
      <c r="T242" s="53">
        <v>0</v>
      </c>
      <c r="U242" s="132">
        <f t="shared" si="2"/>
        <v>0</v>
      </c>
      <c r="V242" s="79"/>
      <c r="W242" s="88"/>
      <c r="X242" s="5"/>
    </row>
    <row r="243" spans="1:25" ht="15.6" x14ac:dyDescent="0.3">
      <c r="A243" s="24"/>
      <c r="B243" s="54" t="s">
        <v>163</v>
      </c>
      <c r="C243" s="93"/>
      <c r="D243" s="93"/>
      <c r="E243" s="93"/>
      <c r="F243" s="25"/>
      <c r="G243" s="94"/>
      <c r="H243" s="93"/>
      <c r="I243" s="93"/>
      <c r="J243" s="93"/>
      <c r="K243" s="93"/>
      <c r="L243" s="93"/>
      <c r="M243" s="93"/>
      <c r="N243" s="93"/>
      <c r="O243" s="93"/>
      <c r="P243" s="93"/>
      <c r="Q243" s="93"/>
      <c r="R243" s="54">
        <v>0</v>
      </c>
      <c r="S243" s="94">
        <f t="shared" si="1"/>
        <v>0</v>
      </c>
      <c r="T243" s="53">
        <v>0</v>
      </c>
      <c r="U243" s="132">
        <f t="shared" si="2"/>
        <v>0</v>
      </c>
      <c r="V243" s="79"/>
      <c r="W243" s="88"/>
      <c r="X243" s="5"/>
      <c r="Y243" s="109"/>
    </row>
    <row r="244" spans="1:25" ht="15.6" x14ac:dyDescent="0.3">
      <c r="A244" s="24"/>
      <c r="B244" s="54"/>
      <c r="C244" s="93"/>
      <c r="D244" s="93"/>
      <c r="E244" s="93"/>
      <c r="F244" s="25"/>
      <c r="G244" s="94"/>
      <c r="H244" s="93"/>
      <c r="I244" s="93"/>
      <c r="J244" s="93"/>
      <c r="K244" s="93"/>
      <c r="L244" s="93"/>
      <c r="M244" s="93"/>
      <c r="N244" s="93"/>
      <c r="O244" s="93"/>
      <c r="P244" s="93"/>
      <c r="Q244" s="93"/>
      <c r="R244" s="54"/>
      <c r="S244" s="94"/>
      <c r="T244" s="53"/>
      <c r="U244" s="132"/>
      <c r="V244" s="79"/>
      <c r="W244" s="88"/>
      <c r="X244" s="5"/>
    </row>
    <row r="245" spans="1:25" ht="15.6" x14ac:dyDescent="0.3">
      <c r="A245" s="24"/>
      <c r="B245" s="25" t="s">
        <v>117</v>
      </c>
      <c r="C245" s="25"/>
      <c r="D245" s="25"/>
      <c r="E245" s="25"/>
      <c r="F245" s="25"/>
      <c r="G245" s="25"/>
      <c r="H245" s="95"/>
      <c r="I245" s="95"/>
      <c r="J245" s="95"/>
      <c r="K245" s="95"/>
      <c r="L245" s="95"/>
      <c r="M245" s="95"/>
      <c r="N245" s="95"/>
      <c r="O245" s="95"/>
      <c r="P245" s="95"/>
      <c r="Q245" s="95"/>
      <c r="R245" s="34">
        <f>SUM(R236:R244)</f>
        <v>10578</v>
      </c>
      <c r="S245" s="132">
        <f>SUM(S236:S244)</f>
        <v>1</v>
      </c>
      <c r="T245" s="53">
        <f>SUM(T236:T244)</f>
        <v>1344022</v>
      </c>
      <c r="U245" s="132">
        <f>SUM(U236:U244)</f>
        <v>0.99999999999999989</v>
      </c>
      <c r="V245" s="25"/>
      <c r="W245" s="25"/>
      <c r="X245" s="5"/>
    </row>
    <row r="246" spans="1:25" ht="15.6" x14ac:dyDescent="0.3">
      <c r="A246" s="24"/>
      <c r="B246" s="25"/>
      <c r="C246" s="25"/>
      <c r="D246" s="25"/>
      <c r="E246" s="25"/>
      <c r="F246" s="25"/>
      <c r="G246" s="25"/>
      <c r="H246" s="95"/>
      <c r="I246" s="95"/>
      <c r="J246" s="95"/>
      <c r="K246" s="95"/>
      <c r="L246" s="95"/>
      <c r="M246" s="95"/>
      <c r="N246" s="95"/>
      <c r="O246" s="95"/>
      <c r="P246" s="95"/>
      <c r="Q246" s="95"/>
      <c r="R246" s="34"/>
      <c r="S246" s="132"/>
      <c r="T246" s="53"/>
      <c r="U246" s="132"/>
      <c r="V246" s="25"/>
      <c r="W246" s="25"/>
      <c r="X246" s="5"/>
    </row>
    <row r="247" spans="1:25" ht="15.6" x14ac:dyDescent="0.3">
      <c r="A247" s="141"/>
      <c r="B247" s="14" t="s">
        <v>279</v>
      </c>
      <c r="C247" s="81"/>
      <c r="D247" s="81"/>
      <c r="E247" s="81"/>
      <c r="F247" s="82"/>
      <c r="G247" s="81"/>
      <c r="H247" s="17"/>
      <c r="I247" s="17"/>
      <c r="J247" s="17"/>
      <c r="K247" s="17"/>
      <c r="L247" s="17"/>
      <c r="M247" s="17"/>
      <c r="N247" s="17"/>
      <c r="O247" s="17"/>
      <c r="P247" s="17"/>
      <c r="Q247" s="17"/>
      <c r="R247" s="83" t="s">
        <v>103</v>
      </c>
      <c r="S247" s="17" t="s">
        <v>104</v>
      </c>
      <c r="T247" s="83" t="s">
        <v>111</v>
      </c>
      <c r="U247" s="17" t="s">
        <v>104</v>
      </c>
      <c r="V247" s="139"/>
      <c r="W247" s="140"/>
      <c r="X247" s="5"/>
    </row>
    <row r="248" spans="1:25" ht="15.6" x14ac:dyDescent="0.3">
      <c r="A248" s="24"/>
      <c r="B248" s="54" t="s">
        <v>89</v>
      </c>
      <c r="C248" s="93"/>
      <c r="D248" s="93"/>
      <c r="E248" s="93"/>
      <c r="F248" s="25"/>
      <c r="G248" s="93"/>
      <c r="H248" s="93"/>
      <c r="I248" s="93"/>
      <c r="J248" s="93"/>
      <c r="K248" s="93"/>
      <c r="L248" s="93"/>
      <c r="M248" s="93"/>
      <c r="N248" s="93"/>
      <c r="O248" s="93"/>
      <c r="P248" s="93"/>
      <c r="Q248" s="93"/>
      <c r="R248" s="54">
        <v>6</v>
      </c>
      <c r="S248" s="94">
        <f t="shared" ref="S248:S255" si="3">R248/$R$257</f>
        <v>0.27272727272727271</v>
      </c>
      <c r="T248" s="53">
        <v>764</v>
      </c>
      <c r="U248" s="132">
        <f t="shared" ref="U248:U255" si="4">T248/$T$257</f>
        <v>0.25889528973229414</v>
      </c>
      <c r="V248" s="25"/>
      <c r="W248" s="25"/>
      <c r="X248" s="5"/>
    </row>
    <row r="249" spans="1:25" ht="15.6" x14ac:dyDescent="0.3">
      <c r="A249" s="24"/>
      <c r="B249" s="54" t="s">
        <v>90</v>
      </c>
      <c r="C249" s="93"/>
      <c r="D249" s="93"/>
      <c r="E249" s="93"/>
      <c r="F249" s="25"/>
      <c r="G249" s="94"/>
      <c r="H249" s="93"/>
      <c r="I249" s="93"/>
      <c r="J249" s="93"/>
      <c r="K249" s="93"/>
      <c r="L249" s="93"/>
      <c r="M249" s="93"/>
      <c r="N249" s="93"/>
      <c r="O249" s="93"/>
      <c r="P249" s="93"/>
      <c r="Q249" s="93"/>
      <c r="R249" s="54">
        <v>0</v>
      </c>
      <c r="S249" s="94">
        <f t="shared" si="3"/>
        <v>0</v>
      </c>
      <c r="T249" s="53">
        <v>0</v>
      </c>
      <c r="U249" s="132">
        <f t="shared" si="4"/>
        <v>0</v>
      </c>
      <c r="V249" s="25"/>
      <c r="W249" s="25"/>
      <c r="X249" s="5"/>
    </row>
    <row r="250" spans="1:25" ht="15.6" x14ac:dyDescent="0.3">
      <c r="A250" s="24"/>
      <c r="B250" s="54" t="s">
        <v>91</v>
      </c>
      <c r="C250" s="93"/>
      <c r="D250" s="93"/>
      <c r="E250" s="93"/>
      <c r="F250" s="25"/>
      <c r="G250" s="94"/>
      <c r="H250" s="93"/>
      <c r="I250" s="93"/>
      <c r="J250" s="93"/>
      <c r="K250" s="93"/>
      <c r="L250" s="93"/>
      <c r="M250" s="93"/>
      <c r="N250" s="93"/>
      <c r="O250" s="93"/>
      <c r="P250" s="93"/>
      <c r="Q250" s="93"/>
      <c r="R250" s="54">
        <v>2</v>
      </c>
      <c r="S250" s="94">
        <f t="shared" si="3"/>
        <v>9.0909090909090912E-2</v>
      </c>
      <c r="T250" s="53">
        <v>223</v>
      </c>
      <c r="U250" s="132">
        <f t="shared" si="4"/>
        <v>7.5567604201965441E-2</v>
      </c>
      <c r="V250" s="25"/>
      <c r="W250" s="25"/>
      <c r="X250" s="5"/>
    </row>
    <row r="251" spans="1:25" ht="15.6" x14ac:dyDescent="0.3">
      <c r="A251" s="24"/>
      <c r="B251" s="54" t="s">
        <v>159</v>
      </c>
      <c r="C251" s="93"/>
      <c r="D251" s="93"/>
      <c r="E251" s="93"/>
      <c r="F251" s="25"/>
      <c r="G251" s="94"/>
      <c r="H251" s="93"/>
      <c r="I251" s="93"/>
      <c r="J251" s="93"/>
      <c r="K251" s="93"/>
      <c r="L251" s="93"/>
      <c r="M251" s="93"/>
      <c r="N251" s="93"/>
      <c r="O251" s="93"/>
      <c r="P251" s="93"/>
      <c r="Q251" s="93"/>
      <c r="R251" s="54">
        <v>10</v>
      </c>
      <c r="S251" s="94">
        <f t="shared" si="3"/>
        <v>0.45454545454545453</v>
      </c>
      <c r="T251" s="53">
        <v>1338</v>
      </c>
      <c r="U251" s="132">
        <f t="shared" si="4"/>
        <v>0.45340562521179262</v>
      </c>
      <c r="V251" s="25"/>
      <c r="W251" s="25"/>
      <c r="X251" s="5"/>
    </row>
    <row r="252" spans="1:25" ht="15.6" x14ac:dyDescent="0.3">
      <c r="A252" s="24"/>
      <c r="B252" s="54" t="s">
        <v>160</v>
      </c>
      <c r="C252" s="93"/>
      <c r="D252" s="93"/>
      <c r="E252" s="93"/>
      <c r="F252" s="25"/>
      <c r="G252" s="94"/>
      <c r="H252" s="93"/>
      <c r="I252" s="93"/>
      <c r="J252" s="93"/>
      <c r="K252" s="93"/>
      <c r="L252" s="93"/>
      <c r="M252" s="93"/>
      <c r="N252" s="93"/>
      <c r="O252" s="93"/>
      <c r="P252" s="93"/>
      <c r="Q252" s="93"/>
      <c r="R252" s="54">
        <v>0</v>
      </c>
      <c r="S252" s="94">
        <f t="shared" si="3"/>
        <v>0</v>
      </c>
      <c r="T252" s="53">
        <v>0</v>
      </c>
      <c r="U252" s="132">
        <f t="shared" si="4"/>
        <v>0</v>
      </c>
      <c r="V252" s="25"/>
      <c r="W252" s="25"/>
      <c r="X252" s="5"/>
    </row>
    <row r="253" spans="1:25" ht="15.6" x14ac:dyDescent="0.3">
      <c r="A253" s="24"/>
      <c r="B253" s="54" t="s">
        <v>161</v>
      </c>
      <c r="C253" s="93"/>
      <c r="D253" s="93"/>
      <c r="E253" s="93"/>
      <c r="F253" s="25"/>
      <c r="G253" s="94"/>
      <c r="H253" s="93"/>
      <c r="I253" s="93"/>
      <c r="J253" s="93"/>
      <c r="K253" s="93"/>
      <c r="L253" s="93"/>
      <c r="M253" s="93"/>
      <c r="N253" s="93"/>
      <c r="O253" s="93"/>
      <c r="P253" s="93"/>
      <c r="Q253" s="93"/>
      <c r="R253" s="54">
        <v>2</v>
      </c>
      <c r="S253" s="94">
        <f t="shared" si="3"/>
        <v>9.0909090909090912E-2</v>
      </c>
      <c r="T253" s="53">
        <v>263</v>
      </c>
      <c r="U253" s="132">
        <f t="shared" si="4"/>
        <v>8.9122331413080305E-2</v>
      </c>
      <c r="V253" s="25"/>
      <c r="W253" s="25"/>
      <c r="X253" s="5"/>
    </row>
    <row r="254" spans="1:25" ht="15.6" x14ac:dyDescent="0.3">
      <c r="A254" s="24"/>
      <c r="B254" s="54" t="s">
        <v>162</v>
      </c>
      <c r="C254" s="93"/>
      <c r="D254" s="93"/>
      <c r="E254" s="93"/>
      <c r="F254" s="25"/>
      <c r="G254" s="94"/>
      <c r="H254" s="93"/>
      <c r="I254" s="93"/>
      <c r="J254" s="93"/>
      <c r="K254" s="93"/>
      <c r="L254" s="93"/>
      <c r="M254" s="93"/>
      <c r="N254" s="93"/>
      <c r="O254" s="93"/>
      <c r="P254" s="93"/>
      <c r="Q254" s="93"/>
      <c r="R254" s="54">
        <v>2</v>
      </c>
      <c r="S254" s="94">
        <f t="shared" si="3"/>
        <v>9.0909090909090912E-2</v>
      </c>
      <c r="T254" s="53">
        <v>363</v>
      </c>
      <c r="U254" s="132">
        <f t="shared" si="4"/>
        <v>0.12300914944086751</v>
      </c>
      <c r="V254" s="25"/>
      <c r="W254" s="25"/>
      <c r="X254" s="5"/>
    </row>
    <row r="255" spans="1:25" ht="15.6" x14ac:dyDescent="0.3">
      <c r="A255" s="24"/>
      <c r="B255" s="54" t="s">
        <v>163</v>
      </c>
      <c r="C255" s="93"/>
      <c r="D255" s="93"/>
      <c r="E255" s="93"/>
      <c r="F255" s="25"/>
      <c r="G255" s="94"/>
      <c r="H255" s="93"/>
      <c r="I255" s="93"/>
      <c r="J255" s="93"/>
      <c r="K255" s="93"/>
      <c r="L255" s="93"/>
      <c r="M255" s="93"/>
      <c r="N255" s="93"/>
      <c r="O255" s="93"/>
      <c r="P255" s="93"/>
      <c r="Q255" s="93"/>
      <c r="R255" s="54">
        <v>0</v>
      </c>
      <c r="S255" s="94">
        <f t="shared" si="3"/>
        <v>0</v>
      </c>
      <c r="T255" s="53">
        <v>0</v>
      </c>
      <c r="U255" s="132">
        <f t="shared" si="4"/>
        <v>0</v>
      </c>
      <c r="V255" s="25"/>
      <c r="W255" s="25"/>
      <c r="X255" s="5"/>
    </row>
    <row r="256" spans="1:25" ht="15.6" x14ac:dyDescent="0.3">
      <c r="A256" s="24"/>
      <c r="B256" s="54"/>
      <c r="C256" s="93"/>
      <c r="D256" s="93"/>
      <c r="E256" s="93"/>
      <c r="F256" s="25"/>
      <c r="G256" s="94"/>
      <c r="H256" s="93"/>
      <c r="I256" s="93"/>
      <c r="J256" s="93"/>
      <c r="K256" s="93"/>
      <c r="L256" s="93"/>
      <c r="M256" s="93"/>
      <c r="N256" s="93"/>
      <c r="O256" s="93"/>
      <c r="P256" s="93"/>
      <c r="Q256" s="93"/>
      <c r="R256" s="54"/>
      <c r="S256" s="94"/>
      <c r="T256" s="53"/>
      <c r="U256" s="132"/>
      <c r="V256" s="25"/>
      <c r="W256" s="25"/>
      <c r="X256" s="5"/>
    </row>
    <row r="257" spans="1:24" ht="15.6" x14ac:dyDescent="0.3">
      <c r="A257" s="24"/>
      <c r="B257" s="25" t="s">
        <v>117</v>
      </c>
      <c r="C257" s="25"/>
      <c r="D257" s="25"/>
      <c r="E257" s="25"/>
      <c r="F257" s="25"/>
      <c r="G257" s="25"/>
      <c r="H257" s="95"/>
      <c r="I257" s="95"/>
      <c r="J257" s="95"/>
      <c r="K257" s="95"/>
      <c r="L257" s="95"/>
      <c r="M257" s="95"/>
      <c r="N257" s="95"/>
      <c r="O257" s="95"/>
      <c r="P257" s="95"/>
      <c r="Q257" s="95"/>
      <c r="R257" s="34">
        <f>SUM(R248:R256)</f>
        <v>22</v>
      </c>
      <c r="S257" s="132">
        <f>SUM(S248:S256)</f>
        <v>1</v>
      </c>
      <c r="T257" s="53">
        <f>SUM(T248:T256)</f>
        <v>2951</v>
      </c>
      <c r="U257" s="132">
        <f>SUM(U248:U256)</f>
        <v>1</v>
      </c>
      <c r="V257" s="25"/>
      <c r="W257" s="25"/>
      <c r="X257" s="5"/>
    </row>
    <row r="258" spans="1:24" ht="15.6" x14ac:dyDescent="0.3">
      <c r="A258" s="24"/>
      <c r="B258" s="25"/>
      <c r="C258" s="25"/>
      <c r="D258" s="25"/>
      <c r="E258" s="25"/>
      <c r="F258" s="25"/>
      <c r="G258" s="25"/>
      <c r="H258" s="95"/>
      <c r="I258" s="95"/>
      <c r="J258" s="95"/>
      <c r="K258" s="95"/>
      <c r="L258" s="95"/>
      <c r="M258" s="95"/>
      <c r="N258" s="95"/>
      <c r="O258" s="95"/>
      <c r="P258" s="95"/>
      <c r="Q258" s="95"/>
      <c r="R258" s="34"/>
      <c r="S258" s="132"/>
      <c r="T258" s="53"/>
      <c r="U258" s="132"/>
      <c r="V258" s="25"/>
      <c r="W258" s="25"/>
      <c r="X258" s="5"/>
    </row>
    <row r="259" spans="1:24" ht="15.6" x14ac:dyDescent="0.3">
      <c r="A259" s="141"/>
      <c r="B259" s="14" t="s">
        <v>166</v>
      </c>
      <c r="C259" s="139"/>
      <c r="D259" s="139"/>
      <c r="E259" s="139"/>
      <c r="F259" s="139"/>
      <c r="G259" s="139"/>
      <c r="H259" s="145"/>
      <c r="I259" s="145"/>
      <c r="J259" s="145"/>
      <c r="K259" s="145"/>
      <c r="L259" s="145"/>
      <c r="M259" s="145"/>
      <c r="N259" s="145"/>
      <c r="O259" s="145"/>
      <c r="P259" s="145"/>
      <c r="Q259" s="145"/>
      <c r="R259" s="83" t="s">
        <v>103</v>
      </c>
      <c r="S259" s="17" t="s">
        <v>104</v>
      </c>
      <c r="T259" s="83" t="s">
        <v>111</v>
      </c>
      <c r="U259" s="17" t="s">
        <v>104</v>
      </c>
      <c r="V259" s="139"/>
      <c r="W259" s="140"/>
      <c r="X259" s="5"/>
    </row>
    <row r="260" spans="1:24" ht="15.6" x14ac:dyDescent="0.3">
      <c r="A260" s="24"/>
      <c r="B260" s="54" t="s">
        <v>89</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90</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91</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159</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160</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t="s">
        <v>161</v>
      </c>
      <c r="C265" s="25"/>
      <c r="D265" s="25"/>
      <c r="E265" s="25"/>
      <c r="F265" s="25"/>
      <c r="G265" s="25"/>
      <c r="H265" s="95"/>
      <c r="I265" s="95"/>
      <c r="J265" s="95"/>
      <c r="K265" s="95"/>
      <c r="L265" s="95"/>
      <c r="M265" s="95"/>
      <c r="N265" s="95"/>
      <c r="O265" s="95"/>
      <c r="P265" s="95"/>
      <c r="Q265" s="95"/>
      <c r="R265" s="54">
        <v>0</v>
      </c>
      <c r="S265" s="94">
        <v>0</v>
      </c>
      <c r="T265" s="53">
        <v>0</v>
      </c>
      <c r="U265" s="132">
        <v>0</v>
      </c>
      <c r="V265" s="25"/>
      <c r="W265" s="25"/>
      <c r="X265" s="5"/>
    </row>
    <row r="266" spans="1:24" ht="15.6" x14ac:dyDescent="0.3">
      <c r="A266" s="24"/>
      <c r="B266" s="54" t="s">
        <v>162</v>
      </c>
      <c r="C266" s="25"/>
      <c r="D266" s="25"/>
      <c r="E266" s="25"/>
      <c r="F266" s="25"/>
      <c r="G266" s="25"/>
      <c r="H266" s="95"/>
      <c r="I266" s="95"/>
      <c r="J266" s="95"/>
      <c r="K266" s="95"/>
      <c r="L266" s="95"/>
      <c r="M266" s="95"/>
      <c r="N266" s="95"/>
      <c r="O266" s="95"/>
      <c r="P266" s="95"/>
      <c r="Q266" s="95"/>
      <c r="R266" s="54">
        <v>0</v>
      </c>
      <c r="S266" s="94">
        <v>0</v>
      </c>
      <c r="T266" s="53">
        <v>0</v>
      </c>
      <c r="U266" s="132">
        <v>0</v>
      </c>
      <c r="V266" s="25"/>
      <c r="W266" s="25"/>
      <c r="X266" s="5"/>
    </row>
    <row r="267" spans="1:24" ht="15.6" x14ac:dyDescent="0.3">
      <c r="A267" s="24"/>
      <c r="B267" s="54" t="s">
        <v>163</v>
      </c>
      <c r="C267" s="25"/>
      <c r="D267" s="25"/>
      <c r="E267" s="25"/>
      <c r="F267" s="25"/>
      <c r="G267" s="25"/>
      <c r="H267" s="95"/>
      <c r="I267" s="95"/>
      <c r="J267" s="95"/>
      <c r="K267" s="95"/>
      <c r="L267" s="95"/>
      <c r="M267" s="95"/>
      <c r="N267" s="95"/>
      <c r="O267" s="95"/>
      <c r="P267" s="95"/>
      <c r="Q267" s="95"/>
      <c r="R267" s="54">
        <v>0</v>
      </c>
      <c r="S267" s="94">
        <v>0</v>
      </c>
      <c r="T267" s="53">
        <v>0</v>
      </c>
      <c r="U267" s="132">
        <v>0</v>
      </c>
      <c r="V267" s="25"/>
      <c r="W267" s="25"/>
      <c r="X267" s="5"/>
    </row>
    <row r="268" spans="1:24" ht="15.6" x14ac:dyDescent="0.3">
      <c r="A268" s="24"/>
      <c r="B268" s="54"/>
      <c r="C268" s="25"/>
      <c r="D268" s="25"/>
      <c r="E268" s="25"/>
      <c r="F268" s="25"/>
      <c r="G268" s="25"/>
      <c r="H268" s="95"/>
      <c r="I268" s="95"/>
      <c r="J268" s="95"/>
      <c r="K268" s="95"/>
      <c r="L268" s="95"/>
      <c r="M268" s="95"/>
      <c r="N268" s="95"/>
      <c r="O268" s="95"/>
      <c r="P268" s="95"/>
      <c r="Q268" s="95"/>
      <c r="R268" s="54"/>
      <c r="S268" s="94"/>
      <c r="T268" s="53"/>
      <c r="U268" s="132"/>
      <c r="V268" s="25"/>
      <c r="W268" s="25"/>
      <c r="X268" s="5"/>
    </row>
    <row r="269" spans="1:24" ht="15.6" x14ac:dyDescent="0.3">
      <c r="A269" s="24"/>
      <c r="B269" s="25" t="s">
        <v>117</v>
      </c>
      <c r="C269" s="25"/>
      <c r="D269" s="25"/>
      <c r="E269" s="25"/>
      <c r="F269" s="25"/>
      <c r="G269" s="25"/>
      <c r="H269" s="95"/>
      <c r="I269" s="95"/>
      <c r="J269" s="95"/>
      <c r="K269" s="95"/>
      <c r="L269" s="95"/>
      <c r="M269" s="95"/>
      <c r="N269" s="95"/>
      <c r="O269" s="95"/>
      <c r="P269" s="95"/>
      <c r="Q269" s="95"/>
      <c r="R269" s="34">
        <f>SUM(R260:R267)</f>
        <v>0</v>
      </c>
      <c r="S269" s="94">
        <f>SUM(S260:S267)</f>
        <v>0</v>
      </c>
      <c r="T269" s="53">
        <f>SUM(T260:T267)</f>
        <v>0</v>
      </c>
      <c r="U269" s="132">
        <f>SUM(U260:U267)</f>
        <v>0</v>
      </c>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34"/>
      <c r="S270" s="132"/>
      <c r="T270" s="53"/>
      <c r="U270" s="132"/>
      <c r="V270" s="25"/>
      <c r="W270" s="25"/>
      <c r="X270" s="5"/>
    </row>
    <row r="271" spans="1:24" ht="15.6" x14ac:dyDescent="0.3">
      <c r="A271" s="24"/>
      <c r="B271" s="142" t="s">
        <v>167</v>
      </c>
      <c r="C271" s="25"/>
      <c r="D271" s="25"/>
      <c r="E271" s="25"/>
      <c r="F271" s="25"/>
      <c r="G271" s="25"/>
      <c r="H271" s="95"/>
      <c r="I271" s="95"/>
      <c r="J271" s="95"/>
      <c r="K271" s="95"/>
      <c r="L271" s="95"/>
      <c r="M271" s="95"/>
      <c r="N271" s="95"/>
      <c r="O271" s="95"/>
      <c r="P271" s="95"/>
      <c r="Q271" s="95"/>
      <c r="R271" s="161">
        <f>R269+R257+R245</f>
        <v>10600</v>
      </c>
      <c r="S271" s="143"/>
      <c r="T271" s="144">
        <f>+T269+T257+T245</f>
        <v>1346973</v>
      </c>
      <c r="U271" s="143"/>
      <c r="V271" s="25"/>
      <c r="W271" s="25"/>
      <c r="X271" s="5"/>
    </row>
    <row r="272" spans="1:24" ht="15.6" x14ac:dyDescent="0.3">
      <c r="A272" s="24"/>
      <c r="B272" s="25"/>
      <c r="C272" s="25"/>
      <c r="D272" s="25"/>
      <c r="E272" s="25"/>
      <c r="F272" s="25"/>
      <c r="G272" s="25"/>
      <c r="H272" s="95"/>
      <c r="I272" s="95"/>
      <c r="J272" s="95"/>
      <c r="K272" s="95"/>
      <c r="L272" s="95"/>
      <c r="M272" s="95"/>
      <c r="N272" s="95"/>
      <c r="O272" s="95"/>
      <c r="P272" s="95"/>
      <c r="Q272" s="95"/>
      <c r="R272" s="95"/>
      <c r="S272" s="95"/>
      <c r="T272" s="53"/>
      <c r="U272" s="95"/>
      <c r="V272" s="25"/>
      <c r="W272" s="25"/>
      <c r="X272" s="5"/>
    </row>
    <row r="273" spans="1:24" ht="15.6" x14ac:dyDescent="0.3">
      <c r="A273" s="6"/>
      <c r="B273" s="8"/>
      <c r="C273" s="8"/>
      <c r="D273" s="8"/>
      <c r="E273" s="8"/>
      <c r="F273" s="8"/>
      <c r="G273" s="8"/>
      <c r="H273" s="96"/>
      <c r="I273" s="96"/>
      <c r="J273" s="96"/>
      <c r="K273" s="96"/>
      <c r="L273" s="96"/>
      <c r="M273" s="96"/>
      <c r="N273" s="96"/>
      <c r="O273" s="96"/>
      <c r="P273" s="96"/>
      <c r="Q273" s="96"/>
      <c r="R273" s="96"/>
      <c r="S273" s="96"/>
      <c r="T273" s="97"/>
      <c r="U273" s="96"/>
      <c r="V273" s="8"/>
      <c r="W273" s="8"/>
      <c r="X273" s="5"/>
    </row>
    <row r="274" spans="1:24" ht="15.6" x14ac:dyDescent="0.3">
      <c r="A274" s="167"/>
      <c r="B274" s="14" t="s">
        <v>92</v>
      </c>
      <c r="C274" s="15"/>
      <c r="D274" s="15"/>
      <c r="E274" s="15"/>
      <c r="F274" s="17" t="s">
        <v>98</v>
      </c>
      <c r="G274" s="15"/>
      <c r="H274" s="14" t="s">
        <v>100</v>
      </c>
      <c r="I274" s="14"/>
      <c r="J274" s="14"/>
      <c r="K274" s="162"/>
      <c r="L274" s="162"/>
      <c r="M274" s="162"/>
      <c r="N274" s="162"/>
      <c r="O274" s="162"/>
      <c r="P274" s="162"/>
      <c r="Q274" s="162"/>
      <c r="R274" s="162"/>
      <c r="S274" s="162"/>
      <c r="T274" s="162"/>
      <c r="U274" s="162"/>
      <c r="V274" s="162"/>
      <c r="W274" s="162"/>
      <c r="X274" s="5"/>
    </row>
    <row r="275" spans="1:24" ht="15.6" x14ac:dyDescent="0.3">
      <c r="A275" s="167"/>
      <c r="B275" s="13" t="s">
        <v>93</v>
      </c>
      <c r="C275" s="8"/>
      <c r="D275" s="8"/>
      <c r="E275" s="8"/>
      <c r="F275" s="130" t="s">
        <v>151</v>
      </c>
      <c r="G275" s="8"/>
      <c r="H275" s="13" t="s">
        <v>155</v>
      </c>
      <c r="I275" s="13"/>
      <c r="J275" s="13"/>
      <c r="K275" s="162"/>
      <c r="L275" s="162"/>
      <c r="M275" s="162"/>
      <c r="N275" s="162"/>
      <c r="O275" s="162"/>
      <c r="P275" s="162"/>
      <c r="Q275" s="162"/>
      <c r="R275" s="162"/>
      <c r="S275" s="162"/>
      <c r="T275" s="162"/>
      <c r="U275" s="162"/>
      <c r="V275" s="162"/>
      <c r="W275" s="162"/>
      <c r="X275" s="5"/>
    </row>
    <row r="276" spans="1:24" ht="15.6" x14ac:dyDescent="0.3">
      <c r="A276" s="167"/>
      <c r="B276" s="13" t="s">
        <v>281</v>
      </c>
      <c r="C276" s="13"/>
      <c r="D276" s="13"/>
      <c r="E276" s="13"/>
      <c r="F276" s="130" t="s">
        <v>282</v>
      </c>
      <c r="G276" s="13"/>
      <c r="H276" s="13" t="s">
        <v>283</v>
      </c>
      <c r="I276" s="162"/>
      <c r="J276" s="13"/>
      <c r="K276" s="162"/>
      <c r="L276" s="162"/>
      <c r="M276" s="162"/>
      <c r="N276" s="162"/>
      <c r="O276" s="162"/>
      <c r="P276" s="162"/>
      <c r="Q276" s="162"/>
      <c r="R276" s="162"/>
      <c r="S276" s="162"/>
      <c r="T276" s="162"/>
      <c r="U276" s="162"/>
      <c r="V276" s="162"/>
      <c r="W276" s="162"/>
      <c r="X276" s="5"/>
    </row>
    <row r="277" spans="1:24" ht="15.6" x14ac:dyDescent="0.3">
      <c r="A277" s="167"/>
      <c r="B277" s="13" t="s">
        <v>94</v>
      </c>
      <c r="C277" s="13"/>
      <c r="D277" s="13"/>
      <c r="E277" s="13"/>
      <c r="F277" s="130" t="s">
        <v>150</v>
      </c>
      <c r="G277" s="13"/>
      <c r="H277" s="13" t="s">
        <v>156</v>
      </c>
      <c r="I277" s="13"/>
      <c r="J277" s="13"/>
      <c r="K277" s="162"/>
      <c r="L277" s="162"/>
      <c r="M277" s="162"/>
      <c r="N277" s="162"/>
      <c r="O277" s="162"/>
      <c r="P277" s="162"/>
      <c r="Q277" s="162"/>
      <c r="R277" s="162"/>
      <c r="S277" s="162"/>
      <c r="T277" s="162"/>
      <c r="U277" s="162"/>
      <c r="V277" s="162"/>
      <c r="W277" s="162"/>
      <c r="X277" s="5"/>
    </row>
    <row r="278" spans="1:24" ht="15.6" x14ac:dyDescent="0.3">
      <c r="A278" s="167"/>
      <c r="B278" s="13"/>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ht="15.6" x14ac:dyDescent="0.3">
      <c r="A279" s="167"/>
      <c r="B279" s="13"/>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ht="18" thickBot="1" x14ac:dyDescent="0.35">
      <c r="A280" s="167"/>
      <c r="B280" s="49" t="str">
        <f>B197</f>
        <v>PM13 INVESTOR REPORT QUARTER ENDING DECEMBER 2007</v>
      </c>
      <c r="C280" s="13"/>
      <c r="D280" s="13"/>
      <c r="E280" s="13"/>
      <c r="F280" s="13"/>
      <c r="G280" s="99"/>
      <c r="H280" s="162"/>
      <c r="I280" s="162"/>
      <c r="J280" s="162"/>
      <c r="K280" s="162"/>
      <c r="L280" s="162"/>
      <c r="M280" s="162"/>
      <c r="N280" s="162"/>
      <c r="O280" s="162"/>
      <c r="P280" s="162"/>
      <c r="Q280" s="162"/>
      <c r="R280" s="162"/>
      <c r="S280" s="162"/>
      <c r="T280" s="162"/>
      <c r="U280" s="162"/>
      <c r="V280" s="162"/>
      <c r="W280" s="162"/>
      <c r="X280" s="5"/>
    </row>
    <row r="281" spans="1:24" x14ac:dyDescent="0.25">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row>
  </sheetData>
  <phoneticPr fontId="0" type="noConversion"/>
  <hyperlinks>
    <hyperlink ref="P233" r:id="rId1" xr:uid="{00000000-0004-0000-0400-000000000000}"/>
    <hyperlink ref="I9" r:id="rId2" xr:uid="{00000000-0004-0000-04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8" max="14" man="1"/>
    <brk id="197" max="14" man="1"/>
  </rowBreaks>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3FD60-CCA1-4B65-89D7-531C88183CA5}">
  <sheetPr>
    <tabColor rgb="FF2D2926"/>
  </sheetPr>
  <dimension ref="A1:Z298"/>
  <sheetViews>
    <sheetView showGridLines="0" showOutlineSymbols="0" zoomScale="70" zoomScaleNormal="70" workbookViewId="0"/>
  </sheetViews>
  <sheetFormatPr defaultColWidth="9.81640625" defaultRowHeight="15.6" x14ac:dyDescent="0.3"/>
  <cols>
    <col min="1" max="1" width="4" style="407" customWidth="1"/>
    <col min="2" max="2" width="71.08984375" style="407" customWidth="1"/>
    <col min="3" max="3" width="2.08984375" style="407" customWidth="1"/>
    <col min="4" max="4" width="19.1796875" style="407" customWidth="1"/>
    <col min="5" max="5" width="2.08984375" style="407" customWidth="1"/>
    <col min="6" max="6" width="25.08984375" style="407" customWidth="1"/>
    <col min="7" max="7" width="2.08984375" style="407" customWidth="1"/>
    <col min="8" max="8" width="16.08984375" style="407" customWidth="1"/>
    <col min="9" max="9" width="2.81640625" style="407" customWidth="1"/>
    <col min="10" max="10" width="16.08984375" style="407" customWidth="1"/>
    <col min="11" max="11" width="2.08984375" style="407" customWidth="1"/>
    <col min="12" max="12" width="17.81640625" style="407" customWidth="1"/>
    <col min="13" max="13" width="2.1796875" style="407" customWidth="1"/>
    <col min="14" max="14" width="14.81640625" style="407" customWidth="1"/>
    <col min="15" max="15" width="2.1796875" style="407" customWidth="1"/>
    <col min="16" max="16" width="15.54296875" style="407" customWidth="1"/>
    <col min="17" max="17" width="2.08984375" style="407" customWidth="1"/>
    <col min="18" max="18" width="15.54296875" style="407" customWidth="1"/>
    <col min="19" max="20" width="12.81640625" style="407" customWidth="1"/>
    <col min="21" max="21" width="7.81640625" style="407" customWidth="1"/>
    <col min="22" max="22" width="14.81640625" style="407" customWidth="1"/>
    <col min="23" max="23" width="11.81640625" style="407" customWidth="1"/>
    <col min="24" max="16384" width="9.81640625" style="407"/>
  </cols>
  <sheetData>
    <row r="1" spans="1:24" ht="21" x14ac:dyDescent="0.4">
      <c r="A1" s="402"/>
      <c r="B1" s="403" t="s">
        <v>238</v>
      </c>
      <c r="C1" s="404"/>
      <c r="D1" s="404"/>
      <c r="E1" s="404"/>
      <c r="F1" s="404"/>
      <c r="G1" s="404"/>
      <c r="H1" s="404"/>
      <c r="I1" s="404"/>
      <c r="J1" s="404"/>
      <c r="K1" s="404"/>
      <c r="L1" s="404"/>
      <c r="M1" s="404"/>
      <c r="N1" s="404"/>
      <c r="O1" s="404"/>
      <c r="P1" s="404"/>
      <c r="Q1" s="404"/>
      <c r="R1" s="404"/>
      <c r="S1" s="404"/>
      <c r="T1" s="404"/>
      <c r="U1" s="404"/>
      <c r="V1" s="404"/>
      <c r="W1" s="405"/>
      <c r="X1" s="406"/>
    </row>
    <row r="2" spans="1:24" x14ac:dyDescent="0.3">
      <c r="A2" s="408"/>
      <c r="B2" s="409"/>
      <c r="C2" s="410"/>
      <c r="D2" s="410"/>
      <c r="E2" s="410"/>
      <c r="F2" s="410"/>
      <c r="G2" s="410"/>
      <c r="H2" s="410"/>
      <c r="I2" s="410"/>
      <c r="J2" s="410"/>
      <c r="K2" s="410"/>
      <c r="L2" s="410"/>
      <c r="M2" s="410"/>
      <c r="N2" s="410"/>
      <c r="O2" s="410"/>
      <c r="P2" s="410"/>
      <c r="Q2" s="410"/>
      <c r="R2" s="410"/>
      <c r="S2" s="410"/>
      <c r="T2" s="410"/>
      <c r="U2" s="410"/>
      <c r="V2" s="410"/>
      <c r="W2" s="411"/>
      <c r="X2" s="406"/>
    </row>
    <row r="3" spans="1:24" x14ac:dyDescent="0.3">
      <c r="A3" s="412"/>
      <c r="B3" s="413" t="s">
        <v>239</v>
      </c>
      <c r="C3" s="410"/>
      <c r="D3" s="410"/>
      <c r="E3" s="410"/>
      <c r="F3" s="410"/>
      <c r="G3" s="410"/>
      <c r="H3" s="410"/>
      <c r="I3" s="410"/>
      <c r="J3" s="410"/>
      <c r="K3" s="410"/>
      <c r="L3" s="410"/>
      <c r="M3" s="410"/>
      <c r="N3" s="410"/>
      <c r="O3" s="410"/>
      <c r="P3" s="410"/>
      <c r="Q3" s="410"/>
      <c r="R3" s="410"/>
      <c r="S3" s="410"/>
      <c r="T3" s="410"/>
      <c r="U3" s="410"/>
      <c r="V3" s="410"/>
      <c r="W3" s="411"/>
      <c r="X3" s="406"/>
    </row>
    <row r="4" spans="1:24" x14ac:dyDescent="0.3">
      <c r="A4" s="408"/>
      <c r="B4" s="409"/>
      <c r="C4" s="410"/>
      <c r="D4" s="410"/>
      <c r="E4" s="410"/>
      <c r="F4" s="410"/>
      <c r="G4" s="410"/>
      <c r="H4" s="410"/>
      <c r="I4" s="410"/>
      <c r="J4" s="410"/>
      <c r="K4" s="410"/>
      <c r="L4" s="410"/>
      <c r="M4" s="410"/>
      <c r="N4" s="410"/>
      <c r="O4" s="410"/>
      <c r="P4" s="410"/>
      <c r="Q4" s="410"/>
      <c r="R4" s="410"/>
      <c r="S4" s="410"/>
      <c r="T4" s="410"/>
      <c r="U4" s="410"/>
      <c r="V4" s="410"/>
      <c r="W4" s="411"/>
      <c r="X4" s="406"/>
    </row>
    <row r="5" spans="1:24" x14ac:dyDescent="0.3">
      <c r="A5" s="408"/>
      <c r="B5" s="414" t="s">
        <v>140</v>
      </c>
      <c r="C5" s="410"/>
      <c r="D5" s="410"/>
      <c r="E5" s="410"/>
      <c r="F5" s="410"/>
      <c r="G5" s="410"/>
      <c r="H5" s="410"/>
      <c r="I5" s="410"/>
      <c r="J5" s="410"/>
      <c r="K5" s="410"/>
      <c r="L5" s="410"/>
      <c r="M5" s="410"/>
      <c r="N5" s="410"/>
      <c r="O5" s="410"/>
      <c r="P5" s="410"/>
      <c r="Q5" s="410"/>
      <c r="R5" s="410"/>
      <c r="S5" s="410"/>
      <c r="T5" s="410"/>
      <c r="U5" s="410"/>
      <c r="V5" s="410"/>
      <c r="W5" s="411"/>
      <c r="X5" s="406"/>
    </row>
    <row r="6" spans="1:24" x14ac:dyDescent="0.3">
      <c r="A6" s="408"/>
      <c r="B6" s="414" t="s">
        <v>142</v>
      </c>
      <c r="C6" s="410"/>
      <c r="D6" s="410"/>
      <c r="E6" s="410"/>
      <c r="F6" s="410"/>
      <c r="G6" s="410"/>
      <c r="H6" s="410"/>
      <c r="I6" s="410"/>
      <c r="J6" s="410"/>
      <c r="K6" s="410"/>
      <c r="L6" s="410"/>
      <c r="M6" s="410"/>
      <c r="N6" s="410"/>
      <c r="O6" s="410"/>
      <c r="P6" s="410"/>
      <c r="Q6" s="410"/>
      <c r="R6" s="410"/>
      <c r="S6" s="410"/>
      <c r="T6" s="410"/>
      <c r="U6" s="410"/>
      <c r="V6" s="410"/>
      <c r="W6" s="411"/>
      <c r="X6" s="406"/>
    </row>
    <row r="7" spans="1:24" x14ac:dyDescent="0.3">
      <c r="A7" s="408"/>
      <c r="B7" s="414" t="s">
        <v>141</v>
      </c>
      <c r="C7" s="410"/>
      <c r="D7" s="410"/>
      <c r="E7" s="410"/>
      <c r="F7" s="410"/>
      <c r="G7" s="410"/>
      <c r="H7" s="410"/>
      <c r="I7" s="410"/>
      <c r="J7" s="410"/>
      <c r="K7" s="410"/>
      <c r="L7" s="410"/>
      <c r="M7" s="410"/>
      <c r="N7" s="410"/>
      <c r="O7" s="410"/>
      <c r="P7" s="410"/>
      <c r="Q7" s="410"/>
      <c r="R7" s="410"/>
      <c r="S7" s="410"/>
      <c r="T7" s="410"/>
      <c r="U7" s="410"/>
      <c r="V7" s="410"/>
      <c r="W7" s="411"/>
      <c r="X7" s="406"/>
    </row>
    <row r="8" spans="1:24" x14ac:dyDescent="0.3">
      <c r="A8" s="408"/>
      <c r="B8" s="415"/>
      <c r="C8" s="410"/>
      <c r="D8" s="410"/>
      <c r="E8" s="410"/>
      <c r="F8" s="410"/>
      <c r="G8" s="410"/>
      <c r="H8" s="410"/>
      <c r="I8" s="410"/>
      <c r="J8" s="410"/>
      <c r="K8" s="410"/>
      <c r="L8" s="410"/>
      <c r="M8" s="410"/>
      <c r="N8" s="410"/>
      <c r="O8" s="410"/>
      <c r="P8" s="410"/>
      <c r="Q8" s="410"/>
      <c r="R8" s="410"/>
      <c r="S8" s="410"/>
      <c r="T8" s="410"/>
      <c r="U8" s="410"/>
      <c r="V8" s="410"/>
      <c r="W8" s="411"/>
      <c r="X8" s="406"/>
    </row>
    <row r="9" spans="1:24" ht="18" x14ac:dyDescent="0.35">
      <c r="A9" s="408"/>
      <c r="B9" s="413" t="s">
        <v>169</v>
      </c>
      <c r="C9" s="410"/>
      <c r="D9" s="410"/>
      <c r="E9" s="410"/>
      <c r="F9" s="410"/>
      <c r="G9" s="410"/>
      <c r="H9" s="410"/>
      <c r="I9" s="416" t="s">
        <v>370</v>
      </c>
      <c r="J9" s="410"/>
      <c r="K9" s="410"/>
      <c r="L9" s="417"/>
      <c r="M9" s="410"/>
      <c r="N9" s="418"/>
      <c r="O9" s="410"/>
      <c r="P9" s="410"/>
      <c r="Q9" s="410"/>
      <c r="R9" s="410"/>
      <c r="S9" s="410"/>
      <c r="T9" s="410"/>
      <c r="U9" s="410"/>
      <c r="V9" s="410"/>
      <c r="W9" s="411"/>
      <c r="X9" s="406"/>
    </row>
    <row r="10" spans="1:24" x14ac:dyDescent="0.3">
      <c r="A10" s="408"/>
      <c r="B10" s="415"/>
      <c r="C10" s="419"/>
      <c r="D10" s="419"/>
      <c r="E10" s="419"/>
      <c r="F10" s="410"/>
      <c r="G10" s="410"/>
      <c r="H10" s="410"/>
      <c r="I10" s="410"/>
      <c r="J10" s="410"/>
      <c r="K10" s="410"/>
      <c r="L10" s="410"/>
      <c r="M10" s="410"/>
      <c r="N10" s="410"/>
      <c r="O10" s="410"/>
      <c r="P10" s="410"/>
      <c r="Q10" s="410"/>
      <c r="R10" s="410"/>
      <c r="S10" s="410"/>
      <c r="T10" s="410"/>
      <c r="U10" s="410"/>
      <c r="V10" s="410"/>
      <c r="W10" s="411"/>
      <c r="X10" s="406"/>
    </row>
    <row r="11" spans="1:24" x14ac:dyDescent="0.3">
      <c r="A11" s="408"/>
      <c r="B11" s="420" t="s">
        <v>0</v>
      </c>
      <c r="C11" s="410"/>
      <c r="D11" s="410"/>
      <c r="E11" s="410"/>
      <c r="F11" s="410"/>
      <c r="G11" s="410"/>
      <c r="H11" s="410"/>
      <c r="I11" s="410"/>
      <c r="J11" s="410"/>
      <c r="K11" s="410"/>
      <c r="L11" s="410"/>
      <c r="M11" s="410"/>
      <c r="N11" s="410"/>
      <c r="O11" s="410"/>
      <c r="P11" s="410"/>
      <c r="Q11" s="410"/>
      <c r="R11" s="410"/>
      <c r="S11" s="410"/>
      <c r="T11" s="410"/>
      <c r="U11" s="410"/>
      <c r="V11" s="410"/>
      <c r="W11" s="411"/>
      <c r="X11" s="406"/>
    </row>
    <row r="12" spans="1:24" ht="16.2" thickBot="1" x14ac:dyDescent="0.35">
      <c r="A12" s="408"/>
      <c r="B12" s="419"/>
      <c r="C12" s="410"/>
      <c r="D12" s="410"/>
      <c r="E12" s="410"/>
      <c r="F12" s="410"/>
      <c r="G12" s="410"/>
      <c r="H12" s="410"/>
      <c r="I12" s="410"/>
      <c r="J12" s="410"/>
      <c r="K12" s="410"/>
      <c r="L12" s="410"/>
      <c r="M12" s="410"/>
      <c r="N12" s="410"/>
      <c r="O12" s="410"/>
      <c r="P12" s="410"/>
      <c r="Q12" s="410"/>
      <c r="R12" s="410"/>
      <c r="S12" s="410"/>
      <c r="T12" s="410"/>
      <c r="U12" s="410"/>
      <c r="V12" s="410"/>
      <c r="W12" s="411"/>
      <c r="X12" s="406"/>
    </row>
    <row r="13" spans="1:24" x14ac:dyDescent="0.3">
      <c r="A13" s="402"/>
      <c r="B13" s="404"/>
      <c r="C13" s="404"/>
      <c r="D13" s="404"/>
      <c r="E13" s="404"/>
      <c r="F13" s="404"/>
      <c r="G13" s="404"/>
      <c r="H13" s="404"/>
      <c r="I13" s="404"/>
      <c r="J13" s="404"/>
      <c r="K13" s="404"/>
      <c r="L13" s="404"/>
      <c r="M13" s="404"/>
      <c r="N13" s="404"/>
      <c r="O13" s="404"/>
      <c r="P13" s="404"/>
      <c r="Q13" s="404"/>
      <c r="R13" s="404"/>
      <c r="S13" s="404"/>
      <c r="T13" s="404"/>
      <c r="U13" s="404"/>
      <c r="V13" s="404"/>
      <c r="W13" s="405"/>
      <c r="X13" s="406"/>
    </row>
    <row r="14" spans="1:24" s="426" customFormat="1" x14ac:dyDescent="0.3">
      <c r="A14" s="421"/>
      <c r="B14" s="420" t="s">
        <v>1</v>
      </c>
      <c r="C14" s="422"/>
      <c r="D14" s="422"/>
      <c r="E14" s="422"/>
      <c r="F14" s="422"/>
      <c r="G14" s="422"/>
      <c r="H14" s="422"/>
      <c r="I14" s="422"/>
      <c r="J14" s="422"/>
      <c r="K14" s="422"/>
      <c r="L14" s="422"/>
      <c r="M14" s="422"/>
      <c r="N14" s="422"/>
      <c r="O14" s="422"/>
      <c r="P14" s="422"/>
      <c r="Q14" s="422"/>
      <c r="R14" s="422"/>
      <c r="S14" s="422"/>
      <c r="T14" s="422"/>
      <c r="U14" s="422"/>
      <c r="V14" s="423" t="s">
        <v>240</v>
      </c>
      <c r="W14" s="424"/>
      <c r="X14" s="425"/>
    </row>
    <row r="15" spans="1:24" s="426" customFormat="1" x14ac:dyDescent="0.3">
      <c r="A15" s="421"/>
      <c r="B15" s="420" t="s">
        <v>2</v>
      </c>
      <c r="C15" s="422"/>
      <c r="D15" s="422"/>
      <c r="E15" s="422"/>
      <c r="F15" s="422"/>
      <c r="G15" s="422"/>
      <c r="H15" s="427"/>
      <c r="I15" s="427"/>
      <c r="J15" s="427"/>
      <c r="K15" s="427"/>
      <c r="L15" s="427"/>
      <c r="M15" s="427"/>
      <c r="N15" s="427"/>
      <c r="O15" s="427"/>
      <c r="P15" s="427"/>
      <c r="Q15" s="427"/>
      <c r="R15" s="427" t="s">
        <v>105</v>
      </c>
      <c r="S15" s="428">
        <v>0.57609999999999995</v>
      </c>
      <c r="T15" s="429" t="s">
        <v>143</v>
      </c>
      <c r="U15" s="428">
        <v>0.4239</v>
      </c>
      <c r="V15" s="423"/>
      <c r="W15" s="424"/>
      <c r="X15" s="425"/>
    </row>
    <row r="16" spans="1:24" s="426" customFormat="1" x14ac:dyDescent="0.3">
      <c r="A16" s="421"/>
      <c r="B16" s="420" t="s">
        <v>3</v>
      </c>
      <c r="C16" s="422"/>
      <c r="D16" s="422"/>
      <c r="E16" s="422"/>
      <c r="F16" s="422"/>
      <c r="G16" s="422"/>
      <c r="H16" s="427"/>
      <c r="I16" s="427"/>
      <c r="J16" s="427"/>
      <c r="K16" s="427"/>
      <c r="L16" s="427"/>
      <c r="M16" s="427"/>
      <c r="N16" s="427"/>
      <c r="O16" s="427"/>
      <c r="P16" s="427"/>
      <c r="Q16" s="427"/>
      <c r="R16" s="427" t="s">
        <v>105</v>
      </c>
      <c r="S16" s="428">
        <v>0.67959999999999998</v>
      </c>
      <c r="T16" s="429" t="s">
        <v>143</v>
      </c>
      <c r="U16" s="428">
        <v>0.32040000000000002</v>
      </c>
      <c r="V16" s="423"/>
      <c r="W16" s="424"/>
      <c r="X16" s="425"/>
    </row>
    <row r="17" spans="1:24" s="426" customFormat="1" x14ac:dyDescent="0.3">
      <c r="A17" s="421"/>
      <c r="B17" s="420" t="s">
        <v>4</v>
      </c>
      <c r="C17" s="422"/>
      <c r="D17" s="422"/>
      <c r="E17" s="422"/>
      <c r="F17" s="422"/>
      <c r="G17" s="422"/>
      <c r="H17" s="422"/>
      <c r="I17" s="422"/>
      <c r="J17" s="422"/>
      <c r="K17" s="422"/>
      <c r="L17" s="422"/>
      <c r="M17" s="422"/>
      <c r="N17" s="422"/>
      <c r="O17" s="422"/>
      <c r="P17" s="422"/>
      <c r="Q17" s="422"/>
      <c r="R17" s="422"/>
      <c r="S17" s="422"/>
      <c r="T17" s="422"/>
      <c r="U17" s="422"/>
      <c r="V17" s="430">
        <v>39016</v>
      </c>
      <c r="W17" s="424"/>
      <c r="X17" s="425"/>
    </row>
    <row r="18" spans="1:24" s="426" customFormat="1" x14ac:dyDescent="0.3">
      <c r="A18" s="421"/>
      <c r="B18" s="420" t="s">
        <v>5</v>
      </c>
      <c r="C18" s="422"/>
      <c r="D18" s="422"/>
      <c r="E18" s="422"/>
      <c r="F18" s="422"/>
      <c r="G18" s="422"/>
      <c r="H18" s="422"/>
      <c r="I18" s="422"/>
      <c r="J18" s="422"/>
      <c r="K18" s="422"/>
      <c r="L18" s="422"/>
      <c r="M18" s="422"/>
      <c r="N18" s="422"/>
      <c r="O18" s="422"/>
      <c r="P18" s="422"/>
      <c r="Q18" s="422"/>
      <c r="R18" s="422"/>
      <c r="S18" s="422"/>
      <c r="T18" s="422"/>
      <c r="U18" s="422"/>
      <c r="V18" s="430">
        <v>43573</v>
      </c>
      <c r="W18" s="424"/>
      <c r="X18" s="425"/>
    </row>
    <row r="19" spans="1:24" s="426" customFormat="1" x14ac:dyDescent="0.3">
      <c r="A19" s="421"/>
      <c r="B19" s="422"/>
      <c r="C19" s="422"/>
      <c r="D19" s="422"/>
      <c r="E19" s="422"/>
      <c r="F19" s="422"/>
      <c r="G19" s="422"/>
      <c r="H19" s="422"/>
      <c r="I19" s="422"/>
      <c r="J19" s="422"/>
      <c r="K19" s="422"/>
      <c r="L19" s="422"/>
      <c r="M19" s="422"/>
      <c r="N19" s="422"/>
      <c r="O19" s="422"/>
      <c r="P19" s="422"/>
      <c r="Q19" s="422"/>
      <c r="R19" s="422"/>
      <c r="S19" s="422"/>
      <c r="T19" s="422"/>
      <c r="U19" s="422"/>
      <c r="V19" s="431"/>
      <c r="W19" s="424"/>
      <c r="X19" s="425"/>
    </row>
    <row r="20" spans="1:24" s="426" customFormat="1" x14ac:dyDescent="0.3">
      <c r="A20" s="421"/>
      <c r="B20" s="432" t="s">
        <v>6</v>
      </c>
      <c r="C20" s="422"/>
      <c r="D20" s="422"/>
      <c r="E20" s="422"/>
      <c r="F20" s="422"/>
      <c r="G20" s="422"/>
      <c r="H20" s="422"/>
      <c r="I20" s="422"/>
      <c r="J20" s="422"/>
      <c r="K20" s="422"/>
      <c r="L20" s="422"/>
      <c r="M20" s="422"/>
      <c r="N20" s="422"/>
      <c r="O20" s="422"/>
      <c r="P20" s="422"/>
      <c r="Q20" s="422"/>
      <c r="R20" s="422"/>
      <c r="S20" s="422"/>
      <c r="T20" s="431" t="s">
        <v>106</v>
      </c>
      <c r="U20" s="422"/>
      <c r="V20" s="422"/>
      <c r="W20" s="424"/>
      <c r="X20" s="425"/>
    </row>
    <row r="21" spans="1:24" x14ac:dyDescent="0.3">
      <c r="A21" s="408"/>
      <c r="B21" s="410"/>
      <c r="C21" s="410"/>
      <c r="D21" s="410"/>
      <c r="E21" s="410"/>
      <c r="F21" s="410"/>
      <c r="G21" s="410"/>
      <c r="H21" s="410"/>
      <c r="I21" s="410"/>
      <c r="J21" s="410"/>
      <c r="K21" s="410"/>
      <c r="L21" s="410"/>
      <c r="M21" s="410"/>
      <c r="N21" s="410"/>
      <c r="O21" s="410"/>
      <c r="P21" s="410"/>
      <c r="Q21" s="410"/>
      <c r="R21" s="410"/>
      <c r="S21" s="410"/>
      <c r="T21" s="410"/>
      <c r="U21" s="410"/>
      <c r="V21" s="433"/>
      <c r="W21" s="411"/>
      <c r="X21" s="406"/>
    </row>
    <row r="22" spans="1:24" x14ac:dyDescent="0.3">
      <c r="A22" s="434"/>
      <c r="B22" s="435"/>
      <c r="C22" s="436"/>
      <c r="D22" s="436" t="s">
        <v>180</v>
      </c>
      <c r="E22" s="436"/>
      <c r="F22" s="436" t="s">
        <v>181</v>
      </c>
      <c r="G22" s="436"/>
      <c r="H22" s="436" t="s">
        <v>182</v>
      </c>
      <c r="I22" s="436"/>
      <c r="J22" s="436" t="s">
        <v>223</v>
      </c>
      <c r="K22" s="436"/>
      <c r="L22" s="436" t="s">
        <v>183</v>
      </c>
      <c r="M22" s="436"/>
      <c r="N22" s="436" t="s">
        <v>184</v>
      </c>
      <c r="O22" s="436"/>
      <c r="P22" s="436" t="s">
        <v>224</v>
      </c>
      <c r="Q22" s="436"/>
      <c r="R22" s="436" t="s">
        <v>185</v>
      </c>
      <c r="S22" s="437"/>
      <c r="T22" s="437"/>
      <c r="U22" s="435"/>
      <c r="V22" s="435"/>
      <c r="W22" s="438"/>
      <c r="X22" s="406"/>
    </row>
    <row r="23" spans="1:24" s="426" customFormat="1" x14ac:dyDescent="0.3">
      <c r="A23" s="439"/>
      <c r="B23" s="440" t="s">
        <v>7</v>
      </c>
      <c r="C23" s="441"/>
      <c r="D23" s="441" t="s">
        <v>216</v>
      </c>
      <c r="E23" s="441"/>
      <c r="F23" s="441" t="s">
        <v>144</v>
      </c>
      <c r="G23" s="441"/>
      <c r="H23" s="441" t="s">
        <v>144</v>
      </c>
      <c r="I23" s="441"/>
      <c r="J23" s="441" t="s">
        <v>144</v>
      </c>
      <c r="K23" s="441"/>
      <c r="L23" s="441" t="s">
        <v>186</v>
      </c>
      <c r="M23" s="441"/>
      <c r="N23" s="441" t="s">
        <v>186</v>
      </c>
      <c r="O23" s="441"/>
      <c r="P23" s="441" t="s">
        <v>145</v>
      </c>
      <c r="Q23" s="441"/>
      <c r="R23" s="441" t="s">
        <v>145</v>
      </c>
      <c r="S23" s="441"/>
      <c r="T23" s="441"/>
      <c r="U23" s="440"/>
      <c r="V23" s="440"/>
      <c r="W23" s="442"/>
      <c r="X23" s="425"/>
    </row>
    <row r="24" spans="1:24" s="426" customFormat="1" x14ac:dyDescent="0.3">
      <c r="A24" s="443"/>
      <c r="B24" s="444" t="s">
        <v>8</v>
      </c>
      <c r="C24" s="445"/>
      <c r="D24" s="445" t="s">
        <v>217</v>
      </c>
      <c r="E24" s="445"/>
      <c r="F24" s="445" t="s">
        <v>146</v>
      </c>
      <c r="G24" s="445"/>
      <c r="H24" s="445" t="s">
        <v>146</v>
      </c>
      <c r="I24" s="445"/>
      <c r="J24" s="445" t="s">
        <v>146</v>
      </c>
      <c r="K24" s="445"/>
      <c r="L24" s="445" t="s">
        <v>168</v>
      </c>
      <c r="M24" s="445"/>
      <c r="N24" s="445" t="s">
        <v>168</v>
      </c>
      <c r="O24" s="445"/>
      <c r="P24" s="445" t="s">
        <v>147</v>
      </c>
      <c r="Q24" s="445"/>
      <c r="R24" s="445" t="s">
        <v>147</v>
      </c>
      <c r="S24" s="445"/>
      <c r="T24" s="445"/>
      <c r="U24" s="444"/>
      <c r="V24" s="444"/>
      <c r="W24" s="446"/>
      <c r="X24" s="425"/>
    </row>
    <row r="25" spans="1:24" s="426" customFormat="1" x14ac:dyDescent="0.3">
      <c r="A25" s="447"/>
      <c r="B25" s="444" t="s">
        <v>193</v>
      </c>
      <c r="C25" s="448"/>
      <c r="D25" s="445" t="s">
        <v>218</v>
      </c>
      <c r="E25" s="445"/>
      <c r="F25" s="445" t="s">
        <v>146</v>
      </c>
      <c r="G25" s="445"/>
      <c r="H25" s="445" t="s">
        <v>146</v>
      </c>
      <c r="I25" s="445"/>
      <c r="J25" s="445" t="s">
        <v>146</v>
      </c>
      <c r="K25" s="445"/>
      <c r="L25" s="445" t="s">
        <v>168</v>
      </c>
      <c r="M25" s="445"/>
      <c r="N25" s="445" t="s">
        <v>168</v>
      </c>
      <c r="O25" s="445"/>
      <c r="P25" s="445" t="s">
        <v>147</v>
      </c>
      <c r="Q25" s="445"/>
      <c r="R25" s="445" t="s">
        <v>147</v>
      </c>
      <c r="S25" s="448"/>
      <c r="T25" s="445"/>
      <c r="U25" s="444"/>
      <c r="V25" s="444"/>
      <c r="W25" s="446"/>
      <c r="X25" s="425"/>
    </row>
    <row r="26" spans="1:24" s="426" customFormat="1" x14ac:dyDescent="0.3">
      <c r="A26" s="447"/>
      <c r="B26" s="449" t="s">
        <v>9</v>
      </c>
      <c r="C26" s="448"/>
      <c r="D26" s="448" t="s">
        <v>144</v>
      </c>
      <c r="E26" s="448"/>
      <c r="F26" s="448" t="s">
        <v>144</v>
      </c>
      <c r="G26" s="448"/>
      <c r="H26" s="448" t="s">
        <v>144</v>
      </c>
      <c r="I26" s="448"/>
      <c r="J26" s="448" t="s">
        <v>144</v>
      </c>
      <c r="K26" s="448"/>
      <c r="L26" s="448" t="s">
        <v>186</v>
      </c>
      <c r="M26" s="448"/>
      <c r="N26" s="448" t="s">
        <v>186</v>
      </c>
      <c r="O26" s="448"/>
      <c r="P26" s="448" t="s">
        <v>145</v>
      </c>
      <c r="Q26" s="448"/>
      <c r="R26" s="448" t="s">
        <v>145</v>
      </c>
      <c r="S26" s="448"/>
      <c r="T26" s="445"/>
      <c r="U26" s="444"/>
      <c r="V26" s="444"/>
      <c r="W26" s="446"/>
      <c r="X26" s="425"/>
    </row>
    <row r="27" spans="1:24" s="426" customFormat="1" x14ac:dyDescent="0.3">
      <c r="A27" s="443"/>
      <c r="B27" s="449" t="s">
        <v>194</v>
      </c>
      <c r="C27" s="445"/>
      <c r="D27" s="448" t="s">
        <v>168</v>
      </c>
      <c r="E27" s="448"/>
      <c r="F27" s="448" t="s">
        <v>168</v>
      </c>
      <c r="G27" s="448"/>
      <c r="H27" s="448" t="s">
        <v>168</v>
      </c>
      <c r="I27" s="448"/>
      <c r="J27" s="448" t="s">
        <v>168</v>
      </c>
      <c r="K27" s="448"/>
      <c r="L27" s="448" t="s">
        <v>360</v>
      </c>
      <c r="M27" s="448"/>
      <c r="N27" s="448" t="s">
        <v>360</v>
      </c>
      <c r="O27" s="448"/>
      <c r="P27" s="448" t="s">
        <v>147</v>
      </c>
      <c r="Q27" s="448"/>
      <c r="R27" s="448" t="s">
        <v>147</v>
      </c>
      <c r="S27" s="445"/>
      <c r="T27" s="450"/>
      <c r="U27" s="444"/>
      <c r="V27" s="444"/>
      <c r="W27" s="446"/>
      <c r="X27" s="425"/>
    </row>
    <row r="28" spans="1:24" s="426" customFormat="1" x14ac:dyDescent="0.3">
      <c r="A28" s="443"/>
      <c r="B28" s="449" t="s">
        <v>195</v>
      </c>
      <c r="C28" s="445"/>
      <c r="D28" s="448" t="s">
        <v>146</v>
      </c>
      <c r="E28" s="448"/>
      <c r="F28" s="448" t="s">
        <v>146</v>
      </c>
      <c r="G28" s="448"/>
      <c r="H28" s="448" t="s">
        <v>146</v>
      </c>
      <c r="I28" s="448"/>
      <c r="J28" s="448" t="s">
        <v>146</v>
      </c>
      <c r="K28" s="448"/>
      <c r="L28" s="448" t="s">
        <v>146</v>
      </c>
      <c r="M28" s="448"/>
      <c r="N28" s="448" t="s">
        <v>146</v>
      </c>
      <c r="O28" s="448"/>
      <c r="P28" s="448" t="s">
        <v>147</v>
      </c>
      <c r="Q28" s="448"/>
      <c r="R28" s="448" t="s">
        <v>147</v>
      </c>
      <c r="S28" s="445"/>
      <c r="T28" s="450"/>
      <c r="U28" s="444"/>
      <c r="V28" s="444"/>
      <c r="W28" s="446"/>
      <c r="X28" s="425"/>
    </row>
    <row r="29" spans="1:24" s="426" customFormat="1" x14ac:dyDescent="0.3">
      <c r="A29" s="443"/>
      <c r="B29" s="444" t="s">
        <v>10</v>
      </c>
      <c r="C29" s="451"/>
      <c r="D29" s="445" t="s">
        <v>348</v>
      </c>
      <c r="E29" s="445"/>
      <c r="F29" s="450" t="s">
        <v>242</v>
      </c>
      <c r="G29" s="445"/>
      <c r="H29" s="445" t="s">
        <v>243</v>
      </c>
      <c r="I29" s="445"/>
      <c r="J29" s="445" t="s">
        <v>245</v>
      </c>
      <c r="K29" s="445"/>
      <c r="L29" s="445" t="s">
        <v>246</v>
      </c>
      <c r="M29" s="445"/>
      <c r="N29" s="445" t="s">
        <v>247</v>
      </c>
      <c r="O29" s="445"/>
      <c r="P29" s="445" t="s">
        <v>248</v>
      </c>
      <c r="Q29" s="445"/>
      <c r="R29" s="445" t="s">
        <v>249</v>
      </c>
      <c r="S29" s="452"/>
      <c r="T29" s="452"/>
      <c r="U29" s="451"/>
      <c r="V29" s="452"/>
      <c r="W29" s="453"/>
      <c r="X29" s="425"/>
    </row>
    <row r="30" spans="1:24" s="426" customFormat="1" x14ac:dyDescent="0.3">
      <c r="A30" s="443"/>
      <c r="B30" s="444" t="s">
        <v>10</v>
      </c>
      <c r="C30" s="451"/>
      <c r="D30" s="445" t="s">
        <v>241</v>
      </c>
      <c r="E30" s="445"/>
      <c r="F30" s="450" t="s">
        <v>121</v>
      </c>
      <c r="G30" s="445"/>
      <c r="H30" s="445" t="s">
        <v>121</v>
      </c>
      <c r="I30" s="445"/>
      <c r="J30" s="445" t="s">
        <v>244</v>
      </c>
      <c r="K30" s="445"/>
      <c r="L30" s="445" t="s">
        <v>121</v>
      </c>
      <c r="M30" s="445"/>
      <c r="N30" s="445" t="s">
        <v>121</v>
      </c>
      <c r="O30" s="445"/>
      <c r="P30" s="445" t="s">
        <v>121</v>
      </c>
      <c r="Q30" s="445"/>
      <c r="R30" s="445" t="s">
        <v>121</v>
      </c>
      <c r="S30" s="452"/>
      <c r="T30" s="452"/>
      <c r="U30" s="451"/>
      <c r="V30" s="452"/>
      <c r="W30" s="453"/>
      <c r="X30" s="425"/>
    </row>
    <row r="31" spans="1:24" s="426" customFormat="1" x14ac:dyDescent="0.3">
      <c r="A31" s="447"/>
      <c r="B31" s="444" t="s">
        <v>136</v>
      </c>
      <c r="C31" s="454"/>
      <c r="D31" s="455">
        <v>1500000</v>
      </c>
      <c r="E31" s="451"/>
      <c r="F31" s="452">
        <v>125000</v>
      </c>
      <c r="G31" s="452"/>
      <c r="H31" s="456">
        <v>315000</v>
      </c>
      <c r="I31" s="456"/>
      <c r="J31" s="455">
        <v>350000</v>
      </c>
      <c r="K31" s="452"/>
      <c r="L31" s="452">
        <v>56000</v>
      </c>
      <c r="M31" s="452"/>
      <c r="N31" s="456">
        <v>84000</v>
      </c>
      <c r="O31" s="452"/>
      <c r="P31" s="452">
        <v>13000</v>
      </c>
      <c r="Q31" s="452"/>
      <c r="R31" s="456">
        <v>81000</v>
      </c>
      <c r="S31" s="457"/>
      <c r="T31" s="457"/>
      <c r="U31" s="454"/>
      <c r="V31" s="457"/>
      <c r="W31" s="453"/>
      <c r="X31" s="425"/>
    </row>
    <row r="32" spans="1:24" s="426" customFormat="1" x14ac:dyDescent="0.3">
      <c r="A32" s="443"/>
      <c r="B32" s="444" t="s">
        <v>135</v>
      </c>
      <c r="C32" s="451"/>
      <c r="D32" s="458">
        <f>D34*D38</f>
        <v>334739.85717759997</v>
      </c>
      <c r="E32" s="451"/>
      <c r="F32" s="452">
        <f>F31*F38</f>
        <v>52442.824999999997</v>
      </c>
      <c r="G32" s="452"/>
      <c r="H32" s="456">
        <f>H31*H38</f>
        <v>132155.91899999999</v>
      </c>
      <c r="I32" s="456"/>
      <c r="J32" s="455">
        <f>J31*J38</f>
        <v>146839</v>
      </c>
      <c r="K32" s="452"/>
      <c r="L32" s="452">
        <f>L31*L38</f>
        <v>56000</v>
      </c>
      <c r="M32" s="452"/>
      <c r="N32" s="456">
        <f>N31*N38</f>
        <v>84000</v>
      </c>
      <c r="O32" s="452"/>
      <c r="P32" s="452">
        <f>P31*P38</f>
        <v>13000</v>
      </c>
      <c r="Q32" s="452"/>
      <c r="R32" s="456">
        <f>R31*R38</f>
        <v>81000</v>
      </c>
      <c r="S32" s="452"/>
      <c r="T32" s="452"/>
      <c r="U32" s="451"/>
      <c r="V32" s="452"/>
      <c r="W32" s="453"/>
      <c r="X32" s="425"/>
    </row>
    <row r="33" spans="1:24" s="426" customFormat="1" x14ac:dyDescent="0.3">
      <c r="A33" s="443"/>
      <c r="B33" s="449" t="s">
        <v>137</v>
      </c>
      <c r="C33" s="451"/>
      <c r="D33" s="459">
        <f>D34*D37</f>
        <v>332148.7678576</v>
      </c>
      <c r="E33" s="454"/>
      <c r="F33" s="457">
        <f>F37*F31</f>
        <v>52036.875</v>
      </c>
      <c r="G33" s="457"/>
      <c r="H33" s="460">
        <f>H31*H37</f>
        <v>131132.92500000002</v>
      </c>
      <c r="I33" s="460"/>
      <c r="J33" s="461">
        <f>J37*J31</f>
        <v>145702.34</v>
      </c>
      <c r="K33" s="457"/>
      <c r="L33" s="457">
        <f>L31*L37</f>
        <v>54084.004800000002</v>
      </c>
      <c r="M33" s="457"/>
      <c r="N33" s="460">
        <f>N31*N37</f>
        <v>81126.007200000007</v>
      </c>
      <c r="O33" s="457"/>
      <c r="P33" s="457">
        <f>P31*P37</f>
        <v>12555.215400000001</v>
      </c>
      <c r="Q33" s="457"/>
      <c r="R33" s="460">
        <f>R31*R37</f>
        <v>78228.649799999999</v>
      </c>
      <c r="S33" s="452"/>
      <c r="T33" s="452"/>
      <c r="U33" s="451"/>
      <c r="V33" s="452"/>
      <c r="W33" s="453"/>
      <c r="X33" s="425"/>
    </row>
    <row r="34" spans="1:24" s="426" customFormat="1" x14ac:dyDescent="0.3">
      <c r="A34" s="447"/>
      <c r="B34" s="444" t="s">
        <v>298</v>
      </c>
      <c r="C34" s="454"/>
      <c r="D34" s="452">
        <v>797872</v>
      </c>
      <c r="E34" s="451"/>
      <c r="F34" s="452">
        <v>125000</v>
      </c>
      <c r="G34" s="452"/>
      <c r="H34" s="452">
        <v>211409</v>
      </c>
      <c r="I34" s="452"/>
      <c r="J34" s="452">
        <v>186170</v>
      </c>
      <c r="K34" s="452"/>
      <c r="L34" s="452">
        <v>56000</v>
      </c>
      <c r="M34" s="452"/>
      <c r="N34" s="452">
        <v>56376</v>
      </c>
      <c r="O34" s="452"/>
      <c r="P34" s="452">
        <v>13000</v>
      </c>
      <c r="Q34" s="452"/>
      <c r="R34" s="452">
        <v>54363</v>
      </c>
      <c r="S34" s="457"/>
      <c r="T34" s="457"/>
      <c r="U34" s="454"/>
      <c r="V34" s="452">
        <f>SUM(C34:R34)</f>
        <v>1500190</v>
      </c>
      <c r="W34" s="453"/>
      <c r="X34" s="425"/>
    </row>
    <row r="35" spans="1:24" s="426" customFormat="1" x14ac:dyDescent="0.3">
      <c r="A35" s="447"/>
      <c r="B35" s="444" t="s">
        <v>299</v>
      </c>
      <c r="C35" s="454"/>
      <c r="D35" s="452">
        <f>D34*D38</f>
        <v>334739.85717759997</v>
      </c>
      <c r="E35" s="451"/>
      <c r="F35" s="452">
        <f>F34*F38</f>
        <v>52442.824999999997</v>
      </c>
      <c r="G35" s="452"/>
      <c r="H35" s="452">
        <f>H34*H38</f>
        <v>88695.081523400004</v>
      </c>
      <c r="I35" s="452"/>
      <c r="J35" s="452">
        <f>J34*J38</f>
        <v>78105.761800000007</v>
      </c>
      <c r="K35" s="452"/>
      <c r="L35" s="452">
        <f>L34*L38</f>
        <v>56000</v>
      </c>
      <c r="M35" s="452"/>
      <c r="N35" s="452">
        <f>N34*N38</f>
        <v>56376</v>
      </c>
      <c r="O35" s="452"/>
      <c r="P35" s="452">
        <f>P34*P38</f>
        <v>13000</v>
      </c>
      <c r="Q35" s="452"/>
      <c r="R35" s="452">
        <f>R34*R38</f>
        <v>54363</v>
      </c>
      <c r="S35" s="452"/>
      <c r="T35" s="452"/>
      <c r="U35" s="451"/>
      <c r="V35" s="452">
        <f>SUM(C35:R35)</f>
        <v>733722.525501</v>
      </c>
      <c r="W35" s="453"/>
      <c r="X35" s="425"/>
    </row>
    <row r="36" spans="1:24" s="426" customFormat="1" x14ac:dyDescent="0.3">
      <c r="A36" s="447"/>
      <c r="B36" s="449" t="s">
        <v>304</v>
      </c>
      <c r="C36" s="454"/>
      <c r="D36" s="457">
        <f>D34*D37</f>
        <v>332148.7678576</v>
      </c>
      <c r="E36" s="454"/>
      <c r="F36" s="457">
        <f>F34*F37</f>
        <v>52036.875</v>
      </c>
      <c r="G36" s="457"/>
      <c r="H36" s="457">
        <f>H34*H37</f>
        <v>88008.509655000002</v>
      </c>
      <c r="I36" s="457"/>
      <c r="J36" s="457">
        <f>J34*J37</f>
        <v>77501.156107999996</v>
      </c>
      <c r="K36" s="457"/>
      <c r="L36" s="457">
        <f>L34*L37</f>
        <v>54084.004800000002</v>
      </c>
      <c r="M36" s="457"/>
      <c r="N36" s="457">
        <f>N34*N37</f>
        <v>54447.140260799999</v>
      </c>
      <c r="O36" s="457"/>
      <c r="P36" s="457">
        <f>P34*P37</f>
        <v>12555.215400000001</v>
      </c>
      <c r="Q36" s="457"/>
      <c r="R36" s="457">
        <f>R34*R37</f>
        <v>52503.0134454</v>
      </c>
      <c r="S36" s="462"/>
      <c r="T36" s="462"/>
      <c r="U36" s="451"/>
      <c r="V36" s="457">
        <f>SUM(C36:R36)</f>
        <v>723284.68252680008</v>
      </c>
      <c r="W36" s="453"/>
      <c r="X36" s="425"/>
    </row>
    <row r="37" spans="1:24" s="473" customFormat="1" x14ac:dyDescent="0.3">
      <c r="A37" s="463"/>
      <c r="B37" s="464" t="s">
        <v>133</v>
      </c>
      <c r="C37" s="465"/>
      <c r="D37" s="466">
        <v>0.41629329999999998</v>
      </c>
      <c r="E37" s="467"/>
      <c r="F37" s="466">
        <v>0.41629500000000003</v>
      </c>
      <c r="G37" s="468"/>
      <c r="H37" s="466">
        <v>0.41629500000000003</v>
      </c>
      <c r="I37" s="468"/>
      <c r="J37" s="466">
        <v>0.41629240000000001</v>
      </c>
      <c r="K37" s="468"/>
      <c r="L37" s="466">
        <v>0.96578580000000003</v>
      </c>
      <c r="M37" s="468"/>
      <c r="N37" s="466">
        <v>0.96578580000000003</v>
      </c>
      <c r="O37" s="468"/>
      <c r="P37" s="466">
        <v>0.96578580000000003</v>
      </c>
      <c r="Q37" s="468"/>
      <c r="R37" s="466">
        <v>0.96578580000000003</v>
      </c>
      <c r="S37" s="469"/>
      <c r="T37" s="469"/>
      <c r="U37" s="470"/>
      <c r="V37" s="470"/>
      <c r="W37" s="471"/>
      <c r="X37" s="472"/>
    </row>
    <row r="38" spans="1:24" s="473" customFormat="1" x14ac:dyDescent="0.3">
      <c r="A38" s="463"/>
      <c r="B38" s="465" t="s">
        <v>134</v>
      </c>
      <c r="C38" s="465"/>
      <c r="D38" s="474">
        <v>0.41954079999999999</v>
      </c>
      <c r="E38" s="475"/>
      <c r="F38" s="474">
        <v>0.41954259999999999</v>
      </c>
      <c r="G38" s="476"/>
      <c r="H38" s="474">
        <v>0.41954259999999999</v>
      </c>
      <c r="I38" s="476"/>
      <c r="J38" s="474">
        <v>0.41954000000000002</v>
      </c>
      <c r="K38" s="476"/>
      <c r="L38" s="474">
        <v>1</v>
      </c>
      <c r="M38" s="476"/>
      <c r="N38" s="474">
        <v>1</v>
      </c>
      <c r="O38" s="476"/>
      <c r="P38" s="474">
        <v>1</v>
      </c>
      <c r="Q38" s="476"/>
      <c r="R38" s="474">
        <v>1</v>
      </c>
      <c r="S38" s="477"/>
      <c r="T38" s="478"/>
      <c r="U38" s="470"/>
      <c r="V38" s="477"/>
      <c r="W38" s="471"/>
      <c r="X38" s="472"/>
    </row>
    <row r="39" spans="1:24" s="426" customFormat="1" x14ac:dyDescent="0.3">
      <c r="A39" s="443"/>
      <c r="B39" s="444" t="s">
        <v>11</v>
      </c>
      <c r="C39" s="444"/>
      <c r="D39" s="450" t="s">
        <v>226</v>
      </c>
      <c r="E39" s="444"/>
      <c r="F39" s="450" t="s">
        <v>226</v>
      </c>
      <c r="G39" s="450"/>
      <c r="H39" s="450" t="s">
        <v>226</v>
      </c>
      <c r="I39" s="450"/>
      <c r="J39" s="450" t="s">
        <v>256</v>
      </c>
      <c r="K39" s="450"/>
      <c r="L39" s="450" t="s">
        <v>254</v>
      </c>
      <c r="M39" s="450"/>
      <c r="N39" s="450" t="s">
        <v>257</v>
      </c>
      <c r="O39" s="450"/>
      <c r="P39" s="450" t="s">
        <v>258</v>
      </c>
      <c r="Q39" s="450"/>
      <c r="R39" s="450" t="s">
        <v>259</v>
      </c>
      <c r="S39" s="479"/>
      <c r="T39" s="480"/>
      <c r="U39" s="444"/>
      <c r="V39" s="444"/>
      <c r="W39" s="446"/>
      <c r="X39" s="425"/>
    </row>
    <row r="40" spans="1:24" s="426" customFormat="1" x14ac:dyDescent="0.3">
      <c r="A40" s="443"/>
      <c r="B40" s="444" t="s">
        <v>12</v>
      </c>
      <c r="C40" s="444"/>
      <c r="D40" s="480">
        <v>1.16794E-2</v>
      </c>
      <c r="E40" s="444"/>
      <c r="F40" s="480">
        <v>1.16794E-2</v>
      </c>
      <c r="G40" s="479"/>
      <c r="H40" s="480">
        <v>0</v>
      </c>
      <c r="I40" s="480"/>
      <c r="J40" s="480">
        <v>2.9673100000000001E-2</v>
      </c>
      <c r="K40" s="479"/>
      <c r="L40" s="480">
        <v>1.32794E-2</v>
      </c>
      <c r="M40" s="479"/>
      <c r="N40" s="480">
        <v>7.2000000000000005E-4</v>
      </c>
      <c r="O40" s="479"/>
      <c r="P40" s="480">
        <v>1.72794E-2</v>
      </c>
      <c r="Q40" s="479"/>
      <c r="R40" s="480">
        <v>4.7200000000000002E-3</v>
      </c>
      <c r="S40" s="479"/>
      <c r="T40" s="480"/>
      <c r="U40" s="444"/>
      <c r="V40" s="450"/>
      <c r="W40" s="446"/>
      <c r="X40" s="425"/>
    </row>
    <row r="41" spans="1:24" s="426" customFormat="1" x14ac:dyDescent="0.3">
      <c r="A41" s="443"/>
      <c r="B41" s="444" t="s">
        <v>13</v>
      </c>
      <c r="C41" s="444"/>
      <c r="D41" s="480">
        <v>1.05288E-2</v>
      </c>
      <c r="E41" s="444"/>
      <c r="F41" s="480">
        <v>1.05288E-2</v>
      </c>
      <c r="G41" s="479"/>
      <c r="H41" s="480">
        <v>0</v>
      </c>
      <c r="I41" s="480"/>
      <c r="J41" s="480">
        <v>2.6163100000000002E-2</v>
      </c>
      <c r="K41" s="479"/>
      <c r="L41" s="480">
        <v>1.21288E-2</v>
      </c>
      <c r="M41" s="479"/>
      <c r="N41" s="480">
        <v>6.2E-4</v>
      </c>
      <c r="O41" s="479"/>
      <c r="P41" s="480">
        <v>1.6128799999999999E-2</v>
      </c>
      <c r="Q41" s="479"/>
      <c r="R41" s="480">
        <v>4.62E-3</v>
      </c>
      <c r="S41" s="479"/>
      <c r="T41" s="480"/>
      <c r="U41" s="444"/>
      <c r="V41" s="479" t="s">
        <v>196</v>
      </c>
      <c r="W41" s="446"/>
      <c r="X41" s="425"/>
    </row>
    <row r="42" spans="1:24" s="426" customFormat="1" x14ac:dyDescent="0.3">
      <c r="A42" s="443"/>
      <c r="B42" s="444" t="s">
        <v>300</v>
      </c>
      <c r="C42" s="444"/>
      <c r="D42" s="450" t="s">
        <v>226</v>
      </c>
      <c r="E42" s="444"/>
      <c r="F42" s="450" t="s">
        <v>226</v>
      </c>
      <c r="G42" s="450"/>
      <c r="H42" s="450" t="s">
        <v>227</v>
      </c>
      <c r="I42" s="450"/>
      <c r="J42" s="450" t="s">
        <v>237</v>
      </c>
      <c r="K42" s="450"/>
      <c r="L42" s="450" t="s">
        <v>254</v>
      </c>
      <c r="M42" s="450"/>
      <c r="N42" s="450" t="s">
        <v>260</v>
      </c>
      <c r="O42" s="450"/>
      <c r="P42" s="450" t="s">
        <v>258</v>
      </c>
      <c r="Q42" s="450"/>
      <c r="R42" s="450" t="s">
        <v>261</v>
      </c>
      <c r="S42" s="479"/>
      <c r="T42" s="480"/>
      <c r="U42" s="444"/>
      <c r="V42" s="444"/>
      <c r="W42" s="446"/>
      <c r="X42" s="425"/>
    </row>
    <row r="43" spans="1:24" s="426" customFormat="1" x14ac:dyDescent="0.3">
      <c r="A43" s="443"/>
      <c r="B43" s="444" t="s">
        <v>301</v>
      </c>
      <c r="C43" s="481"/>
      <c r="D43" s="480">
        <f>+D40</f>
        <v>1.16794E-2</v>
      </c>
      <c r="E43" s="480"/>
      <c r="F43" s="480">
        <f>+F40</f>
        <v>1.16794E-2</v>
      </c>
      <c r="G43" s="480"/>
      <c r="H43" s="480">
        <v>1.1923400000000001E-2</v>
      </c>
      <c r="I43" s="480"/>
      <c r="J43" s="480">
        <v>1.17594E-2</v>
      </c>
      <c r="K43" s="480"/>
      <c r="L43" s="480">
        <f>+L40</f>
        <v>1.32794E-2</v>
      </c>
      <c r="M43" s="480"/>
      <c r="N43" s="480">
        <v>1.34594E-2</v>
      </c>
      <c r="O43" s="480"/>
      <c r="P43" s="480">
        <f>+P40</f>
        <v>1.72794E-2</v>
      </c>
      <c r="Q43" s="479"/>
      <c r="R43" s="480">
        <v>1.7679400000000001E-2</v>
      </c>
      <c r="S43" s="450"/>
      <c r="T43" s="450"/>
      <c r="U43" s="444"/>
      <c r="V43" s="479">
        <f>SUMPRODUCT(D43:R43,D35:R35)/V35</f>
        <v>1.2520068399017098E-2</v>
      </c>
      <c r="W43" s="446"/>
      <c r="X43" s="425"/>
    </row>
    <row r="44" spans="1:24" s="426" customFormat="1" x14ac:dyDescent="0.3">
      <c r="A44" s="443"/>
      <c r="B44" s="444" t="s">
        <v>302</v>
      </c>
      <c r="C44" s="481"/>
      <c r="D44" s="480">
        <f>+D41</f>
        <v>1.05288E-2</v>
      </c>
      <c r="E44" s="480"/>
      <c r="F44" s="480">
        <f>+F41</f>
        <v>1.05288E-2</v>
      </c>
      <c r="G44" s="480"/>
      <c r="H44" s="480">
        <v>1.0772800000000001E-2</v>
      </c>
      <c r="I44" s="480"/>
      <c r="J44" s="480">
        <v>1.06088E-2</v>
      </c>
      <c r="K44" s="480"/>
      <c r="L44" s="480">
        <f>+L41</f>
        <v>1.21288E-2</v>
      </c>
      <c r="M44" s="480"/>
      <c r="N44" s="480">
        <v>1.23088E-2</v>
      </c>
      <c r="O44" s="480"/>
      <c r="P44" s="480">
        <f>+P41</f>
        <v>1.6128799999999999E-2</v>
      </c>
      <c r="Q44" s="479"/>
      <c r="R44" s="480">
        <v>1.65288E-2</v>
      </c>
      <c r="S44" s="450"/>
      <c r="T44" s="450"/>
      <c r="U44" s="444"/>
      <c r="V44" s="444"/>
      <c r="W44" s="446"/>
      <c r="X44" s="425"/>
    </row>
    <row r="45" spans="1:24" s="426" customFormat="1" x14ac:dyDescent="0.3">
      <c r="A45" s="443"/>
      <c r="B45" s="444" t="s">
        <v>14</v>
      </c>
      <c r="C45" s="444"/>
      <c r="D45" s="481">
        <v>40466</v>
      </c>
      <c r="E45" s="481"/>
      <c r="F45" s="481">
        <v>40466</v>
      </c>
      <c r="G45" s="481"/>
      <c r="H45" s="481">
        <v>40466</v>
      </c>
      <c r="I45" s="481"/>
      <c r="J45" s="481">
        <v>40466</v>
      </c>
      <c r="K45" s="481"/>
      <c r="L45" s="481">
        <v>40466</v>
      </c>
      <c r="M45" s="481"/>
      <c r="N45" s="481">
        <v>40466</v>
      </c>
      <c r="O45" s="481"/>
      <c r="P45" s="481">
        <v>40466</v>
      </c>
      <c r="Q45" s="481"/>
      <c r="R45" s="481">
        <v>40466</v>
      </c>
      <c r="S45" s="450"/>
      <c r="T45" s="450"/>
      <c r="U45" s="444"/>
      <c r="V45" s="444"/>
      <c r="W45" s="446"/>
      <c r="X45" s="425"/>
    </row>
    <row r="46" spans="1:24" s="426" customFormat="1" x14ac:dyDescent="0.3">
      <c r="A46" s="443"/>
      <c r="B46" s="444" t="s">
        <v>15</v>
      </c>
      <c r="C46" s="444"/>
      <c r="D46" s="481">
        <v>41105</v>
      </c>
      <c r="E46" s="481"/>
      <c r="F46" s="481">
        <v>40831</v>
      </c>
      <c r="G46" s="481"/>
      <c r="H46" s="481">
        <v>40831</v>
      </c>
      <c r="I46" s="481"/>
      <c r="J46" s="481">
        <v>40831</v>
      </c>
      <c r="K46" s="450"/>
      <c r="L46" s="481">
        <v>40831</v>
      </c>
      <c r="M46" s="450"/>
      <c r="N46" s="481">
        <v>40831</v>
      </c>
      <c r="O46" s="450"/>
      <c r="P46" s="481">
        <v>40831</v>
      </c>
      <c r="Q46" s="450"/>
      <c r="R46" s="481">
        <v>40831</v>
      </c>
      <c r="S46" s="450"/>
      <c r="T46" s="450"/>
      <c r="U46" s="444"/>
      <c r="V46" s="444"/>
      <c r="W46" s="446"/>
      <c r="X46" s="425"/>
    </row>
    <row r="47" spans="1:24" s="426" customFormat="1" x14ac:dyDescent="0.3">
      <c r="A47" s="443"/>
      <c r="B47" s="444" t="s">
        <v>122</v>
      </c>
      <c r="C47" s="444"/>
      <c r="D47" s="450" t="s">
        <v>226</v>
      </c>
      <c r="E47" s="444"/>
      <c r="F47" s="450" t="s">
        <v>226</v>
      </c>
      <c r="G47" s="450"/>
      <c r="H47" s="450" t="s">
        <v>226</v>
      </c>
      <c r="I47" s="450"/>
      <c r="J47" s="450" t="s">
        <v>256</v>
      </c>
      <c r="K47" s="450"/>
      <c r="L47" s="450" t="s">
        <v>254</v>
      </c>
      <c r="M47" s="450"/>
      <c r="N47" s="450" t="s">
        <v>257</v>
      </c>
      <c r="O47" s="450"/>
      <c r="P47" s="450" t="s">
        <v>258</v>
      </c>
      <c r="Q47" s="450"/>
      <c r="R47" s="450" t="s">
        <v>259</v>
      </c>
      <c r="S47" s="482"/>
      <c r="T47" s="482"/>
      <c r="U47" s="482"/>
      <c r="V47" s="482"/>
      <c r="W47" s="446"/>
      <c r="X47" s="425"/>
    </row>
    <row r="48" spans="1:24" s="426" customFormat="1" x14ac:dyDescent="0.3">
      <c r="A48" s="443"/>
      <c r="B48" s="444" t="s">
        <v>303</v>
      </c>
      <c r="C48" s="444"/>
      <c r="D48" s="450" t="s">
        <v>226</v>
      </c>
      <c r="E48" s="444"/>
      <c r="F48" s="450" t="s">
        <v>226</v>
      </c>
      <c r="G48" s="450"/>
      <c r="H48" s="450" t="s">
        <v>227</v>
      </c>
      <c r="I48" s="450"/>
      <c r="J48" s="450" t="s">
        <v>237</v>
      </c>
      <c r="K48" s="450"/>
      <c r="L48" s="450" t="s">
        <v>254</v>
      </c>
      <c r="M48" s="450"/>
      <c r="N48" s="450" t="s">
        <v>260</v>
      </c>
      <c r="O48" s="450"/>
      <c r="P48" s="450" t="s">
        <v>258</v>
      </c>
      <c r="Q48" s="450"/>
      <c r="R48" s="450" t="s">
        <v>261</v>
      </c>
      <c r="S48" s="444"/>
      <c r="T48" s="444"/>
      <c r="U48" s="444"/>
      <c r="V48" s="479"/>
      <c r="W48" s="446"/>
      <c r="X48" s="425"/>
    </row>
    <row r="49" spans="1:25" s="426" customFormat="1" x14ac:dyDescent="0.3">
      <c r="A49" s="443"/>
      <c r="B49" s="444"/>
      <c r="C49" s="444"/>
      <c r="D49" s="450"/>
      <c r="E49" s="444"/>
      <c r="F49" s="450"/>
      <c r="G49" s="450"/>
      <c r="H49" s="450"/>
      <c r="I49" s="450"/>
      <c r="J49" s="450"/>
      <c r="K49" s="450"/>
      <c r="L49" s="450"/>
      <c r="M49" s="450"/>
      <c r="N49" s="450"/>
      <c r="O49" s="450"/>
      <c r="P49" s="450"/>
      <c r="Q49" s="450"/>
      <c r="R49" s="450"/>
      <c r="S49" s="444"/>
      <c r="T49" s="444"/>
      <c r="U49" s="444"/>
      <c r="V49" s="479" t="s">
        <v>196</v>
      </c>
      <c r="W49" s="446"/>
      <c r="X49" s="425"/>
    </row>
    <row r="50" spans="1:25" s="426" customFormat="1" x14ac:dyDescent="0.3">
      <c r="A50" s="443"/>
      <c r="B50" s="444" t="s">
        <v>172</v>
      </c>
      <c r="C50" s="444"/>
      <c r="D50" s="450"/>
      <c r="E50" s="444"/>
      <c r="F50" s="450"/>
      <c r="G50" s="450"/>
      <c r="H50" s="450"/>
      <c r="I50" s="450"/>
      <c r="J50" s="450"/>
      <c r="K50" s="450"/>
      <c r="L50" s="450"/>
      <c r="M50" s="450"/>
      <c r="N50" s="450"/>
      <c r="O50" s="450"/>
      <c r="P50" s="450"/>
      <c r="Q50" s="450"/>
      <c r="R50" s="450"/>
      <c r="S50" s="444"/>
      <c r="T50" s="444"/>
      <c r="U50" s="444"/>
      <c r="V50" s="479">
        <f>SUM(L34:R34)/SUM(D34:J34)</f>
        <v>0.13611940162868597</v>
      </c>
      <c r="W50" s="446"/>
      <c r="X50" s="425"/>
    </row>
    <row r="51" spans="1:25" s="426" customFormat="1" x14ac:dyDescent="0.3">
      <c r="A51" s="443"/>
      <c r="B51" s="444" t="s">
        <v>173</v>
      </c>
      <c r="C51" s="444"/>
      <c r="D51" s="444"/>
      <c r="E51" s="444"/>
      <c r="F51" s="483"/>
      <c r="G51" s="444"/>
      <c r="H51" s="444"/>
      <c r="I51" s="444"/>
      <c r="J51" s="444"/>
      <c r="K51" s="444"/>
      <c r="L51" s="444"/>
      <c r="M51" s="444"/>
      <c r="N51" s="444"/>
      <c r="O51" s="444"/>
      <c r="P51" s="444"/>
      <c r="Q51" s="444"/>
      <c r="R51" s="444"/>
      <c r="S51" s="444"/>
      <c r="T51" s="444"/>
      <c r="U51" s="444"/>
      <c r="V51" s="479">
        <f>SUM(L36:R36)/SUM(D36:J36)</f>
        <v>0.3157919872771035</v>
      </c>
      <c r="W51" s="446"/>
      <c r="X51" s="425"/>
    </row>
    <row r="52" spans="1:25" s="426" customFormat="1" x14ac:dyDescent="0.3">
      <c r="A52" s="443"/>
      <c r="B52" s="444" t="s">
        <v>174</v>
      </c>
      <c r="C52" s="444"/>
      <c r="D52" s="444"/>
      <c r="E52" s="444"/>
      <c r="F52" s="444"/>
      <c r="G52" s="444"/>
      <c r="H52" s="444"/>
      <c r="I52" s="444"/>
      <c r="J52" s="444"/>
      <c r="K52" s="444"/>
      <c r="L52" s="444"/>
      <c r="M52" s="444"/>
      <c r="N52" s="444"/>
      <c r="O52" s="444"/>
      <c r="P52" s="444"/>
      <c r="Q52" s="444"/>
      <c r="R52" s="444"/>
      <c r="S52" s="444"/>
      <c r="T52" s="450" t="s">
        <v>107</v>
      </c>
      <c r="U52" s="450" t="s">
        <v>112</v>
      </c>
      <c r="V52" s="452">
        <f>+V34/2-SUM(L34:R34)</f>
        <v>570356</v>
      </c>
      <c r="W52" s="446"/>
      <c r="X52" s="425"/>
    </row>
    <row r="53" spans="1:25" s="426" customFormat="1" x14ac:dyDescent="0.3">
      <c r="A53" s="443"/>
      <c r="B53" s="444"/>
      <c r="C53" s="444"/>
      <c r="D53" s="444"/>
      <c r="E53" s="444"/>
      <c r="F53" s="444"/>
      <c r="G53" s="444"/>
      <c r="H53" s="444"/>
      <c r="I53" s="444"/>
      <c r="J53" s="444"/>
      <c r="K53" s="444"/>
      <c r="L53" s="444"/>
      <c r="M53" s="444"/>
      <c r="N53" s="444"/>
      <c r="O53" s="444"/>
      <c r="P53" s="444"/>
      <c r="Q53" s="444"/>
      <c r="R53" s="444"/>
      <c r="S53" s="444"/>
      <c r="T53" s="444"/>
      <c r="U53" s="444"/>
      <c r="V53" s="484"/>
      <c r="W53" s="446"/>
      <c r="X53" s="425"/>
    </row>
    <row r="54" spans="1:25" s="426" customFormat="1" x14ac:dyDescent="0.3">
      <c r="A54" s="443"/>
      <c r="B54" s="444" t="s">
        <v>358</v>
      </c>
      <c r="C54" s="444"/>
      <c r="D54" s="444"/>
      <c r="E54" s="444"/>
      <c r="F54" s="444"/>
      <c r="G54" s="444"/>
      <c r="H54" s="444"/>
      <c r="I54" s="444"/>
      <c r="J54" s="444"/>
      <c r="K54" s="444"/>
      <c r="L54" s="444"/>
      <c r="M54" s="444"/>
      <c r="N54" s="444"/>
      <c r="O54" s="444"/>
      <c r="P54" s="444"/>
      <c r="Q54" s="444"/>
      <c r="R54" s="444"/>
      <c r="S54" s="444"/>
      <c r="T54" s="450"/>
      <c r="U54" s="450"/>
      <c r="V54" s="485" t="s">
        <v>114</v>
      </c>
      <c r="W54" s="486"/>
      <c r="X54" s="487"/>
    </row>
    <row r="55" spans="1:25" s="426" customFormat="1" x14ac:dyDescent="0.3">
      <c r="A55" s="443"/>
      <c r="B55" s="449" t="s">
        <v>204</v>
      </c>
      <c r="C55" s="449"/>
      <c r="D55" s="449"/>
      <c r="E55" s="449"/>
      <c r="F55" s="449"/>
      <c r="G55" s="449"/>
      <c r="H55" s="449"/>
      <c r="I55" s="449"/>
      <c r="J55" s="449"/>
      <c r="K55" s="449"/>
      <c r="L55" s="449"/>
      <c r="M55" s="449"/>
      <c r="N55" s="449"/>
      <c r="O55" s="449"/>
      <c r="P55" s="449"/>
      <c r="Q55" s="449"/>
      <c r="R55" s="449"/>
      <c r="S55" s="449"/>
      <c r="T55" s="488"/>
      <c r="U55" s="488"/>
      <c r="V55" s="489">
        <v>43570</v>
      </c>
      <c r="W55" s="486"/>
      <c r="X55" s="487"/>
    </row>
    <row r="56" spans="1:25" s="426" customFormat="1" x14ac:dyDescent="0.3">
      <c r="A56" s="443"/>
      <c r="B56" s="444" t="s">
        <v>124</v>
      </c>
      <c r="C56" s="444"/>
      <c r="D56" s="444"/>
      <c r="E56" s="444"/>
      <c r="F56" s="444"/>
      <c r="G56" s="444"/>
      <c r="H56" s="490"/>
      <c r="I56" s="490"/>
      <c r="J56" s="490"/>
      <c r="K56" s="490"/>
      <c r="L56" s="490"/>
      <c r="M56" s="490"/>
      <c r="N56" s="490"/>
      <c r="O56" s="490"/>
      <c r="P56" s="490"/>
      <c r="Q56" s="490"/>
      <c r="R56" s="444">
        <f>+V56-T56+1</f>
        <v>92</v>
      </c>
      <c r="S56" s="490"/>
      <c r="T56" s="491">
        <v>43388</v>
      </c>
      <c r="U56" s="492"/>
      <c r="V56" s="491">
        <v>43479</v>
      </c>
      <c r="W56" s="486"/>
      <c r="X56" s="487"/>
    </row>
    <row r="57" spans="1:25" s="426" customFormat="1" x14ac:dyDescent="0.3">
      <c r="A57" s="443"/>
      <c r="B57" s="444" t="s">
        <v>125</v>
      </c>
      <c r="C57" s="444"/>
      <c r="D57" s="444"/>
      <c r="E57" s="444"/>
      <c r="F57" s="444"/>
      <c r="G57" s="444"/>
      <c r="H57" s="444"/>
      <c r="I57" s="444"/>
      <c r="J57" s="444"/>
      <c r="K57" s="444"/>
      <c r="L57" s="444"/>
      <c r="M57" s="444"/>
      <c r="N57" s="444"/>
      <c r="O57" s="444"/>
      <c r="P57" s="444"/>
      <c r="Q57" s="444"/>
      <c r="R57" s="444">
        <f>+V57-T57+1</f>
        <v>90</v>
      </c>
      <c r="S57" s="444"/>
      <c r="T57" s="491">
        <v>43480</v>
      </c>
      <c r="U57" s="492"/>
      <c r="V57" s="491">
        <v>43569</v>
      </c>
      <c r="W57" s="486"/>
      <c r="X57" s="487"/>
    </row>
    <row r="58" spans="1:25" s="426" customFormat="1" x14ac:dyDescent="0.3">
      <c r="A58" s="443"/>
      <c r="B58" s="444" t="s">
        <v>357</v>
      </c>
      <c r="C58" s="444"/>
      <c r="D58" s="444"/>
      <c r="E58" s="444"/>
      <c r="F58" s="444"/>
      <c r="G58" s="444"/>
      <c r="H58" s="444"/>
      <c r="I58" s="444"/>
      <c r="J58" s="444"/>
      <c r="K58" s="444"/>
      <c r="L58" s="444"/>
      <c r="M58" s="444"/>
      <c r="N58" s="444"/>
      <c r="O58" s="444"/>
      <c r="P58" s="444"/>
      <c r="Q58" s="444"/>
      <c r="R58" s="444"/>
      <c r="S58" s="444"/>
      <c r="T58" s="491"/>
      <c r="U58" s="492"/>
      <c r="V58" s="491" t="s">
        <v>123</v>
      </c>
      <c r="W58" s="486"/>
      <c r="X58" s="487"/>
    </row>
    <row r="59" spans="1:25" s="426" customFormat="1" x14ac:dyDescent="0.3">
      <c r="A59" s="443"/>
      <c r="B59" s="444" t="s">
        <v>356</v>
      </c>
      <c r="C59" s="444"/>
      <c r="D59" s="444"/>
      <c r="E59" s="444"/>
      <c r="F59" s="444"/>
      <c r="G59" s="444"/>
      <c r="H59" s="444"/>
      <c r="I59" s="444"/>
      <c r="J59" s="444"/>
      <c r="K59" s="444"/>
      <c r="L59" s="444"/>
      <c r="M59" s="444"/>
      <c r="N59" s="444"/>
      <c r="O59" s="444"/>
      <c r="P59" s="444"/>
      <c r="Q59" s="444"/>
      <c r="R59" s="444"/>
      <c r="S59" s="444"/>
      <c r="T59" s="491"/>
      <c r="U59" s="492"/>
      <c r="V59" s="491" t="s">
        <v>157</v>
      </c>
      <c r="W59" s="486"/>
      <c r="X59" s="487"/>
      <c r="Y59" s="493"/>
    </row>
    <row r="60" spans="1:25" s="426" customFormat="1" x14ac:dyDescent="0.3">
      <c r="A60" s="443"/>
      <c r="B60" s="444" t="s">
        <v>16</v>
      </c>
      <c r="C60" s="444"/>
      <c r="D60" s="444"/>
      <c r="E60" s="444"/>
      <c r="F60" s="444"/>
      <c r="G60" s="444"/>
      <c r="H60" s="444"/>
      <c r="I60" s="444"/>
      <c r="J60" s="444"/>
      <c r="K60" s="444"/>
      <c r="L60" s="444"/>
      <c r="M60" s="444"/>
      <c r="N60" s="444"/>
      <c r="O60" s="444"/>
      <c r="P60" s="444"/>
      <c r="Q60" s="444"/>
      <c r="R60" s="444"/>
      <c r="S60" s="444"/>
      <c r="T60" s="491"/>
      <c r="U60" s="492"/>
      <c r="V60" s="491">
        <v>43556</v>
      </c>
      <c r="W60" s="486"/>
      <c r="X60" s="487"/>
    </row>
    <row r="61" spans="1:25" s="426" customFormat="1" x14ac:dyDescent="0.3">
      <c r="A61" s="421"/>
      <c r="B61" s="494"/>
      <c r="C61" s="494"/>
      <c r="D61" s="494"/>
      <c r="E61" s="494"/>
      <c r="F61" s="494"/>
      <c r="G61" s="494"/>
      <c r="H61" s="494"/>
      <c r="I61" s="494"/>
      <c r="J61" s="494"/>
      <c r="K61" s="494"/>
      <c r="L61" s="494"/>
      <c r="M61" s="494"/>
      <c r="N61" s="494"/>
      <c r="O61" s="494"/>
      <c r="P61" s="494"/>
      <c r="Q61" s="494"/>
      <c r="R61" s="494"/>
      <c r="S61" s="494"/>
      <c r="T61" s="495"/>
      <c r="U61" s="496"/>
      <c r="V61" s="495"/>
      <c r="W61" s="497"/>
      <c r="X61" s="487"/>
    </row>
    <row r="62" spans="1:25" s="426" customFormat="1" x14ac:dyDescent="0.3">
      <c r="A62" s="421"/>
      <c r="B62" s="422"/>
      <c r="C62" s="422"/>
      <c r="D62" s="422"/>
      <c r="E62" s="422"/>
      <c r="F62" s="422"/>
      <c r="G62" s="422"/>
      <c r="H62" s="422"/>
      <c r="I62" s="422"/>
      <c r="J62" s="422"/>
      <c r="K62" s="422"/>
      <c r="L62" s="422"/>
      <c r="M62" s="422"/>
      <c r="N62" s="422"/>
      <c r="O62" s="422"/>
      <c r="P62" s="422"/>
      <c r="Q62" s="422"/>
      <c r="R62" s="422"/>
      <c r="S62" s="422"/>
      <c r="T62" s="498"/>
      <c r="U62" s="499"/>
      <c r="V62" s="498"/>
      <c r="W62" s="497"/>
      <c r="X62" s="487"/>
    </row>
    <row r="63" spans="1:25" s="426" customFormat="1" ht="18.600000000000001" thickBot="1" x14ac:dyDescent="0.4">
      <c r="A63" s="500"/>
      <c r="B63" s="501" t="s">
        <v>379</v>
      </c>
      <c r="C63" s="502"/>
      <c r="D63" s="502"/>
      <c r="E63" s="502"/>
      <c r="F63" s="502"/>
      <c r="G63" s="502"/>
      <c r="H63" s="502"/>
      <c r="I63" s="502"/>
      <c r="J63" s="502"/>
      <c r="K63" s="502"/>
      <c r="L63" s="502"/>
      <c r="M63" s="502"/>
      <c r="N63" s="502"/>
      <c r="O63" s="502"/>
      <c r="P63" s="502"/>
      <c r="Q63" s="502"/>
      <c r="R63" s="502"/>
      <c r="S63" s="502"/>
      <c r="T63" s="502"/>
      <c r="U63" s="502"/>
      <c r="V63" s="503"/>
      <c r="W63" s="504"/>
      <c r="X63" s="487"/>
    </row>
    <row r="64" spans="1:25" x14ac:dyDescent="0.3">
      <c r="A64" s="505"/>
      <c r="B64" s="506" t="s">
        <v>17</v>
      </c>
      <c r="C64" s="507"/>
      <c r="D64" s="507"/>
      <c r="E64" s="507"/>
      <c r="F64" s="507"/>
      <c r="G64" s="507"/>
      <c r="H64" s="507"/>
      <c r="I64" s="507"/>
      <c r="J64" s="507"/>
      <c r="K64" s="507"/>
      <c r="L64" s="507"/>
      <c r="M64" s="507"/>
      <c r="N64" s="507"/>
      <c r="O64" s="507"/>
      <c r="P64" s="507"/>
      <c r="Q64" s="507"/>
      <c r="R64" s="507"/>
      <c r="S64" s="507"/>
      <c r="T64" s="507"/>
      <c r="U64" s="507"/>
      <c r="V64" s="508"/>
      <c r="W64" s="509"/>
      <c r="X64" s="406"/>
    </row>
    <row r="65" spans="1:24" x14ac:dyDescent="0.3">
      <c r="A65" s="408"/>
      <c r="B65" s="419"/>
      <c r="C65" s="410"/>
      <c r="D65" s="410"/>
      <c r="E65" s="410"/>
      <c r="F65" s="410"/>
      <c r="G65" s="410"/>
      <c r="H65" s="410"/>
      <c r="I65" s="410"/>
      <c r="J65" s="410"/>
      <c r="K65" s="410"/>
      <c r="L65" s="410"/>
      <c r="M65" s="410"/>
      <c r="N65" s="410"/>
      <c r="O65" s="410"/>
      <c r="P65" s="410"/>
      <c r="Q65" s="410"/>
      <c r="R65" s="410"/>
      <c r="S65" s="410"/>
      <c r="T65" s="410"/>
      <c r="U65" s="410"/>
      <c r="V65" s="510"/>
      <c r="W65" s="411"/>
      <c r="X65" s="406"/>
    </row>
    <row r="66" spans="1:24" s="473" customFormat="1" ht="46.8" x14ac:dyDescent="0.3">
      <c r="A66" s="511"/>
      <c r="B66" s="512" t="s">
        <v>18</v>
      </c>
      <c r="C66" s="513"/>
      <c r="D66" s="513"/>
      <c r="E66" s="513"/>
      <c r="F66" s="513"/>
      <c r="G66" s="513"/>
      <c r="H66" s="513"/>
      <c r="I66" s="513"/>
      <c r="J66" s="513"/>
      <c r="K66" s="513"/>
      <c r="L66" s="513" t="s">
        <v>95</v>
      </c>
      <c r="M66" s="513"/>
      <c r="N66" s="513" t="s">
        <v>97</v>
      </c>
      <c r="O66" s="513"/>
      <c r="P66" s="513" t="s">
        <v>99</v>
      </c>
      <c r="Q66" s="513"/>
      <c r="R66" s="513" t="s">
        <v>101</v>
      </c>
      <c r="S66" s="513"/>
      <c r="T66" s="513" t="s">
        <v>108</v>
      </c>
      <c r="U66" s="513"/>
      <c r="V66" s="514" t="s">
        <v>115</v>
      </c>
      <c r="W66" s="515"/>
      <c r="X66" s="472"/>
    </row>
    <row r="67" spans="1:24" s="426" customFormat="1" x14ac:dyDescent="0.3">
      <c r="A67" s="443"/>
      <c r="B67" s="444" t="s">
        <v>19</v>
      </c>
      <c r="C67" s="516"/>
      <c r="D67" s="516"/>
      <c r="E67" s="516"/>
      <c r="F67" s="516"/>
      <c r="G67" s="516"/>
      <c r="H67" s="516"/>
      <c r="I67" s="516"/>
      <c r="J67" s="516"/>
      <c r="K67" s="516"/>
      <c r="L67" s="516">
        <f>1085286</f>
        <v>1085286</v>
      </c>
      <c r="M67" s="516"/>
      <c r="N67" s="517">
        <v>733723</v>
      </c>
      <c r="O67" s="516"/>
      <c r="P67" s="516">
        <v>10438</v>
      </c>
      <c r="Q67" s="516"/>
      <c r="R67" s="516">
        <v>0</v>
      </c>
      <c r="S67" s="516"/>
      <c r="T67" s="516">
        <v>0</v>
      </c>
      <c r="U67" s="516"/>
      <c r="V67" s="517">
        <f>+N67-P67+R67-T67</f>
        <v>723285</v>
      </c>
      <c r="W67" s="446"/>
      <c r="X67" s="425"/>
    </row>
    <row r="68" spans="1:24" s="426" customFormat="1" x14ac:dyDescent="0.3">
      <c r="A68" s="443"/>
      <c r="B68" s="444" t="s">
        <v>20</v>
      </c>
      <c r="C68" s="516"/>
      <c r="D68" s="516"/>
      <c r="E68" s="516"/>
      <c r="F68" s="516"/>
      <c r="G68" s="516"/>
      <c r="H68" s="516"/>
      <c r="I68" s="516"/>
      <c r="J68" s="516"/>
      <c r="K68" s="516"/>
      <c r="L68" s="516">
        <v>35</v>
      </c>
      <c r="M68" s="516"/>
      <c r="N68" s="517">
        <v>0</v>
      </c>
      <c r="O68" s="516"/>
      <c r="P68" s="516">
        <v>0</v>
      </c>
      <c r="Q68" s="516"/>
      <c r="R68" s="516">
        <v>0</v>
      </c>
      <c r="S68" s="516"/>
      <c r="T68" s="516">
        <v>0</v>
      </c>
      <c r="U68" s="516"/>
      <c r="V68" s="517">
        <f>+N68-P68</f>
        <v>0</v>
      </c>
      <c r="W68" s="446"/>
      <c r="X68" s="425"/>
    </row>
    <row r="69" spans="1:24" s="426" customFormat="1" x14ac:dyDescent="0.3">
      <c r="A69" s="443"/>
      <c r="B69" s="444"/>
      <c r="C69" s="516"/>
      <c r="D69" s="516"/>
      <c r="E69" s="516"/>
      <c r="F69" s="516"/>
      <c r="G69" s="516"/>
      <c r="H69" s="516"/>
      <c r="I69" s="516"/>
      <c r="J69" s="516"/>
      <c r="K69" s="516"/>
      <c r="L69" s="516"/>
      <c r="M69" s="516"/>
      <c r="N69" s="517"/>
      <c r="O69" s="516"/>
      <c r="P69" s="516"/>
      <c r="Q69" s="516"/>
      <c r="R69" s="516"/>
      <c r="S69" s="516"/>
      <c r="T69" s="516"/>
      <c r="U69" s="516"/>
      <c r="V69" s="517"/>
      <c r="W69" s="446"/>
      <c r="X69" s="425"/>
    </row>
    <row r="70" spans="1:24" s="426" customFormat="1" x14ac:dyDescent="0.3">
      <c r="A70" s="443"/>
      <c r="B70" s="444" t="s">
        <v>21</v>
      </c>
      <c r="C70" s="516"/>
      <c r="D70" s="516"/>
      <c r="E70" s="516"/>
      <c r="F70" s="516"/>
      <c r="G70" s="516"/>
      <c r="H70" s="516"/>
      <c r="I70" s="516"/>
      <c r="J70" s="516"/>
      <c r="K70" s="516"/>
      <c r="L70" s="516">
        <f>SUM(L67:L69)</f>
        <v>1085321</v>
      </c>
      <c r="M70" s="516"/>
      <c r="N70" s="516">
        <f>N67+N68</f>
        <v>733723</v>
      </c>
      <c r="O70" s="516"/>
      <c r="P70" s="516">
        <f>SUM(P67:P69)</f>
        <v>10438</v>
      </c>
      <c r="Q70" s="516"/>
      <c r="R70" s="516">
        <f>SUM(R67:R69)</f>
        <v>0</v>
      </c>
      <c r="S70" s="516"/>
      <c r="T70" s="516">
        <f>SUM(T67:T69)</f>
        <v>0</v>
      </c>
      <c r="U70" s="516"/>
      <c r="V70" s="516">
        <f>SUM(V67:V69)</f>
        <v>723285</v>
      </c>
      <c r="W70" s="446"/>
      <c r="X70" s="425"/>
    </row>
    <row r="71" spans="1:24" x14ac:dyDescent="0.3">
      <c r="A71" s="408"/>
      <c r="B71" s="518"/>
      <c r="C71" s="519"/>
      <c r="D71" s="519"/>
      <c r="E71" s="519"/>
      <c r="F71" s="519"/>
      <c r="G71" s="519"/>
      <c r="H71" s="519"/>
      <c r="I71" s="519"/>
      <c r="J71" s="519"/>
      <c r="K71" s="519"/>
      <c r="L71" s="519"/>
      <c r="M71" s="519"/>
      <c r="N71" s="519"/>
      <c r="O71" s="519"/>
      <c r="P71" s="519"/>
      <c r="Q71" s="519"/>
      <c r="R71" s="519"/>
      <c r="S71" s="519"/>
      <c r="T71" s="519"/>
      <c r="U71" s="519"/>
      <c r="V71" s="520"/>
      <c r="W71" s="411"/>
      <c r="X71" s="406"/>
    </row>
    <row r="72" spans="1:24" x14ac:dyDescent="0.3">
      <c r="A72" s="408"/>
      <c r="B72" s="413" t="s">
        <v>22</v>
      </c>
      <c r="C72" s="521"/>
      <c r="D72" s="521"/>
      <c r="E72" s="521"/>
      <c r="F72" s="521"/>
      <c r="G72" s="521"/>
      <c r="H72" s="521"/>
      <c r="I72" s="521"/>
      <c r="J72" s="521"/>
      <c r="K72" s="521"/>
      <c r="L72" s="521"/>
      <c r="M72" s="521"/>
      <c r="N72" s="521"/>
      <c r="O72" s="521"/>
      <c r="P72" s="521"/>
      <c r="Q72" s="521"/>
      <c r="R72" s="521"/>
      <c r="S72" s="521"/>
      <c r="T72" s="521"/>
      <c r="U72" s="521"/>
      <c r="V72" s="522"/>
      <c r="W72" s="411"/>
      <c r="X72" s="406"/>
    </row>
    <row r="73" spans="1:24" x14ac:dyDescent="0.3">
      <c r="A73" s="408"/>
      <c r="B73" s="410"/>
      <c r="C73" s="521"/>
      <c r="D73" s="521"/>
      <c r="E73" s="521"/>
      <c r="F73" s="521"/>
      <c r="G73" s="521"/>
      <c r="H73" s="521"/>
      <c r="I73" s="521"/>
      <c r="J73" s="521"/>
      <c r="K73" s="521"/>
      <c r="L73" s="521"/>
      <c r="M73" s="521"/>
      <c r="N73" s="521"/>
      <c r="O73" s="521"/>
      <c r="P73" s="521"/>
      <c r="Q73" s="521"/>
      <c r="R73" s="521"/>
      <c r="S73" s="521"/>
      <c r="T73" s="521"/>
      <c r="U73" s="521"/>
      <c r="V73" s="522"/>
      <c r="W73" s="411"/>
      <c r="X73" s="406"/>
    </row>
    <row r="74" spans="1:24" s="426" customFormat="1" x14ac:dyDescent="0.3">
      <c r="A74" s="443"/>
      <c r="B74" s="444" t="s">
        <v>19</v>
      </c>
      <c r="C74" s="516"/>
      <c r="D74" s="516"/>
      <c r="E74" s="516"/>
      <c r="F74" s="516"/>
      <c r="G74" s="516"/>
      <c r="H74" s="516"/>
      <c r="I74" s="516"/>
      <c r="J74" s="516"/>
      <c r="K74" s="516"/>
      <c r="L74" s="516"/>
      <c r="M74" s="516"/>
      <c r="N74" s="516"/>
      <c r="O74" s="516"/>
      <c r="P74" s="516"/>
      <c r="Q74" s="516"/>
      <c r="R74" s="516"/>
      <c r="S74" s="516"/>
      <c r="T74" s="516"/>
      <c r="U74" s="516"/>
      <c r="V74" s="516"/>
      <c r="W74" s="446"/>
      <c r="X74" s="425"/>
    </row>
    <row r="75" spans="1:24" s="426" customFormat="1" x14ac:dyDescent="0.3">
      <c r="A75" s="443"/>
      <c r="B75" s="444" t="s">
        <v>20</v>
      </c>
      <c r="C75" s="516"/>
      <c r="D75" s="516"/>
      <c r="E75" s="516"/>
      <c r="F75" s="516"/>
      <c r="G75" s="516"/>
      <c r="H75" s="516"/>
      <c r="I75" s="516"/>
      <c r="J75" s="516"/>
      <c r="K75" s="516"/>
      <c r="L75" s="516"/>
      <c r="M75" s="516"/>
      <c r="N75" s="516"/>
      <c r="O75" s="516"/>
      <c r="P75" s="516"/>
      <c r="Q75" s="516"/>
      <c r="R75" s="516"/>
      <c r="S75" s="516"/>
      <c r="T75" s="516"/>
      <c r="U75" s="516"/>
      <c r="V75" s="516"/>
      <c r="W75" s="446"/>
      <c r="X75" s="425"/>
    </row>
    <row r="76" spans="1:24" s="426" customFormat="1" x14ac:dyDescent="0.3">
      <c r="A76" s="443"/>
      <c r="B76" s="444"/>
      <c r="C76" s="516"/>
      <c r="D76" s="516"/>
      <c r="E76" s="516"/>
      <c r="F76" s="516"/>
      <c r="G76" s="516"/>
      <c r="H76" s="516"/>
      <c r="I76" s="516"/>
      <c r="J76" s="516"/>
      <c r="K76" s="516"/>
      <c r="L76" s="516"/>
      <c r="M76" s="516"/>
      <c r="N76" s="516"/>
      <c r="O76" s="516"/>
      <c r="P76" s="516"/>
      <c r="Q76" s="516"/>
      <c r="R76" s="516"/>
      <c r="S76" s="516"/>
      <c r="T76" s="516"/>
      <c r="U76" s="516"/>
      <c r="V76" s="516"/>
      <c r="W76" s="446"/>
      <c r="X76" s="425"/>
    </row>
    <row r="77" spans="1:24" s="426" customFormat="1" x14ac:dyDescent="0.3">
      <c r="A77" s="443"/>
      <c r="B77" s="444" t="s">
        <v>21</v>
      </c>
      <c r="C77" s="516"/>
      <c r="D77" s="516"/>
      <c r="E77" s="516"/>
      <c r="F77" s="516"/>
      <c r="G77" s="516"/>
      <c r="H77" s="516"/>
      <c r="I77" s="516"/>
      <c r="J77" s="516"/>
      <c r="K77" s="516"/>
      <c r="L77" s="516"/>
      <c r="M77" s="516"/>
      <c r="N77" s="516"/>
      <c r="O77" s="516"/>
      <c r="P77" s="516"/>
      <c r="Q77" s="516"/>
      <c r="R77" s="516"/>
      <c r="S77" s="516"/>
      <c r="T77" s="516"/>
      <c r="U77" s="516"/>
      <c r="V77" s="516"/>
      <c r="W77" s="446"/>
      <c r="X77" s="425"/>
    </row>
    <row r="78" spans="1:24" s="426" customFormat="1" x14ac:dyDescent="0.3">
      <c r="A78" s="443"/>
      <c r="B78" s="444"/>
      <c r="C78" s="516"/>
      <c r="D78" s="516"/>
      <c r="E78" s="516"/>
      <c r="F78" s="516"/>
      <c r="G78" s="516"/>
      <c r="H78" s="516"/>
      <c r="I78" s="516"/>
      <c r="J78" s="516"/>
      <c r="K78" s="516"/>
      <c r="L78" s="516"/>
      <c r="M78" s="516"/>
      <c r="N78" s="516"/>
      <c r="O78" s="516"/>
      <c r="P78" s="516"/>
      <c r="Q78" s="516"/>
      <c r="R78" s="516"/>
      <c r="S78" s="516"/>
      <c r="T78" s="516"/>
      <c r="U78" s="516"/>
      <c r="V78" s="516"/>
      <c r="W78" s="446"/>
      <c r="X78" s="425"/>
    </row>
    <row r="79" spans="1:24" s="426" customFormat="1" x14ac:dyDescent="0.3">
      <c r="A79" s="443"/>
      <c r="B79" s="444" t="s">
        <v>23</v>
      </c>
      <c r="C79" s="516"/>
      <c r="D79" s="516"/>
      <c r="E79" s="516"/>
      <c r="F79" s="516"/>
      <c r="G79" s="516"/>
      <c r="H79" s="516"/>
      <c r="I79" s="516"/>
      <c r="J79" s="516"/>
      <c r="K79" s="516"/>
      <c r="L79" s="516">
        <v>0</v>
      </c>
      <c r="M79" s="516"/>
      <c r="N79" s="516">
        <v>0</v>
      </c>
      <c r="O79" s="516"/>
      <c r="P79" s="516"/>
      <c r="Q79" s="516"/>
      <c r="R79" s="516"/>
      <c r="S79" s="516"/>
      <c r="T79" s="516"/>
      <c r="U79" s="516"/>
      <c r="V79" s="517">
        <v>0</v>
      </c>
      <c r="W79" s="446"/>
      <c r="X79" s="425"/>
    </row>
    <row r="80" spans="1:24" s="426" customFormat="1" x14ac:dyDescent="0.3">
      <c r="A80" s="443"/>
      <c r="B80" s="444" t="s">
        <v>120</v>
      </c>
      <c r="C80" s="516"/>
      <c r="D80" s="516"/>
      <c r="E80" s="516"/>
      <c r="F80" s="516"/>
      <c r="G80" s="516"/>
      <c r="H80" s="516"/>
      <c r="I80" s="516"/>
      <c r="J80" s="516"/>
      <c r="K80" s="516"/>
      <c r="L80" s="516">
        <f>414862+7</f>
        <v>414869</v>
      </c>
      <c r="M80" s="516"/>
      <c r="N80" s="516">
        <v>0</v>
      </c>
      <c r="O80" s="516"/>
      <c r="P80" s="516">
        <v>0</v>
      </c>
      <c r="Q80" s="516"/>
      <c r="R80" s="516"/>
      <c r="S80" s="516"/>
      <c r="T80" s="516"/>
      <c r="U80" s="516"/>
      <c r="V80" s="516">
        <f>SUM(N80:R80)</f>
        <v>0</v>
      </c>
      <c r="W80" s="446"/>
      <c r="X80" s="425"/>
    </row>
    <row r="81" spans="1:24" s="426" customFormat="1" x14ac:dyDescent="0.3">
      <c r="A81" s="443"/>
      <c r="B81" s="444" t="s">
        <v>149</v>
      </c>
      <c r="C81" s="516"/>
      <c r="D81" s="516"/>
      <c r="E81" s="516"/>
      <c r="F81" s="516"/>
      <c r="G81" s="516"/>
      <c r="H81" s="516"/>
      <c r="I81" s="516"/>
      <c r="J81" s="516"/>
      <c r="K81" s="516"/>
      <c r="L81" s="516">
        <v>0</v>
      </c>
      <c r="M81" s="516"/>
      <c r="N81" s="516">
        <v>0</v>
      </c>
      <c r="O81" s="516"/>
      <c r="P81" s="516">
        <v>0</v>
      </c>
      <c r="Q81" s="516"/>
      <c r="R81" s="516"/>
      <c r="S81" s="516"/>
      <c r="T81" s="516"/>
      <c r="U81" s="516"/>
      <c r="V81" s="516">
        <f>+N81+P81</f>
        <v>0</v>
      </c>
      <c r="W81" s="446"/>
      <c r="X81" s="425"/>
    </row>
    <row r="82" spans="1:24" s="426" customFormat="1" x14ac:dyDescent="0.3">
      <c r="A82" s="443"/>
      <c r="B82" s="444" t="s">
        <v>25</v>
      </c>
      <c r="C82" s="516"/>
      <c r="D82" s="516"/>
      <c r="E82" s="516"/>
      <c r="F82" s="516"/>
      <c r="G82" s="516"/>
      <c r="H82" s="516"/>
      <c r="I82" s="516"/>
      <c r="J82" s="516"/>
      <c r="K82" s="516"/>
      <c r="L82" s="516">
        <v>0</v>
      </c>
      <c r="M82" s="516"/>
      <c r="N82" s="516">
        <v>0</v>
      </c>
      <c r="O82" s="516"/>
      <c r="P82" s="516"/>
      <c r="Q82" s="516"/>
      <c r="R82" s="516"/>
      <c r="S82" s="516"/>
      <c r="T82" s="516"/>
      <c r="U82" s="516"/>
      <c r="V82" s="516">
        <v>0</v>
      </c>
      <c r="W82" s="446"/>
      <c r="X82" s="425"/>
    </row>
    <row r="83" spans="1:24" s="426" customFormat="1" x14ac:dyDescent="0.3">
      <c r="A83" s="523"/>
      <c r="B83" s="524" t="s">
        <v>26</v>
      </c>
      <c r="C83" s="525"/>
      <c r="D83" s="525"/>
      <c r="E83" s="525"/>
      <c r="F83" s="525"/>
      <c r="G83" s="525"/>
      <c r="H83" s="525"/>
      <c r="I83" s="525"/>
      <c r="J83" s="525"/>
      <c r="K83" s="525"/>
      <c r="L83" s="525">
        <f>SUM(L70:L82)</f>
        <v>1500190</v>
      </c>
      <c r="M83" s="525"/>
      <c r="N83" s="525">
        <f>SUM(N70:N82)</f>
        <v>733723</v>
      </c>
      <c r="O83" s="525"/>
      <c r="P83" s="525"/>
      <c r="Q83" s="525"/>
      <c r="R83" s="525"/>
      <c r="S83" s="525"/>
      <c r="T83" s="525"/>
      <c r="U83" s="525"/>
      <c r="V83" s="525">
        <f>SUM(V70:V82)</f>
        <v>723285</v>
      </c>
      <c r="W83" s="526"/>
      <c r="X83" s="425"/>
    </row>
    <row r="84" spans="1:24" x14ac:dyDescent="0.3">
      <c r="A84" s="527"/>
      <c r="B84" s="528"/>
      <c r="C84" s="529"/>
      <c r="D84" s="529"/>
      <c r="E84" s="529"/>
      <c r="F84" s="529"/>
      <c r="G84" s="529"/>
      <c r="H84" s="529"/>
      <c r="I84" s="529"/>
      <c r="J84" s="529"/>
      <c r="K84" s="529"/>
      <c r="L84" s="529"/>
      <c r="M84" s="529"/>
      <c r="N84" s="529"/>
      <c r="O84" s="529"/>
      <c r="P84" s="529"/>
      <c r="Q84" s="529"/>
      <c r="R84" s="529"/>
      <c r="S84" s="529"/>
      <c r="T84" s="529"/>
      <c r="U84" s="529"/>
      <c r="V84" s="529"/>
      <c r="W84" s="530"/>
      <c r="X84" s="406"/>
    </row>
    <row r="85" spans="1:24" x14ac:dyDescent="0.3">
      <c r="A85" s="408"/>
      <c r="B85" s="531"/>
      <c r="C85" s="531"/>
      <c r="D85" s="531"/>
      <c r="E85" s="531"/>
      <c r="F85" s="531"/>
      <c r="G85" s="531"/>
      <c r="H85" s="531"/>
      <c r="I85" s="531"/>
      <c r="J85" s="531"/>
      <c r="K85" s="531"/>
      <c r="L85" s="531"/>
      <c r="M85" s="531"/>
      <c r="N85" s="531"/>
      <c r="O85" s="531"/>
      <c r="P85" s="531"/>
      <c r="Q85" s="531"/>
      <c r="R85" s="531"/>
      <c r="S85" s="531"/>
      <c r="T85" s="531"/>
      <c r="U85" s="531"/>
      <c r="V85" s="531"/>
      <c r="W85" s="532"/>
      <c r="X85" s="406"/>
    </row>
    <row r="86" spans="1:24" x14ac:dyDescent="0.3">
      <c r="A86" s="533"/>
      <c r="B86" s="534" t="s">
        <v>27</v>
      </c>
      <c r="C86" s="534"/>
      <c r="D86" s="534"/>
      <c r="E86" s="534"/>
      <c r="F86" s="534"/>
      <c r="G86" s="534"/>
      <c r="H86" s="535"/>
      <c r="I86" s="535"/>
      <c r="J86" s="535"/>
      <c r="K86" s="535"/>
      <c r="L86" s="536" t="s">
        <v>96</v>
      </c>
      <c r="M86" s="535"/>
      <c r="N86" s="537">
        <f>+T198</f>
        <v>43553</v>
      </c>
      <c r="O86" s="535"/>
      <c r="P86" s="535"/>
      <c r="Q86" s="535"/>
      <c r="R86" s="535"/>
      <c r="S86" s="535"/>
      <c r="T86" s="535" t="s">
        <v>109</v>
      </c>
      <c r="U86" s="535"/>
      <c r="V86" s="535" t="s">
        <v>116</v>
      </c>
      <c r="W86" s="538"/>
      <c r="X86" s="406"/>
    </row>
    <row r="87" spans="1:24" s="426" customFormat="1" x14ac:dyDescent="0.3">
      <c r="A87" s="439"/>
      <c r="B87" s="440" t="s">
        <v>28</v>
      </c>
      <c r="C87" s="440"/>
      <c r="D87" s="440"/>
      <c r="E87" s="440"/>
      <c r="F87" s="440"/>
      <c r="G87" s="440"/>
      <c r="H87" s="440"/>
      <c r="I87" s="440"/>
      <c r="J87" s="440"/>
      <c r="K87" s="440"/>
      <c r="L87" s="440"/>
      <c r="M87" s="440"/>
      <c r="N87" s="440"/>
      <c r="O87" s="440"/>
      <c r="P87" s="440"/>
      <c r="Q87" s="440"/>
      <c r="R87" s="440"/>
      <c r="S87" s="440"/>
      <c r="T87" s="539">
        <v>0</v>
      </c>
      <c r="U87" s="440"/>
      <c r="V87" s="540">
        <v>0</v>
      </c>
      <c r="W87" s="442"/>
      <c r="X87" s="425"/>
    </row>
    <row r="88" spans="1:24" s="426" customFormat="1" x14ac:dyDescent="0.3">
      <c r="A88" s="443"/>
      <c r="B88" s="444" t="s">
        <v>29</v>
      </c>
      <c r="C88" s="444"/>
      <c r="D88" s="444"/>
      <c r="E88" s="444"/>
      <c r="F88" s="444"/>
      <c r="G88" s="444"/>
      <c r="H88" s="482"/>
      <c r="I88" s="482"/>
      <c r="J88" s="482"/>
      <c r="K88" s="541"/>
      <c r="L88" s="482"/>
      <c r="M88" s="444"/>
      <c r="N88" s="542"/>
      <c r="O88" s="444"/>
      <c r="P88" s="444"/>
      <c r="Q88" s="444"/>
      <c r="R88" s="444"/>
      <c r="S88" s="444"/>
      <c r="T88" s="516">
        <f>10438-185</f>
        <v>10253</v>
      </c>
      <c r="U88" s="444"/>
      <c r="V88" s="517"/>
      <c r="W88" s="446"/>
      <c r="X88" s="425"/>
    </row>
    <row r="89" spans="1:24" s="426" customFormat="1" x14ac:dyDescent="0.3">
      <c r="A89" s="443"/>
      <c r="B89" s="444" t="s">
        <v>219</v>
      </c>
      <c r="C89" s="444"/>
      <c r="D89" s="444"/>
      <c r="E89" s="444"/>
      <c r="F89" s="444"/>
      <c r="G89" s="444"/>
      <c r="H89" s="482"/>
      <c r="I89" s="482"/>
      <c r="J89" s="482"/>
      <c r="K89" s="541"/>
      <c r="L89" s="482"/>
      <c r="M89" s="444"/>
      <c r="N89" s="542"/>
      <c r="O89" s="444"/>
      <c r="P89" s="444"/>
      <c r="Q89" s="444"/>
      <c r="R89" s="444"/>
      <c r="S89" s="444"/>
      <c r="T89" s="516"/>
      <c r="U89" s="444"/>
      <c r="V89" s="517">
        <f>4471+2251-1163-626</f>
        <v>4933</v>
      </c>
      <c r="W89" s="446"/>
      <c r="X89" s="425"/>
    </row>
    <row r="90" spans="1:24" s="426" customFormat="1" x14ac:dyDescent="0.3">
      <c r="A90" s="443"/>
      <c r="B90" s="444" t="s">
        <v>214</v>
      </c>
      <c r="C90" s="444"/>
      <c r="D90" s="444"/>
      <c r="E90" s="444"/>
      <c r="F90" s="444"/>
      <c r="G90" s="444"/>
      <c r="H90" s="482"/>
      <c r="I90" s="482"/>
      <c r="J90" s="482"/>
      <c r="K90" s="541"/>
      <c r="L90" s="482"/>
      <c r="M90" s="444"/>
      <c r="N90" s="542"/>
      <c r="O90" s="444"/>
      <c r="P90" s="444"/>
      <c r="Q90" s="444"/>
      <c r="R90" s="444"/>
      <c r="S90" s="444"/>
      <c r="T90" s="516"/>
      <c r="U90" s="444"/>
      <c r="V90" s="517">
        <f>75+20</f>
        <v>95</v>
      </c>
      <c r="W90" s="446"/>
      <c r="X90" s="425"/>
    </row>
    <row r="91" spans="1:24" s="426" customFormat="1" x14ac:dyDescent="0.3">
      <c r="A91" s="443"/>
      <c r="B91" s="444" t="s">
        <v>215</v>
      </c>
      <c r="C91" s="444"/>
      <c r="D91" s="444"/>
      <c r="E91" s="444"/>
      <c r="F91" s="444"/>
      <c r="G91" s="444"/>
      <c r="H91" s="482"/>
      <c r="I91" s="482"/>
      <c r="J91" s="482"/>
      <c r="K91" s="541"/>
      <c r="L91" s="482"/>
      <c r="M91" s="444"/>
      <c r="N91" s="542"/>
      <c r="O91" s="444"/>
      <c r="P91" s="444"/>
      <c r="Q91" s="444"/>
      <c r="R91" s="444"/>
      <c r="S91" s="444"/>
      <c r="T91" s="516"/>
      <c r="U91" s="444"/>
      <c r="V91" s="517">
        <v>76</v>
      </c>
      <c r="W91" s="446"/>
      <c r="X91" s="425"/>
    </row>
    <row r="92" spans="1:24" s="426" customFormat="1" x14ac:dyDescent="0.3">
      <c r="A92" s="443"/>
      <c r="B92" s="444" t="s">
        <v>277</v>
      </c>
      <c r="C92" s="444"/>
      <c r="D92" s="444"/>
      <c r="E92" s="444"/>
      <c r="F92" s="444"/>
      <c r="G92" s="444"/>
      <c r="H92" s="482"/>
      <c r="I92" s="482"/>
      <c r="J92" s="482"/>
      <c r="K92" s="541"/>
      <c r="L92" s="482"/>
      <c r="M92" s="444"/>
      <c r="N92" s="542"/>
      <c r="O92" s="444"/>
      <c r="P92" s="444"/>
      <c r="Q92" s="444"/>
      <c r="R92" s="444"/>
      <c r="S92" s="444"/>
      <c r="T92" s="516"/>
      <c r="U92" s="444"/>
      <c r="V92" s="517">
        <v>0</v>
      </c>
      <c r="W92" s="446"/>
      <c r="X92" s="425"/>
    </row>
    <row r="93" spans="1:24" s="426" customFormat="1" x14ac:dyDescent="0.3">
      <c r="A93" s="443"/>
      <c r="B93" s="444" t="s">
        <v>138</v>
      </c>
      <c r="C93" s="444"/>
      <c r="D93" s="444"/>
      <c r="E93" s="444"/>
      <c r="F93" s="444"/>
      <c r="G93" s="444"/>
      <c r="H93" s="444"/>
      <c r="I93" s="444"/>
      <c r="J93" s="444"/>
      <c r="K93" s="444"/>
      <c r="L93" s="444"/>
      <c r="M93" s="444"/>
      <c r="N93" s="444"/>
      <c r="O93" s="444"/>
      <c r="P93" s="444"/>
      <c r="Q93" s="444"/>
      <c r="R93" s="444"/>
      <c r="S93" s="444"/>
      <c r="T93" s="516"/>
      <c r="U93" s="444"/>
      <c r="V93" s="517">
        <v>0</v>
      </c>
      <c r="W93" s="446"/>
      <c r="X93" s="425"/>
    </row>
    <row r="94" spans="1:24" s="426" customFormat="1" x14ac:dyDescent="0.3">
      <c r="A94" s="443"/>
      <c r="B94" s="444" t="s">
        <v>265</v>
      </c>
      <c r="C94" s="444"/>
      <c r="D94" s="444"/>
      <c r="E94" s="444"/>
      <c r="F94" s="444"/>
      <c r="G94" s="444"/>
      <c r="H94" s="444"/>
      <c r="I94" s="444"/>
      <c r="J94" s="444"/>
      <c r="K94" s="444"/>
      <c r="L94" s="444"/>
      <c r="M94" s="444"/>
      <c r="N94" s="444"/>
      <c r="O94" s="444"/>
      <c r="P94" s="444"/>
      <c r="Q94" s="444"/>
      <c r="R94" s="444"/>
      <c r="S94" s="444"/>
      <c r="T94" s="516"/>
      <c r="U94" s="444"/>
      <c r="V94" s="517">
        <v>303</v>
      </c>
      <c r="W94" s="446"/>
      <c r="X94" s="425"/>
    </row>
    <row r="95" spans="1:24" s="426" customFormat="1" x14ac:dyDescent="0.3">
      <c r="A95" s="443"/>
      <c r="B95" s="444" t="s">
        <v>30</v>
      </c>
      <c r="C95" s="444"/>
      <c r="D95" s="444"/>
      <c r="E95" s="444"/>
      <c r="F95" s="444"/>
      <c r="G95" s="444"/>
      <c r="H95" s="444"/>
      <c r="I95" s="444"/>
      <c r="J95" s="444"/>
      <c r="K95" s="444"/>
      <c r="L95" s="444"/>
      <c r="M95" s="444"/>
      <c r="N95" s="444"/>
      <c r="O95" s="444"/>
      <c r="P95" s="444"/>
      <c r="Q95" s="444"/>
      <c r="R95" s="444"/>
      <c r="S95" s="444"/>
      <c r="T95" s="516">
        <f>SUM(T87:T94)</f>
        <v>10253</v>
      </c>
      <c r="U95" s="444"/>
      <c r="V95" s="516">
        <f>SUM(V87:V94)</f>
        <v>5407</v>
      </c>
      <c r="W95" s="446"/>
      <c r="X95" s="425"/>
    </row>
    <row r="96" spans="1:24" s="426" customFormat="1" x14ac:dyDescent="0.3">
      <c r="A96" s="443"/>
      <c r="B96" s="444" t="s">
        <v>164</v>
      </c>
      <c r="C96" s="444"/>
      <c r="D96" s="444"/>
      <c r="E96" s="444"/>
      <c r="F96" s="444"/>
      <c r="G96" s="444"/>
      <c r="H96" s="444"/>
      <c r="I96" s="444"/>
      <c r="J96" s="444"/>
      <c r="K96" s="444"/>
      <c r="L96" s="444"/>
      <c r="M96" s="444"/>
      <c r="N96" s="444"/>
      <c r="O96" s="444"/>
      <c r="P96" s="444"/>
      <c r="Q96" s="444"/>
      <c r="R96" s="444"/>
      <c r="S96" s="444"/>
      <c r="T96" s="516">
        <f>-V96</f>
        <v>0</v>
      </c>
      <c r="U96" s="444"/>
      <c r="V96" s="516">
        <v>0</v>
      </c>
      <c r="W96" s="446"/>
      <c r="X96" s="425"/>
    </row>
    <row r="97" spans="1:26" s="426" customFormat="1" x14ac:dyDescent="0.3">
      <c r="A97" s="443"/>
      <c r="B97" s="444" t="s">
        <v>31</v>
      </c>
      <c r="C97" s="444"/>
      <c r="D97" s="444"/>
      <c r="E97" s="444"/>
      <c r="F97" s="444"/>
      <c r="G97" s="444"/>
      <c r="H97" s="444"/>
      <c r="I97" s="444"/>
      <c r="J97" s="444"/>
      <c r="K97" s="444"/>
      <c r="L97" s="444"/>
      <c r="M97" s="444"/>
      <c r="N97" s="444"/>
      <c r="O97" s="444"/>
      <c r="P97" s="444"/>
      <c r="Q97" s="444"/>
      <c r="R97" s="444"/>
      <c r="S97" s="444"/>
      <c r="T97" s="516">
        <f>-V97</f>
        <v>0</v>
      </c>
      <c r="U97" s="444"/>
      <c r="V97" s="517">
        <v>0</v>
      </c>
      <c r="W97" s="446"/>
      <c r="X97" s="425"/>
    </row>
    <row r="98" spans="1:26" s="426" customFormat="1" x14ac:dyDescent="0.3">
      <c r="A98" s="443"/>
      <c r="B98" s="444" t="s">
        <v>288</v>
      </c>
      <c r="C98" s="444"/>
      <c r="D98" s="444"/>
      <c r="E98" s="444"/>
      <c r="F98" s="444"/>
      <c r="G98" s="444"/>
      <c r="H98" s="444"/>
      <c r="I98" s="444"/>
      <c r="J98" s="444"/>
      <c r="K98" s="444"/>
      <c r="L98" s="444"/>
      <c r="M98" s="444"/>
      <c r="N98" s="444"/>
      <c r="O98" s="444"/>
      <c r="P98" s="444"/>
      <c r="Q98" s="444"/>
      <c r="R98" s="444"/>
      <c r="S98" s="444"/>
      <c r="T98" s="516"/>
      <c r="U98" s="444"/>
      <c r="V98" s="517">
        <v>9</v>
      </c>
      <c r="W98" s="446"/>
      <c r="X98" s="425"/>
    </row>
    <row r="99" spans="1:26" s="426" customFormat="1" x14ac:dyDescent="0.3">
      <c r="A99" s="443"/>
      <c r="B99" s="444" t="s">
        <v>32</v>
      </c>
      <c r="C99" s="444"/>
      <c r="D99" s="444"/>
      <c r="E99" s="444"/>
      <c r="F99" s="444"/>
      <c r="G99" s="444"/>
      <c r="H99" s="444"/>
      <c r="I99" s="444"/>
      <c r="J99" s="444"/>
      <c r="K99" s="444"/>
      <c r="L99" s="444"/>
      <c r="M99" s="444"/>
      <c r="N99" s="444"/>
      <c r="O99" s="444"/>
      <c r="P99" s="444"/>
      <c r="Q99" s="444"/>
      <c r="R99" s="444"/>
      <c r="S99" s="444"/>
      <c r="T99" s="516">
        <f>T95+T97+T96</f>
        <v>10253</v>
      </c>
      <c r="U99" s="444"/>
      <c r="V99" s="516">
        <f>V95+V97+V96+V98</f>
        <v>5416</v>
      </c>
      <c r="W99" s="446"/>
      <c r="X99" s="425"/>
    </row>
    <row r="100" spans="1:26" x14ac:dyDescent="0.3">
      <c r="A100" s="543"/>
      <c r="B100" s="544" t="s">
        <v>33</v>
      </c>
      <c r="C100" s="465"/>
      <c r="D100" s="465"/>
      <c r="E100" s="465"/>
      <c r="F100" s="465"/>
      <c r="G100" s="465"/>
      <c r="H100" s="465"/>
      <c r="I100" s="465"/>
      <c r="J100" s="465"/>
      <c r="K100" s="465"/>
      <c r="L100" s="465"/>
      <c r="M100" s="465"/>
      <c r="N100" s="465"/>
      <c r="O100" s="465"/>
      <c r="P100" s="465"/>
      <c r="Q100" s="465"/>
      <c r="R100" s="465"/>
      <c r="S100" s="465"/>
      <c r="T100" s="545"/>
      <c r="U100" s="465"/>
      <c r="V100" s="546"/>
      <c r="W100" s="547"/>
      <c r="X100" s="406"/>
    </row>
    <row r="101" spans="1:26" s="426" customFormat="1" x14ac:dyDescent="0.3">
      <c r="A101" s="443">
        <v>1</v>
      </c>
      <c r="B101" s="444" t="s">
        <v>34</v>
      </c>
      <c r="C101" s="444"/>
      <c r="D101" s="444"/>
      <c r="E101" s="444"/>
      <c r="F101" s="444"/>
      <c r="G101" s="444"/>
      <c r="H101" s="444"/>
      <c r="I101" s="444"/>
      <c r="J101" s="444"/>
      <c r="K101" s="444"/>
      <c r="L101" s="444"/>
      <c r="M101" s="444"/>
      <c r="N101" s="444"/>
      <c r="O101" s="444"/>
      <c r="P101" s="444"/>
      <c r="Q101" s="444"/>
      <c r="R101" s="444"/>
      <c r="S101" s="444"/>
      <c r="T101" s="444"/>
      <c r="U101" s="444"/>
      <c r="V101" s="517">
        <v>0</v>
      </c>
      <c r="W101" s="446"/>
      <c r="X101" s="425"/>
    </row>
    <row r="102" spans="1:26" s="426" customFormat="1" x14ac:dyDescent="0.3">
      <c r="A102" s="443">
        <f>+A101+1</f>
        <v>2</v>
      </c>
      <c r="B102" s="444" t="s">
        <v>331</v>
      </c>
      <c r="C102" s="444"/>
      <c r="D102" s="444"/>
      <c r="E102" s="444"/>
      <c r="F102" s="444"/>
      <c r="G102" s="444"/>
      <c r="H102" s="444"/>
      <c r="I102" s="444"/>
      <c r="J102" s="444"/>
      <c r="K102" s="444"/>
      <c r="L102" s="444"/>
      <c r="M102" s="444"/>
      <c r="N102" s="444"/>
      <c r="O102" s="444"/>
      <c r="P102" s="444"/>
      <c r="Q102" s="444"/>
      <c r="R102" s="444"/>
      <c r="S102" s="444"/>
      <c r="T102" s="444"/>
      <c r="U102" s="444"/>
      <c r="V102" s="517">
        <f>-2</f>
        <v>-2</v>
      </c>
      <c r="W102" s="446"/>
      <c r="X102" s="425"/>
    </row>
    <row r="103" spans="1:26" s="426" customFormat="1" x14ac:dyDescent="0.3">
      <c r="A103" s="443">
        <f>+A102+1</f>
        <v>3</v>
      </c>
      <c r="B103" s="548" t="s">
        <v>332</v>
      </c>
      <c r="C103" s="444"/>
      <c r="D103" s="444"/>
      <c r="E103" s="444"/>
      <c r="F103" s="444"/>
      <c r="G103" s="444"/>
      <c r="H103" s="444"/>
      <c r="I103" s="444"/>
      <c r="J103" s="444"/>
      <c r="K103" s="444"/>
      <c r="L103" s="444"/>
      <c r="M103" s="444"/>
      <c r="N103" s="444"/>
      <c r="O103" s="444"/>
      <c r="P103" s="444"/>
      <c r="Q103" s="444"/>
      <c r="R103" s="444"/>
      <c r="S103" s="444"/>
      <c r="T103" s="444"/>
      <c r="U103" s="444"/>
      <c r="V103" s="517">
        <f>-277-177-10</f>
        <v>-464</v>
      </c>
      <c r="W103" s="446"/>
      <c r="X103" s="425"/>
    </row>
    <row r="104" spans="1:26" s="426" customFormat="1" x14ac:dyDescent="0.3">
      <c r="A104" s="443" t="s">
        <v>130</v>
      </c>
      <c r="B104" s="444" t="s">
        <v>119</v>
      </c>
      <c r="C104" s="444"/>
      <c r="D104" s="444"/>
      <c r="E104" s="444"/>
      <c r="F104" s="444"/>
      <c r="G104" s="444"/>
      <c r="H104" s="444"/>
      <c r="I104" s="444"/>
      <c r="J104" s="444"/>
      <c r="K104" s="444"/>
      <c r="L104" s="444"/>
      <c r="M104" s="444"/>
      <c r="N104" s="444"/>
      <c r="O104" s="444"/>
      <c r="P104" s="444"/>
      <c r="Q104" s="444"/>
      <c r="R104" s="444"/>
      <c r="S104" s="444"/>
      <c r="T104" s="444"/>
      <c r="U104" s="444"/>
      <c r="V104" s="517">
        <v>0</v>
      </c>
      <c r="W104" s="446"/>
      <c r="X104" s="425"/>
    </row>
    <row r="105" spans="1:26" s="426" customFormat="1" x14ac:dyDescent="0.3">
      <c r="A105" s="443" t="s">
        <v>131</v>
      </c>
      <c r="B105" s="444" t="s">
        <v>362</v>
      </c>
      <c r="C105" s="444"/>
      <c r="D105" s="444"/>
      <c r="E105" s="444"/>
      <c r="F105" s="444"/>
      <c r="G105" s="444"/>
      <c r="H105" s="444"/>
      <c r="I105" s="444"/>
      <c r="J105" s="444"/>
      <c r="K105" s="444"/>
      <c r="L105" s="444"/>
      <c r="M105" s="444"/>
      <c r="N105" s="444"/>
      <c r="O105" s="444"/>
      <c r="P105" s="444"/>
      <c r="Q105" s="444"/>
      <c r="R105" s="444"/>
      <c r="S105" s="444"/>
      <c r="T105" s="444"/>
      <c r="U105" s="444"/>
      <c r="V105" s="517">
        <f>-964-151</f>
        <v>-1115</v>
      </c>
      <c r="W105" s="446"/>
      <c r="X105" s="425"/>
      <c r="Y105" s="549"/>
      <c r="Z105" s="549"/>
    </row>
    <row r="106" spans="1:26" s="426" customFormat="1" x14ac:dyDescent="0.3">
      <c r="A106" s="443" t="s">
        <v>153</v>
      </c>
      <c r="B106" s="444" t="s">
        <v>363</v>
      </c>
      <c r="C106" s="444"/>
      <c r="D106" s="444"/>
      <c r="E106" s="444"/>
      <c r="F106" s="444"/>
      <c r="G106" s="444"/>
      <c r="H106" s="444"/>
      <c r="I106" s="444"/>
      <c r="J106" s="444"/>
      <c r="K106" s="444"/>
      <c r="L106" s="444"/>
      <c r="M106" s="444"/>
      <c r="N106" s="444"/>
      <c r="O106" s="444"/>
      <c r="P106" s="444"/>
      <c r="Q106" s="444"/>
      <c r="R106" s="444"/>
      <c r="S106" s="444"/>
      <c r="T106" s="444"/>
      <c r="U106" s="444"/>
      <c r="V106" s="517">
        <f>-261-226</f>
        <v>-487</v>
      </c>
      <c r="W106" s="446"/>
      <c r="X106" s="425"/>
      <c r="Y106" s="549"/>
    </row>
    <row r="107" spans="1:26" s="426" customFormat="1" x14ac:dyDescent="0.3">
      <c r="A107" s="443" t="s">
        <v>266</v>
      </c>
      <c r="B107" s="444" t="s">
        <v>269</v>
      </c>
      <c r="C107" s="444"/>
      <c r="D107" s="444"/>
      <c r="E107" s="444"/>
      <c r="F107" s="444"/>
      <c r="G107" s="444"/>
      <c r="H107" s="444"/>
      <c r="I107" s="444"/>
      <c r="J107" s="444"/>
      <c r="K107" s="444"/>
      <c r="L107" s="444"/>
      <c r="M107" s="444"/>
      <c r="N107" s="444"/>
      <c r="O107" s="444"/>
      <c r="P107" s="444"/>
      <c r="Q107" s="444"/>
      <c r="R107" s="444"/>
      <c r="S107" s="444"/>
      <c r="T107" s="444"/>
      <c r="U107" s="444"/>
      <c r="V107" s="517">
        <v>0</v>
      </c>
      <c r="W107" s="446"/>
      <c r="X107" s="425"/>
    </row>
    <row r="108" spans="1:26" s="426" customFormat="1" x14ac:dyDescent="0.3">
      <c r="A108" s="443" t="s">
        <v>208</v>
      </c>
      <c r="B108" s="444" t="s">
        <v>188</v>
      </c>
      <c r="C108" s="444"/>
      <c r="D108" s="444"/>
      <c r="E108" s="444"/>
      <c r="F108" s="444"/>
      <c r="G108" s="444"/>
      <c r="H108" s="444"/>
      <c r="I108" s="444"/>
      <c r="J108" s="444"/>
      <c r="K108" s="444"/>
      <c r="L108" s="444"/>
      <c r="M108" s="444"/>
      <c r="N108" s="444"/>
      <c r="O108" s="444"/>
      <c r="P108" s="444"/>
      <c r="Q108" s="444"/>
      <c r="R108" s="444"/>
      <c r="S108" s="444"/>
      <c r="T108" s="444"/>
      <c r="U108" s="444"/>
      <c r="V108" s="517">
        <v>-187</v>
      </c>
      <c r="W108" s="446"/>
      <c r="X108" s="425"/>
      <c r="Y108" s="549"/>
    </row>
    <row r="109" spans="1:26" s="426" customFormat="1" x14ac:dyDescent="0.3">
      <c r="A109" s="443" t="s">
        <v>209</v>
      </c>
      <c r="B109" s="444" t="s">
        <v>189</v>
      </c>
      <c r="C109" s="444"/>
      <c r="D109" s="444"/>
      <c r="E109" s="444"/>
      <c r="F109" s="444"/>
      <c r="G109" s="444"/>
      <c r="H109" s="444"/>
      <c r="I109" s="444"/>
      <c r="J109" s="444"/>
      <c r="K109" s="444"/>
      <c r="L109" s="444"/>
      <c r="M109" s="444"/>
      <c r="N109" s="444"/>
      <c r="O109" s="444"/>
      <c r="P109" s="444"/>
      <c r="Q109" s="444"/>
      <c r="R109" s="444"/>
      <c r="S109" s="444"/>
      <c r="T109" s="444"/>
      <c r="U109" s="444"/>
      <c r="V109" s="517">
        <v>-183</v>
      </c>
      <c r="W109" s="446"/>
      <c r="X109" s="425"/>
      <c r="Y109" s="549"/>
    </row>
    <row r="110" spans="1:26" s="426" customFormat="1" x14ac:dyDescent="0.3">
      <c r="A110" s="443" t="s">
        <v>210</v>
      </c>
      <c r="B110" s="444" t="s">
        <v>199</v>
      </c>
      <c r="C110" s="444"/>
      <c r="D110" s="444"/>
      <c r="E110" s="444"/>
      <c r="F110" s="444"/>
      <c r="G110" s="444"/>
      <c r="H110" s="444"/>
      <c r="I110" s="444"/>
      <c r="J110" s="444"/>
      <c r="K110" s="444"/>
      <c r="L110" s="444"/>
      <c r="M110" s="444"/>
      <c r="N110" s="444"/>
      <c r="O110" s="444"/>
      <c r="P110" s="444"/>
      <c r="Q110" s="444"/>
      <c r="R110" s="444"/>
      <c r="S110" s="444"/>
      <c r="T110" s="444"/>
      <c r="U110" s="444"/>
      <c r="V110" s="517">
        <v>-237</v>
      </c>
      <c r="W110" s="446"/>
      <c r="X110" s="425"/>
      <c r="Y110" s="549"/>
    </row>
    <row r="111" spans="1:26" s="426" customFormat="1" x14ac:dyDescent="0.3">
      <c r="A111" s="443" t="s">
        <v>230</v>
      </c>
      <c r="B111" s="444" t="s">
        <v>229</v>
      </c>
      <c r="C111" s="444"/>
      <c r="D111" s="444"/>
      <c r="E111" s="444"/>
      <c r="F111" s="444"/>
      <c r="G111" s="444"/>
      <c r="H111" s="444"/>
      <c r="I111" s="444"/>
      <c r="J111" s="444"/>
      <c r="K111" s="444"/>
      <c r="L111" s="444"/>
      <c r="M111" s="444"/>
      <c r="N111" s="444"/>
      <c r="O111" s="444"/>
      <c r="P111" s="444"/>
      <c r="Q111" s="444"/>
      <c r="R111" s="444"/>
      <c r="S111" s="444"/>
      <c r="T111" s="444"/>
      <c r="U111" s="444"/>
      <c r="V111" s="517">
        <v>-55</v>
      </c>
      <c r="W111" s="446"/>
      <c r="X111" s="425"/>
      <c r="Y111" s="549"/>
    </row>
    <row r="112" spans="1:26" s="426" customFormat="1" x14ac:dyDescent="0.3">
      <c r="A112" s="550">
        <v>7</v>
      </c>
      <c r="B112" s="548" t="s">
        <v>333</v>
      </c>
      <c r="C112" s="548"/>
      <c r="D112" s="548"/>
      <c r="E112" s="548"/>
      <c r="F112" s="548"/>
      <c r="G112" s="444"/>
      <c r="H112" s="444"/>
      <c r="I112" s="444"/>
      <c r="J112" s="444"/>
      <c r="K112" s="444"/>
      <c r="L112" s="444"/>
      <c r="M112" s="444"/>
      <c r="N112" s="444"/>
      <c r="O112" s="444"/>
      <c r="P112" s="444"/>
      <c r="Q112" s="444"/>
      <c r="R112" s="444"/>
      <c r="S112" s="444"/>
      <c r="T112" s="444"/>
      <c r="U112" s="444"/>
      <c r="V112" s="517">
        <v>0</v>
      </c>
      <c r="W112" s="446"/>
      <c r="X112" s="425"/>
      <c r="Y112" s="549"/>
    </row>
    <row r="113" spans="1:24" s="426" customFormat="1" x14ac:dyDescent="0.3">
      <c r="A113" s="443">
        <f t="shared" ref="A113:A120" si="0">+A112+1</f>
        <v>8</v>
      </c>
      <c r="B113" s="444" t="s">
        <v>35</v>
      </c>
      <c r="C113" s="444"/>
      <c r="D113" s="444"/>
      <c r="E113" s="444"/>
      <c r="F113" s="444"/>
      <c r="G113" s="444"/>
      <c r="H113" s="444"/>
      <c r="I113" s="444"/>
      <c r="J113" s="444"/>
      <c r="K113" s="444"/>
      <c r="L113" s="444"/>
      <c r="M113" s="444"/>
      <c r="N113" s="444"/>
      <c r="O113" s="444"/>
      <c r="P113" s="444"/>
      <c r="Q113" s="444"/>
      <c r="R113" s="444"/>
      <c r="S113" s="444"/>
      <c r="T113" s="444"/>
      <c r="U113" s="444"/>
      <c r="V113" s="517">
        <v>-10</v>
      </c>
      <c r="W113" s="446"/>
      <c r="X113" s="425"/>
    </row>
    <row r="114" spans="1:24" s="426" customFormat="1" x14ac:dyDescent="0.3">
      <c r="A114" s="443">
        <f t="shared" si="0"/>
        <v>9</v>
      </c>
      <c r="B114" s="444" t="s">
        <v>45</v>
      </c>
      <c r="C114" s="444"/>
      <c r="D114" s="444"/>
      <c r="E114" s="444"/>
      <c r="F114" s="444"/>
      <c r="G114" s="444"/>
      <c r="H114" s="444"/>
      <c r="I114" s="444"/>
      <c r="J114" s="444"/>
      <c r="K114" s="444"/>
      <c r="L114" s="444"/>
      <c r="M114" s="444"/>
      <c r="N114" s="444"/>
      <c r="O114" s="444"/>
      <c r="P114" s="444"/>
      <c r="Q114" s="444"/>
      <c r="R114" s="444"/>
      <c r="S114" s="444"/>
      <c r="T114" s="516">
        <f>-V114</f>
        <v>185</v>
      </c>
      <c r="U114" s="444"/>
      <c r="V114" s="517">
        <v>-185</v>
      </c>
      <c r="W114" s="446"/>
      <c r="X114" s="425"/>
    </row>
    <row r="115" spans="1:24" s="426" customFormat="1" x14ac:dyDescent="0.3">
      <c r="A115" s="443">
        <f t="shared" si="0"/>
        <v>10</v>
      </c>
      <c r="B115" s="444" t="s">
        <v>128</v>
      </c>
      <c r="C115" s="444"/>
      <c r="D115" s="444"/>
      <c r="E115" s="444"/>
      <c r="F115" s="444"/>
      <c r="G115" s="444"/>
      <c r="H115" s="444"/>
      <c r="I115" s="444"/>
      <c r="J115" s="444"/>
      <c r="K115" s="444"/>
      <c r="L115" s="444"/>
      <c r="M115" s="444"/>
      <c r="N115" s="444"/>
      <c r="O115" s="444"/>
      <c r="P115" s="444"/>
      <c r="Q115" s="444"/>
      <c r="R115" s="444"/>
      <c r="S115" s="444"/>
      <c r="T115" s="444"/>
      <c r="U115" s="444"/>
      <c r="V115" s="517">
        <v>0</v>
      </c>
      <c r="W115" s="446"/>
      <c r="X115" s="425"/>
    </row>
    <row r="116" spans="1:24" s="426" customFormat="1" x14ac:dyDescent="0.3">
      <c r="A116" s="443">
        <f t="shared" si="0"/>
        <v>11</v>
      </c>
      <c r="B116" s="444" t="s">
        <v>271</v>
      </c>
      <c r="C116" s="444"/>
      <c r="D116" s="444"/>
      <c r="E116" s="444"/>
      <c r="F116" s="444"/>
      <c r="G116" s="444"/>
      <c r="H116" s="444"/>
      <c r="I116" s="444"/>
      <c r="J116" s="444"/>
      <c r="K116" s="444"/>
      <c r="L116" s="444"/>
      <c r="M116" s="444"/>
      <c r="N116" s="444"/>
      <c r="O116" s="444"/>
      <c r="P116" s="444"/>
      <c r="Q116" s="444"/>
      <c r="R116" s="444"/>
      <c r="S116" s="444"/>
      <c r="T116" s="444"/>
      <c r="U116" s="444"/>
      <c r="V116" s="517">
        <v>0</v>
      </c>
      <c r="W116" s="446"/>
      <c r="X116" s="425"/>
    </row>
    <row r="117" spans="1:24" s="426" customFormat="1" x14ac:dyDescent="0.3">
      <c r="A117" s="443">
        <f t="shared" si="0"/>
        <v>12</v>
      </c>
      <c r="B117" s="444" t="s">
        <v>36</v>
      </c>
      <c r="C117" s="444"/>
      <c r="D117" s="444"/>
      <c r="E117" s="444"/>
      <c r="F117" s="444"/>
      <c r="G117" s="444"/>
      <c r="H117" s="444"/>
      <c r="I117" s="444"/>
      <c r="J117" s="444"/>
      <c r="K117" s="444"/>
      <c r="L117" s="444"/>
      <c r="M117" s="444"/>
      <c r="N117" s="444"/>
      <c r="O117" s="444"/>
      <c r="P117" s="444"/>
      <c r="Q117" s="444"/>
      <c r="R117" s="444"/>
      <c r="S117" s="444"/>
      <c r="T117" s="444"/>
      <c r="U117" s="444"/>
      <c r="V117" s="517">
        <v>0</v>
      </c>
      <c r="W117" s="446"/>
      <c r="X117" s="425"/>
    </row>
    <row r="118" spans="1:24" s="426" customFormat="1" x14ac:dyDescent="0.3">
      <c r="A118" s="443">
        <f t="shared" si="0"/>
        <v>13</v>
      </c>
      <c r="B118" s="444" t="s">
        <v>270</v>
      </c>
      <c r="C118" s="444"/>
      <c r="D118" s="444"/>
      <c r="E118" s="444"/>
      <c r="F118" s="444"/>
      <c r="G118" s="444"/>
      <c r="H118" s="444"/>
      <c r="I118" s="444"/>
      <c r="J118" s="444"/>
      <c r="K118" s="444"/>
      <c r="L118" s="444"/>
      <c r="M118" s="444"/>
      <c r="N118" s="444"/>
      <c r="O118" s="444"/>
      <c r="P118" s="444"/>
      <c r="Q118" s="444"/>
      <c r="R118" s="444"/>
      <c r="S118" s="444"/>
      <c r="T118" s="444"/>
      <c r="U118" s="444"/>
      <c r="V118" s="517">
        <v>0</v>
      </c>
      <c r="W118" s="446"/>
      <c r="X118" s="425"/>
    </row>
    <row r="119" spans="1:24" s="426" customFormat="1" x14ac:dyDescent="0.3">
      <c r="A119" s="443">
        <f t="shared" si="0"/>
        <v>14</v>
      </c>
      <c r="B119" s="444" t="s">
        <v>152</v>
      </c>
      <c r="C119" s="444"/>
      <c r="D119" s="444"/>
      <c r="E119" s="444"/>
      <c r="F119" s="444"/>
      <c r="G119" s="444"/>
      <c r="H119" s="444"/>
      <c r="I119" s="444"/>
      <c r="J119" s="444"/>
      <c r="K119" s="444"/>
      <c r="L119" s="444"/>
      <c r="M119" s="444"/>
      <c r="N119" s="444"/>
      <c r="O119" s="444"/>
      <c r="P119" s="444"/>
      <c r="Q119" s="444"/>
      <c r="R119" s="444"/>
      <c r="S119" s="444"/>
      <c r="T119" s="444"/>
      <c r="U119" s="444"/>
      <c r="V119" s="517">
        <v>-276</v>
      </c>
      <c r="W119" s="446"/>
      <c r="X119" s="425"/>
    </row>
    <row r="120" spans="1:24" s="426" customFormat="1" x14ac:dyDescent="0.3">
      <c r="A120" s="443">
        <f t="shared" si="0"/>
        <v>15</v>
      </c>
      <c r="B120" s="444" t="s">
        <v>129</v>
      </c>
      <c r="C120" s="444"/>
      <c r="D120" s="444"/>
      <c r="E120" s="444"/>
      <c r="F120" s="444"/>
      <c r="G120" s="444"/>
      <c r="H120" s="444"/>
      <c r="I120" s="444"/>
      <c r="J120" s="444"/>
      <c r="K120" s="444"/>
      <c r="L120" s="444"/>
      <c r="M120" s="444"/>
      <c r="N120" s="444"/>
      <c r="O120" s="444"/>
      <c r="P120" s="444"/>
      <c r="Q120" s="444"/>
      <c r="R120" s="444"/>
      <c r="S120" s="444"/>
      <c r="T120" s="444"/>
      <c r="U120" s="444"/>
      <c r="V120" s="517">
        <f>-V99-SUM(V101:V119)</f>
        <v>-2215</v>
      </c>
      <c r="W120" s="446"/>
      <c r="X120" s="425"/>
    </row>
    <row r="121" spans="1:24" x14ac:dyDescent="0.3">
      <c r="A121" s="543"/>
      <c r="B121" s="544" t="s">
        <v>37</v>
      </c>
      <c r="C121" s="465"/>
      <c r="D121" s="465"/>
      <c r="E121" s="465"/>
      <c r="F121" s="465"/>
      <c r="G121" s="465"/>
      <c r="H121" s="465"/>
      <c r="I121" s="465"/>
      <c r="J121" s="465"/>
      <c r="K121" s="465"/>
      <c r="L121" s="465"/>
      <c r="M121" s="465"/>
      <c r="N121" s="465"/>
      <c r="O121" s="465"/>
      <c r="P121" s="465"/>
      <c r="Q121" s="465"/>
      <c r="R121" s="465"/>
      <c r="S121" s="465"/>
      <c r="T121" s="465"/>
      <c r="U121" s="465"/>
      <c r="V121" s="551"/>
      <c r="W121" s="547"/>
      <c r="X121" s="406"/>
    </row>
    <row r="122" spans="1:24" s="426" customFormat="1" x14ac:dyDescent="0.3">
      <c r="A122" s="443"/>
      <c r="B122" s="444" t="s">
        <v>176</v>
      </c>
      <c r="C122" s="444"/>
      <c r="D122" s="444"/>
      <c r="E122" s="444"/>
      <c r="F122" s="444"/>
      <c r="G122" s="444"/>
      <c r="H122" s="444"/>
      <c r="I122" s="444"/>
      <c r="J122" s="444"/>
      <c r="K122" s="444"/>
      <c r="L122" s="444"/>
      <c r="M122" s="444"/>
      <c r="N122" s="444"/>
      <c r="O122" s="444"/>
      <c r="P122" s="444"/>
      <c r="Q122" s="444"/>
      <c r="R122" s="444"/>
      <c r="S122" s="444"/>
      <c r="T122" s="516">
        <f>-T182</f>
        <v>0</v>
      </c>
      <c r="U122" s="516"/>
      <c r="V122" s="517"/>
      <c r="W122" s="446"/>
      <c r="X122" s="425"/>
    </row>
    <row r="123" spans="1:24" s="426" customFormat="1" x14ac:dyDescent="0.3">
      <c r="A123" s="443"/>
      <c r="B123" s="444" t="s">
        <v>177</v>
      </c>
      <c r="C123" s="444"/>
      <c r="D123" s="444"/>
      <c r="E123" s="444"/>
      <c r="F123" s="444"/>
      <c r="G123" s="444"/>
      <c r="H123" s="444"/>
      <c r="I123" s="444"/>
      <c r="J123" s="444"/>
      <c r="K123" s="444"/>
      <c r="L123" s="444"/>
      <c r="M123" s="444"/>
      <c r="N123" s="444"/>
      <c r="O123" s="444"/>
      <c r="P123" s="444"/>
      <c r="Q123" s="444"/>
      <c r="R123" s="444"/>
      <c r="S123" s="444"/>
      <c r="T123" s="516">
        <v>0</v>
      </c>
      <c r="U123" s="516"/>
      <c r="V123" s="517"/>
      <c r="W123" s="446"/>
      <c r="X123" s="425"/>
    </row>
    <row r="124" spans="1:24" s="426" customFormat="1" x14ac:dyDescent="0.3">
      <c r="A124" s="443"/>
      <c r="B124" s="444" t="s">
        <v>38</v>
      </c>
      <c r="C124" s="444"/>
      <c r="D124" s="444"/>
      <c r="E124" s="444"/>
      <c r="F124" s="444"/>
      <c r="G124" s="444"/>
      <c r="H124" s="444"/>
      <c r="I124" s="444"/>
      <c r="J124" s="444"/>
      <c r="K124" s="444"/>
      <c r="L124" s="444"/>
      <c r="M124" s="444"/>
      <c r="N124" s="444"/>
      <c r="O124" s="444"/>
      <c r="P124" s="444"/>
      <c r="Q124" s="444"/>
      <c r="R124" s="444"/>
      <c r="S124" s="444"/>
      <c r="T124" s="516">
        <f>-S182</f>
        <v>0</v>
      </c>
      <c r="U124" s="516"/>
      <c r="V124" s="517"/>
      <c r="W124" s="446"/>
      <c r="X124" s="425"/>
    </row>
    <row r="125" spans="1:24" s="426" customFormat="1" x14ac:dyDescent="0.3">
      <c r="A125" s="443"/>
      <c r="B125" s="444" t="s">
        <v>386</v>
      </c>
      <c r="C125" s="444"/>
      <c r="D125" s="444"/>
      <c r="E125" s="444"/>
      <c r="F125" s="444"/>
      <c r="G125" s="444"/>
      <c r="H125" s="444"/>
      <c r="I125" s="444"/>
      <c r="J125" s="444"/>
      <c r="K125" s="444"/>
      <c r="L125" s="444"/>
      <c r="M125" s="444"/>
      <c r="N125" s="444"/>
      <c r="O125" s="444"/>
      <c r="P125" s="444"/>
      <c r="Q125" s="444"/>
      <c r="R125" s="444"/>
      <c r="S125" s="444"/>
      <c r="T125" s="516">
        <v>-2591</v>
      </c>
      <c r="U125" s="516"/>
      <c r="V125" s="517"/>
      <c r="W125" s="446"/>
      <c r="X125" s="425"/>
    </row>
    <row r="126" spans="1:24" s="426" customFormat="1" x14ac:dyDescent="0.3">
      <c r="A126" s="443"/>
      <c r="B126" s="444" t="s">
        <v>198</v>
      </c>
      <c r="C126" s="444"/>
      <c r="D126" s="444"/>
      <c r="E126" s="444"/>
      <c r="F126" s="444"/>
      <c r="G126" s="444"/>
      <c r="H126" s="444"/>
      <c r="I126" s="444"/>
      <c r="J126" s="444"/>
      <c r="K126" s="444"/>
      <c r="L126" s="444"/>
      <c r="M126" s="444"/>
      <c r="N126" s="444"/>
      <c r="O126" s="444"/>
      <c r="P126" s="444"/>
      <c r="Q126" s="444"/>
      <c r="R126" s="444"/>
      <c r="S126" s="444"/>
      <c r="T126" s="516">
        <v>-406</v>
      </c>
      <c r="U126" s="516"/>
      <c r="V126" s="517"/>
      <c r="W126" s="446"/>
      <c r="X126" s="425"/>
    </row>
    <row r="127" spans="1:24" s="426" customFormat="1" x14ac:dyDescent="0.3">
      <c r="A127" s="443"/>
      <c r="B127" s="444" t="s">
        <v>197</v>
      </c>
      <c r="C127" s="444"/>
      <c r="D127" s="444"/>
      <c r="E127" s="444"/>
      <c r="F127" s="444"/>
      <c r="G127" s="444"/>
      <c r="H127" s="444"/>
      <c r="I127" s="444"/>
      <c r="J127" s="444"/>
      <c r="K127" s="444"/>
      <c r="L127" s="444"/>
      <c r="M127" s="444"/>
      <c r="N127" s="444"/>
      <c r="O127" s="444"/>
      <c r="P127" s="444"/>
      <c r="Q127" s="444"/>
      <c r="R127" s="444"/>
      <c r="S127" s="444"/>
      <c r="T127" s="516">
        <v>-686</v>
      </c>
      <c r="U127" s="516"/>
      <c r="V127" s="517"/>
      <c r="W127" s="446"/>
      <c r="X127" s="425"/>
    </row>
    <row r="128" spans="1:24" s="426" customFormat="1" x14ac:dyDescent="0.3">
      <c r="A128" s="443"/>
      <c r="B128" s="444" t="s">
        <v>232</v>
      </c>
      <c r="C128" s="444"/>
      <c r="D128" s="444"/>
      <c r="E128" s="444"/>
      <c r="F128" s="444"/>
      <c r="G128" s="444"/>
      <c r="H128" s="444"/>
      <c r="I128" s="444"/>
      <c r="J128" s="444"/>
      <c r="K128" s="444"/>
      <c r="L128" s="444"/>
      <c r="M128" s="444"/>
      <c r="N128" s="444"/>
      <c r="O128" s="444"/>
      <c r="P128" s="444"/>
      <c r="Q128" s="444"/>
      <c r="R128" s="444"/>
      <c r="S128" s="444"/>
      <c r="T128" s="516">
        <v>-605</v>
      </c>
      <c r="U128" s="516"/>
      <c r="V128" s="517"/>
      <c r="W128" s="446"/>
      <c r="X128" s="425"/>
    </row>
    <row r="129" spans="1:24" s="426" customFormat="1" x14ac:dyDescent="0.3">
      <c r="A129" s="443"/>
      <c r="B129" s="444" t="s">
        <v>192</v>
      </c>
      <c r="C129" s="444"/>
      <c r="D129" s="444"/>
      <c r="E129" s="444"/>
      <c r="F129" s="444"/>
      <c r="G129" s="444"/>
      <c r="H129" s="444"/>
      <c r="I129" s="444"/>
      <c r="J129" s="444"/>
      <c r="K129" s="444"/>
      <c r="L129" s="444"/>
      <c r="M129" s="444"/>
      <c r="N129" s="444"/>
      <c r="O129" s="444"/>
      <c r="P129" s="444"/>
      <c r="Q129" s="444"/>
      <c r="R129" s="444"/>
      <c r="S129" s="444"/>
      <c r="T129" s="516">
        <v>-1916</v>
      </c>
      <c r="U129" s="516"/>
      <c r="V129" s="517"/>
      <c r="W129" s="446"/>
      <c r="X129" s="425"/>
    </row>
    <row r="130" spans="1:24" s="426" customFormat="1" x14ac:dyDescent="0.3">
      <c r="A130" s="443"/>
      <c r="B130" s="444" t="s">
        <v>191</v>
      </c>
      <c r="C130" s="444"/>
      <c r="D130" s="444"/>
      <c r="E130" s="444"/>
      <c r="F130" s="444"/>
      <c r="G130" s="444"/>
      <c r="H130" s="444"/>
      <c r="I130" s="444"/>
      <c r="J130" s="444"/>
      <c r="K130" s="444"/>
      <c r="L130" s="444"/>
      <c r="M130" s="444"/>
      <c r="N130" s="444"/>
      <c r="O130" s="444"/>
      <c r="P130" s="444"/>
      <c r="Q130" s="444"/>
      <c r="R130" s="444"/>
      <c r="S130" s="444"/>
      <c r="T130" s="516">
        <v>-1929</v>
      </c>
      <c r="U130" s="516"/>
      <c r="V130" s="517"/>
      <c r="W130" s="446"/>
      <c r="X130" s="425"/>
    </row>
    <row r="131" spans="1:24" s="426" customFormat="1" x14ac:dyDescent="0.3">
      <c r="A131" s="443"/>
      <c r="B131" s="444" t="s">
        <v>233</v>
      </c>
      <c r="C131" s="444"/>
      <c r="D131" s="444"/>
      <c r="E131" s="444"/>
      <c r="F131" s="444"/>
      <c r="G131" s="444"/>
      <c r="H131" s="444"/>
      <c r="I131" s="444"/>
      <c r="J131" s="444"/>
      <c r="K131" s="444"/>
      <c r="L131" s="444"/>
      <c r="M131" s="444"/>
      <c r="N131" s="444"/>
      <c r="O131" s="444"/>
      <c r="P131" s="444"/>
      <c r="Q131" s="444"/>
      <c r="R131" s="444"/>
      <c r="S131" s="444"/>
      <c r="T131" s="516">
        <v>-445</v>
      </c>
      <c r="U131" s="516"/>
      <c r="V131" s="517"/>
      <c r="W131" s="446"/>
      <c r="X131" s="425"/>
    </row>
    <row r="132" spans="1:24" s="426" customFormat="1" x14ac:dyDescent="0.3">
      <c r="A132" s="443"/>
      <c r="B132" s="444" t="s">
        <v>190</v>
      </c>
      <c r="C132" s="444"/>
      <c r="D132" s="444"/>
      <c r="E132" s="444"/>
      <c r="F132" s="444"/>
      <c r="G132" s="444"/>
      <c r="H132" s="444"/>
      <c r="I132" s="444"/>
      <c r="J132" s="444"/>
      <c r="K132" s="444"/>
      <c r="L132" s="444"/>
      <c r="M132" s="444"/>
      <c r="N132" s="444"/>
      <c r="O132" s="444"/>
      <c r="P132" s="444"/>
      <c r="Q132" s="444"/>
      <c r="R132" s="444"/>
      <c r="S132" s="444"/>
      <c r="T132" s="516">
        <v>-1860</v>
      </c>
      <c r="U132" s="516"/>
      <c r="V132" s="517"/>
      <c r="W132" s="446"/>
      <c r="X132" s="425"/>
    </row>
    <row r="133" spans="1:24" s="426" customFormat="1" x14ac:dyDescent="0.3">
      <c r="A133" s="443"/>
      <c r="B133" s="444" t="s">
        <v>39</v>
      </c>
      <c r="C133" s="444"/>
      <c r="D133" s="444"/>
      <c r="E133" s="444"/>
      <c r="F133" s="444"/>
      <c r="G133" s="444"/>
      <c r="H133" s="444"/>
      <c r="I133" s="444"/>
      <c r="J133" s="444"/>
      <c r="K133" s="444"/>
      <c r="L133" s="444"/>
      <c r="M133" s="444"/>
      <c r="N133" s="444"/>
      <c r="O133" s="444"/>
      <c r="P133" s="444"/>
      <c r="Q133" s="444"/>
      <c r="R133" s="444"/>
      <c r="S133" s="444"/>
      <c r="T133" s="516">
        <f>SUM(T122:T132)</f>
        <v>-10438</v>
      </c>
      <c r="U133" s="516"/>
      <c r="V133" s="516">
        <f>SUM(V100:V130)</f>
        <v>-5416</v>
      </c>
      <c r="W133" s="446"/>
      <c r="X133" s="425"/>
    </row>
    <row r="134" spans="1:24" s="426" customFormat="1" x14ac:dyDescent="0.3">
      <c r="A134" s="443"/>
      <c r="B134" s="444" t="s">
        <v>40</v>
      </c>
      <c r="C134" s="444"/>
      <c r="D134" s="444"/>
      <c r="E134" s="444"/>
      <c r="F134" s="444"/>
      <c r="G134" s="444"/>
      <c r="H134" s="444"/>
      <c r="I134" s="444"/>
      <c r="J134" s="444"/>
      <c r="K134" s="444"/>
      <c r="L134" s="444"/>
      <c r="M134" s="444"/>
      <c r="N134" s="444"/>
      <c r="O134" s="444"/>
      <c r="P134" s="444"/>
      <c r="Q134" s="444"/>
      <c r="R134" s="444"/>
      <c r="S134" s="444"/>
      <c r="T134" s="516">
        <f>T99+T133+T114</f>
        <v>0</v>
      </c>
      <c r="U134" s="516"/>
      <c r="V134" s="516">
        <f>V99+V133</f>
        <v>0</v>
      </c>
      <c r="W134" s="446"/>
      <c r="X134" s="425"/>
    </row>
    <row r="135" spans="1:24" s="426" customFormat="1" x14ac:dyDescent="0.3">
      <c r="A135" s="421"/>
      <c r="B135" s="494"/>
      <c r="C135" s="494"/>
      <c r="D135" s="494"/>
      <c r="E135" s="494"/>
      <c r="F135" s="494"/>
      <c r="G135" s="494"/>
      <c r="H135" s="494"/>
      <c r="I135" s="494"/>
      <c r="J135" s="494"/>
      <c r="K135" s="494"/>
      <c r="L135" s="494"/>
      <c r="M135" s="494"/>
      <c r="N135" s="494"/>
      <c r="O135" s="494"/>
      <c r="P135" s="494"/>
      <c r="Q135" s="494"/>
      <c r="R135" s="494"/>
      <c r="S135" s="494"/>
      <c r="T135" s="552"/>
      <c r="U135" s="552"/>
      <c r="V135" s="552"/>
      <c r="W135" s="424"/>
      <c r="X135" s="425"/>
    </row>
    <row r="136" spans="1:24" s="426" customFormat="1" x14ac:dyDescent="0.3">
      <c r="A136" s="421"/>
      <c r="B136" s="422"/>
      <c r="C136" s="422"/>
      <c r="D136" s="422"/>
      <c r="E136" s="422"/>
      <c r="F136" s="422"/>
      <c r="G136" s="422"/>
      <c r="H136" s="422"/>
      <c r="I136" s="422"/>
      <c r="J136" s="422"/>
      <c r="K136" s="422"/>
      <c r="L136" s="422"/>
      <c r="M136" s="422"/>
      <c r="N136" s="422"/>
      <c r="O136" s="422"/>
      <c r="P136" s="422"/>
      <c r="Q136" s="422"/>
      <c r="R136" s="422"/>
      <c r="S136" s="422"/>
      <c r="T136" s="422"/>
      <c r="U136" s="422"/>
      <c r="V136" s="553"/>
      <c r="W136" s="424"/>
      <c r="X136" s="425"/>
    </row>
    <row r="137" spans="1:24" s="426" customFormat="1" ht="18.600000000000001" thickBot="1" x14ac:dyDescent="0.4">
      <c r="A137" s="500"/>
      <c r="B137" s="501" t="str">
        <f>B63</f>
        <v>PM13 INVESTOR REPORT QUARTER ENDING MARCH 2019</v>
      </c>
      <c r="C137" s="502"/>
      <c r="D137" s="502"/>
      <c r="E137" s="502"/>
      <c r="F137" s="502"/>
      <c r="G137" s="502"/>
      <c r="H137" s="502"/>
      <c r="I137" s="502"/>
      <c r="J137" s="502"/>
      <c r="K137" s="502"/>
      <c r="L137" s="502"/>
      <c r="M137" s="502"/>
      <c r="N137" s="502"/>
      <c r="O137" s="502"/>
      <c r="P137" s="502"/>
      <c r="Q137" s="502"/>
      <c r="R137" s="502"/>
      <c r="S137" s="502"/>
      <c r="T137" s="502"/>
      <c r="U137" s="502"/>
      <c r="V137" s="554"/>
      <c r="W137" s="555"/>
      <c r="X137" s="425"/>
    </row>
    <row r="138" spans="1:24" x14ac:dyDescent="0.3">
      <c r="A138" s="505"/>
      <c r="B138" s="506" t="s">
        <v>41</v>
      </c>
      <c r="C138" s="507"/>
      <c r="D138" s="507"/>
      <c r="E138" s="507"/>
      <c r="F138" s="507"/>
      <c r="G138" s="507"/>
      <c r="H138" s="507"/>
      <c r="I138" s="507"/>
      <c r="J138" s="507"/>
      <c r="K138" s="507"/>
      <c r="L138" s="507"/>
      <c r="M138" s="507"/>
      <c r="N138" s="507"/>
      <c r="O138" s="507"/>
      <c r="P138" s="507"/>
      <c r="Q138" s="507"/>
      <c r="R138" s="507"/>
      <c r="S138" s="507"/>
      <c r="T138" s="507"/>
      <c r="U138" s="507"/>
      <c r="V138" s="508"/>
      <c r="W138" s="509"/>
      <c r="X138" s="406"/>
    </row>
    <row r="139" spans="1:24" x14ac:dyDescent="0.3">
      <c r="A139" s="408"/>
      <c r="B139" s="556"/>
      <c r="C139" s="410"/>
      <c r="D139" s="410"/>
      <c r="E139" s="410"/>
      <c r="F139" s="410"/>
      <c r="G139" s="410"/>
      <c r="H139" s="410"/>
      <c r="I139" s="410"/>
      <c r="J139" s="410"/>
      <c r="K139" s="410"/>
      <c r="L139" s="410"/>
      <c r="M139" s="410"/>
      <c r="N139" s="410"/>
      <c r="O139" s="410"/>
      <c r="P139" s="410"/>
      <c r="Q139" s="410"/>
      <c r="R139" s="410"/>
      <c r="S139" s="410"/>
      <c r="T139" s="410"/>
      <c r="U139" s="410"/>
      <c r="V139" s="510"/>
      <c r="W139" s="411"/>
      <c r="X139" s="406"/>
    </row>
    <row r="140" spans="1:24" x14ac:dyDescent="0.3">
      <c r="A140" s="408"/>
      <c r="B140" s="557" t="s">
        <v>42</v>
      </c>
      <c r="C140" s="410"/>
      <c r="D140" s="410"/>
      <c r="E140" s="410"/>
      <c r="F140" s="410"/>
      <c r="G140" s="410"/>
      <c r="H140" s="410"/>
      <c r="I140" s="410"/>
      <c r="J140" s="410"/>
      <c r="K140" s="410"/>
      <c r="L140" s="410"/>
      <c r="M140" s="410"/>
      <c r="N140" s="410"/>
      <c r="O140" s="410"/>
      <c r="P140" s="410"/>
      <c r="Q140" s="410"/>
      <c r="R140" s="410"/>
      <c r="S140" s="410"/>
      <c r="T140" s="410"/>
      <c r="U140" s="410"/>
      <c r="V140" s="510"/>
      <c r="W140" s="411"/>
      <c r="X140" s="406"/>
    </row>
    <row r="141" spans="1:24" x14ac:dyDescent="0.3">
      <c r="A141" s="543"/>
      <c r="B141" s="444" t="s">
        <v>43</v>
      </c>
      <c r="C141" s="444"/>
      <c r="D141" s="444"/>
      <c r="E141" s="444"/>
      <c r="F141" s="444"/>
      <c r="G141" s="444"/>
      <c r="H141" s="444"/>
      <c r="I141" s="444"/>
      <c r="J141" s="444"/>
      <c r="K141" s="444"/>
      <c r="L141" s="444"/>
      <c r="M141" s="444"/>
      <c r="N141" s="444"/>
      <c r="O141" s="444"/>
      <c r="P141" s="444"/>
      <c r="Q141" s="444"/>
      <c r="R141" s="444"/>
      <c r="S141" s="444"/>
      <c r="T141" s="444"/>
      <c r="U141" s="444"/>
      <c r="V141" s="517">
        <f>+V34*0.019</f>
        <v>28503.61</v>
      </c>
      <c r="W141" s="558"/>
      <c r="X141" s="406"/>
    </row>
    <row r="142" spans="1:24" x14ac:dyDescent="0.3">
      <c r="A142" s="543"/>
      <c r="B142" s="444" t="s">
        <v>44</v>
      </c>
      <c r="C142" s="444"/>
      <c r="D142" s="444"/>
      <c r="E142" s="444"/>
      <c r="F142" s="444"/>
      <c r="G142" s="444"/>
      <c r="H142" s="444"/>
      <c r="I142" s="444"/>
      <c r="J142" s="444"/>
      <c r="K142" s="444"/>
      <c r="L142" s="444"/>
      <c r="M142" s="444"/>
      <c r="N142" s="444"/>
      <c r="O142" s="444"/>
      <c r="P142" s="444"/>
      <c r="Q142" s="444"/>
      <c r="R142" s="444"/>
      <c r="S142" s="444"/>
      <c r="T142" s="444"/>
      <c r="U142" s="444"/>
      <c r="V142" s="517">
        <v>28504</v>
      </c>
      <c r="W142" s="558"/>
      <c r="X142" s="406"/>
    </row>
    <row r="143" spans="1:24" x14ac:dyDescent="0.3">
      <c r="A143" s="543"/>
      <c r="B143" s="444" t="s">
        <v>139</v>
      </c>
      <c r="C143" s="444"/>
      <c r="D143" s="444"/>
      <c r="E143" s="444"/>
      <c r="F143" s="444"/>
      <c r="G143" s="444"/>
      <c r="H143" s="444"/>
      <c r="I143" s="444"/>
      <c r="J143" s="444"/>
      <c r="K143" s="444"/>
      <c r="L143" s="444"/>
      <c r="M143" s="444"/>
      <c r="N143" s="444"/>
      <c r="O143" s="444"/>
      <c r="P143" s="444"/>
      <c r="Q143" s="444"/>
      <c r="R143" s="444"/>
      <c r="S143" s="444"/>
      <c r="T143" s="444"/>
      <c r="U143" s="444"/>
      <c r="V143" s="517"/>
      <c r="W143" s="558"/>
      <c r="X143" s="406"/>
    </row>
    <row r="144" spans="1:24" x14ac:dyDescent="0.3">
      <c r="A144" s="543"/>
      <c r="B144" s="444" t="s">
        <v>126</v>
      </c>
      <c r="C144" s="444"/>
      <c r="D144" s="444"/>
      <c r="E144" s="444"/>
      <c r="F144" s="444"/>
      <c r="G144" s="444"/>
      <c r="H144" s="444"/>
      <c r="I144" s="444"/>
      <c r="J144" s="444"/>
      <c r="K144" s="444"/>
      <c r="L144" s="444"/>
      <c r="M144" s="444"/>
      <c r="N144" s="444"/>
      <c r="O144" s="444"/>
      <c r="P144" s="444"/>
      <c r="Q144" s="444"/>
      <c r="R144" s="444"/>
      <c r="S144" s="444"/>
      <c r="T144" s="444"/>
      <c r="U144" s="444"/>
      <c r="V144" s="517">
        <v>0</v>
      </c>
      <c r="W144" s="558"/>
      <c r="X144" s="406"/>
    </row>
    <row r="145" spans="1:25" x14ac:dyDescent="0.3">
      <c r="A145" s="543"/>
      <c r="B145" s="444" t="s">
        <v>127</v>
      </c>
      <c r="C145" s="444"/>
      <c r="D145" s="444"/>
      <c r="E145" s="444"/>
      <c r="F145" s="444"/>
      <c r="G145" s="444"/>
      <c r="H145" s="444"/>
      <c r="I145" s="444"/>
      <c r="J145" s="444"/>
      <c r="K145" s="444"/>
      <c r="L145" s="444"/>
      <c r="M145" s="444"/>
      <c r="N145" s="444"/>
      <c r="O145" s="444"/>
      <c r="P145" s="444"/>
      <c r="Q145" s="444"/>
      <c r="R145" s="444"/>
      <c r="S145" s="444"/>
      <c r="T145" s="444"/>
      <c r="U145" s="444"/>
      <c r="V145" s="517">
        <v>0</v>
      </c>
      <c r="W145" s="558"/>
      <c r="X145" s="406"/>
    </row>
    <row r="146" spans="1:25" x14ac:dyDescent="0.3">
      <c r="A146" s="543"/>
      <c r="B146" s="444" t="s">
        <v>178</v>
      </c>
      <c r="C146" s="444"/>
      <c r="D146" s="444"/>
      <c r="E146" s="444"/>
      <c r="F146" s="444"/>
      <c r="G146" s="444"/>
      <c r="H146" s="444"/>
      <c r="I146" s="444"/>
      <c r="J146" s="444"/>
      <c r="K146" s="444"/>
      <c r="L146" s="444"/>
      <c r="M146" s="444"/>
      <c r="N146" s="444"/>
      <c r="O146" s="444"/>
      <c r="P146" s="444"/>
      <c r="Q146" s="444"/>
      <c r="R146" s="444"/>
      <c r="S146" s="444"/>
      <c r="T146" s="444"/>
      <c r="U146" s="444"/>
      <c r="V146" s="517">
        <v>0</v>
      </c>
      <c r="W146" s="558"/>
      <c r="X146" s="406"/>
    </row>
    <row r="147" spans="1:25" x14ac:dyDescent="0.3">
      <c r="A147" s="543"/>
      <c r="B147" s="444" t="s">
        <v>45</v>
      </c>
      <c r="C147" s="444"/>
      <c r="D147" s="444"/>
      <c r="E147" s="444"/>
      <c r="F147" s="444"/>
      <c r="G147" s="444"/>
      <c r="H147" s="444"/>
      <c r="I147" s="444"/>
      <c r="J147" s="444"/>
      <c r="K147" s="444"/>
      <c r="L147" s="444"/>
      <c r="M147" s="444"/>
      <c r="N147" s="444"/>
      <c r="O147" s="444"/>
      <c r="P147" s="444"/>
      <c r="Q147" s="444"/>
      <c r="R147" s="444"/>
      <c r="S147" s="444"/>
      <c r="T147" s="444"/>
      <c r="U147" s="444"/>
      <c r="V147" s="517">
        <v>0</v>
      </c>
      <c r="W147" s="558"/>
      <c r="X147" s="406"/>
    </row>
    <row r="148" spans="1:25" x14ac:dyDescent="0.3">
      <c r="A148" s="543"/>
      <c r="B148" s="444" t="s">
        <v>132</v>
      </c>
      <c r="C148" s="444"/>
      <c r="D148" s="444"/>
      <c r="E148" s="444"/>
      <c r="F148" s="444"/>
      <c r="G148" s="444"/>
      <c r="H148" s="444"/>
      <c r="I148" s="444"/>
      <c r="J148" s="444"/>
      <c r="K148" s="444"/>
      <c r="L148" s="444"/>
      <c r="M148" s="444"/>
      <c r="N148" s="444"/>
      <c r="O148" s="444"/>
      <c r="P148" s="444"/>
      <c r="Q148" s="444"/>
      <c r="R148" s="444"/>
      <c r="S148" s="444"/>
      <c r="T148" s="444"/>
      <c r="U148" s="444"/>
      <c r="V148" s="517">
        <v>0</v>
      </c>
      <c r="W148" s="558"/>
      <c r="X148" s="406"/>
    </row>
    <row r="149" spans="1:25" x14ac:dyDescent="0.3">
      <c r="A149" s="543"/>
      <c r="B149" s="444" t="s">
        <v>267</v>
      </c>
      <c r="C149" s="444"/>
      <c r="D149" s="444"/>
      <c r="E149" s="444"/>
      <c r="F149" s="444"/>
      <c r="G149" s="444"/>
      <c r="H149" s="444"/>
      <c r="I149" s="444"/>
      <c r="J149" s="444"/>
      <c r="K149" s="444"/>
      <c r="L149" s="444"/>
      <c r="M149" s="444"/>
      <c r="N149" s="444"/>
      <c r="O149" s="444"/>
      <c r="P149" s="444"/>
      <c r="Q149" s="444"/>
      <c r="R149" s="444"/>
      <c r="S149" s="444"/>
      <c r="T149" s="444"/>
      <c r="U149" s="444"/>
      <c r="V149" s="517">
        <v>0</v>
      </c>
      <c r="W149" s="558"/>
      <c r="X149" s="406"/>
      <c r="Y149" s="559"/>
    </row>
    <row r="150" spans="1:25" x14ac:dyDescent="0.3">
      <c r="A150" s="543"/>
      <c r="B150" s="444" t="s">
        <v>46</v>
      </c>
      <c r="C150" s="444"/>
      <c r="D150" s="444"/>
      <c r="E150" s="444"/>
      <c r="F150" s="444"/>
      <c r="G150" s="444"/>
      <c r="H150" s="444"/>
      <c r="I150" s="444"/>
      <c r="J150" s="444"/>
      <c r="K150" s="444"/>
      <c r="L150" s="444"/>
      <c r="M150" s="444"/>
      <c r="N150" s="444"/>
      <c r="O150" s="444"/>
      <c r="P150" s="444"/>
      <c r="Q150" s="444"/>
      <c r="R150" s="444"/>
      <c r="S150" s="444"/>
      <c r="T150" s="444"/>
      <c r="U150" s="444"/>
      <c r="V150" s="517">
        <f>SUM(V142:V149)</f>
        <v>28504</v>
      </c>
      <c r="W150" s="558"/>
      <c r="X150" s="406"/>
    </row>
    <row r="151" spans="1:25" x14ac:dyDescent="0.3">
      <c r="A151" s="543"/>
      <c r="B151" s="465"/>
      <c r="C151" s="465"/>
      <c r="D151" s="465"/>
      <c r="E151" s="465"/>
      <c r="F151" s="465"/>
      <c r="G151" s="465"/>
      <c r="H151" s="465"/>
      <c r="I151" s="465"/>
      <c r="J151" s="465"/>
      <c r="K151" s="465"/>
      <c r="L151" s="465"/>
      <c r="M151" s="465"/>
      <c r="N151" s="465"/>
      <c r="O151" s="465"/>
      <c r="P151" s="465"/>
      <c r="Q151" s="465"/>
      <c r="R151" s="465"/>
      <c r="S151" s="465"/>
      <c r="T151" s="465"/>
      <c r="U151" s="465"/>
      <c r="V151" s="546"/>
      <c r="W151" s="547"/>
      <c r="X151" s="406"/>
    </row>
    <row r="152" spans="1:25" x14ac:dyDescent="0.3">
      <c r="A152" s="543"/>
      <c r="B152" s="544" t="s">
        <v>268</v>
      </c>
      <c r="C152" s="465"/>
      <c r="D152" s="465"/>
      <c r="E152" s="465"/>
      <c r="F152" s="465"/>
      <c r="G152" s="465"/>
      <c r="H152" s="465"/>
      <c r="I152" s="465"/>
      <c r="J152" s="465"/>
      <c r="K152" s="465"/>
      <c r="L152" s="465"/>
      <c r="M152" s="465"/>
      <c r="N152" s="465"/>
      <c r="O152" s="465"/>
      <c r="P152" s="465"/>
      <c r="Q152" s="465"/>
      <c r="R152" s="465"/>
      <c r="S152" s="465"/>
      <c r="T152" s="465"/>
      <c r="U152" s="465"/>
      <c r="V152" s="546"/>
      <c r="W152" s="547"/>
      <c r="X152" s="406"/>
    </row>
    <row r="153" spans="1:25" x14ac:dyDescent="0.3">
      <c r="A153" s="543"/>
      <c r="B153" s="444" t="s">
        <v>158</v>
      </c>
      <c r="C153" s="444"/>
      <c r="D153" s="444"/>
      <c r="E153" s="444"/>
      <c r="F153" s="444"/>
      <c r="G153" s="444"/>
      <c r="H153" s="444"/>
      <c r="I153" s="444"/>
      <c r="J153" s="444"/>
      <c r="K153" s="444"/>
      <c r="L153" s="444"/>
      <c r="M153" s="444"/>
      <c r="N153" s="444"/>
      <c r="O153" s="444"/>
      <c r="P153" s="444"/>
      <c r="Q153" s="444"/>
      <c r="R153" s="444"/>
      <c r="S153" s="444"/>
      <c r="T153" s="444"/>
      <c r="U153" s="444"/>
      <c r="V153" s="517">
        <v>15000</v>
      </c>
      <c r="W153" s="558"/>
      <c r="X153" s="406"/>
    </row>
    <row r="154" spans="1:25" x14ac:dyDescent="0.3">
      <c r="A154" s="543"/>
      <c r="B154" s="444" t="s">
        <v>175</v>
      </c>
      <c r="C154" s="444"/>
      <c r="D154" s="444"/>
      <c r="E154" s="444"/>
      <c r="F154" s="444"/>
      <c r="G154" s="444"/>
      <c r="H154" s="444"/>
      <c r="I154" s="444"/>
      <c r="J154" s="444"/>
      <c r="K154" s="444"/>
      <c r="L154" s="444"/>
      <c r="M154" s="444"/>
      <c r="N154" s="444"/>
      <c r="O154" s="444"/>
      <c r="P154" s="444"/>
      <c r="Q154" s="444"/>
      <c r="R154" s="444"/>
      <c r="S154" s="444"/>
      <c r="T154" s="444"/>
      <c r="U154" s="444"/>
      <c r="V154" s="517">
        <v>0</v>
      </c>
      <c r="W154" s="558"/>
      <c r="X154" s="406"/>
    </row>
    <row r="155" spans="1:25" x14ac:dyDescent="0.3">
      <c r="A155" s="543"/>
      <c r="B155" s="444" t="s">
        <v>341</v>
      </c>
      <c r="C155" s="444"/>
      <c r="D155" s="444"/>
      <c r="E155" s="444"/>
      <c r="F155" s="444"/>
      <c r="G155" s="444"/>
      <c r="H155" s="444"/>
      <c r="I155" s="444"/>
      <c r="J155" s="444"/>
      <c r="K155" s="444"/>
      <c r="L155" s="444"/>
      <c r="M155" s="444"/>
      <c r="N155" s="444"/>
      <c r="O155" s="444"/>
      <c r="P155" s="444"/>
      <c r="Q155" s="444"/>
      <c r="R155" s="444"/>
      <c r="S155" s="444"/>
      <c r="T155" s="444"/>
      <c r="U155" s="444"/>
      <c r="V155" s="517">
        <v>0</v>
      </c>
      <c r="W155" s="558"/>
      <c r="X155" s="406"/>
    </row>
    <row r="156" spans="1:25" x14ac:dyDescent="0.3">
      <c r="A156" s="543"/>
      <c r="B156" s="465"/>
      <c r="C156" s="465"/>
      <c r="D156" s="465"/>
      <c r="E156" s="465"/>
      <c r="F156" s="465"/>
      <c r="G156" s="465"/>
      <c r="H156" s="465"/>
      <c r="I156" s="465"/>
      <c r="J156" s="465"/>
      <c r="K156" s="465"/>
      <c r="L156" s="465"/>
      <c r="M156" s="465"/>
      <c r="N156" s="465"/>
      <c r="O156" s="465"/>
      <c r="P156" s="465"/>
      <c r="Q156" s="465"/>
      <c r="R156" s="465"/>
      <c r="S156" s="465"/>
      <c r="T156" s="465"/>
      <c r="U156" s="465"/>
      <c r="V156" s="546"/>
      <c r="W156" s="547"/>
      <c r="X156" s="406"/>
    </row>
    <row r="157" spans="1:25" x14ac:dyDescent="0.3">
      <c r="A157" s="408"/>
      <c r="B157" s="518"/>
      <c r="C157" s="518"/>
      <c r="D157" s="518"/>
      <c r="E157" s="518"/>
      <c r="F157" s="518"/>
      <c r="G157" s="518"/>
      <c r="H157" s="518"/>
      <c r="I157" s="518"/>
      <c r="J157" s="518"/>
      <c r="K157" s="518"/>
      <c r="L157" s="518"/>
      <c r="M157" s="518"/>
      <c r="N157" s="518"/>
      <c r="O157" s="518"/>
      <c r="P157" s="518"/>
      <c r="Q157" s="518"/>
      <c r="R157" s="518"/>
      <c r="S157" s="518"/>
      <c r="T157" s="518"/>
      <c r="U157" s="518"/>
      <c r="V157" s="560"/>
      <c r="W157" s="411"/>
      <c r="X157" s="406"/>
    </row>
    <row r="158" spans="1:25" x14ac:dyDescent="0.3">
      <c r="A158" s="408"/>
      <c r="B158" s="557" t="s">
        <v>24</v>
      </c>
      <c r="C158" s="410"/>
      <c r="D158" s="410"/>
      <c r="E158" s="410"/>
      <c r="F158" s="410"/>
      <c r="G158" s="410"/>
      <c r="H158" s="410"/>
      <c r="I158" s="410"/>
      <c r="J158" s="410"/>
      <c r="K158" s="410"/>
      <c r="L158" s="410"/>
      <c r="M158" s="410"/>
      <c r="N158" s="410"/>
      <c r="O158" s="410"/>
      <c r="P158" s="410"/>
      <c r="Q158" s="410"/>
      <c r="R158" s="410"/>
      <c r="S158" s="410"/>
      <c r="T158" s="410"/>
      <c r="U158" s="410"/>
      <c r="V158" s="510"/>
      <c r="W158" s="411"/>
      <c r="X158" s="406"/>
    </row>
    <row r="159" spans="1:25" x14ac:dyDescent="0.3">
      <c r="A159" s="543"/>
      <c r="B159" s="444" t="s">
        <v>47</v>
      </c>
      <c r="C159" s="444"/>
      <c r="D159" s="444"/>
      <c r="E159" s="444"/>
      <c r="F159" s="444"/>
      <c r="G159" s="444"/>
      <c r="H159" s="444"/>
      <c r="I159" s="444"/>
      <c r="J159" s="444"/>
      <c r="K159" s="444"/>
      <c r="L159" s="444"/>
      <c r="M159" s="444"/>
      <c r="N159" s="444"/>
      <c r="O159" s="444"/>
      <c r="P159" s="444"/>
      <c r="Q159" s="444"/>
      <c r="R159" s="444"/>
      <c r="S159" s="444"/>
      <c r="T159" s="444"/>
      <c r="U159" s="444"/>
      <c r="V159" s="561" t="s">
        <v>121</v>
      </c>
      <c r="W159" s="558"/>
      <c r="X159" s="406"/>
    </row>
    <row r="160" spans="1:25" x14ac:dyDescent="0.3">
      <c r="A160" s="543"/>
      <c r="B160" s="444" t="s">
        <v>48</v>
      </c>
      <c r="C160" s="444"/>
      <c r="D160" s="444"/>
      <c r="E160" s="444"/>
      <c r="F160" s="444"/>
      <c r="G160" s="444"/>
      <c r="H160" s="444"/>
      <c r="I160" s="444"/>
      <c r="J160" s="444"/>
      <c r="K160" s="444"/>
      <c r="L160" s="444"/>
      <c r="M160" s="444"/>
      <c r="N160" s="444"/>
      <c r="O160" s="444"/>
      <c r="P160" s="444"/>
      <c r="Q160" s="444"/>
      <c r="R160" s="444"/>
      <c r="S160" s="444"/>
      <c r="T160" s="444"/>
      <c r="U160" s="444"/>
      <c r="V160" s="561" t="s">
        <v>121</v>
      </c>
      <c r="W160" s="558"/>
      <c r="X160" s="406"/>
    </row>
    <row r="161" spans="1:24" x14ac:dyDescent="0.3">
      <c r="A161" s="543"/>
      <c r="B161" s="444" t="s">
        <v>49</v>
      </c>
      <c r="C161" s="444"/>
      <c r="D161" s="444"/>
      <c r="E161" s="444"/>
      <c r="F161" s="444"/>
      <c r="G161" s="444"/>
      <c r="H161" s="444"/>
      <c r="I161" s="444"/>
      <c r="J161" s="444"/>
      <c r="K161" s="444"/>
      <c r="L161" s="444"/>
      <c r="M161" s="444"/>
      <c r="N161" s="444"/>
      <c r="O161" s="444"/>
      <c r="P161" s="444"/>
      <c r="Q161" s="444"/>
      <c r="R161" s="444"/>
      <c r="S161" s="444"/>
      <c r="T161" s="444"/>
      <c r="U161" s="444"/>
      <c r="V161" s="561" t="s">
        <v>121</v>
      </c>
      <c r="W161" s="558"/>
      <c r="X161" s="406"/>
    </row>
    <row r="162" spans="1:24" x14ac:dyDescent="0.3">
      <c r="A162" s="543"/>
      <c r="B162" s="444" t="s">
        <v>50</v>
      </c>
      <c r="C162" s="444"/>
      <c r="D162" s="444"/>
      <c r="E162" s="444"/>
      <c r="F162" s="444"/>
      <c r="G162" s="444"/>
      <c r="H162" s="444"/>
      <c r="I162" s="444"/>
      <c r="J162" s="444"/>
      <c r="K162" s="444"/>
      <c r="L162" s="444"/>
      <c r="M162" s="444"/>
      <c r="N162" s="444"/>
      <c r="O162" s="444"/>
      <c r="P162" s="444"/>
      <c r="Q162" s="444"/>
      <c r="R162" s="444"/>
      <c r="S162" s="444"/>
      <c r="T162" s="444"/>
      <c r="U162" s="444"/>
      <c r="V162" s="561" t="s">
        <v>121</v>
      </c>
      <c r="W162" s="558"/>
      <c r="X162" s="406"/>
    </row>
    <row r="163" spans="1:24" x14ac:dyDescent="0.3">
      <c r="A163" s="408"/>
      <c r="B163" s="518"/>
      <c r="C163" s="518"/>
      <c r="D163" s="518"/>
      <c r="E163" s="518"/>
      <c r="F163" s="518"/>
      <c r="G163" s="518"/>
      <c r="H163" s="518"/>
      <c r="I163" s="518"/>
      <c r="J163" s="518"/>
      <c r="K163" s="518"/>
      <c r="L163" s="518"/>
      <c r="M163" s="518"/>
      <c r="N163" s="518"/>
      <c r="O163" s="518"/>
      <c r="P163" s="518"/>
      <c r="Q163" s="518"/>
      <c r="R163" s="518"/>
      <c r="S163" s="518"/>
      <c r="T163" s="518"/>
      <c r="U163" s="518"/>
      <c r="V163" s="560"/>
      <c r="W163" s="411"/>
      <c r="X163" s="406"/>
    </row>
    <row r="164" spans="1:24" x14ac:dyDescent="0.3">
      <c r="A164" s="408"/>
      <c r="B164" s="557" t="s">
        <v>51</v>
      </c>
      <c r="C164" s="410"/>
      <c r="D164" s="410"/>
      <c r="E164" s="410"/>
      <c r="F164" s="410"/>
      <c r="G164" s="410"/>
      <c r="H164" s="410"/>
      <c r="I164" s="410"/>
      <c r="J164" s="410"/>
      <c r="K164" s="410"/>
      <c r="L164" s="410"/>
      <c r="M164" s="410"/>
      <c r="N164" s="410"/>
      <c r="O164" s="410"/>
      <c r="P164" s="410"/>
      <c r="Q164" s="410"/>
      <c r="R164" s="410"/>
      <c r="S164" s="410"/>
      <c r="T164" s="410"/>
      <c r="U164" s="410"/>
      <c r="V164" s="562"/>
      <c r="W164" s="411"/>
      <c r="X164" s="406"/>
    </row>
    <row r="165" spans="1:24" x14ac:dyDescent="0.3">
      <c r="A165" s="563"/>
      <c r="B165" s="548" t="s">
        <v>52</v>
      </c>
      <c r="C165" s="548"/>
      <c r="D165" s="548"/>
      <c r="E165" s="548"/>
      <c r="F165" s="548"/>
      <c r="G165" s="548"/>
      <c r="H165" s="548"/>
      <c r="I165" s="548"/>
      <c r="J165" s="548"/>
      <c r="K165" s="548"/>
      <c r="L165" s="548"/>
      <c r="M165" s="548"/>
      <c r="N165" s="548"/>
      <c r="O165" s="548"/>
      <c r="P165" s="548"/>
      <c r="Q165" s="548"/>
      <c r="R165" s="548"/>
      <c r="S165" s="548"/>
      <c r="T165" s="548"/>
      <c r="U165" s="548"/>
      <c r="V165" s="564">
        <v>0</v>
      </c>
      <c r="W165" s="565"/>
      <c r="X165" s="406"/>
    </row>
    <row r="166" spans="1:24" x14ac:dyDescent="0.3">
      <c r="A166" s="563"/>
      <c r="B166" s="548" t="s">
        <v>53</v>
      </c>
      <c r="C166" s="548"/>
      <c r="D166" s="548"/>
      <c r="E166" s="548"/>
      <c r="F166" s="548"/>
      <c r="G166" s="548"/>
      <c r="H166" s="548"/>
      <c r="I166" s="548"/>
      <c r="J166" s="548"/>
      <c r="K166" s="548"/>
      <c r="L166" s="548"/>
      <c r="M166" s="548"/>
      <c r="N166" s="548"/>
      <c r="O166" s="548"/>
      <c r="P166" s="548"/>
      <c r="Q166" s="548"/>
      <c r="R166" s="548"/>
      <c r="S166" s="548"/>
      <c r="T166" s="548"/>
      <c r="U166" s="548"/>
      <c r="V166" s="564">
        <v>185</v>
      </c>
      <c r="W166" s="565"/>
      <c r="X166" s="406"/>
    </row>
    <row r="167" spans="1:24" x14ac:dyDescent="0.3">
      <c r="A167" s="563"/>
      <c r="B167" s="548" t="s">
        <v>54</v>
      </c>
      <c r="C167" s="548"/>
      <c r="D167" s="548"/>
      <c r="E167" s="548"/>
      <c r="F167" s="548"/>
      <c r="G167" s="548"/>
      <c r="H167" s="548"/>
      <c r="I167" s="548"/>
      <c r="J167" s="548"/>
      <c r="K167" s="548"/>
      <c r="L167" s="548"/>
      <c r="M167" s="548"/>
      <c r="N167" s="548"/>
      <c r="O167" s="548"/>
      <c r="P167" s="548"/>
      <c r="Q167" s="548"/>
      <c r="R167" s="548"/>
      <c r="S167" s="548"/>
      <c r="T167" s="548"/>
      <c r="U167" s="548"/>
      <c r="V167" s="564">
        <f>V166+V165</f>
        <v>185</v>
      </c>
      <c r="W167" s="565"/>
      <c r="X167" s="406"/>
    </row>
    <row r="168" spans="1:24" x14ac:dyDescent="0.3">
      <c r="A168" s="563"/>
      <c r="B168" s="444" t="s">
        <v>318</v>
      </c>
      <c r="C168" s="548"/>
      <c r="D168" s="548"/>
      <c r="E168" s="548"/>
      <c r="F168" s="548"/>
      <c r="G168" s="548"/>
      <c r="H168" s="548"/>
      <c r="I168" s="548"/>
      <c r="J168" s="548"/>
      <c r="K168" s="548"/>
      <c r="L168" s="548"/>
      <c r="M168" s="548"/>
      <c r="N168" s="548"/>
      <c r="O168" s="548"/>
      <c r="P168" s="548"/>
      <c r="Q168" s="548"/>
      <c r="R168" s="548"/>
      <c r="S168" s="548"/>
      <c r="T168" s="548"/>
      <c r="U168" s="548"/>
      <c r="V168" s="564">
        <f>V114</f>
        <v>-185</v>
      </c>
      <c r="W168" s="565"/>
      <c r="X168" s="406"/>
    </row>
    <row r="169" spans="1:24" x14ac:dyDescent="0.3">
      <c r="A169" s="563"/>
      <c r="B169" s="548" t="s">
        <v>55</v>
      </c>
      <c r="C169" s="548"/>
      <c r="D169" s="548"/>
      <c r="E169" s="548"/>
      <c r="F169" s="548"/>
      <c r="G169" s="548"/>
      <c r="H169" s="548"/>
      <c r="I169" s="548"/>
      <c r="J169" s="548"/>
      <c r="K169" s="548"/>
      <c r="L169" s="548"/>
      <c r="M169" s="548"/>
      <c r="N169" s="548"/>
      <c r="O169" s="548"/>
      <c r="P169" s="548"/>
      <c r="Q169" s="548"/>
      <c r="R169" s="548"/>
      <c r="S169" s="548"/>
      <c r="T169" s="548"/>
      <c r="U169" s="548"/>
      <c r="V169" s="564">
        <f>V167+V168</f>
        <v>0</v>
      </c>
      <c r="W169" s="565"/>
      <c r="X169" s="406"/>
    </row>
    <row r="170" spans="1:24" x14ac:dyDescent="0.3">
      <c r="A170" s="563"/>
      <c r="B170" s="548" t="s">
        <v>288</v>
      </c>
      <c r="C170" s="548"/>
      <c r="D170" s="548"/>
      <c r="E170" s="548"/>
      <c r="F170" s="548"/>
      <c r="G170" s="548"/>
      <c r="H170" s="548"/>
      <c r="I170" s="548"/>
      <c r="J170" s="548"/>
      <c r="K170" s="548"/>
      <c r="L170" s="548"/>
      <c r="M170" s="548"/>
      <c r="N170" s="548"/>
      <c r="O170" s="548"/>
      <c r="P170" s="548"/>
      <c r="Q170" s="548"/>
      <c r="R170" s="548"/>
      <c r="S170" s="548"/>
      <c r="T170" s="548"/>
      <c r="U170" s="548"/>
      <c r="V170" s="564">
        <v>0</v>
      </c>
      <c r="W170" s="565"/>
      <c r="X170" s="406"/>
    </row>
    <row r="171" spans="1:24" ht="16.2" thickBot="1" x14ac:dyDescent="0.35">
      <c r="A171" s="408"/>
      <c r="B171" s="518"/>
      <c r="C171" s="518"/>
      <c r="D171" s="518"/>
      <c r="E171" s="518"/>
      <c r="F171" s="518"/>
      <c r="G171" s="518"/>
      <c r="H171" s="518"/>
      <c r="I171" s="518"/>
      <c r="J171" s="518"/>
      <c r="K171" s="518"/>
      <c r="L171" s="518"/>
      <c r="M171" s="518"/>
      <c r="N171" s="518"/>
      <c r="O171" s="518"/>
      <c r="P171" s="518"/>
      <c r="Q171" s="518"/>
      <c r="R171" s="518"/>
      <c r="S171" s="518"/>
      <c r="T171" s="518"/>
      <c r="U171" s="518"/>
      <c r="V171" s="560"/>
      <c r="W171" s="411"/>
      <c r="X171" s="406"/>
    </row>
    <row r="172" spans="1:24" x14ac:dyDescent="0.3">
      <c r="A172" s="402"/>
      <c r="B172" s="404"/>
      <c r="C172" s="404"/>
      <c r="D172" s="404"/>
      <c r="E172" s="404"/>
      <c r="F172" s="404"/>
      <c r="G172" s="404"/>
      <c r="H172" s="404"/>
      <c r="I172" s="404"/>
      <c r="J172" s="404"/>
      <c r="K172" s="404"/>
      <c r="L172" s="404"/>
      <c r="M172" s="404"/>
      <c r="N172" s="404"/>
      <c r="O172" s="404"/>
      <c r="P172" s="404"/>
      <c r="Q172" s="404"/>
      <c r="R172" s="404"/>
      <c r="S172" s="404"/>
      <c r="T172" s="404"/>
      <c r="U172" s="404"/>
      <c r="V172" s="566"/>
      <c r="W172" s="405"/>
      <c r="X172" s="406"/>
    </row>
    <row r="173" spans="1:24" x14ac:dyDescent="0.3">
      <c r="A173" s="408"/>
      <c r="B173" s="557" t="s">
        <v>56</v>
      </c>
      <c r="C173" s="410"/>
      <c r="D173" s="410"/>
      <c r="E173" s="410"/>
      <c r="F173" s="410"/>
      <c r="G173" s="410"/>
      <c r="H173" s="410"/>
      <c r="I173" s="410"/>
      <c r="J173" s="410"/>
      <c r="K173" s="410"/>
      <c r="L173" s="410"/>
      <c r="M173" s="410"/>
      <c r="N173" s="410"/>
      <c r="O173" s="410"/>
      <c r="P173" s="410"/>
      <c r="Q173" s="410"/>
      <c r="R173" s="410"/>
      <c r="S173" s="410"/>
      <c r="T173" s="410"/>
      <c r="U173" s="410"/>
      <c r="V173" s="510"/>
      <c r="W173" s="411"/>
      <c r="X173" s="406"/>
    </row>
    <row r="174" spans="1:24" x14ac:dyDescent="0.3">
      <c r="A174" s="408"/>
      <c r="B174" s="556"/>
      <c r="C174" s="410"/>
      <c r="D174" s="410"/>
      <c r="E174" s="410"/>
      <c r="F174" s="410"/>
      <c r="G174" s="410"/>
      <c r="H174" s="410"/>
      <c r="I174" s="410"/>
      <c r="J174" s="410"/>
      <c r="K174" s="410"/>
      <c r="L174" s="410"/>
      <c r="M174" s="410"/>
      <c r="N174" s="410"/>
      <c r="O174" s="410"/>
      <c r="P174" s="410"/>
      <c r="Q174" s="410"/>
      <c r="R174" s="410"/>
      <c r="S174" s="410"/>
      <c r="T174" s="410"/>
      <c r="U174" s="410"/>
      <c r="V174" s="510"/>
      <c r="W174" s="411"/>
      <c r="X174" s="406"/>
    </row>
    <row r="175" spans="1:24" x14ac:dyDescent="0.3">
      <c r="A175" s="543"/>
      <c r="B175" s="444" t="s">
        <v>57</v>
      </c>
      <c r="C175" s="444"/>
      <c r="D175" s="444"/>
      <c r="E175" s="444"/>
      <c r="F175" s="444"/>
      <c r="G175" s="444"/>
      <c r="H175" s="444"/>
      <c r="I175" s="444"/>
      <c r="J175" s="444"/>
      <c r="K175" s="444"/>
      <c r="L175" s="444"/>
      <c r="M175" s="444"/>
      <c r="N175" s="444"/>
      <c r="O175" s="444"/>
      <c r="P175" s="444"/>
      <c r="Q175" s="444"/>
      <c r="R175" s="444"/>
      <c r="S175" s="444"/>
      <c r="T175" s="444"/>
      <c r="U175" s="444"/>
      <c r="V175" s="517">
        <f>V70</f>
        <v>723285</v>
      </c>
      <c r="W175" s="558"/>
      <c r="X175" s="406"/>
    </row>
    <row r="176" spans="1:24" x14ac:dyDescent="0.3">
      <c r="A176" s="543"/>
      <c r="B176" s="444" t="s">
        <v>58</v>
      </c>
      <c r="C176" s="444"/>
      <c r="D176" s="444"/>
      <c r="E176" s="444"/>
      <c r="F176" s="444"/>
      <c r="G176" s="444"/>
      <c r="H176" s="444"/>
      <c r="I176" s="444"/>
      <c r="J176" s="444"/>
      <c r="K176" s="444"/>
      <c r="L176" s="444"/>
      <c r="M176" s="444"/>
      <c r="N176" s="444"/>
      <c r="O176" s="444"/>
      <c r="P176" s="444"/>
      <c r="Q176" s="444"/>
      <c r="R176" s="444"/>
      <c r="S176" s="444"/>
      <c r="T176" s="444"/>
      <c r="U176" s="444"/>
      <c r="V176" s="517">
        <f>V83</f>
        <v>723285</v>
      </c>
      <c r="W176" s="558"/>
      <c r="X176" s="406"/>
    </row>
    <row r="177" spans="1:24" ht="16.2" thickBot="1" x14ac:dyDescent="0.35">
      <c r="A177" s="408"/>
      <c r="B177" s="518"/>
      <c r="C177" s="518"/>
      <c r="D177" s="518"/>
      <c r="E177" s="518"/>
      <c r="F177" s="518"/>
      <c r="G177" s="518"/>
      <c r="H177" s="518"/>
      <c r="I177" s="518"/>
      <c r="J177" s="518"/>
      <c r="K177" s="518"/>
      <c r="L177" s="518"/>
      <c r="M177" s="518"/>
      <c r="N177" s="518"/>
      <c r="O177" s="518"/>
      <c r="P177" s="518"/>
      <c r="Q177" s="518"/>
      <c r="R177" s="518"/>
      <c r="S177" s="518"/>
      <c r="T177" s="518"/>
      <c r="U177" s="518"/>
      <c r="V177" s="560"/>
      <c r="W177" s="411"/>
      <c r="X177" s="406"/>
    </row>
    <row r="178" spans="1:24" x14ac:dyDescent="0.3">
      <c r="A178" s="402"/>
      <c r="B178" s="404"/>
      <c r="C178" s="404"/>
      <c r="D178" s="404"/>
      <c r="E178" s="404"/>
      <c r="F178" s="404"/>
      <c r="G178" s="404"/>
      <c r="H178" s="404"/>
      <c r="I178" s="404"/>
      <c r="J178" s="404"/>
      <c r="K178" s="404"/>
      <c r="L178" s="404"/>
      <c r="M178" s="404"/>
      <c r="N178" s="404"/>
      <c r="O178" s="404"/>
      <c r="P178" s="404"/>
      <c r="Q178" s="404"/>
      <c r="R178" s="404"/>
      <c r="S178" s="404"/>
      <c r="T178" s="404"/>
      <c r="U178" s="404"/>
      <c r="V178" s="566"/>
      <c r="W178" s="405"/>
      <c r="X178" s="406"/>
    </row>
    <row r="179" spans="1:24" s="473" customFormat="1" x14ac:dyDescent="0.3">
      <c r="A179" s="511"/>
      <c r="B179" s="557" t="s">
        <v>59</v>
      </c>
      <c r="C179" s="567"/>
      <c r="D179" s="567"/>
      <c r="E179" s="567"/>
      <c r="F179" s="567"/>
      <c r="G179" s="567"/>
      <c r="H179" s="568"/>
      <c r="I179" s="568"/>
      <c r="J179" s="568"/>
      <c r="K179" s="568"/>
      <c r="L179" s="568"/>
      <c r="M179" s="568"/>
      <c r="N179" s="568"/>
      <c r="O179" s="568"/>
      <c r="P179" s="568"/>
      <c r="Q179" s="568"/>
      <c r="R179" s="568"/>
      <c r="S179" s="568" t="s">
        <v>102</v>
      </c>
      <c r="T179" s="568" t="s">
        <v>179</v>
      </c>
      <c r="U179" s="413"/>
      <c r="V179" s="569" t="s">
        <v>117</v>
      </c>
      <c r="W179" s="570"/>
      <c r="X179" s="472"/>
    </row>
    <row r="180" spans="1:24" s="426" customFormat="1" x14ac:dyDescent="0.3">
      <c r="A180" s="443"/>
      <c r="B180" s="444" t="s">
        <v>60</v>
      </c>
      <c r="C180" s="444"/>
      <c r="D180" s="444"/>
      <c r="E180" s="444"/>
      <c r="F180" s="444"/>
      <c r="G180" s="444"/>
      <c r="H180" s="444"/>
      <c r="I180" s="444"/>
      <c r="J180" s="444"/>
      <c r="K180" s="444"/>
      <c r="L180" s="444"/>
      <c r="M180" s="444"/>
      <c r="N180" s="444"/>
      <c r="O180" s="444"/>
      <c r="P180" s="444"/>
      <c r="Q180" s="444"/>
      <c r="R180" s="444"/>
      <c r="S180" s="517">
        <f>+V34*0.16</f>
        <v>240030.4</v>
      </c>
      <c r="T180" s="482"/>
      <c r="U180" s="444"/>
      <c r="V180" s="517"/>
      <c r="W180" s="446"/>
      <c r="X180" s="425"/>
    </row>
    <row r="181" spans="1:24" s="426" customFormat="1" x14ac:dyDescent="0.3">
      <c r="A181" s="443"/>
      <c r="B181" s="444" t="s">
        <v>61</v>
      </c>
      <c r="C181" s="444"/>
      <c r="D181" s="444"/>
      <c r="E181" s="444"/>
      <c r="F181" s="444"/>
      <c r="G181" s="444"/>
      <c r="H181" s="444"/>
      <c r="I181" s="444"/>
      <c r="J181" s="444"/>
      <c r="K181" s="444"/>
      <c r="L181" s="444"/>
      <c r="M181" s="444"/>
      <c r="N181" s="444"/>
      <c r="O181" s="444"/>
      <c r="P181" s="444"/>
      <c r="Q181" s="444"/>
      <c r="R181" s="444"/>
      <c r="S181" s="517">
        <f>+'Dec 18'!S183</f>
        <v>55845</v>
      </c>
      <c r="T181" s="517">
        <f>+'Dec 18'!T183</f>
        <v>9760</v>
      </c>
      <c r="U181" s="444"/>
      <c r="V181" s="517">
        <f>S181+T181</f>
        <v>65605</v>
      </c>
      <c r="W181" s="446"/>
      <c r="X181" s="425"/>
    </row>
    <row r="182" spans="1:24" s="426" customFormat="1" x14ac:dyDescent="0.3">
      <c r="A182" s="443"/>
      <c r="B182" s="444" t="s">
        <v>62</v>
      </c>
      <c r="C182" s="444"/>
      <c r="D182" s="444"/>
      <c r="E182" s="444"/>
      <c r="F182" s="444"/>
      <c r="G182" s="444"/>
      <c r="H182" s="444"/>
      <c r="I182" s="444"/>
      <c r="J182" s="444"/>
      <c r="K182" s="444"/>
      <c r="L182" s="444"/>
      <c r="M182" s="444"/>
      <c r="N182" s="444"/>
      <c r="O182" s="444"/>
      <c r="P182" s="444"/>
      <c r="Q182" s="444"/>
      <c r="R182" s="444"/>
      <c r="S182" s="516">
        <v>0</v>
      </c>
      <c r="T182" s="516">
        <v>0</v>
      </c>
      <c r="U182" s="444"/>
      <c r="V182" s="517">
        <f>S182+T182</f>
        <v>0</v>
      </c>
      <c r="W182" s="446"/>
      <c r="X182" s="425"/>
    </row>
    <row r="183" spans="1:24" s="426" customFormat="1" x14ac:dyDescent="0.3">
      <c r="A183" s="443"/>
      <c r="B183" s="444" t="s">
        <v>63</v>
      </c>
      <c r="C183" s="444"/>
      <c r="D183" s="444"/>
      <c r="E183" s="444"/>
      <c r="F183" s="444"/>
      <c r="G183" s="444"/>
      <c r="H183" s="444"/>
      <c r="I183" s="444"/>
      <c r="J183" s="444"/>
      <c r="K183" s="444"/>
      <c r="L183" s="444"/>
      <c r="M183" s="444"/>
      <c r="N183" s="444"/>
      <c r="O183" s="444"/>
      <c r="P183" s="444"/>
      <c r="Q183" s="444"/>
      <c r="R183" s="444"/>
      <c r="S183" s="517">
        <f>+S181+S182</f>
        <v>55845</v>
      </c>
      <c r="T183" s="517">
        <f>T182+T181</f>
        <v>9760</v>
      </c>
      <c r="U183" s="444"/>
      <c r="V183" s="517">
        <f>S183+T183</f>
        <v>65605</v>
      </c>
      <c r="W183" s="446"/>
      <c r="X183" s="425"/>
    </row>
    <row r="184" spans="1:24" s="426" customFormat="1" x14ac:dyDescent="0.3">
      <c r="A184" s="443"/>
      <c r="B184" s="444" t="s">
        <v>64</v>
      </c>
      <c r="C184" s="444"/>
      <c r="D184" s="444"/>
      <c r="E184" s="444"/>
      <c r="F184" s="444"/>
      <c r="G184" s="444"/>
      <c r="H184" s="444"/>
      <c r="I184" s="444"/>
      <c r="J184" s="444"/>
      <c r="K184" s="444"/>
      <c r="L184" s="444"/>
      <c r="M184" s="444"/>
      <c r="N184" s="444"/>
      <c r="O184" s="444"/>
      <c r="P184" s="444"/>
      <c r="Q184" s="444"/>
      <c r="R184" s="444"/>
      <c r="S184" s="517">
        <f>S180-S183-T183</f>
        <v>174425.4</v>
      </c>
      <c r="T184" s="482"/>
      <c r="U184" s="444"/>
      <c r="V184" s="517"/>
      <c r="W184" s="446"/>
      <c r="X184" s="425"/>
    </row>
    <row r="185" spans="1:24" ht="16.2" thickBot="1" x14ac:dyDescent="0.35">
      <c r="A185" s="408"/>
      <c r="B185" s="518"/>
      <c r="C185" s="518"/>
      <c r="D185" s="518"/>
      <c r="E185" s="518"/>
      <c r="F185" s="518"/>
      <c r="G185" s="518"/>
      <c r="H185" s="518"/>
      <c r="I185" s="518"/>
      <c r="J185" s="518"/>
      <c r="K185" s="518"/>
      <c r="L185" s="518"/>
      <c r="M185" s="518"/>
      <c r="N185" s="518"/>
      <c r="O185" s="518"/>
      <c r="P185" s="518"/>
      <c r="Q185" s="518"/>
      <c r="R185" s="518"/>
      <c r="S185" s="518"/>
      <c r="T185" s="518"/>
      <c r="U185" s="518"/>
      <c r="V185" s="560"/>
      <c r="W185" s="411"/>
      <c r="X185" s="406"/>
    </row>
    <row r="186" spans="1:24" x14ac:dyDescent="0.3">
      <c r="A186" s="402"/>
      <c r="B186" s="404"/>
      <c r="C186" s="404"/>
      <c r="D186" s="404"/>
      <c r="E186" s="404"/>
      <c r="F186" s="404"/>
      <c r="G186" s="404"/>
      <c r="H186" s="404"/>
      <c r="I186" s="404"/>
      <c r="J186" s="404"/>
      <c r="K186" s="404"/>
      <c r="L186" s="404"/>
      <c r="M186" s="404"/>
      <c r="N186" s="404"/>
      <c r="O186" s="404"/>
      <c r="P186" s="404"/>
      <c r="Q186" s="404"/>
      <c r="R186" s="404"/>
      <c r="S186" s="404"/>
      <c r="T186" s="404"/>
      <c r="U186" s="404"/>
      <c r="V186" s="566"/>
      <c r="W186" s="405"/>
      <c r="X186" s="406"/>
    </row>
    <row r="187" spans="1:24" x14ac:dyDescent="0.3">
      <c r="A187" s="408"/>
      <c r="B187" s="557" t="s">
        <v>65</v>
      </c>
      <c r="C187" s="410"/>
      <c r="D187" s="410"/>
      <c r="E187" s="410"/>
      <c r="F187" s="410"/>
      <c r="G187" s="410"/>
      <c r="H187" s="410"/>
      <c r="I187" s="410"/>
      <c r="J187" s="410"/>
      <c r="K187" s="410"/>
      <c r="L187" s="410"/>
      <c r="M187" s="410"/>
      <c r="N187" s="410"/>
      <c r="O187" s="410"/>
      <c r="P187" s="410"/>
      <c r="Q187" s="410"/>
      <c r="R187" s="410"/>
      <c r="S187" s="410"/>
      <c r="T187" s="410"/>
      <c r="U187" s="410"/>
      <c r="V187" s="571"/>
      <c r="W187" s="411"/>
      <c r="X187" s="406"/>
    </row>
    <row r="188" spans="1:24" s="426" customFormat="1" x14ac:dyDescent="0.3">
      <c r="A188" s="443"/>
      <c r="B188" s="444" t="s">
        <v>66</v>
      </c>
      <c r="C188" s="444"/>
      <c r="D188" s="444"/>
      <c r="E188" s="444"/>
      <c r="F188" s="444"/>
      <c r="G188" s="444"/>
      <c r="H188" s="444"/>
      <c r="I188" s="444"/>
      <c r="J188" s="444"/>
      <c r="K188" s="444"/>
      <c r="L188" s="444"/>
      <c r="M188" s="444"/>
      <c r="N188" s="444"/>
      <c r="O188" s="444"/>
      <c r="P188" s="444"/>
      <c r="Q188" s="444"/>
      <c r="R188" s="444"/>
      <c r="S188" s="444"/>
      <c r="T188" s="444"/>
      <c r="U188" s="444"/>
      <c r="V188" s="561">
        <f>(V99+V101+V102+V103+V104)/-(V105+V106)</f>
        <v>3.0898876404494384</v>
      </c>
      <c r="W188" s="446" t="s">
        <v>118</v>
      </c>
      <c r="X188" s="425"/>
    </row>
    <row r="189" spans="1:24" s="426" customFormat="1" x14ac:dyDescent="0.3">
      <c r="A189" s="443"/>
      <c r="B189" s="444" t="s">
        <v>67</v>
      </c>
      <c r="C189" s="444"/>
      <c r="D189" s="444"/>
      <c r="E189" s="444"/>
      <c r="F189" s="444"/>
      <c r="G189" s="444"/>
      <c r="H189" s="444"/>
      <c r="I189" s="444"/>
      <c r="J189" s="444"/>
      <c r="K189" s="444"/>
      <c r="L189" s="444"/>
      <c r="M189" s="444"/>
      <c r="N189" s="444"/>
      <c r="O189" s="444"/>
      <c r="P189" s="444"/>
      <c r="Q189" s="444"/>
      <c r="R189" s="444"/>
      <c r="S189" s="444"/>
      <c r="T189" s="444"/>
      <c r="U189" s="444"/>
      <c r="V189" s="572">
        <v>1.96</v>
      </c>
      <c r="W189" s="446" t="s">
        <v>118</v>
      </c>
      <c r="X189" s="425"/>
    </row>
    <row r="190" spans="1:24" s="426" customFormat="1" x14ac:dyDescent="0.3">
      <c r="A190" s="443"/>
      <c r="B190" s="444" t="s">
        <v>68</v>
      </c>
      <c r="C190" s="444"/>
      <c r="D190" s="444"/>
      <c r="E190" s="444"/>
      <c r="F190" s="444"/>
      <c r="G190" s="444"/>
      <c r="H190" s="444"/>
      <c r="I190" s="444"/>
      <c r="J190" s="444"/>
      <c r="K190" s="444"/>
      <c r="L190" s="444"/>
      <c r="M190" s="444"/>
      <c r="N190" s="444"/>
      <c r="O190" s="444"/>
      <c r="P190" s="444"/>
      <c r="Q190" s="444"/>
      <c r="R190" s="444"/>
      <c r="S190" s="444"/>
      <c r="T190" s="444"/>
      <c r="U190" s="444"/>
      <c r="V190" s="561">
        <f>(V99+V101+V102+V103+V104+V105+V106)/-(V108+V109)</f>
        <v>9.0486486486486495</v>
      </c>
      <c r="W190" s="446" t="s">
        <v>118</v>
      </c>
      <c r="X190" s="425"/>
    </row>
    <row r="191" spans="1:24" s="426" customFormat="1" x14ac:dyDescent="0.3">
      <c r="A191" s="443"/>
      <c r="B191" s="444" t="s">
        <v>69</v>
      </c>
      <c r="C191" s="444"/>
      <c r="D191" s="444"/>
      <c r="E191" s="444"/>
      <c r="F191" s="444"/>
      <c r="G191" s="444"/>
      <c r="H191" s="444"/>
      <c r="I191" s="444"/>
      <c r="J191" s="444"/>
      <c r="K191" s="444"/>
      <c r="L191" s="444"/>
      <c r="M191" s="444"/>
      <c r="N191" s="444"/>
      <c r="O191" s="444"/>
      <c r="P191" s="444"/>
      <c r="Q191" s="444"/>
      <c r="R191" s="444"/>
      <c r="S191" s="444"/>
      <c r="T191" s="444"/>
      <c r="U191" s="444"/>
      <c r="V191" s="572">
        <v>8.02</v>
      </c>
      <c r="W191" s="446" t="s">
        <v>118</v>
      </c>
      <c r="X191" s="425"/>
    </row>
    <row r="192" spans="1:24" s="426" customFormat="1" x14ac:dyDescent="0.3">
      <c r="A192" s="443"/>
      <c r="B192" s="444" t="s">
        <v>201</v>
      </c>
      <c r="C192" s="444"/>
      <c r="D192" s="444"/>
      <c r="E192" s="444"/>
      <c r="F192" s="444"/>
      <c r="G192" s="444"/>
      <c r="H192" s="444"/>
      <c r="I192" s="444"/>
      <c r="J192" s="444"/>
      <c r="K192" s="444"/>
      <c r="L192" s="444"/>
      <c r="M192" s="444"/>
      <c r="N192" s="444"/>
      <c r="O192" s="444"/>
      <c r="P192" s="444"/>
      <c r="Q192" s="444"/>
      <c r="R192" s="444"/>
      <c r="S192" s="444"/>
      <c r="T192" s="444"/>
      <c r="U192" s="444"/>
      <c r="V192" s="561">
        <f>(V99+V101+V102+V103+V104+V105+V106+V108+V109)/-(V110+V111)</f>
        <v>10.198630136986301</v>
      </c>
      <c r="W192" s="446" t="s">
        <v>118</v>
      </c>
      <c r="X192" s="425"/>
    </row>
    <row r="193" spans="1:24" s="426" customFormat="1" x14ac:dyDescent="0.3">
      <c r="A193" s="443"/>
      <c r="B193" s="444" t="s">
        <v>202</v>
      </c>
      <c r="C193" s="444"/>
      <c r="D193" s="444"/>
      <c r="E193" s="444"/>
      <c r="F193" s="444"/>
      <c r="G193" s="444"/>
      <c r="H193" s="444"/>
      <c r="I193" s="444"/>
      <c r="J193" s="444"/>
      <c r="K193" s="444"/>
      <c r="L193" s="444"/>
      <c r="M193" s="444"/>
      <c r="N193" s="444"/>
      <c r="O193" s="444"/>
      <c r="P193" s="444"/>
      <c r="Q193" s="444"/>
      <c r="R193" s="444"/>
      <c r="S193" s="444"/>
      <c r="T193" s="444"/>
      <c r="U193" s="444"/>
      <c r="V193" s="572">
        <v>9.9600000000000009</v>
      </c>
      <c r="W193" s="446" t="s">
        <v>118</v>
      </c>
      <c r="X193" s="425"/>
    </row>
    <row r="194" spans="1:24" x14ac:dyDescent="0.3">
      <c r="A194" s="543"/>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547"/>
      <c r="X194" s="406"/>
    </row>
    <row r="195" spans="1:24" x14ac:dyDescent="0.3">
      <c r="A195" s="408"/>
      <c r="B195" s="518"/>
      <c r="C195" s="518"/>
      <c r="D195" s="518"/>
      <c r="E195" s="518"/>
      <c r="F195" s="518"/>
      <c r="G195" s="518"/>
      <c r="H195" s="518"/>
      <c r="I195" s="518"/>
      <c r="J195" s="518"/>
      <c r="K195" s="518"/>
      <c r="L195" s="518"/>
      <c r="M195" s="518"/>
      <c r="N195" s="518"/>
      <c r="O195" s="518"/>
      <c r="P195" s="518"/>
      <c r="Q195" s="518"/>
      <c r="R195" s="518"/>
      <c r="S195" s="518"/>
      <c r="T195" s="518"/>
      <c r="U195" s="518"/>
      <c r="V195" s="518"/>
      <c r="W195" s="411"/>
      <c r="X195" s="406"/>
    </row>
    <row r="196" spans="1:24" x14ac:dyDescent="0.3">
      <c r="A196" s="408"/>
      <c r="B196" s="410"/>
      <c r="C196" s="410"/>
      <c r="D196" s="410"/>
      <c r="E196" s="410"/>
      <c r="F196" s="410"/>
      <c r="G196" s="410"/>
      <c r="H196" s="410"/>
      <c r="I196" s="410"/>
      <c r="J196" s="410"/>
      <c r="K196" s="410"/>
      <c r="L196" s="410"/>
      <c r="M196" s="410"/>
      <c r="N196" s="410"/>
      <c r="O196" s="410"/>
      <c r="P196" s="410"/>
      <c r="Q196" s="410"/>
      <c r="R196" s="410"/>
      <c r="S196" s="410"/>
      <c r="T196" s="410"/>
      <c r="U196" s="410"/>
      <c r="V196" s="410"/>
      <c r="W196" s="411"/>
      <c r="X196" s="406"/>
    </row>
    <row r="197" spans="1:24" ht="18.600000000000001" thickBot="1" x14ac:dyDescent="0.4">
      <c r="A197" s="573"/>
      <c r="B197" s="501" t="str">
        <f>B137</f>
        <v>PM13 INVESTOR REPORT QUARTER ENDING MARCH 2019</v>
      </c>
      <c r="C197" s="574"/>
      <c r="D197" s="574"/>
      <c r="E197" s="574"/>
      <c r="F197" s="574"/>
      <c r="G197" s="574"/>
      <c r="H197" s="574"/>
      <c r="I197" s="574"/>
      <c r="J197" s="574"/>
      <c r="K197" s="574"/>
      <c r="L197" s="574"/>
      <c r="M197" s="574"/>
      <c r="N197" s="574"/>
      <c r="O197" s="574"/>
      <c r="P197" s="574"/>
      <c r="Q197" s="574"/>
      <c r="R197" s="574"/>
      <c r="S197" s="574"/>
      <c r="T197" s="574"/>
      <c r="U197" s="574"/>
      <c r="V197" s="574"/>
      <c r="W197" s="575"/>
      <c r="X197" s="406"/>
    </row>
    <row r="198" spans="1:24" x14ac:dyDescent="0.3">
      <c r="A198" s="505"/>
      <c r="B198" s="506" t="s">
        <v>70</v>
      </c>
      <c r="C198" s="576"/>
      <c r="D198" s="576"/>
      <c r="E198" s="576"/>
      <c r="F198" s="576"/>
      <c r="G198" s="577"/>
      <c r="H198" s="577"/>
      <c r="I198" s="577"/>
      <c r="J198" s="577"/>
      <c r="K198" s="577"/>
      <c r="L198" s="577"/>
      <c r="M198" s="577"/>
      <c r="N198" s="577"/>
      <c r="O198" s="577"/>
      <c r="P198" s="577"/>
      <c r="Q198" s="577"/>
      <c r="R198" s="577"/>
      <c r="S198" s="577"/>
      <c r="T198" s="577">
        <v>43553</v>
      </c>
      <c r="U198" s="507"/>
      <c r="V198" s="507"/>
      <c r="W198" s="509"/>
      <c r="X198" s="406"/>
    </row>
    <row r="199" spans="1:24" x14ac:dyDescent="0.3">
      <c r="A199" s="578"/>
      <c r="B199" s="579"/>
      <c r="C199" s="580"/>
      <c r="D199" s="580"/>
      <c r="E199" s="580"/>
      <c r="F199" s="580"/>
      <c r="G199" s="581"/>
      <c r="H199" s="581"/>
      <c r="I199" s="581"/>
      <c r="J199" s="581"/>
      <c r="K199" s="581"/>
      <c r="L199" s="581"/>
      <c r="M199" s="581"/>
      <c r="N199" s="581"/>
      <c r="O199" s="581"/>
      <c r="P199" s="581"/>
      <c r="Q199" s="581"/>
      <c r="R199" s="581"/>
      <c r="S199" s="581"/>
      <c r="T199" s="581"/>
      <c r="U199" s="410"/>
      <c r="V199" s="410"/>
      <c r="W199" s="411"/>
      <c r="X199" s="406"/>
    </row>
    <row r="200" spans="1:24" s="426" customFormat="1" x14ac:dyDescent="0.3">
      <c r="A200" s="443"/>
      <c r="B200" s="444" t="s">
        <v>71</v>
      </c>
      <c r="C200" s="582"/>
      <c r="D200" s="582"/>
      <c r="E200" s="582"/>
      <c r="F200" s="582"/>
      <c r="G200" s="488"/>
      <c r="H200" s="488"/>
      <c r="I200" s="488"/>
      <c r="J200" s="488"/>
      <c r="K200" s="488"/>
      <c r="L200" s="488"/>
      <c r="M200" s="488"/>
      <c r="N200" s="488"/>
      <c r="O200" s="488"/>
      <c r="P200" s="488"/>
      <c r="Q200" s="488"/>
      <c r="R200" s="488"/>
      <c r="S200" s="488"/>
      <c r="T200" s="479">
        <v>5.4539999999999998E-2</v>
      </c>
      <c r="U200" s="444"/>
      <c r="V200" s="444"/>
      <c r="W200" s="446"/>
      <c r="X200" s="425"/>
    </row>
    <row r="201" spans="1:24" s="426" customFormat="1" x14ac:dyDescent="0.3">
      <c r="A201" s="443"/>
      <c r="B201" s="444" t="s">
        <v>154</v>
      </c>
      <c r="C201" s="582"/>
      <c r="D201" s="582"/>
      <c r="E201" s="582"/>
      <c r="F201" s="582"/>
      <c r="G201" s="488"/>
      <c r="H201" s="488"/>
      <c r="I201" s="488"/>
      <c r="J201" s="488"/>
      <c r="K201" s="488"/>
      <c r="L201" s="488"/>
      <c r="M201" s="488"/>
      <c r="N201" s="488"/>
      <c r="O201" s="488"/>
      <c r="P201" s="488"/>
      <c r="Q201" s="488"/>
      <c r="R201" s="488"/>
      <c r="S201" s="488"/>
      <c r="T201" s="479">
        <f>'Dec 06'!T199</f>
        <v>5.238600504269459E-2</v>
      </c>
      <c r="U201" s="444"/>
      <c r="V201" s="444"/>
      <c r="W201" s="446"/>
      <c r="X201" s="425"/>
    </row>
    <row r="202" spans="1:24" s="426" customFormat="1" x14ac:dyDescent="0.3">
      <c r="A202" s="443"/>
      <c r="B202" s="444" t="s">
        <v>72</v>
      </c>
      <c r="C202" s="582"/>
      <c r="D202" s="582"/>
      <c r="E202" s="582"/>
      <c r="F202" s="582"/>
      <c r="G202" s="488"/>
      <c r="H202" s="488"/>
      <c r="I202" s="488"/>
      <c r="J202" s="488"/>
      <c r="K202" s="488"/>
      <c r="L202" s="488"/>
      <c r="M202" s="488"/>
      <c r="N202" s="488"/>
      <c r="O202" s="488"/>
      <c r="P202" s="488"/>
      <c r="Q202" s="488"/>
      <c r="R202" s="488"/>
      <c r="S202" s="488"/>
      <c r="T202" s="479">
        <f>+T200-T201</f>
        <v>2.1539949573054079E-3</v>
      </c>
      <c r="U202" s="444"/>
      <c r="V202" s="444"/>
      <c r="W202" s="446"/>
      <c r="X202" s="425"/>
    </row>
    <row r="203" spans="1:24" s="426" customFormat="1" x14ac:dyDescent="0.3">
      <c r="A203" s="443"/>
      <c r="B203" s="444" t="s">
        <v>73</v>
      </c>
      <c r="C203" s="582"/>
      <c r="D203" s="582"/>
      <c r="E203" s="582"/>
      <c r="F203" s="582"/>
      <c r="G203" s="488"/>
      <c r="H203" s="488"/>
      <c r="I203" s="488"/>
      <c r="J203" s="488"/>
      <c r="K203" s="488"/>
      <c r="L203" s="488"/>
      <c r="M203" s="488"/>
      <c r="N203" s="488"/>
      <c r="O203" s="488"/>
      <c r="P203" s="488"/>
      <c r="Q203" s="488"/>
      <c r="R203" s="488"/>
      <c r="S203" s="488"/>
      <c r="T203" s="479">
        <v>2.6550000000000001E-2</v>
      </c>
      <c r="U203" s="444"/>
      <c r="V203" s="444"/>
      <c r="W203" s="446"/>
      <c r="X203" s="425"/>
    </row>
    <row r="204" spans="1:24" s="426" customFormat="1" x14ac:dyDescent="0.3">
      <c r="A204" s="443"/>
      <c r="B204" s="444" t="s">
        <v>222</v>
      </c>
      <c r="C204" s="582"/>
      <c r="D204" s="582"/>
      <c r="E204" s="582"/>
      <c r="F204" s="582"/>
      <c r="G204" s="488"/>
      <c r="H204" s="488"/>
      <c r="I204" s="488"/>
      <c r="J204" s="488"/>
      <c r="K204" s="488"/>
      <c r="L204" s="488"/>
      <c r="M204" s="488"/>
      <c r="N204" s="488"/>
      <c r="O204" s="488"/>
      <c r="P204" s="488"/>
      <c r="Q204" s="488"/>
      <c r="R204" s="488"/>
      <c r="S204" s="488"/>
      <c r="T204" s="479">
        <f>V43</f>
        <v>1.2520068399017098E-2</v>
      </c>
      <c r="U204" s="444"/>
      <c r="V204" s="444"/>
      <c r="W204" s="446"/>
      <c r="X204" s="425"/>
    </row>
    <row r="205" spans="1:24" s="426" customFormat="1" x14ac:dyDescent="0.3">
      <c r="A205" s="443"/>
      <c r="B205" s="444" t="s">
        <v>74</v>
      </c>
      <c r="C205" s="582"/>
      <c r="D205" s="582"/>
      <c r="E205" s="582"/>
      <c r="F205" s="582"/>
      <c r="G205" s="488"/>
      <c r="H205" s="488"/>
      <c r="I205" s="488"/>
      <c r="J205" s="488"/>
      <c r="K205" s="488"/>
      <c r="L205" s="488"/>
      <c r="M205" s="488"/>
      <c r="N205" s="488"/>
      <c r="O205" s="488"/>
      <c r="P205" s="488"/>
      <c r="Q205" s="488"/>
      <c r="R205" s="488"/>
      <c r="S205" s="488"/>
      <c r="T205" s="479">
        <f>T203-T204</f>
        <v>1.4029931600982903E-2</v>
      </c>
      <c r="U205" s="444"/>
      <c r="V205" s="444"/>
      <c r="W205" s="446"/>
      <c r="X205" s="425"/>
    </row>
    <row r="206" spans="1:24" s="426" customFormat="1" x14ac:dyDescent="0.3">
      <c r="A206" s="443"/>
      <c r="B206" s="444" t="s">
        <v>274</v>
      </c>
      <c r="C206" s="582"/>
      <c r="D206" s="582"/>
      <c r="E206" s="582"/>
      <c r="F206" s="582"/>
      <c r="G206" s="488"/>
      <c r="H206" s="488"/>
      <c r="I206" s="488"/>
      <c r="J206" s="488"/>
      <c r="K206" s="488"/>
      <c r="L206" s="488"/>
      <c r="M206" s="488"/>
      <c r="N206" s="488"/>
      <c r="O206" s="488"/>
      <c r="P206" s="488"/>
      <c r="Q206" s="488"/>
      <c r="R206" s="488"/>
      <c r="S206" s="488"/>
      <c r="T206" s="479">
        <f>+V99/N70</f>
        <v>7.3815322676268839E-3</v>
      </c>
      <c r="U206" s="444"/>
      <c r="V206" s="444"/>
      <c r="W206" s="446"/>
      <c r="X206" s="425"/>
    </row>
    <row r="207" spans="1:24" s="426" customFormat="1" x14ac:dyDescent="0.3">
      <c r="A207" s="443"/>
      <c r="B207" s="444" t="s">
        <v>211</v>
      </c>
      <c r="C207" s="582"/>
      <c r="D207" s="582"/>
      <c r="E207" s="582"/>
      <c r="F207" s="582"/>
      <c r="G207" s="488"/>
      <c r="H207" s="488"/>
      <c r="I207" s="488"/>
      <c r="J207" s="488"/>
      <c r="K207" s="488"/>
      <c r="L207" s="488"/>
      <c r="M207" s="488"/>
      <c r="N207" s="488"/>
      <c r="O207" s="488"/>
      <c r="P207" s="488"/>
      <c r="Q207" s="488"/>
      <c r="R207" s="488"/>
      <c r="S207" s="488"/>
      <c r="T207" s="583">
        <v>50771</v>
      </c>
      <c r="U207" s="444"/>
      <c r="V207" s="444"/>
      <c r="W207" s="446"/>
      <c r="X207" s="425"/>
    </row>
    <row r="208" spans="1:24" s="426" customFormat="1" x14ac:dyDescent="0.3">
      <c r="A208" s="443"/>
      <c r="B208" s="444" t="s">
        <v>212</v>
      </c>
      <c r="C208" s="582"/>
      <c r="D208" s="582"/>
      <c r="E208" s="582"/>
      <c r="F208" s="582"/>
      <c r="G208" s="488"/>
      <c r="H208" s="488"/>
      <c r="I208" s="488"/>
      <c r="J208" s="488"/>
      <c r="K208" s="488"/>
      <c r="L208" s="488"/>
      <c r="M208" s="488"/>
      <c r="N208" s="488"/>
      <c r="O208" s="488"/>
      <c r="P208" s="488"/>
      <c r="Q208" s="488"/>
      <c r="R208" s="488"/>
      <c r="S208" s="488"/>
      <c r="T208" s="583">
        <v>50771</v>
      </c>
      <c r="U208" s="444"/>
      <c r="V208" s="444"/>
      <c r="W208" s="446"/>
      <c r="X208" s="425"/>
    </row>
    <row r="209" spans="1:24" s="426" customFormat="1" x14ac:dyDescent="0.3">
      <c r="A209" s="443"/>
      <c r="B209" s="444" t="s">
        <v>213</v>
      </c>
      <c r="C209" s="582"/>
      <c r="D209" s="582"/>
      <c r="E209" s="582"/>
      <c r="F209" s="582"/>
      <c r="G209" s="488"/>
      <c r="H209" s="488"/>
      <c r="I209" s="488"/>
      <c r="J209" s="488"/>
      <c r="K209" s="488"/>
      <c r="L209" s="488"/>
      <c r="M209" s="488"/>
      <c r="N209" s="488"/>
      <c r="O209" s="488"/>
      <c r="P209" s="488"/>
      <c r="Q209" s="488"/>
      <c r="R209" s="488"/>
      <c r="S209" s="488"/>
      <c r="T209" s="583">
        <v>50771</v>
      </c>
      <c r="U209" s="444"/>
      <c r="V209" s="444"/>
      <c r="W209" s="446"/>
      <c r="X209" s="425"/>
    </row>
    <row r="210" spans="1:24" s="426" customFormat="1" x14ac:dyDescent="0.3">
      <c r="A210" s="443"/>
      <c r="B210" s="444" t="s">
        <v>75</v>
      </c>
      <c r="C210" s="582"/>
      <c r="D210" s="582"/>
      <c r="E210" s="582"/>
      <c r="F210" s="582"/>
      <c r="G210" s="488"/>
      <c r="H210" s="488"/>
      <c r="I210" s="488"/>
      <c r="J210" s="488"/>
      <c r="K210" s="488"/>
      <c r="L210" s="488"/>
      <c r="M210" s="488"/>
      <c r="N210" s="488"/>
      <c r="O210" s="488"/>
      <c r="P210" s="488"/>
      <c r="Q210" s="488"/>
      <c r="R210" s="488"/>
      <c r="S210" s="488"/>
      <c r="T210" s="484">
        <v>20.66</v>
      </c>
      <c r="U210" s="444" t="s">
        <v>113</v>
      </c>
      <c r="V210" s="444"/>
      <c r="W210" s="446"/>
      <c r="X210" s="425"/>
    </row>
    <row r="211" spans="1:24" s="426" customFormat="1" x14ac:dyDescent="0.3">
      <c r="A211" s="443"/>
      <c r="B211" s="444" t="s">
        <v>76</v>
      </c>
      <c r="C211" s="582"/>
      <c r="D211" s="582"/>
      <c r="E211" s="582"/>
      <c r="F211" s="582"/>
      <c r="G211" s="488"/>
      <c r="H211" s="488"/>
      <c r="I211" s="488"/>
      <c r="J211" s="488"/>
      <c r="K211" s="488"/>
      <c r="L211" s="488"/>
      <c r="M211" s="488"/>
      <c r="N211" s="488"/>
      <c r="O211" s="488"/>
      <c r="P211" s="488"/>
      <c r="Q211" s="488"/>
      <c r="R211" s="488"/>
      <c r="S211" s="488"/>
      <c r="T211" s="484">
        <v>9.51</v>
      </c>
      <c r="U211" s="444" t="s">
        <v>113</v>
      </c>
      <c r="V211" s="444"/>
      <c r="W211" s="446"/>
      <c r="X211" s="425"/>
    </row>
    <row r="212" spans="1:24" s="426" customFormat="1" x14ac:dyDescent="0.3">
      <c r="A212" s="443"/>
      <c r="B212" s="444" t="s">
        <v>77</v>
      </c>
      <c r="C212" s="582"/>
      <c r="D212" s="582"/>
      <c r="E212" s="582"/>
      <c r="F212" s="582"/>
      <c r="G212" s="488"/>
      <c r="H212" s="488"/>
      <c r="I212" s="488"/>
      <c r="J212" s="488"/>
      <c r="K212" s="488"/>
      <c r="L212" s="488"/>
      <c r="M212" s="488"/>
      <c r="N212" s="488"/>
      <c r="O212" s="488"/>
      <c r="P212" s="488"/>
      <c r="Q212" s="488"/>
      <c r="R212" s="488"/>
      <c r="S212" s="488"/>
      <c r="T212" s="479">
        <f>P67/N67</f>
        <v>1.4226077143554176E-2</v>
      </c>
      <c r="U212" s="444"/>
      <c r="V212" s="444"/>
      <c r="W212" s="446"/>
      <c r="X212" s="425"/>
    </row>
    <row r="213" spans="1:24" s="426" customFormat="1" x14ac:dyDescent="0.3">
      <c r="A213" s="443"/>
      <c r="B213" s="444" t="s">
        <v>78</v>
      </c>
      <c r="C213" s="582"/>
      <c r="D213" s="582"/>
      <c r="E213" s="582"/>
      <c r="F213" s="582"/>
      <c r="G213" s="488"/>
      <c r="H213" s="488"/>
      <c r="I213" s="488"/>
      <c r="J213" s="488"/>
      <c r="K213" s="488"/>
      <c r="L213" s="488"/>
      <c r="M213" s="488"/>
      <c r="N213" s="488"/>
      <c r="O213" s="488"/>
      <c r="P213" s="488"/>
      <c r="Q213" s="488"/>
      <c r="R213" s="488"/>
      <c r="S213" s="488"/>
      <c r="T213" s="479">
        <v>6.3E-2</v>
      </c>
      <c r="U213" s="444"/>
      <c r="V213" s="444"/>
      <c r="W213" s="446"/>
      <c r="X213" s="425"/>
    </row>
    <row r="214" spans="1:24" s="426" customFormat="1" x14ac:dyDescent="0.3">
      <c r="A214" s="421"/>
      <c r="B214" s="494"/>
      <c r="C214" s="494"/>
      <c r="D214" s="494"/>
      <c r="E214" s="494"/>
      <c r="F214" s="494"/>
      <c r="G214" s="494"/>
      <c r="H214" s="494"/>
      <c r="I214" s="494"/>
      <c r="J214" s="494"/>
      <c r="K214" s="494"/>
      <c r="L214" s="494"/>
      <c r="M214" s="494"/>
      <c r="N214" s="494"/>
      <c r="O214" s="494"/>
      <c r="P214" s="494"/>
      <c r="Q214" s="494"/>
      <c r="R214" s="494"/>
      <c r="S214" s="494"/>
      <c r="T214" s="584"/>
      <c r="U214" s="494"/>
      <c r="V214" s="585"/>
      <c r="W214" s="424"/>
      <c r="X214" s="425"/>
    </row>
    <row r="215" spans="1:24" s="426" customFormat="1" x14ac:dyDescent="0.3">
      <c r="A215" s="586"/>
      <c r="B215" s="420" t="s">
        <v>79</v>
      </c>
      <c r="C215" s="429"/>
      <c r="D215" s="429"/>
      <c r="E215" s="429"/>
      <c r="F215" s="587"/>
      <c r="G215" s="429"/>
      <c r="H215" s="429"/>
      <c r="I215" s="429"/>
      <c r="J215" s="429"/>
      <c r="K215" s="429"/>
      <c r="L215" s="429"/>
      <c r="M215" s="429"/>
      <c r="N215" s="429"/>
      <c r="O215" s="429"/>
      <c r="P215" s="429"/>
      <c r="Q215" s="429"/>
      <c r="R215" s="429"/>
      <c r="S215" s="429" t="s">
        <v>103</v>
      </c>
      <c r="T215" s="587" t="s">
        <v>110</v>
      </c>
      <c r="U215" s="422"/>
      <c r="V215" s="422"/>
      <c r="W215" s="424"/>
      <c r="X215" s="425"/>
    </row>
    <row r="216" spans="1:24" s="426" customFormat="1" x14ac:dyDescent="0.3">
      <c r="A216" s="588"/>
      <c r="B216" s="444" t="s">
        <v>80</v>
      </c>
      <c r="C216" s="516"/>
      <c r="D216" s="516"/>
      <c r="E216" s="516"/>
      <c r="F216" s="444"/>
      <c r="G216" s="444"/>
      <c r="H216" s="450"/>
      <c r="I216" s="450"/>
      <c r="J216" s="450"/>
      <c r="K216" s="450"/>
      <c r="L216" s="450"/>
      <c r="M216" s="450"/>
      <c r="N216" s="450"/>
      <c r="O216" s="450"/>
      <c r="P216" s="450"/>
      <c r="Q216" s="450"/>
      <c r="R216" s="450"/>
      <c r="S216" s="450">
        <v>1</v>
      </c>
      <c r="T216" s="589">
        <v>97</v>
      </c>
      <c r="U216" s="444"/>
      <c r="V216" s="590"/>
      <c r="W216" s="591"/>
      <c r="X216" s="425"/>
    </row>
    <row r="217" spans="1:24" s="426" customFormat="1" x14ac:dyDescent="0.3">
      <c r="A217" s="588"/>
      <c r="B217" s="444" t="s">
        <v>148</v>
      </c>
      <c r="C217" s="516"/>
      <c r="D217" s="516"/>
      <c r="E217" s="516"/>
      <c r="F217" s="444"/>
      <c r="G217" s="444"/>
      <c r="H217" s="450"/>
      <c r="I217" s="450"/>
      <c r="J217" s="450"/>
      <c r="K217" s="450"/>
      <c r="L217" s="450"/>
      <c r="M217" s="450"/>
      <c r="N217" s="450"/>
      <c r="O217" s="450"/>
      <c r="P217" s="450"/>
      <c r="Q217" s="450"/>
      <c r="R217" s="450"/>
      <c r="S217" s="592">
        <f>+R269</f>
        <v>89</v>
      </c>
      <c r="T217" s="589">
        <f>+T269</f>
        <v>15548</v>
      </c>
      <c r="U217" s="444"/>
      <c r="V217" s="590"/>
      <c r="W217" s="591"/>
      <c r="X217" s="425"/>
    </row>
    <row r="218" spans="1:24" s="426" customFormat="1" x14ac:dyDescent="0.3">
      <c r="A218" s="588"/>
      <c r="B218" s="444" t="s">
        <v>81</v>
      </c>
      <c r="C218" s="516"/>
      <c r="D218" s="516"/>
      <c r="E218" s="516"/>
      <c r="F218" s="444"/>
      <c r="G218" s="444"/>
      <c r="H218" s="450"/>
      <c r="I218" s="450"/>
      <c r="J218" s="450"/>
      <c r="K218" s="450"/>
      <c r="L218" s="450"/>
      <c r="M218" s="450"/>
      <c r="N218" s="450"/>
      <c r="O218" s="450"/>
      <c r="P218" s="450"/>
      <c r="Q218" s="450"/>
      <c r="R218" s="450"/>
      <c r="S218" s="592">
        <f>+R281</f>
        <v>0</v>
      </c>
      <c r="T218" s="589">
        <f>+T281</f>
        <v>0</v>
      </c>
      <c r="U218" s="444"/>
      <c r="V218" s="590"/>
      <c r="W218" s="591"/>
      <c r="X218" s="425"/>
    </row>
    <row r="219" spans="1:24" x14ac:dyDescent="0.3">
      <c r="A219" s="593"/>
      <c r="B219" s="594" t="s">
        <v>82</v>
      </c>
      <c r="C219" s="595"/>
      <c r="D219" s="595"/>
      <c r="E219" s="595"/>
      <c r="F219" s="465"/>
      <c r="G219" s="465"/>
      <c r="H219" s="465"/>
      <c r="I219" s="465"/>
      <c r="J219" s="465"/>
      <c r="K219" s="465"/>
      <c r="L219" s="465"/>
      <c r="M219" s="465"/>
      <c r="N219" s="465"/>
      <c r="O219" s="465"/>
      <c r="P219" s="465"/>
      <c r="Q219" s="465"/>
      <c r="R219" s="465"/>
      <c r="S219" s="465"/>
      <c r="T219" s="589">
        <v>0</v>
      </c>
      <c r="U219" s="465"/>
      <c r="V219" s="596"/>
      <c r="W219" s="597"/>
      <c r="X219" s="406"/>
    </row>
    <row r="220" spans="1:24" x14ac:dyDescent="0.3">
      <c r="A220" s="593"/>
      <c r="B220" s="594" t="s">
        <v>275</v>
      </c>
      <c r="C220" s="595"/>
      <c r="D220" s="595"/>
      <c r="E220" s="595"/>
      <c r="F220" s="465"/>
      <c r="G220" s="465"/>
      <c r="H220" s="465"/>
      <c r="I220" s="465"/>
      <c r="J220" s="465"/>
      <c r="K220" s="465"/>
      <c r="L220" s="465"/>
      <c r="M220" s="465"/>
      <c r="N220" s="465"/>
      <c r="O220" s="465"/>
      <c r="P220" s="465"/>
      <c r="Q220" s="465"/>
      <c r="R220" s="465"/>
      <c r="S220" s="465"/>
      <c r="T220" s="589">
        <f>+N80</f>
        <v>0</v>
      </c>
      <c r="U220" s="465"/>
      <c r="V220" s="596"/>
      <c r="W220" s="597"/>
      <c r="X220" s="406"/>
    </row>
    <row r="221" spans="1:24" x14ac:dyDescent="0.3">
      <c r="A221" s="598"/>
      <c r="B221" s="594" t="s">
        <v>83</v>
      </c>
      <c r="C221" s="599"/>
      <c r="D221" s="599"/>
      <c r="E221" s="599"/>
      <c r="F221" s="599"/>
      <c r="G221" s="465"/>
      <c r="H221" s="465"/>
      <c r="I221" s="465"/>
      <c r="J221" s="465"/>
      <c r="K221" s="465"/>
      <c r="L221" s="465"/>
      <c r="M221" s="465"/>
      <c r="N221" s="465"/>
      <c r="O221" s="465"/>
      <c r="P221" s="465"/>
      <c r="Q221" s="465"/>
      <c r="R221" s="465"/>
      <c r="S221" s="465"/>
      <c r="T221" s="600"/>
      <c r="U221" s="465"/>
      <c r="V221" s="596"/>
      <c r="W221" s="601"/>
      <c r="X221" s="406"/>
    </row>
    <row r="222" spans="1:24" s="426" customFormat="1" x14ac:dyDescent="0.3">
      <c r="A222" s="602"/>
      <c r="B222" s="444" t="s">
        <v>84</v>
      </c>
      <c r="C222" s="444"/>
      <c r="D222" s="444"/>
      <c r="E222" s="444"/>
      <c r="F222" s="444"/>
      <c r="G222" s="444"/>
      <c r="H222" s="444"/>
      <c r="I222" s="444"/>
      <c r="J222" s="444"/>
      <c r="K222" s="444"/>
      <c r="L222" s="444"/>
      <c r="M222" s="444"/>
      <c r="N222" s="444"/>
      <c r="O222" s="444"/>
      <c r="P222" s="444"/>
      <c r="Q222" s="444"/>
      <c r="R222" s="444"/>
      <c r="S222" s="450"/>
      <c r="T222" s="589">
        <f>V166</f>
        <v>185</v>
      </c>
      <c r="U222" s="444"/>
      <c r="V222" s="590"/>
      <c r="W222" s="603"/>
      <c r="X222" s="425"/>
    </row>
    <row r="223" spans="1:24" s="426" customFormat="1" x14ac:dyDescent="0.3">
      <c r="A223" s="588"/>
      <c r="B223" s="444" t="s">
        <v>85</v>
      </c>
      <c r="C223" s="516"/>
      <c r="D223" s="516"/>
      <c r="E223" s="516"/>
      <c r="F223" s="516"/>
      <c r="G223" s="444"/>
      <c r="H223" s="444"/>
      <c r="I223" s="444"/>
      <c r="J223" s="444"/>
      <c r="K223" s="444"/>
      <c r="L223" s="444"/>
      <c r="M223" s="444"/>
      <c r="N223" s="444"/>
      <c r="O223" s="444"/>
      <c r="P223" s="444"/>
      <c r="Q223" s="444"/>
      <c r="R223" s="444"/>
      <c r="S223" s="450"/>
      <c r="T223" s="589">
        <f>'Dec 18'!T223+T222</f>
        <v>12136</v>
      </c>
      <c r="U223" s="444"/>
      <c r="V223" s="590"/>
      <c r="W223" s="603"/>
      <c r="X223" s="425"/>
    </row>
    <row r="224" spans="1:24" x14ac:dyDescent="0.3">
      <c r="A224" s="598"/>
      <c r="B224" s="594" t="s">
        <v>297</v>
      </c>
      <c r="C224" s="599"/>
      <c r="D224" s="599"/>
      <c r="E224" s="599"/>
      <c r="F224" s="599"/>
      <c r="G224" s="465"/>
      <c r="H224" s="465"/>
      <c r="I224" s="465"/>
      <c r="J224" s="465"/>
      <c r="K224" s="465"/>
      <c r="L224" s="465"/>
      <c r="M224" s="465"/>
      <c r="N224" s="465"/>
      <c r="O224" s="465"/>
      <c r="P224" s="465"/>
      <c r="Q224" s="465"/>
      <c r="R224" s="465"/>
      <c r="S224" s="604"/>
      <c r="T224" s="600"/>
      <c r="U224" s="465"/>
      <c r="V224" s="596"/>
      <c r="W224" s="601"/>
      <c r="X224" s="406"/>
    </row>
    <row r="225" spans="1:25" s="426" customFormat="1" x14ac:dyDescent="0.3">
      <c r="A225" s="602"/>
      <c r="B225" s="444" t="s">
        <v>295</v>
      </c>
      <c r="C225" s="444"/>
      <c r="D225" s="444"/>
      <c r="E225" s="444"/>
      <c r="F225" s="444"/>
      <c r="G225" s="444"/>
      <c r="H225" s="444"/>
      <c r="I225" s="444"/>
      <c r="J225" s="444"/>
      <c r="K225" s="444"/>
      <c r="L225" s="444"/>
      <c r="M225" s="444"/>
      <c r="N225" s="444"/>
      <c r="O225" s="444"/>
      <c r="P225" s="444"/>
      <c r="Q225" s="444"/>
      <c r="R225" s="444"/>
      <c r="S225" s="450">
        <v>0</v>
      </c>
      <c r="T225" s="589">
        <v>0</v>
      </c>
      <c r="U225" s="444"/>
      <c r="V225" s="590"/>
      <c r="W225" s="603"/>
      <c r="X225" s="425"/>
    </row>
    <row r="226" spans="1:25" s="426" customFormat="1" x14ac:dyDescent="0.3">
      <c r="A226" s="588"/>
      <c r="B226" s="444" t="s">
        <v>87</v>
      </c>
      <c r="C226" s="482"/>
      <c r="D226" s="482"/>
      <c r="E226" s="482"/>
      <c r="F226" s="605"/>
      <c r="G226" s="444"/>
      <c r="H226" s="444"/>
      <c r="I226" s="444"/>
      <c r="J226" s="444"/>
      <c r="K226" s="444"/>
      <c r="L226" s="444"/>
      <c r="M226" s="444"/>
      <c r="N226" s="444"/>
      <c r="O226" s="444"/>
      <c r="P226" s="444"/>
      <c r="Q226" s="444"/>
      <c r="R226" s="444"/>
      <c r="S226" s="444"/>
      <c r="T226" s="606">
        <v>0</v>
      </c>
      <c r="U226" s="444"/>
      <c r="V226" s="590"/>
      <c r="W226" s="603"/>
      <c r="X226" s="425"/>
    </row>
    <row r="227" spans="1:25" s="426" customFormat="1" x14ac:dyDescent="0.3">
      <c r="A227" s="588"/>
      <c r="B227" s="444" t="s">
        <v>88</v>
      </c>
      <c r="C227" s="482"/>
      <c r="D227" s="482"/>
      <c r="E227" s="482"/>
      <c r="F227" s="605"/>
      <c r="G227" s="444"/>
      <c r="H227" s="444"/>
      <c r="I227" s="444"/>
      <c r="J227" s="444"/>
      <c r="K227" s="444"/>
      <c r="L227" s="444"/>
      <c r="M227" s="444"/>
      <c r="N227" s="444"/>
      <c r="O227" s="444"/>
      <c r="P227" s="444"/>
      <c r="Q227" s="444"/>
      <c r="R227" s="444"/>
      <c r="S227" s="444"/>
      <c r="T227" s="606">
        <v>0</v>
      </c>
      <c r="U227" s="444"/>
      <c r="V227" s="590"/>
      <c r="W227" s="603"/>
      <c r="X227" s="425"/>
    </row>
    <row r="228" spans="1:25" x14ac:dyDescent="0.3">
      <c r="A228" s="593"/>
      <c r="B228" s="594" t="s">
        <v>220</v>
      </c>
      <c r="C228" s="607"/>
      <c r="D228" s="607"/>
      <c r="E228" s="607"/>
      <c r="F228" s="608"/>
      <c r="G228" s="465"/>
      <c r="H228" s="465"/>
      <c r="I228" s="465"/>
      <c r="J228" s="465"/>
      <c r="K228" s="465"/>
      <c r="L228" s="465"/>
      <c r="M228" s="465"/>
      <c r="N228" s="465"/>
      <c r="O228" s="465"/>
      <c r="P228" s="465"/>
      <c r="Q228" s="465"/>
      <c r="R228" s="465"/>
      <c r="S228" s="609"/>
      <c r="T228" s="610"/>
      <c r="U228" s="465"/>
      <c r="V228" s="596"/>
      <c r="W228" s="601"/>
      <c r="X228" s="406"/>
    </row>
    <row r="229" spans="1:25" s="426" customFormat="1" x14ac:dyDescent="0.3">
      <c r="A229" s="588"/>
      <c r="B229" s="444" t="s">
        <v>295</v>
      </c>
      <c r="C229" s="482"/>
      <c r="D229" s="482"/>
      <c r="E229" s="482"/>
      <c r="F229" s="605"/>
      <c r="G229" s="444"/>
      <c r="H229" s="444"/>
      <c r="I229" s="444"/>
      <c r="J229" s="444"/>
      <c r="K229" s="444"/>
      <c r="L229" s="444"/>
      <c r="M229" s="444"/>
      <c r="N229" s="444"/>
      <c r="O229" s="444"/>
      <c r="P229" s="444"/>
      <c r="Q229" s="444"/>
      <c r="R229" s="444"/>
      <c r="S229" s="450">
        <v>1</v>
      </c>
      <c r="T229" s="589">
        <v>213</v>
      </c>
      <c r="U229" s="444"/>
      <c r="V229" s="590"/>
      <c r="W229" s="603"/>
      <c r="X229" s="425"/>
    </row>
    <row r="230" spans="1:25" s="426" customFormat="1" x14ac:dyDescent="0.3">
      <c r="A230" s="588"/>
      <c r="B230" s="444" t="s">
        <v>221</v>
      </c>
      <c r="C230" s="482"/>
      <c r="D230" s="482"/>
      <c r="E230" s="482"/>
      <c r="F230" s="605"/>
      <c r="G230" s="444"/>
      <c r="H230" s="444"/>
      <c r="I230" s="444"/>
      <c r="J230" s="444"/>
      <c r="K230" s="444"/>
      <c r="L230" s="444"/>
      <c r="M230" s="444"/>
      <c r="N230" s="444"/>
      <c r="O230" s="444"/>
      <c r="P230" s="444"/>
      <c r="Q230" s="444"/>
      <c r="R230" s="444"/>
      <c r="S230" s="444"/>
      <c r="T230" s="606">
        <v>51.03</v>
      </c>
      <c r="U230" s="444"/>
      <c r="V230" s="590"/>
      <c r="W230" s="603"/>
      <c r="X230" s="425"/>
    </row>
    <row r="231" spans="1:25" x14ac:dyDescent="0.3">
      <c r="A231" s="593"/>
      <c r="B231" s="599"/>
      <c r="C231" s="607"/>
      <c r="D231" s="607"/>
      <c r="E231" s="607"/>
      <c r="F231" s="608"/>
      <c r="G231" s="465"/>
      <c r="H231" s="465"/>
      <c r="I231" s="465"/>
      <c r="J231" s="465"/>
      <c r="K231" s="465"/>
      <c r="L231" s="465"/>
      <c r="M231" s="465"/>
      <c r="N231" s="465"/>
      <c r="O231" s="465"/>
      <c r="P231" s="465"/>
      <c r="Q231" s="465"/>
      <c r="R231" s="465"/>
      <c r="S231" s="465"/>
      <c r="T231" s="611"/>
      <c r="U231" s="465"/>
      <c r="V231" s="596"/>
      <c r="W231" s="601"/>
      <c r="X231" s="406"/>
    </row>
    <row r="232" spans="1:25" x14ac:dyDescent="0.3">
      <c r="A232" s="593"/>
      <c r="B232" s="599"/>
      <c r="C232" s="607"/>
      <c r="D232" s="607"/>
      <c r="E232" s="607"/>
      <c r="F232" s="608"/>
      <c r="G232" s="465"/>
      <c r="H232" s="465"/>
      <c r="I232" s="465"/>
      <c r="J232" s="465"/>
      <c r="K232" s="465"/>
      <c r="L232" s="465"/>
      <c r="M232" s="465"/>
      <c r="N232" s="465"/>
      <c r="O232" s="465"/>
      <c r="P232" s="465"/>
      <c r="Q232" s="465"/>
      <c r="R232" s="465"/>
      <c r="S232" s="465"/>
      <c r="T232" s="611"/>
      <c r="U232" s="465"/>
      <c r="V232" s="596"/>
      <c r="W232" s="601"/>
      <c r="X232" s="406"/>
    </row>
    <row r="233" spans="1:25" ht="18" x14ac:dyDescent="0.35">
      <c r="A233" s="593"/>
      <c r="B233" s="612" t="s">
        <v>171</v>
      </c>
      <c r="C233" s="607"/>
      <c r="D233" s="607"/>
      <c r="E233" s="607"/>
      <c r="F233" s="608"/>
      <c r="G233" s="465"/>
      <c r="H233" s="465"/>
      <c r="I233" s="465"/>
      <c r="J233" s="465"/>
      <c r="K233" s="465"/>
      <c r="L233" s="465"/>
      <c r="M233" s="465"/>
      <c r="N233" s="465"/>
      <c r="O233" s="465"/>
      <c r="P233" s="613" t="s">
        <v>370</v>
      </c>
      <c r="Q233" s="465"/>
      <c r="R233" s="465"/>
      <c r="S233" s="465"/>
      <c r="T233" s="611"/>
      <c r="U233" s="465"/>
      <c r="V233" s="596"/>
      <c r="W233" s="601"/>
      <c r="X233" s="406"/>
    </row>
    <row r="234" spans="1:25" x14ac:dyDescent="0.3">
      <c r="A234" s="614"/>
      <c r="B234" s="615"/>
      <c r="C234" s="616"/>
      <c r="D234" s="616"/>
      <c r="E234" s="616"/>
      <c r="F234" s="617"/>
      <c r="G234" s="518"/>
      <c r="H234" s="518"/>
      <c r="I234" s="518"/>
      <c r="J234" s="518"/>
      <c r="K234" s="518"/>
      <c r="L234" s="518"/>
      <c r="M234" s="518"/>
      <c r="N234" s="518"/>
      <c r="O234" s="518"/>
      <c r="P234" s="518"/>
      <c r="Q234" s="518"/>
      <c r="R234" s="518"/>
      <c r="S234" s="518"/>
      <c r="T234" s="618"/>
      <c r="U234" s="518"/>
      <c r="V234" s="619"/>
      <c r="W234" s="620"/>
      <c r="X234" s="406"/>
    </row>
    <row r="235" spans="1:25" x14ac:dyDescent="0.3">
      <c r="A235" s="533"/>
      <c r="B235" s="534" t="s">
        <v>310</v>
      </c>
      <c r="C235" s="535"/>
      <c r="D235" s="535"/>
      <c r="E235" s="535"/>
      <c r="F235" s="621"/>
      <c r="G235" s="535"/>
      <c r="H235" s="535"/>
      <c r="I235" s="535"/>
      <c r="J235" s="535"/>
      <c r="K235" s="535"/>
      <c r="L235" s="535"/>
      <c r="M235" s="535"/>
      <c r="N235" s="535"/>
      <c r="O235" s="535"/>
      <c r="P235" s="535"/>
      <c r="Q235" s="535"/>
      <c r="R235" s="621" t="s">
        <v>103</v>
      </c>
      <c r="S235" s="535" t="s">
        <v>104</v>
      </c>
      <c r="T235" s="621" t="s">
        <v>111</v>
      </c>
      <c r="U235" s="535" t="s">
        <v>104</v>
      </c>
      <c r="V235" s="622"/>
      <c r="W235" s="623"/>
      <c r="X235" s="406"/>
    </row>
    <row r="236" spans="1:25" s="426" customFormat="1" x14ac:dyDescent="0.3">
      <c r="A236" s="421"/>
      <c r="B236" s="552" t="s">
        <v>89</v>
      </c>
      <c r="C236" s="624"/>
      <c r="D236" s="624"/>
      <c r="E236" s="624"/>
      <c r="F236" s="494"/>
      <c r="G236" s="624"/>
      <c r="H236" s="624"/>
      <c r="I236" s="624"/>
      <c r="J236" s="624"/>
      <c r="K236" s="624"/>
      <c r="L236" s="624"/>
      <c r="M236" s="624"/>
      <c r="N236" s="624"/>
      <c r="O236" s="624"/>
      <c r="P236" s="624"/>
      <c r="Q236" s="624"/>
      <c r="R236" s="539">
        <f t="shared" ref="R236:R243" si="1">+R248+R260+R272</f>
        <v>5624</v>
      </c>
      <c r="S236" s="625">
        <f t="shared" ref="S236:S243" si="2">R236/$R$245</f>
        <v>0.99293785310734461</v>
      </c>
      <c r="T236" s="540">
        <f t="shared" ref="T236:T243" si="3">+T248+T260+T272</f>
        <v>715891</v>
      </c>
      <c r="U236" s="625">
        <f t="shared" ref="U236:U243" si="4">T236/$T$245</f>
        <v>0.98977719709381506</v>
      </c>
      <c r="V236" s="585"/>
      <c r="W236" s="626"/>
      <c r="X236" s="425"/>
    </row>
    <row r="237" spans="1:25" s="426" customFormat="1" x14ac:dyDescent="0.3">
      <c r="A237" s="443"/>
      <c r="B237" s="516" t="s">
        <v>90</v>
      </c>
      <c r="C237" s="627"/>
      <c r="D237" s="627"/>
      <c r="E237" s="627"/>
      <c r="F237" s="444"/>
      <c r="G237" s="628"/>
      <c r="H237" s="627"/>
      <c r="I237" s="627"/>
      <c r="J237" s="627"/>
      <c r="K237" s="627"/>
      <c r="L237" s="627"/>
      <c r="M237" s="627"/>
      <c r="N237" s="627"/>
      <c r="O237" s="627"/>
      <c r="P237" s="627"/>
      <c r="Q237" s="627"/>
      <c r="R237" s="516">
        <f t="shared" si="1"/>
        <v>18</v>
      </c>
      <c r="S237" s="628">
        <f t="shared" si="2"/>
        <v>3.1779661016949155E-3</v>
      </c>
      <c r="T237" s="517">
        <f t="shared" si="3"/>
        <v>3459</v>
      </c>
      <c r="U237" s="628">
        <f t="shared" si="4"/>
        <v>4.7823472075323005E-3</v>
      </c>
      <c r="V237" s="590"/>
      <c r="W237" s="603"/>
      <c r="X237" s="425"/>
      <c r="Y237" s="549"/>
    </row>
    <row r="238" spans="1:25" s="426" customFormat="1" x14ac:dyDescent="0.3">
      <c r="A238" s="443"/>
      <c r="B238" s="516" t="s">
        <v>91</v>
      </c>
      <c r="C238" s="627"/>
      <c r="D238" s="627"/>
      <c r="E238" s="627"/>
      <c r="F238" s="444"/>
      <c r="G238" s="628"/>
      <c r="H238" s="627"/>
      <c r="I238" s="627"/>
      <c r="J238" s="627"/>
      <c r="K238" s="627"/>
      <c r="L238" s="627"/>
      <c r="M238" s="627"/>
      <c r="N238" s="627"/>
      <c r="O238" s="627"/>
      <c r="P238" s="627"/>
      <c r="Q238" s="627"/>
      <c r="R238" s="516">
        <f t="shared" si="1"/>
        <v>9</v>
      </c>
      <c r="S238" s="628">
        <f t="shared" si="2"/>
        <v>1.5889830508474577E-3</v>
      </c>
      <c r="T238" s="517">
        <f t="shared" si="3"/>
        <v>2067</v>
      </c>
      <c r="U238" s="628">
        <f t="shared" si="4"/>
        <v>2.8577946452643149E-3</v>
      </c>
      <c r="V238" s="590"/>
      <c r="W238" s="603"/>
      <c r="X238" s="425"/>
    </row>
    <row r="239" spans="1:25" s="426" customFormat="1" x14ac:dyDescent="0.3">
      <c r="A239" s="443"/>
      <c r="B239" s="516" t="s">
        <v>159</v>
      </c>
      <c r="C239" s="627"/>
      <c r="D239" s="627"/>
      <c r="E239" s="627"/>
      <c r="F239" s="444"/>
      <c r="G239" s="628"/>
      <c r="H239" s="627"/>
      <c r="I239" s="627"/>
      <c r="J239" s="627"/>
      <c r="K239" s="627"/>
      <c r="L239" s="627"/>
      <c r="M239" s="627"/>
      <c r="N239" s="627"/>
      <c r="O239" s="627"/>
      <c r="P239" s="627"/>
      <c r="Q239" s="627"/>
      <c r="R239" s="516">
        <f t="shared" si="1"/>
        <v>0</v>
      </c>
      <c r="S239" s="628">
        <f t="shared" si="2"/>
        <v>0</v>
      </c>
      <c r="T239" s="517">
        <f t="shared" si="3"/>
        <v>0</v>
      </c>
      <c r="U239" s="628">
        <f t="shared" si="4"/>
        <v>0</v>
      </c>
      <c r="V239" s="590"/>
      <c r="W239" s="603"/>
      <c r="X239" s="425"/>
      <c r="Y239" s="549"/>
    </row>
    <row r="240" spans="1:25" s="426" customFormat="1" x14ac:dyDescent="0.3">
      <c r="A240" s="443"/>
      <c r="B240" s="516" t="s">
        <v>160</v>
      </c>
      <c r="C240" s="627"/>
      <c r="D240" s="627"/>
      <c r="E240" s="627"/>
      <c r="F240" s="444"/>
      <c r="G240" s="628"/>
      <c r="H240" s="627"/>
      <c r="I240" s="627"/>
      <c r="J240" s="627"/>
      <c r="K240" s="627"/>
      <c r="L240" s="627"/>
      <c r="M240" s="627"/>
      <c r="N240" s="627"/>
      <c r="O240" s="627"/>
      <c r="P240" s="627"/>
      <c r="Q240" s="627"/>
      <c r="R240" s="516">
        <f t="shared" si="1"/>
        <v>1</v>
      </c>
      <c r="S240" s="628">
        <f t="shared" si="2"/>
        <v>1.7655367231638418E-4</v>
      </c>
      <c r="T240" s="517">
        <f t="shared" si="3"/>
        <v>212</v>
      </c>
      <c r="U240" s="628">
        <f t="shared" si="4"/>
        <v>2.9310714310403228E-4</v>
      </c>
      <c r="V240" s="590"/>
      <c r="W240" s="603"/>
      <c r="X240" s="425"/>
    </row>
    <row r="241" spans="1:25" s="426" customFormat="1" x14ac:dyDescent="0.3">
      <c r="A241" s="443"/>
      <c r="B241" s="516" t="s">
        <v>161</v>
      </c>
      <c r="C241" s="627"/>
      <c r="D241" s="627"/>
      <c r="E241" s="627"/>
      <c r="F241" s="444"/>
      <c r="G241" s="628"/>
      <c r="H241" s="627"/>
      <c r="I241" s="627"/>
      <c r="J241" s="627"/>
      <c r="K241" s="627"/>
      <c r="L241" s="627"/>
      <c r="M241" s="627"/>
      <c r="N241" s="627"/>
      <c r="O241" s="627"/>
      <c r="P241" s="627"/>
      <c r="Q241" s="627"/>
      <c r="R241" s="516">
        <f t="shared" si="1"/>
        <v>0</v>
      </c>
      <c r="S241" s="628">
        <f t="shared" si="2"/>
        <v>0</v>
      </c>
      <c r="T241" s="517">
        <f t="shared" si="3"/>
        <v>0</v>
      </c>
      <c r="U241" s="628">
        <f t="shared" si="4"/>
        <v>0</v>
      </c>
      <c r="V241" s="590"/>
      <c r="W241" s="603"/>
      <c r="X241" s="425"/>
      <c r="Y241" s="549"/>
    </row>
    <row r="242" spans="1:25" s="426" customFormat="1" x14ac:dyDescent="0.3">
      <c r="A242" s="443"/>
      <c r="B242" s="516" t="s">
        <v>162</v>
      </c>
      <c r="C242" s="627"/>
      <c r="D242" s="627"/>
      <c r="E242" s="627"/>
      <c r="F242" s="444"/>
      <c r="G242" s="628"/>
      <c r="H242" s="627"/>
      <c r="I242" s="627"/>
      <c r="J242" s="627"/>
      <c r="K242" s="627"/>
      <c r="L242" s="627"/>
      <c r="M242" s="627"/>
      <c r="N242" s="627"/>
      <c r="O242" s="627"/>
      <c r="P242" s="627"/>
      <c r="Q242" s="627"/>
      <c r="R242" s="516">
        <f t="shared" si="1"/>
        <v>1</v>
      </c>
      <c r="S242" s="628">
        <f t="shared" si="2"/>
        <v>1.7655367231638418E-4</v>
      </c>
      <c r="T242" s="517">
        <f t="shared" si="3"/>
        <v>126</v>
      </c>
      <c r="U242" s="628">
        <f t="shared" si="4"/>
        <v>1.7420518882598147E-4</v>
      </c>
      <c r="V242" s="590"/>
      <c r="W242" s="603"/>
      <c r="X242" s="425"/>
    </row>
    <row r="243" spans="1:25" s="426" customFormat="1" x14ac:dyDescent="0.3">
      <c r="A243" s="443"/>
      <c r="B243" s="516" t="s">
        <v>163</v>
      </c>
      <c r="C243" s="627"/>
      <c r="D243" s="627"/>
      <c r="E243" s="627"/>
      <c r="F243" s="444"/>
      <c r="G243" s="628"/>
      <c r="H243" s="627"/>
      <c r="I243" s="627"/>
      <c r="J243" s="627"/>
      <c r="K243" s="627"/>
      <c r="L243" s="627"/>
      <c r="M243" s="627"/>
      <c r="N243" s="627"/>
      <c r="O243" s="627"/>
      <c r="P243" s="627"/>
      <c r="Q243" s="627"/>
      <c r="R243" s="516">
        <f t="shared" si="1"/>
        <v>11</v>
      </c>
      <c r="S243" s="628">
        <f t="shared" si="2"/>
        <v>1.9420903954802261E-3</v>
      </c>
      <c r="T243" s="517">
        <f t="shared" si="3"/>
        <v>1530</v>
      </c>
      <c r="U243" s="628">
        <f t="shared" si="4"/>
        <v>2.1153487214583462E-3</v>
      </c>
      <c r="V243" s="590"/>
      <c r="W243" s="603"/>
      <c r="X243" s="425"/>
      <c r="Y243" s="549"/>
    </row>
    <row r="244" spans="1:25" s="426" customFormat="1" x14ac:dyDescent="0.3">
      <c r="A244" s="443"/>
      <c r="B244" s="516"/>
      <c r="C244" s="627"/>
      <c r="D244" s="627"/>
      <c r="E244" s="627"/>
      <c r="F244" s="444"/>
      <c r="G244" s="628"/>
      <c r="H244" s="627"/>
      <c r="I244" s="627"/>
      <c r="J244" s="627"/>
      <c r="K244" s="627"/>
      <c r="L244" s="627"/>
      <c r="M244" s="627"/>
      <c r="N244" s="627"/>
      <c r="O244" s="627"/>
      <c r="P244" s="627"/>
      <c r="Q244" s="627"/>
      <c r="R244" s="516"/>
      <c r="S244" s="628"/>
      <c r="T244" s="517"/>
      <c r="U244" s="628"/>
      <c r="V244" s="590"/>
      <c r="W244" s="603"/>
      <c r="X244" s="425"/>
    </row>
    <row r="245" spans="1:25" s="426" customFormat="1" x14ac:dyDescent="0.3">
      <c r="A245" s="443"/>
      <c r="B245" s="444" t="s">
        <v>117</v>
      </c>
      <c r="C245" s="444"/>
      <c r="D245" s="444"/>
      <c r="E245" s="444"/>
      <c r="F245" s="444"/>
      <c r="G245" s="444"/>
      <c r="H245" s="629"/>
      <c r="I245" s="629"/>
      <c r="J245" s="629"/>
      <c r="K245" s="629"/>
      <c r="L245" s="629"/>
      <c r="M245" s="629"/>
      <c r="N245" s="629"/>
      <c r="O245" s="629"/>
      <c r="P245" s="629"/>
      <c r="Q245" s="629"/>
      <c r="R245" s="516">
        <f>SUM(R236:R244)</f>
        <v>5664</v>
      </c>
      <c r="S245" s="628">
        <f>SUM(S236:S244)</f>
        <v>1</v>
      </c>
      <c r="T245" s="517">
        <f>SUM(T236:T244)</f>
        <v>723285</v>
      </c>
      <c r="U245" s="628">
        <f>SUM(U236:U244)</f>
        <v>1</v>
      </c>
      <c r="V245" s="444"/>
      <c r="W245" s="446"/>
      <c r="X245" s="425"/>
    </row>
    <row r="246" spans="1:25" x14ac:dyDescent="0.3">
      <c r="A246" s="614"/>
      <c r="B246" s="615"/>
      <c r="C246" s="616"/>
      <c r="D246" s="616"/>
      <c r="E246" s="616"/>
      <c r="F246" s="617"/>
      <c r="G246" s="518"/>
      <c r="H246" s="518"/>
      <c r="I246" s="518"/>
      <c r="J246" s="518"/>
      <c r="K246" s="518"/>
      <c r="L246" s="518"/>
      <c r="M246" s="518"/>
      <c r="N246" s="518"/>
      <c r="O246" s="518"/>
      <c r="P246" s="518"/>
      <c r="Q246" s="518"/>
      <c r="R246" s="518"/>
      <c r="S246" s="518"/>
      <c r="T246" s="618"/>
      <c r="U246" s="518"/>
      <c r="V246" s="619"/>
      <c r="W246" s="620"/>
      <c r="X246" s="406"/>
    </row>
    <row r="247" spans="1:25" x14ac:dyDescent="0.3">
      <c r="A247" s="533"/>
      <c r="B247" s="534" t="s">
        <v>165</v>
      </c>
      <c r="C247" s="535"/>
      <c r="D247" s="535"/>
      <c r="E247" s="535"/>
      <c r="F247" s="621"/>
      <c r="G247" s="535"/>
      <c r="H247" s="535"/>
      <c r="I247" s="535"/>
      <c r="J247" s="535"/>
      <c r="K247" s="535"/>
      <c r="L247" s="535"/>
      <c r="M247" s="535"/>
      <c r="N247" s="535"/>
      <c r="O247" s="535"/>
      <c r="P247" s="535"/>
      <c r="Q247" s="535"/>
      <c r="R247" s="621" t="s">
        <v>103</v>
      </c>
      <c r="S247" s="535" t="s">
        <v>104</v>
      </c>
      <c r="T247" s="621" t="s">
        <v>111</v>
      </c>
      <c r="U247" s="535" t="s">
        <v>104</v>
      </c>
      <c r="V247" s="622"/>
      <c r="W247" s="623"/>
      <c r="X247" s="406"/>
    </row>
    <row r="248" spans="1:25" s="426" customFormat="1" x14ac:dyDescent="0.3">
      <c r="A248" s="421"/>
      <c r="B248" s="552" t="s">
        <v>89</v>
      </c>
      <c r="C248" s="624"/>
      <c r="D248" s="624"/>
      <c r="E248" s="624"/>
      <c r="F248" s="494"/>
      <c r="G248" s="624"/>
      <c r="H248" s="624"/>
      <c r="I248" s="624"/>
      <c r="J248" s="624"/>
      <c r="K248" s="624"/>
      <c r="L248" s="624"/>
      <c r="M248" s="624"/>
      <c r="N248" s="624"/>
      <c r="O248" s="624"/>
      <c r="P248" s="624"/>
      <c r="Q248" s="624"/>
      <c r="R248" s="552">
        <v>5548</v>
      </c>
      <c r="S248" s="630">
        <f t="shared" ref="S248:S255" si="5">R248/$R$257</f>
        <v>0.99515695067264576</v>
      </c>
      <c r="T248" s="631">
        <v>702103</v>
      </c>
      <c r="U248" s="630">
        <f t="shared" ref="U248:U255" si="6">T248/$T$257</f>
        <v>0.99203941577167787</v>
      </c>
      <c r="V248" s="585"/>
      <c r="W248" s="626"/>
      <c r="X248" s="425"/>
    </row>
    <row r="249" spans="1:25" s="426" customFormat="1" x14ac:dyDescent="0.3">
      <c r="A249" s="443"/>
      <c r="B249" s="516" t="s">
        <v>90</v>
      </c>
      <c r="C249" s="627"/>
      <c r="D249" s="627"/>
      <c r="E249" s="627"/>
      <c r="F249" s="444"/>
      <c r="G249" s="628"/>
      <c r="H249" s="627"/>
      <c r="I249" s="627"/>
      <c r="J249" s="627"/>
      <c r="K249" s="627"/>
      <c r="L249" s="627"/>
      <c r="M249" s="627"/>
      <c r="N249" s="627"/>
      <c r="O249" s="627"/>
      <c r="P249" s="627"/>
      <c r="Q249" s="627"/>
      <c r="R249" s="516">
        <v>17</v>
      </c>
      <c r="S249" s="628">
        <f t="shared" si="5"/>
        <v>3.0493273542600897E-3</v>
      </c>
      <c r="T249" s="517">
        <v>3328</v>
      </c>
      <c r="U249" s="628">
        <f t="shared" si="6"/>
        <v>4.702311734443727E-3</v>
      </c>
      <c r="V249" s="590"/>
      <c r="W249" s="603"/>
      <c r="X249" s="425"/>
      <c r="Y249" s="549"/>
    </row>
    <row r="250" spans="1:25" s="426" customFormat="1" x14ac:dyDescent="0.3">
      <c r="A250" s="443"/>
      <c r="B250" s="516" t="s">
        <v>91</v>
      </c>
      <c r="C250" s="627"/>
      <c r="D250" s="627"/>
      <c r="E250" s="627"/>
      <c r="F250" s="444"/>
      <c r="G250" s="628"/>
      <c r="H250" s="627"/>
      <c r="I250" s="627"/>
      <c r="J250" s="627"/>
      <c r="K250" s="627"/>
      <c r="L250" s="627"/>
      <c r="M250" s="627"/>
      <c r="N250" s="627"/>
      <c r="O250" s="627"/>
      <c r="P250" s="627"/>
      <c r="Q250" s="627"/>
      <c r="R250" s="516">
        <v>8</v>
      </c>
      <c r="S250" s="628">
        <f t="shared" si="5"/>
        <v>1.4349775784753362E-3</v>
      </c>
      <c r="T250" s="517">
        <v>1895</v>
      </c>
      <c r="U250" s="628">
        <f t="shared" si="6"/>
        <v>2.6775482983085524E-3</v>
      </c>
      <c r="V250" s="590"/>
      <c r="W250" s="603"/>
      <c r="X250" s="425"/>
    </row>
    <row r="251" spans="1:25" s="426" customFormat="1" x14ac:dyDescent="0.3">
      <c r="A251" s="443"/>
      <c r="B251" s="516" t="s">
        <v>159</v>
      </c>
      <c r="C251" s="627"/>
      <c r="D251" s="627"/>
      <c r="E251" s="627"/>
      <c r="F251" s="444"/>
      <c r="G251" s="628"/>
      <c r="H251" s="627"/>
      <c r="I251" s="627"/>
      <c r="J251" s="627"/>
      <c r="K251" s="627"/>
      <c r="L251" s="627"/>
      <c r="M251" s="627"/>
      <c r="N251" s="627"/>
      <c r="O251" s="627"/>
      <c r="P251" s="627"/>
      <c r="Q251" s="627"/>
      <c r="R251" s="516">
        <v>0</v>
      </c>
      <c r="S251" s="628">
        <f t="shared" si="5"/>
        <v>0</v>
      </c>
      <c r="T251" s="517">
        <v>0</v>
      </c>
      <c r="U251" s="628">
        <f t="shared" si="6"/>
        <v>0</v>
      </c>
      <c r="V251" s="590"/>
      <c r="W251" s="603"/>
      <c r="X251" s="425"/>
      <c r="Y251" s="549"/>
    </row>
    <row r="252" spans="1:25" s="426" customFormat="1" x14ac:dyDescent="0.3">
      <c r="A252" s="443"/>
      <c r="B252" s="516" t="s">
        <v>160</v>
      </c>
      <c r="C252" s="627"/>
      <c r="D252" s="627"/>
      <c r="E252" s="627"/>
      <c r="F252" s="444"/>
      <c r="G252" s="628"/>
      <c r="H252" s="627"/>
      <c r="I252" s="627"/>
      <c r="J252" s="627"/>
      <c r="K252" s="627"/>
      <c r="L252" s="627"/>
      <c r="M252" s="627"/>
      <c r="N252" s="627"/>
      <c r="O252" s="627"/>
      <c r="P252" s="627"/>
      <c r="Q252" s="627"/>
      <c r="R252" s="516">
        <v>1</v>
      </c>
      <c r="S252" s="628">
        <f t="shared" si="5"/>
        <v>1.7937219730941703E-4</v>
      </c>
      <c r="T252" s="517">
        <v>212</v>
      </c>
      <c r="U252" s="628">
        <f t="shared" si="6"/>
        <v>2.9954630039124701E-4</v>
      </c>
      <c r="V252" s="590"/>
      <c r="W252" s="603"/>
      <c r="X252" s="425"/>
    </row>
    <row r="253" spans="1:25" s="426" customFormat="1" x14ac:dyDescent="0.3">
      <c r="A253" s="443"/>
      <c r="B253" s="516" t="s">
        <v>161</v>
      </c>
      <c r="C253" s="627"/>
      <c r="D253" s="627"/>
      <c r="E253" s="627"/>
      <c r="F253" s="444"/>
      <c r="G253" s="628"/>
      <c r="H253" s="627"/>
      <c r="I253" s="627"/>
      <c r="J253" s="627"/>
      <c r="K253" s="627"/>
      <c r="L253" s="627"/>
      <c r="M253" s="627"/>
      <c r="N253" s="627"/>
      <c r="O253" s="627"/>
      <c r="P253" s="627"/>
      <c r="Q253" s="627"/>
      <c r="R253" s="516">
        <v>0</v>
      </c>
      <c r="S253" s="628">
        <f t="shared" si="5"/>
        <v>0</v>
      </c>
      <c r="T253" s="517">
        <v>0</v>
      </c>
      <c r="U253" s="628">
        <f t="shared" si="6"/>
        <v>0</v>
      </c>
      <c r="V253" s="590"/>
      <c r="W253" s="603"/>
      <c r="X253" s="425"/>
      <c r="Y253" s="549"/>
    </row>
    <row r="254" spans="1:25" s="426" customFormat="1" x14ac:dyDescent="0.3">
      <c r="A254" s="443"/>
      <c r="B254" s="516" t="s">
        <v>162</v>
      </c>
      <c r="C254" s="627"/>
      <c r="D254" s="627"/>
      <c r="E254" s="627"/>
      <c r="F254" s="444"/>
      <c r="G254" s="628"/>
      <c r="H254" s="627"/>
      <c r="I254" s="627"/>
      <c r="J254" s="627"/>
      <c r="K254" s="627"/>
      <c r="L254" s="627"/>
      <c r="M254" s="627"/>
      <c r="N254" s="627"/>
      <c r="O254" s="627"/>
      <c r="P254" s="627"/>
      <c r="Q254" s="627"/>
      <c r="R254" s="516">
        <v>0</v>
      </c>
      <c r="S254" s="628">
        <f t="shared" si="5"/>
        <v>0</v>
      </c>
      <c r="T254" s="517">
        <v>0</v>
      </c>
      <c r="U254" s="628">
        <f t="shared" si="6"/>
        <v>0</v>
      </c>
      <c r="V254" s="590"/>
      <c r="W254" s="603"/>
      <c r="X254" s="425"/>
    </row>
    <row r="255" spans="1:25" s="426" customFormat="1" x14ac:dyDescent="0.3">
      <c r="A255" s="443"/>
      <c r="B255" s="516" t="s">
        <v>163</v>
      </c>
      <c r="C255" s="627"/>
      <c r="D255" s="627"/>
      <c r="E255" s="627"/>
      <c r="F255" s="444"/>
      <c r="G255" s="628"/>
      <c r="H255" s="627"/>
      <c r="I255" s="627"/>
      <c r="J255" s="627"/>
      <c r="K255" s="627"/>
      <c r="L255" s="627"/>
      <c r="M255" s="627"/>
      <c r="N255" s="627"/>
      <c r="O255" s="627"/>
      <c r="P255" s="627"/>
      <c r="Q255" s="627"/>
      <c r="R255" s="516">
        <v>1</v>
      </c>
      <c r="S255" s="628">
        <f t="shared" si="5"/>
        <v>1.7937219730941703E-4</v>
      </c>
      <c r="T255" s="517">
        <v>199</v>
      </c>
      <c r="U255" s="628">
        <f t="shared" si="6"/>
        <v>2.811778951785762E-4</v>
      </c>
      <c r="V255" s="590"/>
      <c r="W255" s="603"/>
      <c r="X255" s="425"/>
      <c r="Y255" s="549"/>
    </row>
    <row r="256" spans="1:25" s="426" customFormat="1" x14ac:dyDescent="0.3">
      <c r="A256" s="443"/>
      <c r="B256" s="516"/>
      <c r="C256" s="627"/>
      <c r="D256" s="627"/>
      <c r="E256" s="627"/>
      <c r="F256" s="444"/>
      <c r="G256" s="628"/>
      <c r="H256" s="627"/>
      <c r="I256" s="627"/>
      <c r="J256" s="627"/>
      <c r="K256" s="627"/>
      <c r="L256" s="627"/>
      <c r="M256" s="627"/>
      <c r="N256" s="627"/>
      <c r="O256" s="627"/>
      <c r="P256" s="627"/>
      <c r="Q256" s="627"/>
      <c r="R256" s="516"/>
      <c r="S256" s="628"/>
      <c r="T256" s="517"/>
      <c r="U256" s="628"/>
      <c r="V256" s="590"/>
      <c r="W256" s="603"/>
      <c r="X256" s="425"/>
    </row>
    <row r="257" spans="1:24" s="426" customFormat="1" x14ac:dyDescent="0.3">
      <c r="A257" s="443"/>
      <c r="B257" s="444" t="s">
        <v>117</v>
      </c>
      <c r="C257" s="444"/>
      <c r="D257" s="444"/>
      <c r="E257" s="444"/>
      <c r="F257" s="444"/>
      <c r="G257" s="444"/>
      <c r="H257" s="629"/>
      <c r="I257" s="629"/>
      <c r="J257" s="629"/>
      <c r="K257" s="629"/>
      <c r="L257" s="629"/>
      <c r="M257" s="629"/>
      <c r="N257" s="629"/>
      <c r="O257" s="629"/>
      <c r="P257" s="629"/>
      <c r="Q257" s="629"/>
      <c r="R257" s="516">
        <f>SUM(R248:R256)</f>
        <v>5575</v>
      </c>
      <c r="S257" s="628">
        <f>SUM(S248:S256)</f>
        <v>1</v>
      </c>
      <c r="T257" s="517">
        <f>SUM(T248:T256)</f>
        <v>707737</v>
      </c>
      <c r="U257" s="628">
        <f>SUM(U248:U256)</f>
        <v>0.99999999999999989</v>
      </c>
      <c r="V257" s="444"/>
      <c r="W257" s="446"/>
      <c r="X257" s="425"/>
    </row>
    <row r="258" spans="1:24" x14ac:dyDescent="0.3">
      <c r="A258" s="408"/>
      <c r="B258" s="518"/>
      <c r="C258" s="518"/>
      <c r="D258" s="518"/>
      <c r="E258" s="518"/>
      <c r="F258" s="518"/>
      <c r="G258" s="518"/>
      <c r="H258" s="632"/>
      <c r="I258" s="632"/>
      <c r="J258" s="632"/>
      <c r="K258" s="632"/>
      <c r="L258" s="632"/>
      <c r="M258" s="632"/>
      <c r="N258" s="632"/>
      <c r="O258" s="632"/>
      <c r="P258" s="632"/>
      <c r="Q258" s="632"/>
      <c r="R258" s="519"/>
      <c r="S258" s="633"/>
      <c r="T258" s="634"/>
      <c r="U258" s="633"/>
      <c r="V258" s="518"/>
      <c r="W258" s="411"/>
      <c r="X258" s="406"/>
    </row>
    <row r="259" spans="1:24" x14ac:dyDescent="0.3">
      <c r="A259" s="533"/>
      <c r="B259" s="534" t="s">
        <v>279</v>
      </c>
      <c r="C259" s="535"/>
      <c r="D259" s="535"/>
      <c r="E259" s="535"/>
      <c r="F259" s="621"/>
      <c r="G259" s="535"/>
      <c r="H259" s="535"/>
      <c r="I259" s="535"/>
      <c r="J259" s="535"/>
      <c r="K259" s="535"/>
      <c r="L259" s="535"/>
      <c r="M259" s="535"/>
      <c r="N259" s="535"/>
      <c r="O259" s="535"/>
      <c r="P259" s="535"/>
      <c r="Q259" s="535"/>
      <c r="R259" s="621" t="s">
        <v>103</v>
      </c>
      <c r="S259" s="535" t="s">
        <v>104</v>
      </c>
      <c r="T259" s="621" t="s">
        <v>111</v>
      </c>
      <c r="U259" s="535" t="s">
        <v>104</v>
      </c>
      <c r="V259" s="622"/>
      <c r="W259" s="538"/>
      <c r="X259" s="406"/>
    </row>
    <row r="260" spans="1:24" s="426" customFormat="1" x14ac:dyDescent="0.3">
      <c r="A260" s="421"/>
      <c r="B260" s="552" t="s">
        <v>89</v>
      </c>
      <c r="C260" s="624"/>
      <c r="D260" s="624"/>
      <c r="E260" s="624"/>
      <c r="F260" s="494"/>
      <c r="G260" s="624"/>
      <c r="H260" s="624"/>
      <c r="I260" s="624"/>
      <c r="J260" s="624"/>
      <c r="K260" s="624"/>
      <c r="L260" s="624"/>
      <c r="M260" s="624"/>
      <c r="N260" s="624"/>
      <c r="O260" s="624"/>
      <c r="P260" s="624"/>
      <c r="Q260" s="624"/>
      <c r="R260" s="552">
        <v>76</v>
      </c>
      <c r="S260" s="630">
        <f>R260/$R$269</f>
        <v>0.8539325842696629</v>
      </c>
      <c r="T260" s="631">
        <v>13788</v>
      </c>
      <c r="U260" s="630">
        <f t="shared" ref="U260:U267" si="7">T260/$T$269</f>
        <v>0.8868021610496527</v>
      </c>
      <c r="V260" s="494"/>
      <c r="W260" s="424"/>
      <c r="X260" s="425"/>
    </row>
    <row r="261" spans="1:24" s="426" customFormat="1" x14ac:dyDescent="0.3">
      <c r="A261" s="443"/>
      <c r="B261" s="516" t="s">
        <v>90</v>
      </c>
      <c r="C261" s="627"/>
      <c r="D261" s="627"/>
      <c r="E261" s="627"/>
      <c r="F261" s="444"/>
      <c r="G261" s="628"/>
      <c r="H261" s="627"/>
      <c r="I261" s="627"/>
      <c r="J261" s="627"/>
      <c r="K261" s="627"/>
      <c r="L261" s="627"/>
      <c r="M261" s="627"/>
      <c r="N261" s="627"/>
      <c r="O261" s="627"/>
      <c r="P261" s="627"/>
      <c r="Q261" s="627"/>
      <c r="R261" s="516">
        <v>1</v>
      </c>
      <c r="S261" s="628">
        <f t="shared" ref="S261:S265" si="8">R261/$R$269</f>
        <v>1.1235955056179775E-2</v>
      </c>
      <c r="T261" s="517">
        <v>131</v>
      </c>
      <c r="U261" s="628">
        <f t="shared" si="7"/>
        <v>8.4255209673269882E-3</v>
      </c>
      <c r="V261" s="444"/>
      <c r="W261" s="446"/>
      <c r="X261" s="425"/>
    </row>
    <row r="262" spans="1:24" s="426" customFormat="1" x14ac:dyDescent="0.3">
      <c r="A262" s="443"/>
      <c r="B262" s="516" t="s">
        <v>91</v>
      </c>
      <c r="C262" s="627"/>
      <c r="D262" s="627"/>
      <c r="E262" s="627"/>
      <c r="F262" s="444"/>
      <c r="G262" s="628"/>
      <c r="H262" s="627"/>
      <c r="I262" s="627"/>
      <c r="J262" s="627"/>
      <c r="K262" s="627"/>
      <c r="L262" s="627"/>
      <c r="M262" s="627"/>
      <c r="N262" s="627"/>
      <c r="O262" s="627"/>
      <c r="P262" s="627"/>
      <c r="Q262" s="627"/>
      <c r="R262" s="516">
        <v>1</v>
      </c>
      <c r="S262" s="628">
        <f t="shared" si="8"/>
        <v>1.1235955056179775E-2</v>
      </c>
      <c r="T262" s="517">
        <v>172</v>
      </c>
      <c r="U262" s="628">
        <f t="shared" si="7"/>
        <v>1.1062516079238487E-2</v>
      </c>
      <c r="V262" s="444"/>
      <c r="W262" s="446"/>
      <c r="X262" s="425"/>
    </row>
    <row r="263" spans="1:24" s="426" customFormat="1" x14ac:dyDescent="0.3">
      <c r="A263" s="443"/>
      <c r="B263" s="516" t="s">
        <v>159</v>
      </c>
      <c r="C263" s="627"/>
      <c r="D263" s="627"/>
      <c r="E263" s="627"/>
      <c r="F263" s="444"/>
      <c r="G263" s="628"/>
      <c r="H263" s="627"/>
      <c r="I263" s="627"/>
      <c r="J263" s="627"/>
      <c r="K263" s="627"/>
      <c r="L263" s="627"/>
      <c r="M263" s="627"/>
      <c r="N263" s="627"/>
      <c r="O263" s="627"/>
      <c r="P263" s="627"/>
      <c r="Q263" s="627"/>
      <c r="R263" s="516">
        <v>0</v>
      </c>
      <c r="S263" s="628">
        <f t="shared" si="8"/>
        <v>0</v>
      </c>
      <c r="T263" s="517">
        <v>0</v>
      </c>
      <c r="U263" s="628">
        <f t="shared" si="7"/>
        <v>0</v>
      </c>
      <c r="V263" s="444"/>
      <c r="W263" s="446"/>
      <c r="X263" s="425"/>
    </row>
    <row r="264" spans="1:24" s="426" customFormat="1" x14ac:dyDescent="0.3">
      <c r="A264" s="443"/>
      <c r="B264" s="516" t="s">
        <v>160</v>
      </c>
      <c r="C264" s="627"/>
      <c r="D264" s="627"/>
      <c r="E264" s="627"/>
      <c r="F264" s="444"/>
      <c r="G264" s="628"/>
      <c r="H264" s="627"/>
      <c r="I264" s="627"/>
      <c r="J264" s="627"/>
      <c r="K264" s="627"/>
      <c r="L264" s="627"/>
      <c r="M264" s="627"/>
      <c r="N264" s="627"/>
      <c r="O264" s="627"/>
      <c r="P264" s="627"/>
      <c r="Q264" s="627"/>
      <c r="R264" s="516">
        <v>0</v>
      </c>
      <c r="S264" s="628">
        <f t="shared" si="8"/>
        <v>0</v>
      </c>
      <c r="T264" s="517">
        <v>0</v>
      </c>
      <c r="U264" s="628">
        <f t="shared" si="7"/>
        <v>0</v>
      </c>
      <c r="V264" s="444"/>
      <c r="W264" s="446"/>
      <c r="X264" s="425"/>
    </row>
    <row r="265" spans="1:24" s="426" customFormat="1" x14ac:dyDescent="0.3">
      <c r="A265" s="443"/>
      <c r="B265" s="516" t="s">
        <v>161</v>
      </c>
      <c r="C265" s="627"/>
      <c r="D265" s="627"/>
      <c r="E265" s="627"/>
      <c r="F265" s="444"/>
      <c r="G265" s="628"/>
      <c r="H265" s="627"/>
      <c r="I265" s="627"/>
      <c r="J265" s="627"/>
      <c r="K265" s="627"/>
      <c r="L265" s="627"/>
      <c r="M265" s="627"/>
      <c r="N265" s="627"/>
      <c r="O265" s="627"/>
      <c r="P265" s="627"/>
      <c r="Q265" s="627"/>
      <c r="R265" s="516">
        <v>0</v>
      </c>
      <c r="S265" s="628">
        <f t="shared" si="8"/>
        <v>0</v>
      </c>
      <c r="T265" s="517">
        <v>0</v>
      </c>
      <c r="U265" s="628">
        <f t="shared" si="7"/>
        <v>0</v>
      </c>
      <c r="V265" s="444"/>
      <c r="W265" s="446"/>
      <c r="X265" s="425"/>
    </row>
    <row r="266" spans="1:24" s="426" customFormat="1" x14ac:dyDescent="0.3">
      <c r="A266" s="443"/>
      <c r="B266" s="516" t="s">
        <v>162</v>
      </c>
      <c r="C266" s="627"/>
      <c r="D266" s="627"/>
      <c r="E266" s="627"/>
      <c r="F266" s="444"/>
      <c r="G266" s="628"/>
      <c r="H266" s="627"/>
      <c r="I266" s="627"/>
      <c r="J266" s="627"/>
      <c r="K266" s="627"/>
      <c r="L266" s="627"/>
      <c r="M266" s="627"/>
      <c r="N266" s="627"/>
      <c r="O266" s="627"/>
      <c r="P266" s="627"/>
      <c r="Q266" s="627"/>
      <c r="R266" s="516">
        <v>1</v>
      </c>
      <c r="S266" s="628">
        <f>R266/$R$269</f>
        <v>1.1235955056179775E-2</v>
      </c>
      <c r="T266" s="517">
        <v>126</v>
      </c>
      <c r="U266" s="628">
        <f t="shared" si="7"/>
        <v>8.1039361975816827E-3</v>
      </c>
      <c r="V266" s="444"/>
      <c r="W266" s="446"/>
      <c r="X266" s="425"/>
    </row>
    <row r="267" spans="1:24" s="426" customFormat="1" x14ac:dyDescent="0.3">
      <c r="A267" s="443"/>
      <c r="B267" s="516" t="s">
        <v>163</v>
      </c>
      <c r="C267" s="627"/>
      <c r="D267" s="627"/>
      <c r="E267" s="627"/>
      <c r="F267" s="444"/>
      <c r="G267" s="628"/>
      <c r="H267" s="627"/>
      <c r="I267" s="627"/>
      <c r="J267" s="627"/>
      <c r="K267" s="627"/>
      <c r="L267" s="627"/>
      <c r="M267" s="627"/>
      <c r="N267" s="627"/>
      <c r="O267" s="627"/>
      <c r="P267" s="627"/>
      <c r="Q267" s="627"/>
      <c r="R267" s="516">
        <v>10</v>
      </c>
      <c r="S267" s="628">
        <f>R267/$R$269</f>
        <v>0.11235955056179775</v>
      </c>
      <c r="T267" s="517">
        <v>1331</v>
      </c>
      <c r="U267" s="628">
        <f t="shared" si="7"/>
        <v>8.5605865706200157E-2</v>
      </c>
      <c r="V267" s="444"/>
      <c r="W267" s="446"/>
      <c r="X267" s="425"/>
    </row>
    <row r="268" spans="1:24" s="426" customFormat="1" x14ac:dyDescent="0.3">
      <c r="A268" s="443"/>
      <c r="B268" s="516"/>
      <c r="C268" s="627"/>
      <c r="D268" s="627"/>
      <c r="E268" s="627"/>
      <c r="F268" s="444"/>
      <c r="G268" s="628"/>
      <c r="H268" s="627"/>
      <c r="I268" s="627"/>
      <c r="J268" s="627"/>
      <c r="K268" s="627"/>
      <c r="L268" s="627"/>
      <c r="M268" s="627"/>
      <c r="N268" s="627"/>
      <c r="O268" s="627"/>
      <c r="P268" s="627"/>
      <c r="Q268" s="627"/>
      <c r="R268" s="516"/>
      <c r="S268" s="628"/>
      <c r="T268" s="517"/>
      <c r="U268" s="628"/>
      <c r="V268" s="444"/>
      <c r="W268" s="446"/>
      <c r="X268" s="425"/>
    </row>
    <row r="269" spans="1:24" s="426" customFormat="1" x14ac:dyDescent="0.3">
      <c r="A269" s="443"/>
      <c r="B269" s="444" t="s">
        <v>117</v>
      </c>
      <c r="C269" s="444"/>
      <c r="D269" s="444"/>
      <c r="E269" s="444"/>
      <c r="F269" s="444"/>
      <c r="G269" s="444"/>
      <c r="H269" s="629"/>
      <c r="I269" s="629"/>
      <c r="J269" s="629"/>
      <c r="K269" s="629"/>
      <c r="L269" s="629"/>
      <c r="M269" s="629"/>
      <c r="N269" s="629"/>
      <c r="O269" s="629"/>
      <c r="P269" s="629"/>
      <c r="Q269" s="629"/>
      <c r="R269" s="516">
        <f>SUM(R260:R268)</f>
        <v>89</v>
      </c>
      <c r="S269" s="628">
        <f>SUM(S260:S268)</f>
        <v>1</v>
      </c>
      <c r="T269" s="517">
        <f>SUM(T260:T268)</f>
        <v>15548</v>
      </c>
      <c r="U269" s="628">
        <f>SUM(U260:U268)</f>
        <v>1</v>
      </c>
      <c r="V269" s="444"/>
      <c r="W269" s="446"/>
      <c r="X269" s="425"/>
    </row>
    <row r="270" spans="1:24" x14ac:dyDescent="0.3">
      <c r="A270" s="408"/>
      <c r="B270" s="518"/>
      <c r="C270" s="518"/>
      <c r="D270" s="518"/>
      <c r="E270" s="518"/>
      <c r="F270" s="518"/>
      <c r="G270" s="518"/>
      <c r="H270" s="632"/>
      <c r="I270" s="632"/>
      <c r="J270" s="632"/>
      <c r="K270" s="632"/>
      <c r="L270" s="632"/>
      <c r="M270" s="632"/>
      <c r="N270" s="632"/>
      <c r="O270" s="632"/>
      <c r="P270" s="632"/>
      <c r="Q270" s="632"/>
      <c r="R270" s="519"/>
      <c r="S270" s="633"/>
      <c r="T270" s="634"/>
      <c r="U270" s="633"/>
      <c r="V270" s="518"/>
      <c r="W270" s="411"/>
      <c r="X270" s="406"/>
    </row>
    <row r="271" spans="1:24" x14ac:dyDescent="0.3">
      <c r="A271" s="533"/>
      <c r="B271" s="534" t="s">
        <v>166</v>
      </c>
      <c r="C271" s="622"/>
      <c r="D271" s="622"/>
      <c r="E271" s="622"/>
      <c r="F271" s="622"/>
      <c r="G271" s="622"/>
      <c r="H271" s="635"/>
      <c r="I271" s="635"/>
      <c r="J271" s="635"/>
      <c r="K271" s="635"/>
      <c r="L271" s="635"/>
      <c r="M271" s="635"/>
      <c r="N271" s="635"/>
      <c r="O271" s="635"/>
      <c r="P271" s="635"/>
      <c r="Q271" s="635"/>
      <c r="R271" s="621" t="s">
        <v>103</v>
      </c>
      <c r="S271" s="535" t="s">
        <v>104</v>
      </c>
      <c r="T271" s="621" t="s">
        <v>111</v>
      </c>
      <c r="U271" s="535" t="s">
        <v>104</v>
      </c>
      <c r="V271" s="622"/>
      <c r="W271" s="538"/>
      <c r="X271" s="406"/>
    </row>
    <row r="272" spans="1:24" s="426" customFormat="1" x14ac:dyDescent="0.3">
      <c r="A272" s="421"/>
      <c r="B272" s="552" t="s">
        <v>89</v>
      </c>
      <c r="C272" s="494"/>
      <c r="D272" s="494"/>
      <c r="E272" s="494"/>
      <c r="F272" s="494"/>
      <c r="G272" s="494"/>
      <c r="H272" s="636"/>
      <c r="I272" s="636"/>
      <c r="J272" s="636"/>
      <c r="K272" s="636"/>
      <c r="L272" s="636"/>
      <c r="M272" s="636"/>
      <c r="N272" s="636"/>
      <c r="O272" s="636"/>
      <c r="P272" s="636"/>
      <c r="Q272" s="636"/>
      <c r="R272" s="552">
        <v>0</v>
      </c>
      <c r="S272" s="630">
        <v>0</v>
      </c>
      <c r="T272" s="631">
        <v>0</v>
      </c>
      <c r="U272" s="630">
        <v>0</v>
      </c>
      <c r="V272" s="494"/>
      <c r="W272" s="424"/>
      <c r="X272" s="425"/>
    </row>
    <row r="273" spans="1:24" s="426" customFormat="1" x14ac:dyDescent="0.3">
      <c r="A273" s="443"/>
      <c r="B273" s="516" t="s">
        <v>90</v>
      </c>
      <c r="C273" s="444"/>
      <c r="D273" s="444"/>
      <c r="E273" s="444"/>
      <c r="F273" s="444"/>
      <c r="G273" s="444"/>
      <c r="H273" s="629"/>
      <c r="I273" s="629"/>
      <c r="J273" s="629"/>
      <c r="K273" s="629"/>
      <c r="L273" s="629"/>
      <c r="M273" s="629"/>
      <c r="N273" s="629"/>
      <c r="O273" s="629"/>
      <c r="P273" s="629"/>
      <c r="Q273" s="629"/>
      <c r="R273" s="516">
        <v>0</v>
      </c>
      <c r="S273" s="628">
        <v>0</v>
      </c>
      <c r="T273" s="517">
        <v>0</v>
      </c>
      <c r="U273" s="628">
        <v>0</v>
      </c>
      <c r="V273" s="444"/>
      <c r="W273" s="446"/>
      <c r="X273" s="425"/>
    </row>
    <row r="274" spans="1:24" s="426" customFormat="1" x14ac:dyDescent="0.3">
      <c r="A274" s="443"/>
      <c r="B274" s="516" t="s">
        <v>91</v>
      </c>
      <c r="C274" s="444"/>
      <c r="D274" s="444"/>
      <c r="E274" s="444"/>
      <c r="F274" s="444"/>
      <c r="G274" s="444"/>
      <c r="H274" s="629"/>
      <c r="I274" s="629"/>
      <c r="J274" s="629"/>
      <c r="K274" s="629"/>
      <c r="L274" s="629"/>
      <c r="M274" s="629"/>
      <c r="N274" s="629"/>
      <c r="O274" s="629"/>
      <c r="P274" s="629"/>
      <c r="Q274" s="629"/>
      <c r="R274" s="516">
        <v>0</v>
      </c>
      <c r="S274" s="628">
        <v>0</v>
      </c>
      <c r="T274" s="517">
        <v>0</v>
      </c>
      <c r="U274" s="628">
        <v>0</v>
      </c>
      <c r="V274" s="444"/>
      <c r="W274" s="446"/>
      <c r="X274" s="425"/>
    </row>
    <row r="275" spans="1:24" s="426" customFormat="1" x14ac:dyDescent="0.3">
      <c r="A275" s="443"/>
      <c r="B275" s="516" t="s">
        <v>159</v>
      </c>
      <c r="C275" s="444"/>
      <c r="D275" s="444"/>
      <c r="E275" s="444"/>
      <c r="F275" s="444"/>
      <c r="G275" s="444"/>
      <c r="H275" s="629"/>
      <c r="I275" s="629"/>
      <c r="J275" s="629"/>
      <c r="K275" s="629"/>
      <c r="L275" s="629"/>
      <c r="M275" s="629"/>
      <c r="N275" s="629"/>
      <c r="O275" s="629"/>
      <c r="P275" s="629"/>
      <c r="Q275" s="629"/>
      <c r="R275" s="516">
        <v>0</v>
      </c>
      <c r="S275" s="628">
        <v>0</v>
      </c>
      <c r="T275" s="517">
        <v>0</v>
      </c>
      <c r="U275" s="628">
        <v>0</v>
      </c>
      <c r="V275" s="444"/>
      <c r="W275" s="446"/>
      <c r="X275" s="425"/>
    </row>
    <row r="276" spans="1:24" s="426" customFormat="1" x14ac:dyDescent="0.3">
      <c r="A276" s="443"/>
      <c r="B276" s="516" t="s">
        <v>160</v>
      </c>
      <c r="C276" s="444"/>
      <c r="D276" s="444"/>
      <c r="E276" s="444"/>
      <c r="F276" s="444"/>
      <c r="G276" s="444"/>
      <c r="H276" s="629"/>
      <c r="I276" s="629"/>
      <c r="J276" s="629"/>
      <c r="K276" s="629"/>
      <c r="L276" s="629"/>
      <c r="M276" s="629"/>
      <c r="N276" s="629"/>
      <c r="O276" s="629"/>
      <c r="P276" s="629"/>
      <c r="Q276" s="629"/>
      <c r="R276" s="516">
        <v>0</v>
      </c>
      <c r="S276" s="628">
        <v>0</v>
      </c>
      <c r="T276" s="517">
        <v>0</v>
      </c>
      <c r="U276" s="628">
        <v>0</v>
      </c>
      <c r="V276" s="444"/>
      <c r="W276" s="446"/>
      <c r="X276" s="425"/>
    </row>
    <row r="277" spans="1:24" s="426" customFormat="1" x14ac:dyDescent="0.3">
      <c r="A277" s="443"/>
      <c r="B277" s="516" t="s">
        <v>161</v>
      </c>
      <c r="C277" s="444"/>
      <c r="D277" s="444"/>
      <c r="E277" s="444"/>
      <c r="F277" s="444"/>
      <c r="G277" s="444"/>
      <c r="H277" s="629"/>
      <c r="I277" s="629"/>
      <c r="J277" s="629"/>
      <c r="K277" s="629"/>
      <c r="L277" s="629"/>
      <c r="M277" s="629"/>
      <c r="N277" s="629"/>
      <c r="O277" s="629"/>
      <c r="P277" s="629"/>
      <c r="Q277" s="629"/>
      <c r="R277" s="516">
        <v>0</v>
      </c>
      <c r="S277" s="628">
        <v>0</v>
      </c>
      <c r="T277" s="517">
        <v>0</v>
      </c>
      <c r="U277" s="628">
        <v>0</v>
      </c>
      <c r="V277" s="444"/>
      <c r="W277" s="446"/>
      <c r="X277" s="425"/>
    </row>
    <row r="278" spans="1:24" s="426" customFormat="1" x14ac:dyDescent="0.3">
      <c r="A278" s="443"/>
      <c r="B278" s="516" t="s">
        <v>162</v>
      </c>
      <c r="C278" s="444"/>
      <c r="D278" s="444"/>
      <c r="E278" s="444"/>
      <c r="F278" s="444"/>
      <c r="G278" s="444"/>
      <c r="H278" s="629"/>
      <c r="I278" s="629"/>
      <c r="J278" s="629"/>
      <c r="K278" s="629"/>
      <c r="L278" s="629"/>
      <c r="M278" s="629"/>
      <c r="N278" s="629"/>
      <c r="O278" s="629"/>
      <c r="P278" s="629"/>
      <c r="Q278" s="629"/>
      <c r="R278" s="516">
        <v>0</v>
      </c>
      <c r="S278" s="628">
        <v>0</v>
      </c>
      <c r="T278" s="517">
        <v>0</v>
      </c>
      <c r="U278" s="628">
        <v>0</v>
      </c>
      <c r="V278" s="444"/>
      <c r="W278" s="446"/>
      <c r="X278" s="425"/>
    </row>
    <row r="279" spans="1:24" s="426" customFormat="1" x14ac:dyDescent="0.3">
      <c r="A279" s="443"/>
      <c r="B279" s="516" t="s">
        <v>163</v>
      </c>
      <c r="C279" s="444"/>
      <c r="D279" s="444"/>
      <c r="E279" s="444"/>
      <c r="F279" s="444"/>
      <c r="G279" s="444"/>
      <c r="H279" s="629"/>
      <c r="I279" s="629"/>
      <c r="J279" s="629"/>
      <c r="K279" s="629"/>
      <c r="L279" s="629"/>
      <c r="M279" s="629"/>
      <c r="N279" s="629"/>
      <c r="O279" s="629"/>
      <c r="P279" s="629"/>
      <c r="Q279" s="629"/>
      <c r="R279" s="516">
        <v>0</v>
      </c>
      <c r="S279" s="628">
        <v>0</v>
      </c>
      <c r="T279" s="517">
        <v>0</v>
      </c>
      <c r="U279" s="628">
        <v>0</v>
      </c>
      <c r="V279" s="444"/>
      <c r="W279" s="446"/>
      <c r="X279" s="425"/>
    </row>
    <row r="280" spans="1:24" s="426" customFormat="1" x14ac:dyDescent="0.3">
      <c r="A280" s="443"/>
      <c r="B280" s="516"/>
      <c r="C280" s="444"/>
      <c r="D280" s="444"/>
      <c r="E280" s="444"/>
      <c r="F280" s="444"/>
      <c r="G280" s="444"/>
      <c r="H280" s="629"/>
      <c r="I280" s="629"/>
      <c r="J280" s="629"/>
      <c r="K280" s="629"/>
      <c r="L280" s="629"/>
      <c r="M280" s="629"/>
      <c r="N280" s="629"/>
      <c r="O280" s="629"/>
      <c r="P280" s="629"/>
      <c r="Q280" s="629"/>
      <c r="R280" s="516"/>
      <c r="S280" s="628"/>
      <c r="T280" s="517"/>
      <c r="U280" s="628"/>
      <c r="V280" s="444"/>
      <c r="W280" s="446"/>
      <c r="X280" s="425"/>
    </row>
    <row r="281" spans="1:24" s="426" customFormat="1" x14ac:dyDescent="0.3">
      <c r="A281" s="443"/>
      <c r="B281" s="444" t="s">
        <v>117</v>
      </c>
      <c r="C281" s="444"/>
      <c r="D281" s="444"/>
      <c r="E281" s="444"/>
      <c r="F281" s="444"/>
      <c r="G281" s="444"/>
      <c r="H281" s="629"/>
      <c r="I281" s="629"/>
      <c r="J281" s="629"/>
      <c r="K281" s="629"/>
      <c r="L281" s="629"/>
      <c r="M281" s="629"/>
      <c r="N281" s="629"/>
      <c r="O281" s="629"/>
      <c r="P281" s="629"/>
      <c r="Q281" s="629"/>
      <c r="R281" s="516">
        <f>SUM(R272:R279)</f>
        <v>0</v>
      </c>
      <c r="S281" s="628">
        <f>SUM(S272:S279)</f>
        <v>0</v>
      </c>
      <c r="T281" s="517">
        <f>SUM(T272:T279)</f>
        <v>0</v>
      </c>
      <c r="U281" s="628">
        <f>SUM(U272:U279)</f>
        <v>0</v>
      </c>
      <c r="V281" s="444"/>
      <c r="W281" s="446"/>
      <c r="X281" s="425"/>
    </row>
    <row r="282" spans="1:24" s="426" customFormat="1" x14ac:dyDescent="0.3">
      <c r="A282" s="443"/>
      <c r="B282" s="444"/>
      <c r="C282" s="444"/>
      <c r="D282" s="444"/>
      <c r="E282" s="444"/>
      <c r="F282" s="444"/>
      <c r="G282" s="444"/>
      <c r="H282" s="629"/>
      <c r="I282" s="629"/>
      <c r="J282" s="629"/>
      <c r="K282" s="629"/>
      <c r="L282" s="629"/>
      <c r="M282" s="629"/>
      <c r="N282" s="629"/>
      <c r="O282" s="629"/>
      <c r="P282" s="629"/>
      <c r="Q282" s="629"/>
      <c r="R282" s="516"/>
      <c r="S282" s="628"/>
      <c r="T282" s="517"/>
      <c r="U282" s="628"/>
      <c r="V282" s="444"/>
      <c r="W282" s="446"/>
      <c r="X282" s="425"/>
    </row>
    <row r="283" spans="1:24" s="426" customFormat="1" x14ac:dyDescent="0.3">
      <c r="A283" s="443"/>
      <c r="B283" s="449" t="s">
        <v>167</v>
      </c>
      <c r="C283" s="444"/>
      <c r="D283" s="444"/>
      <c r="E283" s="444"/>
      <c r="F283" s="444"/>
      <c r="G283" s="444"/>
      <c r="H283" s="629"/>
      <c r="I283" s="629"/>
      <c r="J283" s="629"/>
      <c r="K283" s="629"/>
      <c r="L283" s="629"/>
      <c r="M283" s="629"/>
      <c r="N283" s="629"/>
      <c r="O283" s="629"/>
      <c r="P283" s="629"/>
      <c r="Q283" s="629"/>
      <c r="R283" s="637">
        <f>R281+R269+R257</f>
        <v>5664</v>
      </c>
      <c r="S283" s="628"/>
      <c r="T283" s="638">
        <f>+T281+T269+T257</f>
        <v>723285</v>
      </c>
      <c r="U283" s="628"/>
      <c r="V283" s="444"/>
      <c r="W283" s="446"/>
      <c r="X283" s="425"/>
    </row>
    <row r="284" spans="1:24" s="426" customFormat="1" x14ac:dyDescent="0.3">
      <c r="A284" s="421"/>
      <c r="B284" s="494"/>
      <c r="C284" s="494"/>
      <c r="D284" s="494"/>
      <c r="E284" s="494"/>
      <c r="F284" s="494"/>
      <c r="G284" s="494"/>
      <c r="H284" s="636"/>
      <c r="I284" s="636"/>
      <c r="J284" s="636"/>
      <c r="K284" s="636"/>
      <c r="L284" s="636"/>
      <c r="M284" s="636"/>
      <c r="N284" s="636"/>
      <c r="O284" s="636"/>
      <c r="P284" s="636"/>
      <c r="Q284" s="636"/>
      <c r="R284" s="636"/>
      <c r="S284" s="636"/>
      <c r="T284" s="631"/>
      <c r="U284" s="636"/>
      <c r="V284" s="494"/>
      <c r="W284" s="424"/>
      <c r="X284" s="425"/>
    </row>
    <row r="285" spans="1:24" s="426" customFormat="1" x14ac:dyDescent="0.3">
      <c r="A285" s="421"/>
      <c r="B285" s="422"/>
      <c r="C285" s="422"/>
      <c r="D285" s="422"/>
      <c r="E285" s="422"/>
      <c r="F285" s="422"/>
      <c r="G285" s="422"/>
      <c r="H285" s="639"/>
      <c r="I285" s="639"/>
      <c r="J285" s="639"/>
      <c r="K285" s="639"/>
      <c r="L285" s="639"/>
      <c r="M285" s="639"/>
      <c r="N285" s="639"/>
      <c r="O285" s="639"/>
      <c r="P285" s="639"/>
      <c r="Q285" s="639"/>
      <c r="R285" s="639"/>
      <c r="S285" s="639"/>
      <c r="T285" s="640"/>
      <c r="U285" s="639"/>
      <c r="V285" s="422"/>
      <c r="W285" s="424"/>
      <c r="X285" s="425"/>
    </row>
    <row r="286" spans="1:24" s="426" customFormat="1" x14ac:dyDescent="0.3">
      <c r="A286" s="421"/>
      <c r="B286" s="420" t="s">
        <v>92</v>
      </c>
      <c r="C286" s="422"/>
      <c r="D286" s="422"/>
      <c r="E286" s="422"/>
      <c r="F286" s="429" t="s">
        <v>98</v>
      </c>
      <c r="G286" s="422"/>
      <c r="H286" s="420" t="s">
        <v>100</v>
      </c>
      <c r="I286" s="420"/>
      <c r="J286" s="420"/>
      <c r="K286" s="422"/>
      <c r="L286" s="422"/>
      <c r="M286" s="422"/>
      <c r="N286" s="422"/>
      <c r="O286" s="422"/>
      <c r="P286" s="422"/>
      <c r="Q286" s="422"/>
      <c r="R286" s="422"/>
      <c r="S286" s="422"/>
      <c r="T286" s="422"/>
      <c r="U286" s="422"/>
      <c r="V286" s="422"/>
      <c r="W286" s="424"/>
      <c r="X286" s="425"/>
    </row>
    <row r="287" spans="1:24" s="426" customFormat="1" x14ac:dyDescent="0.3">
      <c r="A287" s="421"/>
      <c r="B287" s="420" t="s">
        <v>336</v>
      </c>
      <c r="C287" s="420"/>
      <c r="D287" s="420"/>
      <c r="E287" s="420"/>
      <c r="F287" s="641" t="s">
        <v>282</v>
      </c>
      <c r="G287" s="420"/>
      <c r="H287" s="420" t="s">
        <v>371</v>
      </c>
      <c r="I287" s="422"/>
      <c r="J287" s="420"/>
      <c r="K287" s="422"/>
      <c r="L287" s="422"/>
      <c r="M287" s="422"/>
      <c r="N287" s="422"/>
      <c r="O287" s="422"/>
      <c r="P287" s="422"/>
      <c r="Q287" s="422"/>
      <c r="R287" s="422"/>
      <c r="S287" s="422"/>
      <c r="T287" s="422"/>
      <c r="U287" s="422"/>
      <c r="V287" s="422"/>
      <c r="W287" s="424"/>
      <c r="X287" s="425"/>
    </row>
    <row r="288" spans="1:24" s="426" customFormat="1" x14ac:dyDescent="0.3">
      <c r="A288" s="421"/>
      <c r="B288" s="420" t="s">
        <v>337</v>
      </c>
      <c r="C288" s="420"/>
      <c r="D288" s="420"/>
      <c r="E288" s="420"/>
      <c r="F288" s="641" t="s">
        <v>150</v>
      </c>
      <c r="G288" s="420"/>
      <c r="H288" s="420" t="s">
        <v>372</v>
      </c>
      <c r="I288" s="420"/>
      <c r="J288" s="420"/>
      <c r="K288" s="422"/>
      <c r="L288" s="422"/>
      <c r="M288" s="422"/>
      <c r="N288" s="422"/>
      <c r="O288" s="422"/>
      <c r="P288" s="422"/>
      <c r="Q288" s="422"/>
      <c r="R288" s="422"/>
      <c r="S288" s="422"/>
      <c r="T288" s="422"/>
      <c r="U288" s="422"/>
      <c r="V288" s="422"/>
      <c r="W288" s="424"/>
      <c r="X288" s="425"/>
    </row>
    <row r="289" spans="1:24" s="426" customFormat="1" x14ac:dyDescent="0.3">
      <c r="A289" s="421"/>
      <c r="B289" s="420"/>
      <c r="C289" s="420"/>
      <c r="D289" s="420"/>
      <c r="E289" s="420"/>
      <c r="F289" s="641"/>
      <c r="G289" s="420"/>
      <c r="H289" s="420"/>
      <c r="I289" s="420"/>
      <c r="J289" s="420"/>
      <c r="K289" s="422"/>
      <c r="L289" s="422"/>
      <c r="M289" s="422"/>
      <c r="N289" s="422"/>
      <c r="O289" s="422"/>
      <c r="P289" s="422"/>
      <c r="Q289" s="422"/>
      <c r="R289" s="422"/>
      <c r="S289" s="422"/>
      <c r="T289" s="422"/>
      <c r="U289" s="422"/>
      <c r="V289" s="422"/>
      <c r="W289" s="424"/>
      <c r="X289" s="425"/>
    </row>
    <row r="290" spans="1:24" s="426" customFormat="1" x14ac:dyDescent="0.3">
      <c r="A290" s="421"/>
      <c r="B290" s="494" t="s">
        <v>367</v>
      </c>
      <c r="C290" s="420"/>
      <c r="D290" s="420"/>
      <c r="E290" s="420"/>
      <c r="F290" s="641"/>
      <c r="G290" s="420"/>
      <c r="H290" s="420"/>
      <c r="I290" s="420"/>
      <c r="J290" s="420"/>
      <c r="K290" s="422"/>
      <c r="L290" s="422"/>
      <c r="M290" s="422"/>
      <c r="N290" s="422"/>
      <c r="O290" s="422"/>
      <c r="P290" s="422"/>
      <c r="Q290" s="422"/>
      <c r="R290" s="422"/>
      <c r="S290" s="422"/>
      <c r="T290" s="422"/>
      <c r="U290" s="422"/>
      <c r="V290" s="422"/>
      <c r="W290" s="424"/>
      <c r="X290" s="425"/>
    </row>
    <row r="291" spans="1:24" s="426" customFormat="1" x14ac:dyDescent="0.3">
      <c r="A291" s="421"/>
      <c r="B291" s="494" t="s">
        <v>373</v>
      </c>
      <c r="C291" s="420"/>
      <c r="D291" s="420"/>
      <c r="E291" s="420"/>
      <c r="F291" s="641"/>
      <c r="G291" s="420"/>
      <c r="H291" s="420"/>
      <c r="I291" s="420"/>
      <c r="J291" s="420"/>
      <c r="K291" s="422"/>
      <c r="L291" s="422"/>
      <c r="M291" s="422"/>
      <c r="N291" s="422"/>
      <c r="O291" s="422"/>
      <c r="P291" s="422"/>
      <c r="Q291" s="422"/>
      <c r="R291" s="422"/>
      <c r="S291" s="422"/>
      <c r="T291" s="422"/>
      <c r="U291" s="422"/>
      <c r="V291" s="422"/>
      <c r="W291" s="424"/>
      <c r="X291" s="425"/>
    </row>
    <row r="292" spans="1:24" s="426" customFormat="1" x14ac:dyDescent="0.3">
      <c r="A292" s="421"/>
      <c r="B292" s="494" t="s">
        <v>365</v>
      </c>
      <c r="C292" s="420"/>
      <c r="D292" s="420"/>
      <c r="E292" s="420"/>
      <c r="F292" s="641"/>
      <c r="G292" s="420"/>
      <c r="H292" s="420"/>
      <c r="I292" s="420"/>
      <c r="J292" s="420"/>
      <c r="K292" s="422"/>
      <c r="L292" s="422"/>
      <c r="M292" s="422"/>
      <c r="N292" s="422"/>
      <c r="O292" s="422"/>
      <c r="P292" s="422"/>
      <c r="Q292" s="422"/>
      <c r="R292" s="422"/>
      <c r="S292" s="422"/>
      <c r="T292" s="422"/>
      <c r="U292" s="422"/>
      <c r="V292" s="422"/>
      <c r="W292" s="424"/>
      <c r="X292" s="425"/>
    </row>
    <row r="293" spans="1:24" s="426" customFormat="1" x14ac:dyDescent="0.3">
      <c r="A293" s="421"/>
      <c r="B293" s="494" t="s">
        <v>366</v>
      </c>
      <c r="C293" s="420"/>
      <c r="D293" s="420"/>
      <c r="E293" s="420"/>
      <c r="F293" s="641"/>
      <c r="G293" s="420"/>
      <c r="H293" s="420"/>
      <c r="I293" s="420"/>
      <c r="J293" s="420"/>
      <c r="K293" s="422"/>
      <c r="L293" s="422"/>
      <c r="M293" s="422"/>
      <c r="N293" s="422"/>
      <c r="O293" s="422"/>
      <c r="P293" s="422"/>
      <c r="Q293" s="422"/>
      <c r="R293" s="422"/>
      <c r="S293" s="422"/>
      <c r="T293" s="422"/>
      <c r="U293" s="422"/>
      <c r="V293" s="422"/>
      <c r="W293" s="424"/>
      <c r="X293" s="425"/>
    </row>
    <row r="294" spans="1:24" x14ac:dyDescent="0.3">
      <c r="A294" s="408"/>
      <c r="B294" s="642"/>
      <c r="C294" s="642"/>
      <c r="D294" s="642"/>
      <c r="E294" s="642"/>
      <c r="F294" s="643"/>
      <c r="G294" s="642"/>
      <c r="H294" s="642"/>
      <c r="I294" s="642"/>
      <c r="J294" s="642"/>
      <c r="K294" s="531"/>
      <c r="L294" s="531"/>
      <c r="M294" s="531"/>
      <c r="N294" s="531"/>
      <c r="O294" s="531"/>
      <c r="P294" s="531"/>
      <c r="Q294" s="531"/>
      <c r="R294" s="531"/>
      <c r="S294" s="531"/>
      <c r="T294" s="531"/>
      <c r="U294" s="531"/>
      <c r="V294" s="531"/>
      <c r="W294" s="532"/>
      <c r="X294" s="406"/>
    </row>
    <row r="295" spans="1:24" ht="18" x14ac:dyDescent="0.35">
      <c r="A295" s="408"/>
      <c r="B295" s="644" t="s">
        <v>368</v>
      </c>
      <c r="C295" s="642"/>
      <c r="D295" s="642"/>
      <c r="E295" s="642"/>
      <c r="F295" s="642"/>
      <c r="G295" s="642"/>
      <c r="H295" s="531"/>
      <c r="I295" s="531"/>
      <c r="J295" s="531"/>
      <c r="K295" s="531"/>
      <c r="L295" s="410"/>
      <c r="M295" s="410"/>
      <c r="N295" s="645"/>
      <c r="O295" s="410"/>
      <c r="P295" s="646" t="s">
        <v>370</v>
      </c>
      <c r="Q295" s="531"/>
      <c r="R295" s="531"/>
      <c r="S295" s="531"/>
      <c r="T295" s="531"/>
      <c r="U295" s="531"/>
      <c r="V295" s="531"/>
      <c r="W295" s="532"/>
      <c r="X295" s="406"/>
    </row>
    <row r="296" spans="1:24" x14ac:dyDescent="0.3">
      <c r="A296" s="408"/>
      <c r="B296" s="642"/>
      <c r="C296" s="642"/>
      <c r="D296" s="642"/>
      <c r="E296" s="642"/>
      <c r="F296" s="642"/>
      <c r="G296" s="642"/>
      <c r="H296" s="531"/>
      <c r="I296" s="531"/>
      <c r="J296" s="531"/>
      <c r="K296" s="531"/>
      <c r="L296" s="531"/>
      <c r="M296" s="531"/>
      <c r="N296" s="531"/>
      <c r="O296" s="531"/>
      <c r="P296" s="531"/>
      <c r="Q296" s="531"/>
      <c r="R296" s="531"/>
      <c r="S296" s="531"/>
      <c r="T296" s="531"/>
      <c r="U296" s="531"/>
      <c r="V296" s="531"/>
      <c r="W296" s="532"/>
      <c r="X296" s="406"/>
    </row>
    <row r="297" spans="1:24" ht="18.600000000000001" thickBot="1" x14ac:dyDescent="0.4">
      <c r="A297" s="408"/>
      <c r="B297" s="647" t="str">
        <f>B197</f>
        <v>PM13 INVESTOR REPORT QUARTER ENDING MARCH 2019</v>
      </c>
      <c r="C297" s="642"/>
      <c r="D297" s="642"/>
      <c r="E297" s="642"/>
      <c r="F297" s="642"/>
      <c r="G297" s="642"/>
      <c r="H297" s="531"/>
      <c r="I297" s="531"/>
      <c r="J297" s="531"/>
      <c r="K297" s="531"/>
      <c r="L297" s="531"/>
      <c r="M297" s="531"/>
      <c r="N297" s="531"/>
      <c r="O297" s="531"/>
      <c r="P297" s="531"/>
      <c r="Q297" s="531"/>
      <c r="R297" s="531"/>
      <c r="S297" s="531"/>
      <c r="T297" s="531"/>
      <c r="U297" s="531"/>
      <c r="V297" s="531"/>
      <c r="W297" s="648"/>
      <c r="X297" s="406"/>
    </row>
    <row r="298" spans="1:24" x14ac:dyDescent="0.3">
      <c r="A298" s="649"/>
      <c r="B298" s="649"/>
      <c r="C298" s="649"/>
      <c r="D298" s="649"/>
      <c r="E298" s="649"/>
      <c r="F298" s="649"/>
      <c r="G298" s="649"/>
      <c r="H298" s="649"/>
      <c r="I298" s="649"/>
      <c r="J298" s="649"/>
      <c r="K298" s="649"/>
      <c r="L298" s="649"/>
      <c r="M298" s="649"/>
      <c r="N298" s="649"/>
      <c r="O298" s="649"/>
      <c r="P298" s="649"/>
      <c r="Q298" s="649"/>
      <c r="R298" s="649"/>
      <c r="S298" s="649"/>
      <c r="T298" s="649"/>
      <c r="U298" s="649"/>
      <c r="V298" s="649"/>
      <c r="W298" s="649"/>
    </row>
  </sheetData>
  <hyperlinks>
    <hyperlink ref="P233" r:id="rId1" display="http://www.paragon-group.co.uk" xr:uid="{173C94B9-6637-4CA7-82D8-3CC276FF96BC}"/>
    <hyperlink ref="I9" r:id="rId2" display="http://www.paragon-group.co.uk" xr:uid="{9B174E5E-D302-4AAC-8469-E5B6D84660C6}"/>
    <hyperlink ref="P295" r:id="rId3" display="http://www.paragon-group.co.uk" xr:uid="{BC9614BF-738C-4EC0-AEAD-41F8B84E2FFD}"/>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37" max="22" man="1"/>
    <brk id="197" max="22" man="1"/>
  </rowBreaks>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C1A7E-D31A-4CC2-BBB7-6D7F7F977C91}">
  <sheetPr>
    <tabColor rgb="FF89CB31"/>
  </sheetPr>
  <dimension ref="A1:Z298"/>
  <sheetViews>
    <sheetView showGridLines="0" showOutlineSymbols="0" zoomScale="70" zoomScaleNormal="70" workbookViewId="0"/>
  </sheetViews>
  <sheetFormatPr defaultColWidth="9.81640625" defaultRowHeight="15.6" x14ac:dyDescent="0.3"/>
  <cols>
    <col min="1" max="1" width="4" style="407" customWidth="1"/>
    <col min="2" max="2" width="71.08984375" style="407" customWidth="1"/>
    <col min="3" max="3" width="2.08984375" style="407" customWidth="1"/>
    <col min="4" max="4" width="19.1796875" style="407" customWidth="1"/>
    <col min="5" max="5" width="2.08984375" style="407" customWidth="1"/>
    <col min="6" max="6" width="25.08984375" style="407" customWidth="1"/>
    <col min="7" max="7" width="2.08984375" style="407" customWidth="1"/>
    <col min="8" max="8" width="16.08984375" style="407" customWidth="1"/>
    <col min="9" max="9" width="2.81640625" style="407" customWidth="1"/>
    <col min="10" max="10" width="16.08984375" style="407" customWidth="1"/>
    <col min="11" max="11" width="2.08984375" style="407" customWidth="1"/>
    <col min="12" max="12" width="17.81640625" style="407" customWidth="1"/>
    <col min="13" max="13" width="2.1796875" style="407" customWidth="1"/>
    <col min="14" max="14" width="14.81640625" style="407" customWidth="1"/>
    <col min="15" max="15" width="2.1796875" style="407" customWidth="1"/>
    <col min="16" max="16" width="15.54296875" style="407" customWidth="1"/>
    <col min="17" max="17" width="2.08984375" style="407" customWidth="1"/>
    <col min="18" max="18" width="15.54296875" style="407" customWidth="1"/>
    <col min="19" max="20" width="12.81640625" style="407" customWidth="1"/>
    <col min="21" max="21" width="7.81640625" style="407" customWidth="1"/>
    <col min="22" max="22" width="14.81640625" style="407" customWidth="1"/>
    <col min="23" max="23" width="11.81640625" style="407" customWidth="1"/>
    <col min="24" max="16384" width="9.81640625" style="407"/>
  </cols>
  <sheetData>
    <row r="1" spans="1:24" ht="21" x14ac:dyDescent="0.4">
      <c r="A1" s="402"/>
      <c r="B1" s="403" t="s">
        <v>238</v>
      </c>
      <c r="C1" s="404"/>
      <c r="D1" s="404"/>
      <c r="E1" s="404"/>
      <c r="F1" s="404"/>
      <c r="G1" s="404"/>
      <c r="H1" s="404"/>
      <c r="I1" s="404"/>
      <c r="J1" s="404"/>
      <c r="K1" s="404"/>
      <c r="L1" s="404"/>
      <c r="M1" s="404"/>
      <c r="N1" s="404"/>
      <c r="O1" s="404"/>
      <c r="P1" s="404"/>
      <c r="Q1" s="404"/>
      <c r="R1" s="404"/>
      <c r="S1" s="404"/>
      <c r="T1" s="404"/>
      <c r="U1" s="404"/>
      <c r="V1" s="404"/>
      <c r="W1" s="405"/>
      <c r="X1" s="406"/>
    </row>
    <row r="2" spans="1:24" x14ac:dyDescent="0.3">
      <c r="A2" s="408"/>
      <c r="B2" s="409"/>
      <c r="C2" s="410"/>
      <c r="D2" s="410"/>
      <c r="E2" s="410"/>
      <c r="F2" s="410"/>
      <c r="G2" s="410"/>
      <c r="H2" s="410"/>
      <c r="I2" s="410"/>
      <c r="J2" s="410"/>
      <c r="K2" s="410"/>
      <c r="L2" s="410"/>
      <c r="M2" s="410"/>
      <c r="N2" s="410"/>
      <c r="O2" s="410"/>
      <c r="P2" s="410"/>
      <c r="Q2" s="410"/>
      <c r="R2" s="410"/>
      <c r="S2" s="410"/>
      <c r="T2" s="410"/>
      <c r="U2" s="410"/>
      <c r="V2" s="410"/>
      <c r="W2" s="411"/>
      <c r="X2" s="406"/>
    </row>
    <row r="3" spans="1:24" x14ac:dyDescent="0.3">
      <c r="A3" s="412"/>
      <c r="B3" s="413" t="s">
        <v>239</v>
      </c>
      <c r="C3" s="410"/>
      <c r="D3" s="410"/>
      <c r="E3" s="410"/>
      <c r="F3" s="410"/>
      <c r="G3" s="410"/>
      <c r="H3" s="410"/>
      <c r="I3" s="410"/>
      <c r="J3" s="410"/>
      <c r="K3" s="410"/>
      <c r="L3" s="410"/>
      <c r="M3" s="410"/>
      <c r="N3" s="410"/>
      <c r="O3" s="410"/>
      <c r="P3" s="410"/>
      <c r="Q3" s="410"/>
      <c r="R3" s="410"/>
      <c r="S3" s="410"/>
      <c r="T3" s="410"/>
      <c r="U3" s="410"/>
      <c r="V3" s="410"/>
      <c r="W3" s="411"/>
      <c r="X3" s="406"/>
    </row>
    <row r="4" spans="1:24" x14ac:dyDescent="0.3">
      <c r="A4" s="408"/>
      <c r="B4" s="409"/>
      <c r="C4" s="410"/>
      <c r="D4" s="410"/>
      <c r="E4" s="410"/>
      <c r="F4" s="410"/>
      <c r="G4" s="410"/>
      <c r="H4" s="410"/>
      <c r="I4" s="410"/>
      <c r="J4" s="410"/>
      <c r="K4" s="410"/>
      <c r="L4" s="410"/>
      <c r="M4" s="410"/>
      <c r="N4" s="410"/>
      <c r="O4" s="410"/>
      <c r="P4" s="410"/>
      <c r="Q4" s="410"/>
      <c r="R4" s="410"/>
      <c r="S4" s="410"/>
      <c r="T4" s="410"/>
      <c r="U4" s="410"/>
      <c r="V4" s="410"/>
      <c r="W4" s="411"/>
      <c r="X4" s="406"/>
    </row>
    <row r="5" spans="1:24" x14ac:dyDescent="0.3">
      <c r="A5" s="408"/>
      <c r="B5" s="414" t="s">
        <v>140</v>
      </c>
      <c r="C5" s="410"/>
      <c r="D5" s="410"/>
      <c r="E5" s="410"/>
      <c r="F5" s="410"/>
      <c r="G5" s="410"/>
      <c r="H5" s="410"/>
      <c r="I5" s="410"/>
      <c r="J5" s="410"/>
      <c r="K5" s="410"/>
      <c r="L5" s="410"/>
      <c r="M5" s="410"/>
      <c r="N5" s="410"/>
      <c r="O5" s="410"/>
      <c r="P5" s="410"/>
      <c r="Q5" s="410"/>
      <c r="R5" s="410"/>
      <c r="S5" s="410"/>
      <c r="T5" s="410"/>
      <c r="U5" s="410"/>
      <c r="V5" s="410"/>
      <c r="W5" s="411"/>
      <c r="X5" s="406"/>
    </row>
    <row r="6" spans="1:24" x14ac:dyDescent="0.3">
      <c r="A6" s="408"/>
      <c r="B6" s="414" t="s">
        <v>142</v>
      </c>
      <c r="C6" s="410"/>
      <c r="D6" s="410"/>
      <c r="E6" s="410"/>
      <c r="F6" s="410"/>
      <c r="G6" s="410"/>
      <c r="H6" s="410"/>
      <c r="I6" s="410"/>
      <c r="J6" s="410"/>
      <c r="K6" s="410"/>
      <c r="L6" s="410"/>
      <c r="M6" s="410"/>
      <c r="N6" s="410"/>
      <c r="O6" s="410"/>
      <c r="P6" s="410"/>
      <c r="Q6" s="410"/>
      <c r="R6" s="410"/>
      <c r="S6" s="410"/>
      <c r="T6" s="410"/>
      <c r="U6" s="410"/>
      <c r="V6" s="410"/>
      <c r="W6" s="411"/>
      <c r="X6" s="406"/>
    </row>
    <row r="7" spans="1:24" x14ac:dyDescent="0.3">
      <c r="A7" s="408"/>
      <c r="B7" s="414" t="s">
        <v>141</v>
      </c>
      <c r="C7" s="410"/>
      <c r="D7" s="410"/>
      <c r="E7" s="410"/>
      <c r="F7" s="410"/>
      <c r="G7" s="410"/>
      <c r="H7" s="410"/>
      <c r="I7" s="410"/>
      <c r="J7" s="410"/>
      <c r="K7" s="410"/>
      <c r="L7" s="410"/>
      <c r="M7" s="410"/>
      <c r="N7" s="410"/>
      <c r="O7" s="410"/>
      <c r="P7" s="410"/>
      <c r="Q7" s="410"/>
      <c r="R7" s="410"/>
      <c r="S7" s="410"/>
      <c r="T7" s="410"/>
      <c r="U7" s="410"/>
      <c r="V7" s="410"/>
      <c r="W7" s="411"/>
      <c r="X7" s="406"/>
    </row>
    <row r="8" spans="1:24" x14ac:dyDescent="0.3">
      <c r="A8" s="408"/>
      <c r="B8" s="415"/>
      <c r="C8" s="410"/>
      <c r="D8" s="410"/>
      <c r="E8" s="410"/>
      <c r="F8" s="410"/>
      <c r="G8" s="410"/>
      <c r="H8" s="410"/>
      <c r="I8" s="410"/>
      <c r="J8" s="410"/>
      <c r="K8" s="410"/>
      <c r="L8" s="410"/>
      <c r="M8" s="410"/>
      <c r="N8" s="410"/>
      <c r="O8" s="410"/>
      <c r="P8" s="410"/>
      <c r="Q8" s="410"/>
      <c r="R8" s="410"/>
      <c r="S8" s="410"/>
      <c r="T8" s="410"/>
      <c r="U8" s="410"/>
      <c r="V8" s="410"/>
      <c r="W8" s="411"/>
      <c r="X8" s="406"/>
    </row>
    <row r="9" spans="1:24" ht="18" x14ac:dyDescent="0.35">
      <c r="A9" s="408"/>
      <c r="B9" s="413" t="s">
        <v>169</v>
      </c>
      <c r="C9" s="410"/>
      <c r="D9" s="410"/>
      <c r="E9" s="410"/>
      <c r="F9" s="410"/>
      <c r="G9" s="410"/>
      <c r="H9" s="410"/>
      <c r="I9" s="416" t="s">
        <v>370</v>
      </c>
      <c r="J9" s="410"/>
      <c r="K9" s="410"/>
      <c r="L9" s="417"/>
      <c r="M9" s="410"/>
      <c r="N9" s="418"/>
      <c r="O9" s="410"/>
      <c r="P9" s="410"/>
      <c r="Q9" s="410"/>
      <c r="R9" s="410"/>
      <c r="S9" s="410"/>
      <c r="T9" s="410"/>
      <c r="U9" s="410"/>
      <c r="V9" s="410"/>
      <c r="W9" s="411"/>
      <c r="X9" s="406"/>
    </row>
    <row r="10" spans="1:24" x14ac:dyDescent="0.3">
      <c r="A10" s="408"/>
      <c r="B10" s="415"/>
      <c r="C10" s="419"/>
      <c r="D10" s="419"/>
      <c r="E10" s="419"/>
      <c r="F10" s="410"/>
      <c r="G10" s="410"/>
      <c r="H10" s="410"/>
      <c r="I10" s="410"/>
      <c r="J10" s="410"/>
      <c r="K10" s="410"/>
      <c r="L10" s="410"/>
      <c r="M10" s="410"/>
      <c r="N10" s="410"/>
      <c r="O10" s="410"/>
      <c r="P10" s="410"/>
      <c r="Q10" s="410"/>
      <c r="R10" s="410"/>
      <c r="S10" s="410"/>
      <c r="T10" s="410"/>
      <c r="U10" s="410"/>
      <c r="V10" s="410"/>
      <c r="W10" s="411"/>
      <c r="X10" s="406"/>
    </row>
    <row r="11" spans="1:24" x14ac:dyDescent="0.3">
      <c r="A11" s="408"/>
      <c r="B11" s="420" t="s">
        <v>0</v>
      </c>
      <c r="C11" s="410"/>
      <c r="D11" s="410"/>
      <c r="E11" s="410"/>
      <c r="F11" s="410"/>
      <c r="G11" s="410"/>
      <c r="H11" s="410"/>
      <c r="I11" s="410"/>
      <c r="J11" s="410"/>
      <c r="K11" s="410"/>
      <c r="L11" s="410"/>
      <c r="M11" s="410"/>
      <c r="N11" s="410"/>
      <c r="O11" s="410"/>
      <c r="P11" s="410"/>
      <c r="Q11" s="410"/>
      <c r="R11" s="410"/>
      <c r="S11" s="410"/>
      <c r="T11" s="410"/>
      <c r="U11" s="410"/>
      <c r="V11" s="410"/>
      <c r="W11" s="411"/>
      <c r="X11" s="406"/>
    </row>
    <row r="12" spans="1:24" ht="16.2" thickBot="1" x14ac:dyDescent="0.35">
      <c r="A12" s="408"/>
      <c r="B12" s="419"/>
      <c r="C12" s="410"/>
      <c r="D12" s="410"/>
      <c r="E12" s="410"/>
      <c r="F12" s="410"/>
      <c r="G12" s="410"/>
      <c r="H12" s="410"/>
      <c r="I12" s="410"/>
      <c r="J12" s="410"/>
      <c r="K12" s="410"/>
      <c r="L12" s="410"/>
      <c r="M12" s="410"/>
      <c r="N12" s="410"/>
      <c r="O12" s="410"/>
      <c r="P12" s="410"/>
      <c r="Q12" s="410"/>
      <c r="R12" s="410"/>
      <c r="S12" s="410"/>
      <c r="T12" s="410"/>
      <c r="U12" s="410"/>
      <c r="V12" s="410"/>
      <c r="W12" s="411"/>
      <c r="X12" s="406"/>
    </row>
    <row r="13" spans="1:24" x14ac:dyDescent="0.3">
      <c r="A13" s="402"/>
      <c r="B13" s="404"/>
      <c r="C13" s="404"/>
      <c r="D13" s="404"/>
      <c r="E13" s="404"/>
      <c r="F13" s="404"/>
      <c r="G13" s="404"/>
      <c r="H13" s="404"/>
      <c r="I13" s="404"/>
      <c r="J13" s="404"/>
      <c r="K13" s="404"/>
      <c r="L13" s="404"/>
      <c r="M13" s="404"/>
      <c r="N13" s="404"/>
      <c r="O13" s="404"/>
      <c r="P13" s="404"/>
      <c r="Q13" s="404"/>
      <c r="R13" s="404"/>
      <c r="S13" s="404"/>
      <c r="T13" s="404"/>
      <c r="U13" s="404"/>
      <c r="V13" s="404"/>
      <c r="W13" s="405"/>
      <c r="X13" s="406"/>
    </row>
    <row r="14" spans="1:24" s="426" customFormat="1" x14ac:dyDescent="0.3">
      <c r="A14" s="421"/>
      <c r="B14" s="420" t="s">
        <v>1</v>
      </c>
      <c r="C14" s="422"/>
      <c r="D14" s="422"/>
      <c r="E14" s="422"/>
      <c r="F14" s="422"/>
      <c r="G14" s="422"/>
      <c r="H14" s="422"/>
      <c r="I14" s="422"/>
      <c r="J14" s="422"/>
      <c r="K14" s="422"/>
      <c r="L14" s="422"/>
      <c r="M14" s="422"/>
      <c r="N14" s="422"/>
      <c r="O14" s="422"/>
      <c r="P14" s="422"/>
      <c r="Q14" s="422"/>
      <c r="R14" s="422"/>
      <c r="S14" s="422"/>
      <c r="T14" s="422"/>
      <c r="U14" s="422"/>
      <c r="V14" s="423" t="s">
        <v>240</v>
      </c>
      <c r="W14" s="424"/>
      <c r="X14" s="425"/>
    </row>
    <row r="15" spans="1:24" s="426" customFormat="1" x14ac:dyDescent="0.3">
      <c r="A15" s="421"/>
      <c r="B15" s="420" t="s">
        <v>2</v>
      </c>
      <c r="C15" s="422"/>
      <c r="D15" s="422"/>
      <c r="E15" s="422"/>
      <c r="F15" s="422"/>
      <c r="G15" s="422"/>
      <c r="H15" s="427"/>
      <c r="I15" s="427"/>
      <c r="J15" s="427"/>
      <c r="K15" s="427"/>
      <c r="L15" s="427"/>
      <c r="M15" s="427"/>
      <c r="N15" s="427"/>
      <c r="O15" s="427"/>
      <c r="P15" s="427"/>
      <c r="Q15" s="427"/>
      <c r="R15" s="427" t="s">
        <v>105</v>
      </c>
      <c r="S15" s="428">
        <v>0.57609999999999995</v>
      </c>
      <c r="T15" s="429" t="s">
        <v>143</v>
      </c>
      <c r="U15" s="428">
        <v>0.4239</v>
      </c>
      <c r="V15" s="423"/>
      <c r="W15" s="424"/>
      <c r="X15" s="425"/>
    </row>
    <row r="16" spans="1:24" s="426" customFormat="1" x14ac:dyDescent="0.3">
      <c r="A16" s="421"/>
      <c r="B16" s="420" t="s">
        <v>3</v>
      </c>
      <c r="C16" s="422"/>
      <c r="D16" s="422"/>
      <c r="E16" s="422"/>
      <c r="F16" s="422"/>
      <c r="G16" s="422"/>
      <c r="H16" s="427"/>
      <c r="I16" s="427"/>
      <c r="J16" s="427"/>
      <c r="K16" s="427"/>
      <c r="L16" s="427"/>
      <c r="M16" s="427"/>
      <c r="N16" s="427"/>
      <c r="O16" s="427"/>
      <c r="P16" s="427"/>
      <c r="Q16" s="427"/>
      <c r="R16" s="427" t="s">
        <v>105</v>
      </c>
      <c r="S16" s="428">
        <v>0.68169999999999997</v>
      </c>
      <c r="T16" s="429" t="s">
        <v>143</v>
      </c>
      <c r="U16" s="428">
        <v>0.31830000000000003</v>
      </c>
      <c r="V16" s="423"/>
      <c r="W16" s="424"/>
      <c r="X16" s="425"/>
    </row>
    <row r="17" spans="1:24" s="426" customFormat="1" x14ac:dyDescent="0.3">
      <c r="A17" s="421"/>
      <c r="B17" s="420" t="s">
        <v>4</v>
      </c>
      <c r="C17" s="422"/>
      <c r="D17" s="422"/>
      <c r="E17" s="422"/>
      <c r="F17" s="422"/>
      <c r="G17" s="422"/>
      <c r="H17" s="422"/>
      <c r="I17" s="422"/>
      <c r="J17" s="422"/>
      <c r="K17" s="422"/>
      <c r="L17" s="422"/>
      <c r="M17" s="422"/>
      <c r="N17" s="422"/>
      <c r="O17" s="422"/>
      <c r="P17" s="422"/>
      <c r="Q17" s="422"/>
      <c r="R17" s="422"/>
      <c r="S17" s="422"/>
      <c r="T17" s="422"/>
      <c r="U17" s="422"/>
      <c r="V17" s="430">
        <v>39016</v>
      </c>
      <c r="W17" s="424"/>
      <c r="X17" s="425"/>
    </row>
    <row r="18" spans="1:24" s="426" customFormat="1" x14ac:dyDescent="0.3">
      <c r="A18" s="421"/>
      <c r="B18" s="420" t="s">
        <v>5</v>
      </c>
      <c r="C18" s="422"/>
      <c r="D18" s="422"/>
      <c r="E18" s="422"/>
      <c r="F18" s="422"/>
      <c r="G18" s="422"/>
      <c r="H18" s="422"/>
      <c r="I18" s="422"/>
      <c r="J18" s="422"/>
      <c r="K18" s="422"/>
      <c r="L18" s="422"/>
      <c r="M18" s="422"/>
      <c r="N18" s="422"/>
      <c r="O18" s="422"/>
      <c r="P18" s="422"/>
      <c r="Q18" s="422"/>
      <c r="R18" s="422"/>
      <c r="S18" s="422"/>
      <c r="T18" s="422"/>
      <c r="U18" s="422"/>
      <c r="V18" s="430">
        <v>43665</v>
      </c>
      <c r="W18" s="424"/>
      <c r="X18" s="425"/>
    </row>
    <row r="19" spans="1:24" s="426" customFormat="1" x14ac:dyDescent="0.3">
      <c r="A19" s="421"/>
      <c r="B19" s="422"/>
      <c r="C19" s="422"/>
      <c r="D19" s="422"/>
      <c r="E19" s="422"/>
      <c r="F19" s="422"/>
      <c r="G19" s="422"/>
      <c r="H19" s="422"/>
      <c r="I19" s="422"/>
      <c r="J19" s="422"/>
      <c r="K19" s="422"/>
      <c r="L19" s="422"/>
      <c r="M19" s="422"/>
      <c r="N19" s="422"/>
      <c r="O19" s="422"/>
      <c r="P19" s="422"/>
      <c r="Q19" s="422"/>
      <c r="R19" s="422"/>
      <c r="S19" s="422"/>
      <c r="T19" s="422"/>
      <c r="U19" s="422"/>
      <c r="V19" s="431"/>
      <c r="W19" s="424"/>
      <c r="X19" s="425"/>
    </row>
    <row r="20" spans="1:24" s="426" customFormat="1" x14ac:dyDescent="0.3">
      <c r="A20" s="421"/>
      <c r="B20" s="432" t="s">
        <v>6</v>
      </c>
      <c r="C20" s="422"/>
      <c r="D20" s="422"/>
      <c r="E20" s="422"/>
      <c r="F20" s="422"/>
      <c r="G20" s="422"/>
      <c r="H20" s="422"/>
      <c r="I20" s="422"/>
      <c r="J20" s="422"/>
      <c r="K20" s="422"/>
      <c r="L20" s="422"/>
      <c r="M20" s="422"/>
      <c r="N20" s="422"/>
      <c r="O20" s="422"/>
      <c r="P20" s="422"/>
      <c r="Q20" s="422"/>
      <c r="R20" s="422"/>
      <c r="S20" s="422"/>
      <c r="T20" s="431" t="s">
        <v>106</v>
      </c>
      <c r="U20" s="422"/>
      <c r="V20" s="422"/>
      <c r="W20" s="424"/>
      <c r="X20" s="425"/>
    </row>
    <row r="21" spans="1:24" x14ac:dyDescent="0.3">
      <c r="A21" s="408"/>
      <c r="B21" s="410"/>
      <c r="C21" s="410"/>
      <c r="D21" s="410"/>
      <c r="E21" s="410"/>
      <c r="F21" s="410"/>
      <c r="G21" s="410"/>
      <c r="H21" s="410"/>
      <c r="I21" s="410"/>
      <c r="J21" s="410"/>
      <c r="K21" s="410"/>
      <c r="L21" s="410"/>
      <c r="M21" s="410"/>
      <c r="N21" s="410"/>
      <c r="O21" s="410"/>
      <c r="P21" s="410"/>
      <c r="Q21" s="410"/>
      <c r="R21" s="410"/>
      <c r="S21" s="410"/>
      <c r="T21" s="410"/>
      <c r="U21" s="410"/>
      <c r="V21" s="433"/>
      <c r="W21" s="411"/>
      <c r="X21" s="406"/>
    </row>
    <row r="22" spans="1:24" x14ac:dyDescent="0.3">
      <c r="A22" s="434"/>
      <c r="B22" s="435"/>
      <c r="C22" s="436"/>
      <c r="D22" s="436" t="s">
        <v>180</v>
      </c>
      <c r="E22" s="436"/>
      <c r="F22" s="436" t="s">
        <v>181</v>
      </c>
      <c r="G22" s="436"/>
      <c r="H22" s="436" t="s">
        <v>182</v>
      </c>
      <c r="I22" s="436"/>
      <c r="J22" s="436" t="s">
        <v>223</v>
      </c>
      <c r="K22" s="436"/>
      <c r="L22" s="436" t="s">
        <v>183</v>
      </c>
      <c r="M22" s="436"/>
      <c r="N22" s="436" t="s">
        <v>184</v>
      </c>
      <c r="O22" s="436"/>
      <c r="P22" s="436" t="s">
        <v>224</v>
      </c>
      <c r="Q22" s="436"/>
      <c r="R22" s="436" t="s">
        <v>185</v>
      </c>
      <c r="S22" s="437"/>
      <c r="T22" s="437"/>
      <c r="U22" s="435"/>
      <c r="V22" s="435"/>
      <c r="W22" s="438"/>
      <c r="X22" s="406"/>
    </row>
    <row r="23" spans="1:24" s="426" customFormat="1" x14ac:dyDescent="0.3">
      <c r="A23" s="439"/>
      <c r="B23" s="440" t="s">
        <v>7</v>
      </c>
      <c r="C23" s="441"/>
      <c r="D23" s="441" t="s">
        <v>216</v>
      </c>
      <c r="E23" s="441"/>
      <c r="F23" s="441" t="s">
        <v>144</v>
      </c>
      <c r="G23" s="441"/>
      <c r="H23" s="441" t="s">
        <v>144</v>
      </c>
      <c r="I23" s="441"/>
      <c r="J23" s="441" t="s">
        <v>144</v>
      </c>
      <c r="K23" s="441"/>
      <c r="L23" s="441" t="s">
        <v>186</v>
      </c>
      <c r="M23" s="441"/>
      <c r="N23" s="441" t="s">
        <v>186</v>
      </c>
      <c r="O23" s="441"/>
      <c r="P23" s="441" t="s">
        <v>145</v>
      </c>
      <c r="Q23" s="441"/>
      <c r="R23" s="441" t="s">
        <v>145</v>
      </c>
      <c r="S23" s="441"/>
      <c r="T23" s="441"/>
      <c r="U23" s="440"/>
      <c r="V23" s="440"/>
      <c r="W23" s="442"/>
      <c r="X23" s="425"/>
    </row>
    <row r="24" spans="1:24" s="426" customFormat="1" x14ac:dyDescent="0.3">
      <c r="A24" s="443"/>
      <c r="B24" s="444" t="s">
        <v>8</v>
      </c>
      <c r="C24" s="445"/>
      <c r="D24" s="445" t="s">
        <v>217</v>
      </c>
      <c r="E24" s="445"/>
      <c r="F24" s="445" t="s">
        <v>146</v>
      </c>
      <c r="G24" s="445"/>
      <c r="H24" s="445" t="s">
        <v>146</v>
      </c>
      <c r="I24" s="445"/>
      <c r="J24" s="445" t="s">
        <v>146</v>
      </c>
      <c r="K24" s="445"/>
      <c r="L24" s="445" t="s">
        <v>168</v>
      </c>
      <c r="M24" s="445"/>
      <c r="N24" s="445" t="s">
        <v>168</v>
      </c>
      <c r="O24" s="445"/>
      <c r="P24" s="445" t="s">
        <v>147</v>
      </c>
      <c r="Q24" s="445"/>
      <c r="R24" s="445" t="s">
        <v>147</v>
      </c>
      <c r="S24" s="445"/>
      <c r="T24" s="445"/>
      <c r="U24" s="444"/>
      <c r="V24" s="444"/>
      <c r="W24" s="446"/>
      <c r="X24" s="425"/>
    </row>
    <row r="25" spans="1:24" s="426" customFormat="1" x14ac:dyDescent="0.3">
      <c r="A25" s="447"/>
      <c r="B25" s="444" t="s">
        <v>193</v>
      </c>
      <c r="C25" s="448"/>
      <c r="D25" s="445" t="s">
        <v>218</v>
      </c>
      <c r="E25" s="445"/>
      <c r="F25" s="445" t="s">
        <v>146</v>
      </c>
      <c r="G25" s="445"/>
      <c r="H25" s="445" t="s">
        <v>146</v>
      </c>
      <c r="I25" s="445"/>
      <c r="J25" s="445" t="s">
        <v>146</v>
      </c>
      <c r="K25" s="445"/>
      <c r="L25" s="445" t="s">
        <v>168</v>
      </c>
      <c r="M25" s="445"/>
      <c r="N25" s="445" t="s">
        <v>168</v>
      </c>
      <c r="O25" s="445"/>
      <c r="P25" s="445" t="s">
        <v>147</v>
      </c>
      <c r="Q25" s="445"/>
      <c r="R25" s="445" t="s">
        <v>147</v>
      </c>
      <c r="S25" s="448"/>
      <c r="T25" s="445"/>
      <c r="U25" s="444"/>
      <c r="V25" s="444"/>
      <c r="W25" s="446"/>
      <c r="X25" s="425"/>
    </row>
    <row r="26" spans="1:24" s="426" customFormat="1" x14ac:dyDescent="0.3">
      <c r="A26" s="447"/>
      <c r="B26" s="449" t="s">
        <v>9</v>
      </c>
      <c r="C26" s="448"/>
      <c r="D26" s="448" t="s">
        <v>144</v>
      </c>
      <c r="E26" s="448"/>
      <c r="F26" s="448" t="s">
        <v>144</v>
      </c>
      <c r="G26" s="448"/>
      <c r="H26" s="448" t="s">
        <v>144</v>
      </c>
      <c r="I26" s="448"/>
      <c r="J26" s="448" t="s">
        <v>144</v>
      </c>
      <c r="K26" s="448"/>
      <c r="L26" s="448" t="s">
        <v>186</v>
      </c>
      <c r="M26" s="448"/>
      <c r="N26" s="448" t="s">
        <v>186</v>
      </c>
      <c r="O26" s="448"/>
      <c r="P26" s="448" t="s">
        <v>145</v>
      </c>
      <c r="Q26" s="448"/>
      <c r="R26" s="448" t="s">
        <v>145</v>
      </c>
      <c r="S26" s="448"/>
      <c r="T26" s="445"/>
      <c r="U26" s="444"/>
      <c r="V26" s="444"/>
      <c r="W26" s="446"/>
      <c r="X26" s="425"/>
    </row>
    <row r="27" spans="1:24" s="426" customFormat="1" x14ac:dyDescent="0.3">
      <c r="A27" s="443"/>
      <c r="B27" s="449" t="s">
        <v>194</v>
      </c>
      <c r="C27" s="445"/>
      <c r="D27" s="448" t="s">
        <v>168</v>
      </c>
      <c r="E27" s="448"/>
      <c r="F27" s="448" t="s">
        <v>168</v>
      </c>
      <c r="G27" s="448"/>
      <c r="H27" s="448" t="s">
        <v>168</v>
      </c>
      <c r="I27" s="448"/>
      <c r="J27" s="448" t="s">
        <v>168</v>
      </c>
      <c r="K27" s="448"/>
      <c r="L27" s="448" t="s">
        <v>360</v>
      </c>
      <c r="M27" s="448"/>
      <c r="N27" s="448" t="s">
        <v>360</v>
      </c>
      <c r="O27" s="448"/>
      <c r="P27" s="448" t="s">
        <v>147</v>
      </c>
      <c r="Q27" s="448"/>
      <c r="R27" s="448" t="s">
        <v>147</v>
      </c>
      <c r="S27" s="445"/>
      <c r="T27" s="450"/>
      <c r="U27" s="444"/>
      <c r="V27" s="444"/>
      <c r="W27" s="446"/>
      <c r="X27" s="425"/>
    </row>
    <row r="28" spans="1:24" s="426" customFormat="1" x14ac:dyDescent="0.3">
      <c r="A28" s="443"/>
      <c r="B28" s="449" t="s">
        <v>195</v>
      </c>
      <c r="C28" s="445"/>
      <c r="D28" s="448" t="s">
        <v>146</v>
      </c>
      <c r="E28" s="448"/>
      <c r="F28" s="448" t="s">
        <v>146</v>
      </c>
      <c r="G28" s="448"/>
      <c r="H28" s="448" t="s">
        <v>146</v>
      </c>
      <c r="I28" s="448"/>
      <c r="J28" s="448" t="s">
        <v>146</v>
      </c>
      <c r="K28" s="448"/>
      <c r="L28" s="448" t="s">
        <v>146</v>
      </c>
      <c r="M28" s="448"/>
      <c r="N28" s="448" t="s">
        <v>146</v>
      </c>
      <c r="O28" s="448"/>
      <c r="P28" s="448" t="s">
        <v>147</v>
      </c>
      <c r="Q28" s="448"/>
      <c r="R28" s="448" t="s">
        <v>147</v>
      </c>
      <c r="S28" s="445"/>
      <c r="T28" s="450"/>
      <c r="U28" s="444"/>
      <c r="V28" s="444"/>
      <c r="W28" s="446"/>
      <c r="X28" s="425"/>
    </row>
    <row r="29" spans="1:24" s="426" customFormat="1" x14ac:dyDescent="0.3">
      <c r="A29" s="443"/>
      <c r="B29" s="444" t="s">
        <v>10</v>
      </c>
      <c r="C29" s="451"/>
      <c r="D29" s="445" t="s">
        <v>348</v>
      </c>
      <c r="E29" s="445"/>
      <c r="F29" s="450" t="s">
        <v>242</v>
      </c>
      <c r="G29" s="445"/>
      <c r="H29" s="445" t="s">
        <v>243</v>
      </c>
      <c r="I29" s="445"/>
      <c r="J29" s="445" t="s">
        <v>245</v>
      </c>
      <c r="K29" s="445"/>
      <c r="L29" s="445" t="s">
        <v>246</v>
      </c>
      <c r="M29" s="445"/>
      <c r="N29" s="445" t="s">
        <v>247</v>
      </c>
      <c r="O29" s="445"/>
      <c r="P29" s="445" t="s">
        <v>248</v>
      </c>
      <c r="Q29" s="445"/>
      <c r="R29" s="445" t="s">
        <v>249</v>
      </c>
      <c r="S29" s="452"/>
      <c r="T29" s="452"/>
      <c r="U29" s="451"/>
      <c r="V29" s="452"/>
      <c r="W29" s="453"/>
      <c r="X29" s="425"/>
    </row>
    <row r="30" spans="1:24" s="426" customFormat="1" x14ac:dyDescent="0.3">
      <c r="A30" s="443"/>
      <c r="B30" s="444" t="s">
        <v>10</v>
      </c>
      <c r="C30" s="451"/>
      <c r="D30" s="445" t="s">
        <v>241</v>
      </c>
      <c r="E30" s="445"/>
      <c r="F30" s="450" t="s">
        <v>121</v>
      </c>
      <c r="G30" s="445"/>
      <c r="H30" s="445" t="s">
        <v>121</v>
      </c>
      <c r="I30" s="445"/>
      <c r="J30" s="445" t="s">
        <v>244</v>
      </c>
      <c r="K30" s="445"/>
      <c r="L30" s="445" t="s">
        <v>121</v>
      </c>
      <c r="M30" s="445"/>
      <c r="N30" s="445" t="s">
        <v>121</v>
      </c>
      <c r="O30" s="445"/>
      <c r="P30" s="445" t="s">
        <v>121</v>
      </c>
      <c r="Q30" s="445"/>
      <c r="R30" s="445" t="s">
        <v>121</v>
      </c>
      <c r="S30" s="452"/>
      <c r="T30" s="452"/>
      <c r="U30" s="451"/>
      <c r="V30" s="452"/>
      <c r="W30" s="453"/>
      <c r="X30" s="425"/>
    </row>
    <row r="31" spans="1:24" s="426" customFormat="1" x14ac:dyDescent="0.3">
      <c r="A31" s="447"/>
      <c r="B31" s="444" t="s">
        <v>136</v>
      </c>
      <c r="C31" s="454"/>
      <c r="D31" s="455">
        <v>1500000</v>
      </c>
      <c r="E31" s="451"/>
      <c r="F31" s="452">
        <v>125000</v>
      </c>
      <c r="G31" s="452"/>
      <c r="H31" s="456">
        <v>315000</v>
      </c>
      <c r="I31" s="456"/>
      <c r="J31" s="455">
        <v>350000</v>
      </c>
      <c r="K31" s="452"/>
      <c r="L31" s="452">
        <v>56000</v>
      </c>
      <c r="M31" s="452"/>
      <c r="N31" s="456">
        <v>84000</v>
      </c>
      <c r="O31" s="452"/>
      <c r="P31" s="452">
        <v>13000</v>
      </c>
      <c r="Q31" s="452"/>
      <c r="R31" s="456">
        <v>81000</v>
      </c>
      <c r="S31" s="457"/>
      <c r="T31" s="457"/>
      <c r="U31" s="454"/>
      <c r="V31" s="457"/>
      <c r="W31" s="453"/>
      <c r="X31" s="425"/>
    </row>
    <row r="32" spans="1:24" s="426" customFormat="1" x14ac:dyDescent="0.3">
      <c r="A32" s="443"/>
      <c r="B32" s="444" t="s">
        <v>135</v>
      </c>
      <c r="C32" s="451"/>
      <c r="D32" s="458">
        <f>D34*D38</f>
        <v>332148.7678576</v>
      </c>
      <c r="E32" s="451"/>
      <c r="F32" s="452">
        <f>F31*F38</f>
        <v>52036.875</v>
      </c>
      <c r="G32" s="452"/>
      <c r="H32" s="456">
        <f>H31*H38</f>
        <v>131132.92500000002</v>
      </c>
      <c r="I32" s="456"/>
      <c r="J32" s="455">
        <f>J31*J38</f>
        <v>145702.34</v>
      </c>
      <c r="K32" s="452"/>
      <c r="L32" s="452">
        <f>L31*L38</f>
        <v>54084.004800000002</v>
      </c>
      <c r="M32" s="452"/>
      <c r="N32" s="456">
        <f>N31*N38</f>
        <v>81126.007200000007</v>
      </c>
      <c r="O32" s="452"/>
      <c r="P32" s="452">
        <f>P31*P38</f>
        <v>12555.215400000001</v>
      </c>
      <c r="Q32" s="452"/>
      <c r="R32" s="456">
        <f>R31*R38</f>
        <v>78228.649799999999</v>
      </c>
      <c r="S32" s="452"/>
      <c r="T32" s="452"/>
      <c r="U32" s="451"/>
      <c r="V32" s="452"/>
      <c r="W32" s="453"/>
      <c r="X32" s="425"/>
    </row>
    <row r="33" spans="1:24" s="426" customFormat="1" x14ac:dyDescent="0.3">
      <c r="A33" s="443"/>
      <c r="B33" s="449" t="s">
        <v>137</v>
      </c>
      <c r="C33" s="451"/>
      <c r="D33" s="459">
        <f>D34*D37</f>
        <v>326876.7488304</v>
      </c>
      <c r="E33" s="454"/>
      <c r="F33" s="457">
        <f>F37*F31</f>
        <v>51210.924999999996</v>
      </c>
      <c r="G33" s="457"/>
      <c r="H33" s="460">
        <f>H31*H37</f>
        <v>129051.53099999999</v>
      </c>
      <c r="I33" s="460"/>
      <c r="J33" s="461">
        <f>J37*J31</f>
        <v>143389.68</v>
      </c>
      <c r="K33" s="457"/>
      <c r="L33" s="457">
        <f>L31*L37</f>
        <v>53225.558400000002</v>
      </c>
      <c r="M33" s="457"/>
      <c r="N33" s="460">
        <f>N31*N37</f>
        <v>79838.337599999999</v>
      </c>
      <c r="O33" s="457"/>
      <c r="P33" s="457">
        <f>P31*P37</f>
        <v>12355.933199999999</v>
      </c>
      <c r="Q33" s="457"/>
      <c r="R33" s="460">
        <f>R31*R37</f>
        <v>76986.968399999998</v>
      </c>
      <c r="S33" s="452"/>
      <c r="T33" s="452"/>
      <c r="U33" s="451"/>
      <c r="V33" s="452"/>
      <c r="W33" s="453"/>
      <c r="X33" s="425"/>
    </row>
    <row r="34" spans="1:24" s="426" customFormat="1" x14ac:dyDescent="0.3">
      <c r="A34" s="447"/>
      <c r="B34" s="444" t="s">
        <v>298</v>
      </c>
      <c r="C34" s="454"/>
      <c r="D34" s="452">
        <v>797872</v>
      </c>
      <c r="E34" s="451"/>
      <c r="F34" s="452">
        <v>125000</v>
      </c>
      <c r="G34" s="452"/>
      <c r="H34" s="452">
        <v>211409</v>
      </c>
      <c r="I34" s="452"/>
      <c r="J34" s="452">
        <v>186170</v>
      </c>
      <c r="K34" s="452"/>
      <c r="L34" s="452">
        <v>56000</v>
      </c>
      <c r="M34" s="452"/>
      <c r="N34" s="452">
        <v>56376</v>
      </c>
      <c r="O34" s="452"/>
      <c r="P34" s="452">
        <v>13000</v>
      </c>
      <c r="Q34" s="452"/>
      <c r="R34" s="452">
        <v>54363</v>
      </c>
      <c r="S34" s="457"/>
      <c r="T34" s="457"/>
      <c r="U34" s="454"/>
      <c r="V34" s="452">
        <f>SUM(C34:R34)</f>
        <v>1500190</v>
      </c>
      <c r="W34" s="453"/>
      <c r="X34" s="425"/>
    </row>
    <row r="35" spans="1:24" s="426" customFormat="1" x14ac:dyDescent="0.3">
      <c r="A35" s="447"/>
      <c r="B35" s="444" t="s">
        <v>299</v>
      </c>
      <c r="C35" s="454"/>
      <c r="D35" s="452">
        <f>D34*D38</f>
        <v>332148.7678576</v>
      </c>
      <c r="E35" s="451"/>
      <c r="F35" s="452">
        <f>F34*F38</f>
        <v>52036.875</v>
      </c>
      <c r="G35" s="452"/>
      <c r="H35" s="452">
        <f>H34*H38</f>
        <v>88008.509655000002</v>
      </c>
      <c r="I35" s="452"/>
      <c r="J35" s="452">
        <f>J34*J38</f>
        <v>77501.156107999996</v>
      </c>
      <c r="K35" s="452"/>
      <c r="L35" s="452">
        <f>L34*L38</f>
        <v>54084.004800000002</v>
      </c>
      <c r="M35" s="452"/>
      <c r="N35" s="452">
        <f>N34*N38</f>
        <v>54447.140260799999</v>
      </c>
      <c r="O35" s="452"/>
      <c r="P35" s="452">
        <f>P34*P38</f>
        <v>12555.215400000001</v>
      </c>
      <c r="Q35" s="452"/>
      <c r="R35" s="452">
        <f>R34*R38</f>
        <v>52503.0134454</v>
      </c>
      <c r="S35" s="452"/>
      <c r="T35" s="452"/>
      <c r="U35" s="451"/>
      <c r="V35" s="452">
        <f>SUM(C35:R35)</f>
        <v>723284.68252680008</v>
      </c>
      <c r="W35" s="453"/>
      <c r="X35" s="425"/>
    </row>
    <row r="36" spans="1:24" s="426" customFormat="1" x14ac:dyDescent="0.3">
      <c r="A36" s="447"/>
      <c r="B36" s="449" t="s">
        <v>304</v>
      </c>
      <c r="C36" s="454"/>
      <c r="D36" s="457">
        <f>D34*D37</f>
        <v>326876.7488304</v>
      </c>
      <c r="E36" s="454"/>
      <c r="F36" s="457">
        <f>F34*F37</f>
        <v>51210.924999999996</v>
      </c>
      <c r="G36" s="457"/>
      <c r="H36" s="457">
        <f>H34*H37</f>
        <v>86611.603546599988</v>
      </c>
      <c r="I36" s="457"/>
      <c r="J36" s="457">
        <f>J34*J37</f>
        <v>76271.019216000001</v>
      </c>
      <c r="K36" s="457"/>
      <c r="L36" s="457">
        <f>L34*L37</f>
        <v>53225.558400000002</v>
      </c>
      <c r="M36" s="457"/>
      <c r="N36" s="457">
        <f>N34*N37</f>
        <v>53582.930006399998</v>
      </c>
      <c r="O36" s="457"/>
      <c r="P36" s="457">
        <f>P34*P37</f>
        <v>12355.933199999999</v>
      </c>
      <c r="Q36" s="457"/>
      <c r="R36" s="457">
        <f>R34*R37</f>
        <v>51669.661273199999</v>
      </c>
      <c r="S36" s="462"/>
      <c r="T36" s="462"/>
      <c r="U36" s="451"/>
      <c r="V36" s="457">
        <f>SUM(C36:R36)+1</f>
        <v>711805.37947259983</v>
      </c>
      <c r="W36" s="453"/>
      <c r="X36" s="425"/>
    </row>
    <row r="37" spans="1:24" s="473" customFormat="1" x14ac:dyDescent="0.3">
      <c r="A37" s="463"/>
      <c r="B37" s="464" t="s">
        <v>133</v>
      </c>
      <c r="C37" s="465"/>
      <c r="D37" s="466">
        <v>0.40968569999999999</v>
      </c>
      <c r="E37" s="467"/>
      <c r="F37" s="466">
        <v>0.40968739999999998</v>
      </c>
      <c r="G37" s="468"/>
      <c r="H37" s="466">
        <v>0.40968739999999998</v>
      </c>
      <c r="I37" s="468"/>
      <c r="J37" s="466">
        <v>0.40968480000000002</v>
      </c>
      <c r="K37" s="468"/>
      <c r="L37" s="466">
        <v>0.95045639999999998</v>
      </c>
      <c r="M37" s="468"/>
      <c r="N37" s="466">
        <v>0.95045639999999998</v>
      </c>
      <c r="O37" s="468"/>
      <c r="P37" s="466">
        <v>0.95045639999999998</v>
      </c>
      <c r="Q37" s="468"/>
      <c r="R37" s="466">
        <v>0.95045639999999998</v>
      </c>
      <c r="S37" s="469"/>
      <c r="T37" s="469"/>
      <c r="U37" s="470"/>
      <c r="V37" s="470"/>
      <c r="W37" s="471"/>
      <c r="X37" s="472"/>
    </row>
    <row r="38" spans="1:24" s="473" customFormat="1" x14ac:dyDescent="0.3">
      <c r="A38" s="463"/>
      <c r="B38" s="465" t="s">
        <v>134</v>
      </c>
      <c r="C38" s="465"/>
      <c r="D38" s="474">
        <v>0.41629329999999998</v>
      </c>
      <c r="E38" s="475"/>
      <c r="F38" s="474">
        <v>0.41629500000000003</v>
      </c>
      <c r="G38" s="476"/>
      <c r="H38" s="474">
        <v>0.41629500000000003</v>
      </c>
      <c r="I38" s="476"/>
      <c r="J38" s="474">
        <v>0.41629240000000001</v>
      </c>
      <c r="K38" s="476"/>
      <c r="L38" s="474">
        <v>0.96578580000000003</v>
      </c>
      <c r="M38" s="476"/>
      <c r="N38" s="474">
        <v>0.96578580000000003</v>
      </c>
      <c r="O38" s="476"/>
      <c r="P38" s="474">
        <v>0.96578580000000003</v>
      </c>
      <c r="Q38" s="476"/>
      <c r="R38" s="474">
        <v>0.96578580000000003</v>
      </c>
      <c r="S38" s="477"/>
      <c r="T38" s="478"/>
      <c r="U38" s="470"/>
      <c r="V38" s="477"/>
      <c r="W38" s="471"/>
      <c r="X38" s="472"/>
    </row>
    <row r="39" spans="1:24" s="426" customFormat="1" x14ac:dyDescent="0.3">
      <c r="A39" s="443"/>
      <c r="B39" s="444" t="s">
        <v>11</v>
      </c>
      <c r="C39" s="444"/>
      <c r="D39" s="450" t="s">
        <v>226</v>
      </c>
      <c r="E39" s="444"/>
      <c r="F39" s="450" t="s">
        <v>226</v>
      </c>
      <c r="G39" s="450"/>
      <c r="H39" s="450" t="s">
        <v>226</v>
      </c>
      <c r="I39" s="450"/>
      <c r="J39" s="450" t="s">
        <v>256</v>
      </c>
      <c r="K39" s="450"/>
      <c r="L39" s="450" t="s">
        <v>254</v>
      </c>
      <c r="M39" s="450"/>
      <c r="N39" s="450" t="s">
        <v>257</v>
      </c>
      <c r="O39" s="450"/>
      <c r="P39" s="450" t="s">
        <v>258</v>
      </c>
      <c r="Q39" s="450"/>
      <c r="R39" s="450" t="s">
        <v>259</v>
      </c>
      <c r="S39" s="479"/>
      <c r="T39" s="480"/>
      <c r="U39" s="444"/>
      <c r="V39" s="444"/>
      <c r="W39" s="446"/>
      <c r="X39" s="425"/>
    </row>
    <row r="40" spans="1:24" s="426" customFormat="1" x14ac:dyDescent="0.3">
      <c r="A40" s="443"/>
      <c r="B40" s="444" t="s">
        <v>12</v>
      </c>
      <c r="C40" s="444"/>
      <c r="D40" s="480">
        <v>1.06088E-2</v>
      </c>
      <c r="E40" s="444"/>
      <c r="F40" s="480">
        <v>1.06088E-2</v>
      </c>
      <c r="G40" s="479"/>
      <c r="H40" s="480">
        <v>0</v>
      </c>
      <c r="I40" s="480"/>
      <c r="J40" s="480">
        <v>2.7767500000000001E-2</v>
      </c>
      <c r="K40" s="479"/>
      <c r="L40" s="480">
        <v>1.2208800000000001E-2</v>
      </c>
      <c r="M40" s="479"/>
      <c r="N40" s="480">
        <v>6.9999999999999999E-4</v>
      </c>
      <c r="O40" s="479"/>
      <c r="P40" s="480">
        <v>1.6208799999999999E-2</v>
      </c>
      <c r="Q40" s="479"/>
      <c r="R40" s="480">
        <v>4.7000000000000002E-3</v>
      </c>
      <c r="S40" s="479"/>
      <c r="T40" s="480"/>
      <c r="U40" s="444"/>
      <c r="V40" s="450"/>
      <c r="W40" s="446"/>
      <c r="X40" s="425"/>
    </row>
    <row r="41" spans="1:24" s="426" customFormat="1" x14ac:dyDescent="0.3">
      <c r="A41" s="443"/>
      <c r="B41" s="444" t="s">
        <v>13</v>
      </c>
      <c r="C41" s="444"/>
      <c r="D41" s="480">
        <v>1.16794E-2</v>
      </c>
      <c r="E41" s="444"/>
      <c r="F41" s="480">
        <v>1.16794E-2</v>
      </c>
      <c r="G41" s="479"/>
      <c r="H41" s="480">
        <v>0</v>
      </c>
      <c r="I41" s="480"/>
      <c r="J41" s="480">
        <v>2.9673100000000001E-2</v>
      </c>
      <c r="K41" s="479"/>
      <c r="L41" s="480">
        <v>1.32794E-2</v>
      </c>
      <c r="M41" s="479"/>
      <c r="N41" s="480">
        <v>7.2000000000000005E-4</v>
      </c>
      <c r="O41" s="479"/>
      <c r="P41" s="480">
        <v>1.72794E-2</v>
      </c>
      <c r="Q41" s="479"/>
      <c r="R41" s="480">
        <v>4.7200000000000002E-3</v>
      </c>
      <c r="S41" s="479"/>
      <c r="T41" s="480"/>
      <c r="U41" s="444"/>
      <c r="V41" s="479" t="s">
        <v>196</v>
      </c>
      <c r="W41" s="446"/>
      <c r="X41" s="425"/>
    </row>
    <row r="42" spans="1:24" s="426" customFormat="1" x14ac:dyDescent="0.3">
      <c r="A42" s="443"/>
      <c r="B42" s="444" t="s">
        <v>300</v>
      </c>
      <c r="C42" s="444"/>
      <c r="D42" s="450" t="s">
        <v>226</v>
      </c>
      <c r="E42" s="444"/>
      <c r="F42" s="450" t="s">
        <v>226</v>
      </c>
      <c r="G42" s="450"/>
      <c r="H42" s="450" t="s">
        <v>227</v>
      </c>
      <c r="I42" s="450"/>
      <c r="J42" s="450" t="s">
        <v>237</v>
      </c>
      <c r="K42" s="450"/>
      <c r="L42" s="450" t="s">
        <v>254</v>
      </c>
      <c r="M42" s="450"/>
      <c r="N42" s="450" t="s">
        <v>260</v>
      </c>
      <c r="O42" s="450"/>
      <c r="P42" s="450" t="s">
        <v>258</v>
      </c>
      <c r="Q42" s="450"/>
      <c r="R42" s="450" t="s">
        <v>261</v>
      </c>
      <c r="S42" s="479"/>
      <c r="T42" s="480"/>
      <c r="U42" s="444"/>
      <c r="V42" s="444"/>
      <c r="W42" s="446"/>
      <c r="X42" s="425"/>
    </row>
    <row r="43" spans="1:24" s="426" customFormat="1" x14ac:dyDescent="0.3">
      <c r="A43" s="443"/>
      <c r="B43" s="444" t="s">
        <v>301</v>
      </c>
      <c r="C43" s="481"/>
      <c r="D43" s="480">
        <f>+D40</f>
        <v>1.06088E-2</v>
      </c>
      <c r="E43" s="480"/>
      <c r="F43" s="480">
        <f>+F40</f>
        <v>1.06088E-2</v>
      </c>
      <c r="G43" s="480"/>
      <c r="H43" s="480">
        <v>1.0852799999999999E-2</v>
      </c>
      <c r="I43" s="480"/>
      <c r="J43" s="480">
        <v>1.06888E-2</v>
      </c>
      <c r="K43" s="480"/>
      <c r="L43" s="480">
        <f>+L40</f>
        <v>1.2208800000000001E-2</v>
      </c>
      <c r="M43" s="480"/>
      <c r="N43" s="480">
        <v>1.23888E-2</v>
      </c>
      <c r="O43" s="480"/>
      <c r="P43" s="480">
        <f>+P40</f>
        <v>1.6208799999999999E-2</v>
      </c>
      <c r="Q43" s="479"/>
      <c r="R43" s="480">
        <v>1.66088E-2</v>
      </c>
      <c r="S43" s="450"/>
      <c r="T43" s="450"/>
      <c r="U43" s="444"/>
      <c r="V43" s="479">
        <f>SUMPRODUCT(D43:R43,D35:R35)/V35</f>
        <v>1.1433443169571037E-2</v>
      </c>
      <c r="W43" s="446"/>
      <c r="X43" s="425"/>
    </row>
    <row r="44" spans="1:24" s="426" customFormat="1" x14ac:dyDescent="0.3">
      <c r="A44" s="443"/>
      <c r="B44" s="444" t="s">
        <v>302</v>
      </c>
      <c r="C44" s="481"/>
      <c r="D44" s="480">
        <f>+D41</f>
        <v>1.16794E-2</v>
      </c>
      <c r="E44" s="480"/>
      <c r="F44" s="480">
        <f>+F41</f>
        <v>1.16794E-2</v>
      </c>
      <c r="G44" s="480"/>
      <c r="H44" s="480">
        <v>1.1923400000000001E-2</v>
      </c>
      <c r="I44" s="480"/>
      <c r="J44" s="480">
        <v>1.17594E-2</v>
      </c>
      <c r="K44" s="480"/>
      <c r="L44" s="480">
        <f>+L41</f>
        <v>1.32794E-2</v>
      </c>
      <c r="M44" s="480"/>
      <c r="N44" s="480">
        <v>1.34594E-2</v>
      </c>
      <c r="O44" s="480"/>
      <c r="P44" s="480">
        <f>+P41</f>
        <v>1.72794E-2</v>
      </c>
      <c r="Q44" s="479"/>
      <c r="R44" s="480">
        <v>1.7679400000000001E-2</v>
      </c>
      <c r="S44" s="450"/>
      <c r="T44" s="450"/>
      <c r="U44" s="444"/>
      <c r="V44" s="444"/>
      <c r="W44" s="446"/>
      <c r="X44" s="425"/>
    </row>
    <row r="45" spans="1:24" s="426" customFormat="1" x14ac:dyDescent="0.3">
      <c r="A45" s="443"/>
      <c r="B45" s="444" t="s">
        <v>14</v>
      </c>
      <c r="C45" s="444"/>
      <c r="D45" s="481">
        <v>40466</v>
      </c>
      <c r="E45" s="481"/>
      <c r="F45" s="481">
        <v>40466</v>
      </c>
      <c r="G45" s="481"/>
      <c r="H45" s="481">
        <v>40466</v>
      </c>
      <c r="I45" s="481"/>
      <c r="J45" s="481">
        <v>40466</v>
      </c>
      <c r="K45" s="481"/>
      <c r="L45" s="481">
        <v>40466</v>
      </c>
      <c r="M45" s="481"/>
      <c r="N45" s="481">
        <v>40466</v>
      </c>
      <c r="O45" s="481"/>
      <c r="P45" s="481">
        <v>40466</v>
      </c>
      <c r="Q45" s="481"/>
      <c r="R45" s="481">
        <v>40466</v>
      </c>
      <c r="S45" s="450"/>
      <c r="T45" s="450"/>
      <c r="U45" s="444"/>
      <c r="V45" s="444"/>
      <c r="W45" s="446"/>
      <c r="X45" s="425"/>
    </row>
    <row r="46" spans="1:24" s="426" customFormat="1" x14ac:dyDescent="0.3">
      <c r="A46" s="443"/>
      <c r="B46" s="444" t="s">
        <v>15</v>
      </c>
      <c r="C46" s="444"/>
      <c r="D46" s="481">
        <v>41105</v>
      </c>
      <c r="E46" s="481"/>
      <c r="F46" s="481">
        <v>40831</v>
      </c>
      <c r="G46" s="481"/>
      <c r="H46" s="481">
        <v>40831</v>
      </c>
      <c r="I46" s="481"/>
      <c r="J46" s="481">
        <v>40831</v>
      </c>
      <c r="K46" s="450"/>
      <c r="L46" s="481">
        <v>40831</v>
      </c>
      <c r="M46" s="450"/>
      <c r="N46" s="481">
        <v>40831</v>
      </c>
      <c r="O46" s="450"/>
      <c r="P46" s="481">
        <v>40831</v>
      </c>
      <c r="Q46" s="450"/>
      <c r="R46" s="481">
        <v>40831</v>
      </c>
      <c r="S46" s="450"/>
      <c r="T46" s="450"/>
      <c r="U46" s="444"/>
      <c r="V46" s="444"/>
      <c r="W46" s="446"/>
      <c r="X46" s="425"/>
    </row>
    <row r="47" spans="1:24" s="426" customFormat="1" x14ac:dyDescent="0.3">
      <c r="A47" s="443"/>
      <c r="B47" s="444" t="s">
        <v>122</v>
      </c>
      <c r="C47" s="444"/>
      <c r="D47" s="450" t="s">
        <v>226</v>
      </c>
      <c r="E47" s="444"/>
      <c r="F47" s="450" t="s">
        <v>226</v>
      </c>
      <c r="G47" s="450"/>
      <c r="H47" s="450" t="s">
        <v>226</v>
      </c>
      <c r="I47" s="450"/>
      <c r="J47" s="450" t="s">
        <v>256</v>
      </c>
      <c r="K47" s="450"/>
      <c r="L47" s="450" t="s">
        <v>254</v>
      </c>
      <c r="M47" s="450"/>
      <c r="N47" s="450" t="s">
        <v>257</v>
      </c>
      <c r="O47" s="450"/>
      <c r="P47" s="450" t="s">
        <v>258</v>
      </c>
      <c r="Q47" s="450"/>
      <c r="R47" s="450" t="s">
        <v>259</v>
      </c>
      <c r="S47" s="482"/>
      <c r="T47" s="482"/>
      <c r="U47" s="482"/>
      <c r="V47" s="482"/>
      <c r="W47" s="446"/>
      <c r="X47" s="425"/>
    </row>
    <row r="48" spans="1:24" s="426" customFormat="1" x14ac:dyDescent="0.3">
      <c r="A48" s="443"/>
      <c r="B48" s="444" t="s">
        <v>303</v>
      </c>
      <c r="C48" s="444"/>
      <c r="D48" s="450" t="s">
        <v>226</v>
      </c>
      <c r="E48" s="444"/>
      <c r="F48" s="450" t="s">
        <v>226</v>
      </c>
      <c r="G48" s="450"/>
      <c r="H48" s="450" t="s">
        <v>227</v>
      </c>
      <c r="I48" s="450"/>
      <c r="J48" s="450" t="s">
        <v>237</v>
      </c>
      <c r="K48" s="450"/>
      <c r="L48" s="450" t="s">
        <v>254</v>
      </c>
      <c r="M48" s="450"/>
      <c r="N48" s="450" t="s">
        <v>260</v>
      </c>
      <c r="O48" s="450"/>
      <c r="P48" s="450" t="s">
        <v>258</v>
      </c>
      <c r="Q48" s="450"/>
      <c r="R48" s="450" t="s">
        <v>261</v>
      </c>
      <c r="S48" s="444"/>
      <c r="T48" s="444"/>
      <c r="U48" s="444"/>
      <c r="V48" s="479"/>
      <c r="W48" s="446"/>
      <c r="X48" s="425"/>
    </row>
    <row r="49" spans="1:25" s="426" customFormat="1" x14ac:dyDescent="0.3">
      <c r="A49" s="443"/>
      <c r="B49" s="444"/>
      <c r="C49" s="444"/>
      <c r="D49" s="450"/>
      <c r="E49" s="444"/>
      <c r="F49" s="450"/>
      <c r="G49" s="450"/>
      <c r="H49" s="450"/>
      <c r="I49" s="450"/>
      <c r="J49" s="450"/>
      <c r="K49" s="450"/>
      <c r="L49" s="450"/>
      <c r="M49" s="450"/>
      <c r="N49" s="450"/>
      <c r="O49" s="450"/>
      <c r="P49" s="450"/>
      <c r="Q49" s="450"/>
      <c r="R49" s="450"/>
      <c r="S49" s="444"/>
      <c r="T49" s="444"/>
      <c r="U49" s="444"/>
      <c r="V49" s="479" t="s">
        <v>196</v>
      </c>
      <c r="W49" s="446"/>
      <c r="X49" s="425"/>
    </row>
    <row r="50" spans="1:25" s="426" customFormat="1" x14ac:dyDescent="0.3">
      <c r="A50" s="443"/>
      <c r="B50" s="444" t="s">
        <v>172</v>
      </c>
      <c r="C50" s="444"/>
      <c r="D50" s="450"/>
      <c r="E50" s="444"/>
      <c r="F50" s="450"/>
      <c r="G50" s="450"/>
      <c r="H50" s="450"/>
      <c r="I50" s="450"/>
      <c r="J50" s="450"/>
      <c r="K50" s="450"/>
      <c r="L50" s="450"/>
      <c r="M50" s="450"/>
      <c r="N50" s="450"/>
      <c r="O50" s="450"/>
      <c r="P50" s="450"/>
      <c r="Q50" s="450"/>
      <c r="R50" s="450"/>
      <c r="S50" s="444"/>
      <c r="T50" s="444"/>
      <c r="U50" s="444"/>
      <c r="V50" s="479">
        <f>SUM(L34:R34)/SUM(D34:J34)</f>
        <v>0.13611940162868597</v>
      </c>
      <c r="W50" s="446"/>
      <c r="X50" s="425"/>
    </row>
    <row r="51" spans="1:25" s="426" customFormat="1" x14ac:dyDescent="0.3">
      <c r="A51" s="443"/>
      <c r="B51" s="444" t="s">
        <v>173</v>
      </c>
      <c r="C51" s="444"/>
      <c r="D51" s="444"/>
      <c r="E51" s="444"/>
      <c r="F51" s="483"/>
      <c r="G51" s="444"/>
      <c r="H51" s="444"/>
      <c r="I51" s="444"/>
      <c r="J51" s="444"/>
      <c r="K51" s="444"/>
      <c r="L51" s="444"/>
      <c r="M51" s="444"/>
      <c r="N51" s="444"/>
      <c r="O51" s="444"/>
      <c r="P51" s="444"/>
      <c r="Q51" s="444"/>
      <c r="R51" s="444"/>
      <c r="S51" s="444"/>
      <c r="T51" s="444"/>
      <c r="U51" s="444"/>
      <c r="V51" s="479">
        <f>SUM(L36:R36)/SUM(D36:J36)</f>
        <v>0.31579198332238073</v>
      </c>
      <c r="W51" s="446"/>
      <c r="X51" s="425"/>
    </row>
    <row r="52" spans="1:25" s="426" customFormat="1" x14ac:dyDescent="0.3">
      <c r="A52" s="443"/>
      <c r="B52" s="444" t="s">
        <v>174</v>
      </c>
      <c r="C52" s="444"/>
      <c r="D52" s="444"/>
      <c r="E52" s="444"/>
      <c r="F52" s="444"/>
      <c r="G52" s="444"/>
      <c r="H52" s="444"/>
      <c r="I52" s="444"/>
      <c r="J52" s="444"/>
      <c r="K52" s="444"/>
      <c r="L52" s="444"/>
      <c r="M52" s="444"/>
      <c r="N52" s="444"/>
      <c r="O52" s="444"/>
      <c r="P52" s="444"/>
      <c r="Q52" s="444"/>
      <c r="R52" s="444"/>
      <c r="S52" s="444"/>
      <c r="T52" s="450" t="s">
        <v>107</v>
      </c>
      <c r="U52" s="450" t="s">
        <v>112</v>
      </c>
      <c r="V52" s="452">
        <f>+V34/2-SUM(L34:R34)</f>
        <v>570356</v>
      </c>
      <c r="W52" s="446"/>
      <c r="X52" s="425"/>
    </row>
    <row r="53" spans="1:25" s="426" customFormat="1" x14ac:dyDescent="0.3">
      <c r="A53" s="443"/>
      <c r="B53" s="444"/>
      <c r="C53" s="444"/>
      <c r="D53" s="444"/>
      <c r="E53" s="444"/>
      <c r="F53" s="444"/>
      <c r="G53" s="444"/>
      <c r="H53" s="444"/>
      <c r="I53" s="444"/>
      <c r="J53" s="444"/>
      <c r="K53" s="444"/>
      <c r="L53" s="444"/>
      <c r="M53" s="444"/>
      <c r="N53" s="444"/>
      <c r="O53" s="444"/>
      <c r="P53" s="444"/>
      <c r="Q53" s="444"/>
      <c r="R53" s="444"/>
      <c r="S53" s="444"/>
      <c r="T53" s="444"/>
      <c r="U53" s="444"/>
      <c r="V53" s="484"/>
      <c r="W53" s="446"/>
      <c r="X53" s="425"/>
    </row>
    <row r="54" spans="1:25" s="426" customFormat="1" x14ac:dyDescent="0.3">
      <c r="A54" s="443"/>
      <c r="B54" s="444" t="s">
        <v>358</v>
      </c>
      <c r="C54" s="444"/>
      <c r="D54" s="444"/>
      <c r="E54" s="444"/>
      <c r="F54" s="444"/>
      <c r="G54" s="444"/>
      <c r="H54" s="444"/>
      <c r="I54" s="444"/>
      <c r="J54" s="444"/>
      <c r="K54" s="444"/>
      <c r="L54" s="444"/>
      <c r="M54" s="444"/>
      <c r="N54" s="444"/>
      <c r="O54" s="444"/>
      <c r="P54" s="444"/>
      <c r="Q54" s="444"/>
      <c r="R54" s="444"/>
      <c r="S54" s="444"/>
      <c r="T54" s="450"/>
      <c r="U54" s="450"/>
      <c r="V54" s="485" t="s">
        <v>114</v>
      </c>
      <c r="W54" s="486"/>
      <c r="X54" s="487"/>
    </row>
    <row r="55" spans="1:25" s="426" customFormat="1" x14ac:dyDescent="0.3">
      <c r="A55" s="443"/>
      <c r="B55" s="449" t="s">
        <v>204</v>
      </c>
      <c r="C55" s="449"/>
      <c r="D55" s="449"/>
      <c r="E55" s="449"/>
      <c r="F55" s="449"/>
      <c r="G55" s="449"/>
      <c r="H55" s="449"/>
      <c r="I55" s="449"/>
      <c r="J55" s="449"/>
      <c r="K55" s="449"/>
      <c r="L55" s="449"/>
      <c r="M55" s="449"/>
      <c r="N55" s="449"/>
      <c r="O55" s="449"/>
      <c r="P55" s="449"/>
      <c r="Q55" s="449"/>
      <c r="R55" s="449"/>
      <c r="S55" s="449"/>
      <c r="T55" s="488"/>
      <c r="U55" s="488"/>
      <c r="V55" s="489">
        <v>43661</v>
      </c>
      <c r="W55" s="486"/>
      <c r="X55" s="487"/>
    </row>
    <row r="56" spans="1:25" s="426" customFormat="1" x14ac:dyDescent="0.3">
      <c r="A56" s="443"/>
      <c r="B56" s="444" t="s">
        <v>124</v>
      </c>
      <c r="C56" s="444"/>
      <c r="D56" s="444"/>
      <c r="E56" s="444"/>
      <c r="F56" s="444"/>
      <c r="G56" s="444"/>
      <c r="H56" s="490"/>
      <c r="I56" s="490"/>
      <c r="J56" s="490"/>
      <c r="K56" s="490"/>
      <c r="L56" s="490"/>
      <c r="M56" s="490"/>
      <c r="N56" s="490"/>
      <c r="O56" s="490"/>
      <c r="P56" s="490"/>
      <c r="Q56" s="490"/>
      <c r="R56" s="444">
        <f>+V56-T56+1</f>
        <v>90</v>
      </c>
      <c r="S56" s="490"/>
      <c r="T56" s="491">
        <v>43480</v>
      </c>
      <c r="U56" s="492"/>
      <c r="V56" s="491">
        <v>43569</v>
      </c>
      <c r="W56" s="486"/>
      <c r="X56" s="487"/>
    </row>
    <row r="57" spans="1:25" s="426" customFormat="1" x14ac:dyDescent="0.3">
      <c r="A57" s="443"/>
      <c r="B57" s="444" t="s">
        <v>125</v>
      </c>
      <c r="C57" s="444"/>
      <c r="D57" s="444"/>
      <c r="E57" s="444"/>
      <c r="F57" s="444"/>
      <c r="G57" s="444"/>
      <c r="H57" s="444"/>
      <c r="I57" s="444"/>
      <c r="J57" s="444"/>
      <c r="K57" s="444"/>
      <c r="L57" s="444"/>
      <c r="M57" s="444"/>
      <c r="N57" s="444"/>
      <c r="O57" s="444"/>
      <c r="P57" s="444"/>
      <c r="Q57" s="444"/>
      <c r="R57" s="444">
        <f>+V57-T57+1</f>
        <v>91</v>
      </c>
      <c r="S57" s="444"/>
      <c r="T57" s="491">
        <v>43570</v>
      </c>
      <c r="U57" s="492"/>
      <c r="V57" s="491">
        <v>43660</v>
      </c>
      <c r="W57" s="486"/>
      <c r="X57" s="487"/>
    </row>
    <row r="58" spans="1:25" s="426" customFormat="1" x14ac:dyDescent="0.3">
      <c r="A58" s="443"/>
      <c r="B58" s="444" t="s">
        <v>357</v>
      </c>
      <c r="C58" s="444"/>
      <c r="D58" s="444"/>
      <c r="E58" s="444"/>
      <c r="F58" s="444"/>
      <c r="G58" s="444"/>
      <c r="H58" s="444"/>
      <c r="I58" s="444"/>
      <c r="J58" s="444"/>
      <c r="K58" s="444"/>
      <c r="L58" s="444"/>
      <c r="M58" s="444"/>
      <c r="N58" s="444"/>
      <c r="O58" s="444"/>
      <c r="P58" s="444"/>
      <c r="Q58" s="444"/>
      <c r="R58" s="444"/>
      <c r="S58" s="444"/>
      <c r="T58" s="491"/>
      <c r="U58" s="492"/>
      <c r="V58" s="491" t="s">
        <v>123</v>
      </c>
      <c r="W58" s="486"/>
      <c r="X58" s="487"/>
    </row>
    <row r="59" spans="1:25" s="426" customFormat="1" x14ac:dyDescent="0.3">
      <c r="A59" s="443"/>
      <c r="B59" s="444" t="s">
        <v>356</v>
      </c>
      <c r="C59" s="444"/>
      <c r="D59" s="444"/>
      <c r="E59" s="444"/>
      <c r="F59" s="444"/>
      <c r="G59" s="444"/>
      <c r="H59" s="444"/>
      <c r="I59" s="444"/>
      <c r="J59" s="444"/>
      <c r="K59" s="444"/>
      <c r="L59" s="444"/>
      <c r="M59" s="444"/>
      <c r="N59" s="444"/>
      <c r="O59" s="444"/>
      <c r="P59" s="444"/>
      <c r="Q59" s="444"/>
      <c r="R59" s="444"/>
      <c r="S59" s="444"/>
      <c r="T59" s="491"/>
      <c r="U59" s="492"/>
      <c r="V59" s="491" t="s">
        <v>157</v>
      </c>
      <c r="W59" s="486"/>
      <c r="X59" s="487"/>
      <c r="Y59" s="493"/>
    </row>
    <row r="60" spans="1:25" s="426" customFormat="1" x14ac:dyDescent="0.3">
      <c r="A60" s="443"/>
      <c r="B60" s="444" t="s">
        <v>16</v>
      </c>
      <c r="C60" s="444"/>
      <c r="D60" s="444"/>
      <c r="E60" s="444"/>
      <c r="F60" s="444"/>
      <c r="G60" s="444"/>
      <c r="H60" s="444"/>
      <c r="I60" s="444"/>
      <c r="J60" s="444"/>
      <c r="K60" s="444"/>
      <c r="L60" s="444"/>
      <c r="M60" s="444"/>
      <c r="N60" s="444"/>
      <c r="O60" s="444"/>
      <c r="P60" s="444"/>
      <c r="Q60" s="444"/>
      <c r="R60" s="444"/>
      <c r="S60" s="444"/>
      <c r="T60" s="491"/>
      <c r="U60" s="492"/>
      <c r="V60" s="491">
        <v>43647</v>
      </c>
      <c r="W60" s="486"/>
      <c r="X60" s="487"/>
    </row>
    <row r="61" spans="1:25" s="426" customFormat="1" x14ac:dyDescent="0.3">
      <c r="A61" s="421"/>
      <c r="B61" s="494"/>
      <c r="C61" s="494"/>
      <c r="D61" s="494"/>
      <c r="E61" s="494"/>
      <c r="F61" s="494"/>
      <c r="G61" s="494"/>
      <c r="H61" s="494"/>
      <c r="I61" s="494"/>
      <c r="J61" s="494"/>
      <c r="K61" s="494"/>
      <c r="L61" s="494"/>
      <c r="M61" s="494"/>
      <c r="N61" s="494"/>
      <c r="O61" s="494"/>
      <c r="P61" s="494"/>
      <c r="Q61" s="494"/>
      <c r="R61" s="494"/>
      <c r="S61" s="494"/>
      <c r="T61" s="495"/>
      <c r="U61" s="496"/>
      <c r="V61" s="495"/>
      <c r="W61" s="497"/>
      <c r="X61" s="487"/>
    </row>
    <row r="62" spans="1:25" s="426" customFormat="1" x14ac:dyDescent="0.3">
      <c r="A62" s="421"/>
      <c r="B62" s="422"/>
      <c r="C62" s="422"/>
      <c r="D62" s="422"/>
      <c r="E62" s="422"/>
      <c r="F62" s="422"/>
      <c r="G62" s="422"/>
      <c r="H62" s="422"/>
      <c r="I62" s="422"/>
      <c r="J62" s="422"/>
      <c r="K62" s="422"/>
      <c r="L62" s="422"/>
      <c r="M62" s="422"/>
      <c r="N62" s="422"/>
      <c r="O62" s="422"/>
      <c r="P62" s="422"/>
      <c r="Q62" s="422"/>
      <c r="R62" s="422"/>
      <c r="S62" s="422"/>
      <c r="T62" s="498"/>
      <c r="U62" s="499"/>
      <c r="V62" s="498"/>
      <c r="W62" s="497"/>
      <c r="X62" s="487"/>
    </row>
    <row r="63" spans="1:25" s="426" customFormat="1" ht="18.600000000000001" thickBot="1" x14ac:dyDescent="0.4">
      <c r="A63" s="500"/>
      <c r="B63" s="501" t="s">
        <v>380</v>
      </c>
      <c r="C63" s="502"/>
      <c r="D63" s="502"/>
      <c r="E63" s="502"/>
      <c r="F63" s="502"/>
      <c r="G63" s="502"/>
      <c r="H63" s="502"/>
      <c r="I63" s="502"/>
      <c r="J63" s="502"/>
      <c r="K63" s="502"/>
      <c r="L63" s="502"/>
      <c r="M63" s="502"/>
      <c r="N63" s="502"/>
      <c r="O63" s="502"/>
      <c r="P63" s="502"/>
      <c r="Q63" s="502"/>
      <c r="R63" s="502"/>
      <c r="S63" s="502"/>
      <c r="T63" s="502"/>
      <c r="U63" s="502"/>
      <c r="V63" s="503"/>
      <c r="W63" s="504"/>
      <c r="X63" s="487"/>
    </row>
    <row r="64" spans="1:25" x14ac:dyDescent="0.3">
      <c r="A64" s="505"/>
      <c r="B64" s="506" t="s">
        <v>17</v>
      </c>
      <c r="C64" s="507"/>
      <c r="D64" s="507"/>
      <c r="E64" s="507"/>
      <c r="F64" s="507"/>
      <c r="G64" s="507"/>
      <c r="H64" s="507"/>
      <c r="I64" s="507"/>
      <c r="J64" s="507"/>
      <c r="K64" s="507"/>
      <c r="L64" s="507"/>
      <c r="M64" s="507"/>
      <c r="N64" s="507"/>
      <c r="O64" s="507"/>
      <c r="P64" s="507"/>
      <c r="Q64" s="507"/>
      <c r="R64" s="507"/>
      <c r="S64" s="507"/>
      <c r="T64" s="507"/>
      <c r="U64" s="507"/>
      <c r="V64" s="508"/>
      <c r="W64" s="509"/>
      <c r="X64" s="406"/>
    </row>
    <row r="65" spans="1:24" x14ac:dyDescent="0.3">
      <c r="A65" s="408"/>
      <c r="B65" s="419"/>
      <c r="C65" s="410"/>
      <c r="D65" s="410"/>
      <c r="E65" s="410"/>
      <c r="F65" s="410"/>
      <c r="G65" s="410"/>
      <c r="H65" s="410"/>
      <c r="I65" s="410"/>
      <c r="J65" s="410"/>
      <c r="K65" s="410"/>
      <c r="L65" s="410"/>
      <c r="M65" s="410"/>
      <c r="N65" s="410"/>
      <c r="O65" s="410"/>
      <c r="P65" s="410"/>
      <c r="Q65" s="410"/>
      <c r="R65" s="410"/>
      <c r="S65" s="410"/>
      <c r="T65" s="410"/>
      <c r="U65" s="410"/>
      <c r="V65" s="510"/>
      <c r="W65" s="411"/>
      <c r="X65" s="406"/>
    </row>
    <row r="66" spans="1:24" s="473" customFormat="1" ht="46.8" x14ac:dyDescent="0.3">
      <c r="A66" s="511"/>
      <c r="B66" s="512" t="s">
        <v>18</v>
      </c>
      <c r="C66" s="513"/>
      <c r="D66" s="513"/>
      <c r="E66" s="513"/>
      <c r="F66" s="513"/>
      <c r="G66" s="513"/>
      <c r="H66" s="513"/>
      <c r="I66" s="513"/>
      <c r="J66" s="513"/>
      <c r="K66" s="513"/>
      <c r="L66" s="513" t="s">
        <v>95</v>
      </c>
      <c r="M66" s="513"/>
      <c r="N66" s="513" t="s">
        <v>97</v>
      </c>
      <c r="O66" s="513"/>
      <c r="P66" s="513" t="s">
        <v>99</v>
      </c>
      <c r="Q66" s="513"/>
      <c r="R66" s="513" t="s">
        <v>101</v>
      </c>
      <c r="S66" s="513"/>
      <c r="T66" s="513" t="s">
        <v>108</v>
      </c>
      <c r="U66" s="513"/>
      <c r="V66" s="514" t="s">
        <v>115</v>
      </c>
      <c r="W66" s="515"/>
      <c r="X66" s="472"/>
    </row>
    <row r="67" spans="1:24" s="426" customFormat="1" x14ac:dyDescent="0.3">
      <c r="A67" s="443"/>
      <c r="B67" s="444" t="s">
        <v>19</v>
      </c>
      <c r="C67" s="516"/>
      <c r="D67" s="516"/>
      <c r="E67" s="516"/>
      <c r="F67" s="516"/>
      <c r="G67" s="516"/>
      <c r="H67" s="516"/>
      <c r="I67" s="516"/>
      <c r="J67" s="516"/>
      <c r="K67" s="516"/>
      <c r="L67" s="516">
        <f>1085286</f>
        <v>1085286</v>
      </c>
      <c r="M67" s="516"/>
      <c r="N67" s="517">
        <v>723285</v>
      </c>
      <c r="O67" s="516"/>
      <c r="P67" s="516">
        <v>11480</v>
      </c>
      <c r="Q67" s="516"/>
      <c r="R67" s="516">
        <v>0</v>
      </c>
      <c r="S67" s="516"/>
      <c r="T67" s="516">
        <v>0</v>
      </c>
      <c r="U67" s="516"/>
      <c r="V67" s="517">
        <f>+N67-P67+R67-T67</f>
        <v>711805</v>
      </c>
      <c r="W67" s="446"/>
      <c r="X67" s="425"/>
    </row>
    <row r="68" spans="1:24" s="426" customFormat="1" x14ac:dyDescent="0.3">
      <c r="A68" s="443"/>
      <c r="B68" s="444" t="s">
        <v>20</v>
      </c>
      <c r="C68" s="516"/>
      <c r="D68" s="516"/>
      <c r="E68" s="516"/>
      <c r="F68" s="516"/>
      <c r="G68" s="516"/>
      <c r="H68" s="516"/>
      <c r="I68" s="516"/>
      <c r="J68" s="516"/>
      <c r="K68" s="516"/>
      <c r="L68" s="516">
        <v>35</v>
      </c>
      <c r="M68" s="516"/>
      <c r="N68" s="517">
        <v>0</v>
      </c>
      <c r="O68" s="516"/>
      <c r="P68" s="516">
        <v>0</v>
      </c>
      <c r="Q68" s="516"/>
      <c r="R68" s="516">
        <v>0</v>
      </c>
      <c r="S68" s="516"/>
      <c r="T68" s="516">
        <v>0</v>
      </c>
      <c r="U68" s="516"/>
      <c r="V68" s="517">
        <f>+N68-P68</f>
        <v>0</v>
      </c>
      <c r="W68" s="446"/>
      <c r="X68" s="425"/>
    </row>
    <row r="69" spans="1:24" s="426" customFormat="1" x14ac:dyDescent="0.3">
      <c r="A69" s="443"/>
      <c r="B69" s="444"/>
      <c r="C69" s="516"/>
      <c r="D69" s="516"/>
      <c r="E69" s="516"/>
      <c r="F69" s="516"/>
      <c r="G69" s="516"/>
      <c r="H69" s="516"/>
      <c r="I69" s="516"/>
      <c r="J69" s="516"/>
      <c r="K69" s="516"/>
      <c r="L69" s="516"/>
      <c r="M69" s="516"/>
      <c r="N69" s="517"/>
      <c r="O69" s="516"/>
      <c r="P69" s="516"/>
      <c r="Q69" s="516"/>
      <c r="R69" s="516"/>
      <c r="S69" s="516"/>
      <c r="T69" s="516"/>
      <c r="U69" s="516"/>
      <c r="V69" s="517"/>
      <c r="W69" s="446"/>
      <c r="X69" s="425"/>
    </row>
    <row r="70" spans="1:24" s="426" customFormat="1" x14ac:dyDescent="0.3">
      <c r="A70" s="443"/>
      <c r="B70" s="444" t="s">
        <v>21</v>
      </c>
      <c r="C70" s="516"/>
      <c r="D70" s="516"/>
      <c r="E70" s="516"/>
      <c r="F70" s="516"/>
      <c r="G70" s="516"/>
      <c r="H70" s="516"/>
      <c r="I70" s="516"/>
      <c r="J70" s="516"/>
      <c r="K70" s="516"/>
      <c r="L70" s="516">
        <f>SUM(L67:L69)</f>
        <v>1085321</v>
      </c>
      <c r="M70" s="516"/>
      <c r="N70" s="516">
        <f>N67+N68</f>
        <v>723285</v>
      </c>
      <c r="O70" s="516"/>
      <c r="P70" s="516">
        <f>SUM(P67:P69)</f>
        <v>11480</v>
      </c>
      <c r="Q70" s="516"/>
      <c r="R70" s="516">
        <f>SUM(R67:R69)</f>
        <v>0</v>
      </c>
      <c r="S70" s="516"/>
      <c r="T70" s="516">
        <f>SUM(T67:T69)</f>
        <v>0</v>
      </c>
      <c r="U70" s="516"/>
      <c r="V70" s="516">
        <f>SUM(V67:V69)</f>
        <v>711805</v>
      </c>
      <c r="W70" s="446"/>
      <c r="X70" s="425"/>
    </row>
    <row r="71" spans="1:24" x14ac:dyDescent="0.3">
      <c r="A71" s="408"/>
      <c r="B71" s="518"/>
      <c r="C71" s="519"/>
      <c r="D71" s="519"/>
      <c r="E71" s="519"/>
      <c r="F71" s="519"/>
      <c r="G71" s="519"/>
      <c r="H71" s="519"/>
      <c r="I71" s="519"/>
      <c r="J71" s="519"/>
      <c r="K71" s="519"/>
      <c r="L71" s="519"/>
      <c r="M71" s="519"/>
      <c r="N71" s="519"/>
      <c r="O71" s="519"/>
      <c r="P71" s="519"/>
      <c r="Q71" s="519"/>
      <c r="R71" s="519"/>
      <c r="S71" s="519"/>
      <c r="T71" s="519"/>
      <c r="U71" s="519"/>
      <c r="V71" s="520"/>
      <c r="W71" s="411"/>
      <c r="X71" s="406"/>
    </row>
    <row r="72" spans="1:24" x14ac:dyDescent="0.3">
      <c r="A72" s="408"/>
      <c r="B72" s="413" t="s">
        <v>22</v>
      </c>
      <c r="C72" s="521"/>
      <c r="D72" s="521"/>
      <c r="E72" s="521"/>
      <c r="F72" s="521"/>
      <c r="G72" s="521"/>
      <c r="H72" s="521"/>
      <c r="I72" s="521"/>
      <c r="J72" s="521"/>
      <c r="K72" s="521"/>
      <c r="L72" s="521"/>
      <c r="M72" s="521"/>
      <c r="N72" s="521"/>
      <c r="O72" s="521"/>
      <c r="P72" s="521"/>
      <c r="Q72" s="521"/>
      <c r="R72" s="521"/>
      <c r="S72" s="521"/>
      <c r="T72" s="521"/>
      <c r="U72" s="521"/>
      <c r="V72" s="522"/>
      <c r="W72" s="411"/>
      <c r="X72" s="406"/>
    </row>
    <row r="73" spans="1:24" x14ac:dyDescent="0.3">
      <c r="A73" s="408"/>
      <c r="B73" s="410"/>
      <c r="C73" s="521"/>
      <c r="D73" s="521"/>
      <c r="E73" s="521"/>
      <c r="F73" s="521"/>
      <c r="G73" s="521"/>
      <c r="H73" s="521"/>
      <c r="I73" s="521"/>
      <c r="J73" s="521"/>
      <c r="K73" s="521"/>
      <c r="L73" s="521"/>
      <c r="M73" s="521"/>
      <c r="N73" s="521"/>
      <c r="O73" s="521"/>
      <c r="P73" s="521"/>
      <c r="Q73" s="521"/>
      <c r="R73" s="521"/>
      <c r="S73" s="521"/>
      <c r="T73" s="521"/>
      <c r="U73" s="521"/>
      <c r="V73" s="522"/>
      <c r="W73" s="411"/>
      <c r="X73" s="406"/>
    </row>
    <row r="74" spans="1:24" s="426" customFormat="1" x14ac:dyDescent="0.3">
      <c r="A74" s="443"/>
      <c r="B74" s="444" t="s">
        <v>19</v>
      </c>
      <c r="C74" s="516"/>
      <c r="D74" s="516"/>
      <c r="E74" s="516"/>
      <c r="F74" s="516"/>
      <c r="G74" s="516"/>
      <c r="H74" s="516"/>
      <c r="I74" s="516"/>
      <c r="J74" s="516"/>
      <c r="K74" s="516"/>
      <c r="L74" s="516"/>
      <c r="M74" s="516"/>
      <c r="N74" s="516"/>
      <c r="O74" s="516"/>
      <c r="P74" s="516"/>
      <c r="Q74" s="516"/>
      <c r="R74" s="516"/>
      <c r="S74" s="516"/>
      <c r="T74" s="516"/>
      <c r="U74" s="516"/>
      <c r="V74" s="516"/>
      <c r="W74" s="446"/>
      <c r="X74" s="425"/>
    </row>
    <row r="75" spans="1:24" s="426" customFormat="1" x14ac:dyDescent="0.3">
      <c r="A75" s="443"/>
      <c r="B75" s="444" t="s">
        <v>20</v>
      </c>
      <c r="C75" s="516"/>
      <c r="D75" s="516"/>
      <c r="E75" s="516"/>
      <c r="F75" s="516"/>
      <c r="G75" s="516"/>
      <c r="H75" s="516"/>
      <c r="I75" s="516"/>
      <c r="J75" s="516"/>
      <c r="K75" s="516"/>
      <c r="L75" s="516"/>
      <c r="M75" s="516"/>
      <c r="N75" s="516"/>
      <c r="O75" s="516"/>
      <c r="P75" s="516"/>
      <c r="Q75" s="516"/>
      <c r="R75" s="516"/>
      <c r="S75" s="516"/>
      <c r="T75" s="516"/>
      <c r="U75" s="516"/>
      <c r="V75" s="516"/>
      <c r="W75" s="446"/>
      <c r="X75" s="425"/>
    </row>
    <row r="76" spans="1:24" s="426" customFormat="1" x14ac:dyDescent="0.3">
      <c r="A76" s="443"/>
      <c r="B76" s="444"/>
      <c r="C76" s="516"/>
      <c r="D76" s="516"/>
      <c r="E76" s="516"/>
      <c r="F76" s="516"/>
      <c r="G76" s="516"/>
      <c r="H76" s="516"/>
      <c r="I76" s="516"/>
      <c r="J76" s="516"/>
      <c r="K76" s="516"/>
      <c r="L76" s="516"/>
      <c r="M76" s="516"/>
      <c r="N76" s="516"/>
      <c r="O76" s="516"/>
      <c r="P76" s="516"/>
      <c r="Q76" s="516"/>
      <c r="R76" s="516"/>
      <c r="S76" s="516"/>
      <c r="T76" s="516"/>
      <c r="U76" s="516"/>
      <c r="V76" s="516"/>
      <c r="W76" s="446"/>
      <c r="X76" s="425"/>
    </row>
    <row r="77" spans="1:24" s="426" customFormat="1" x14ac:dyDescent="0.3">
      <c r="A77" s="443"/>
      <c r="B77" s="444" t="s">
        <v>21</v>
      </c>
      <c r="C77" s="516"/>
      <c r="D77" s="516"/>
      <c r="E77" s="516"/>
      <c r="F77" s="516"/>
      <c r="G77" s="516"/>
      <c r="H77" s="516"/>
      <c r="I77" s="516"/>
      <c r="J77" s="516"/>
      <c r="K77" s="516"/>
      <c r="L77" s="516"/>
      <c r="M77" s="516"/>
      <c r="N77" s="516"/>
      <c r="O77" s="516"/>
      <c r="P77" s="516"/>
      <c r="Q77" s="516"/>
      <c r="R77" s="516"/>
      <c r="S77" s="516"/>
      <c r="T77" s="516"/>
      <c r="U77" s="516"/>
      <c r="V77" s="516"/>
      <c r="W77" s="446"/>
      <c r="X77" s="425"/>
    </row>
    <row r="78" spans="1:24" s="426" customFormat="1" x14ac:dyDescent="0.3">
      <c r="A78" s="443"/>
      <c r="B78" s="444"/>
      <c r="C78" s="516"/>
      <c r="D78" s="516"/>
      <c r="E78" s="516"/>
      <c r="F78" s="516"/>
      <c r="G78" s="516"/>
      <c r="H78" s="516"/>
      <c r="I78" s="516"/>
      <c r="J78" s="516"/>
      <c r="K78" s="516"/>
      <c r="L78" s="516"/>
      <c r="M78" s="516"/>
      <c r="N78" s="516"/>
      <c r="O78" s="516"/>
      <c r="P78" s="516"/>
      <c r="Q78" s="516"/>
      <c r="R78" s="516"/>
      <c r="S78" s="516"/>
      <c r="T78" s="516"/>
      <c r="U78" s="516"/>
      <c r="V78" s="516"/>
      <c r="W78" s="446"/>
      <c r="X78" s="425"/>
    </row>
    <row r="79" spans="1:24" s="426" customFormat="1" x14ac:dyDescent="0.3">
      <c r="A79" s="443"/>
      <c r="B79" s="444" t="s">
        <v>23</v>
      </c>
      <c r="C79" s="516"/>
      <c r="D79" s="516"/>
      <c r="E79" s="516"/>
      <c r="F79" s="516"/>
      <c r="G79" s="516"/>
      <c r="H79" s="516"/>
      <c r="I79" s="516"/>
      <c r="J79" s="516"/>
      <c r="K79" s="516"/>
      <c r="L79" s="516">
        <v>0</v>
      </c>
      <c r="M79" s="516"/>
      <c r="N79" s="516">
        <v>0</v>
      </c>
      <c r="O79" s="516"/>
      <c r="P79" s="516"/>
      <c r="Q79" s="516"/>
      <c r="R79" s="516"/>
      <c r="S79" s="516"/>
      <c r="T79" s="516"/>
      <c r="U79" s="516"/>
      <c r="V79" s="517">
        <v>0</v>
      </c>
      <c r="W79" s="446"/>
      <c r="X79" s="425"/>
    </row>
    <row r="80" spans="1:24" s="426" customFormat="1" x14ac:dyDescent="0.3">
      <c r="A80" s="443"/>
      <c r="B80" s="444" t="s">
        <v>120</v>
      </c>
      <c r="C80" s="516"/>
      <c r="D80" s="516"/>
      <c r="E80" s="516"/>
      <c r="F80" s="516"/>
      <c r="G80" s="516"/>
      <c r="H80" s="516"/>
      <c r="I80" s="516"/>
      <c r="J80" s="516"/>
      <c r="K80" s="516"/>
      <c r="L80" s="516">
        <f>414862+7</f>
        <v>414869</v>
      </c>
      <c r="M80" s="516"/>
      <c r="N80" s="516">
        <v>0</v>
      </c>
      <c r="O80" s="516"/>
      <c r="P80" s="516">
        <v>0</v>
      </c>
      <c r="Q80" s="516"/>
      <c r="R80" s="516"/>
      <c r="S80" s="516"/>
      <c r="T80" s="516"/>
      <c r="U80" s="516"/>
      <c r="V80" s="516">
        <f>SUM(N80:R80)</f>
        <v>0</v>
      </c>
      <c r="W80" s="446"/>
      <c r="X80" s="425"/>
    </row>
    <row r="81" spans="1:24" s="426" customFormat="1" x14ac:dyDescent="0.3">
      <c r="A81" s="443"/>
      <c r="B81" s="444" t="s">
        <v>149</v>
      </c>
      <c r="C81" s="516"/>
      <c r="D81" s="516"/>
      <c r="E81" s="516"/>
      <c r="F81" s="516"/>
      <c r="G81" s="516"/>
      <c r="H81" s="516"/>
      <c r="I81" s="516"/>
      <c r="J81" s="516"/>
      <c r="K81" s="516"/>
      <c r="L81" s="516">
        <v>0</v>
      </c>
      <c r="M81" s="516"/>
      <c r="N81" s="516">
        <v>0</v>
      </c>
      <c r="O81" s="516"/>
      <c r="P81" s="516">
        <v>0</v>
      </c>
      <c r="Q81" s="516"/>
      <c r="R81" s="516"/>
      <c r="S81" s="516"/>
      <c r="T81" s="516"/>
      <c r="U81" s="516"/>
      <c r="V81" s="516">
        <f>+N81+P81</f>
        <v>0</v>
      </c>
      <c r="W81" s="446"/>
      <c r="X81" s="425"/>
    </row>
    <row r="82" spans="1:24" s="426" customFormat="1" x14ac:dyDescent="0.3">
      <c r="A82" s="443"/>
      <c r="B82" s="444" t="s">
        <v>25</v>
      </c>
      <c r="C82" s="516"/>
      <c r="D82" s="516"/>
      <c r="E82" s="516"/>
      <c r="F82" s="516"/>
      <c r="G82" s="516"/>
      <c r="H82" s="516"/>
      <c r="I82" s="516"/>
      <c r="J82" s="516"/>
      <c r="K82" s="516"/>
      <c r="L82" s="516">
        <v>0</v>
      </c>
      <c r="M82" s="516"/>
      <c r="N82" s="516">
        <v>0</v>
      </c>
      <c r="O82" s="516"/>
      <c r="P82" s="516"/>
      <c r="Q82" s="516"/>
      <c r="R82" s="516"/>
      <c r="S82" s="516"/>
      <c r="T82" s="516"/>
      <c r="U82" s="516"/>
      <c r="V82" s="516">
        <v>0</v>
      </c>
      <c r="W82" s="446"/>
      <c r="X82" s="425"/>
    </row>
    <row r="83" spans="1:24" s="426" customFormat="1" x14ac:dyDescent="0.3">
      <c r="A83" s="523"/>
      <c r="B83" s="524" t="s">
        <v>26</v>
      </c>
      <c r="C83" s="525"/>
      <c r="D83" s="525"/>
      <c r="E83" s="525"/>
      <c r="F83" s="525"/>
      <c r="G83" s="525"/>
      <c r="H83" s="525"/>
      <c r="I83" s="525"/>
      <c r="J83" s="525"/>
      <c r="K83" s="525"/>
      <c r="L83" s="525">
        <f>SUM(L70:L82)</f>
        <v>1500190</v>
      </c>
      <c r="M83" s="525"/>
      <c r="N83" s="525">
        <f>SUM(N70:N82)</f>
        <v>723285</v>
      </c>
      <c r="O83" s="525"/>
      <c r="P83" s="525"/>
      <c r="Q83" s="525"/>
      <c r="R83" s="525"/>
      <c r="S83" s="525"/>
      <c r="T83" s="525"/>
      <c r="U83" s="525"/>
      <c r="V83" s="525">
        <f>SUM(V70:V82)</f>
        <v>711805</v>
      </c>
      <c r="W83" s="526"/>
      <c r="X83" s="425"/>
    </row>
    <row r="84" spans="1:24" x14ac:dyDescent="0.3">
      <c r="A84" s="527"/>
      <c r="B84" s="528"/>
      <c r="C84" s="529"/>
      <c r="D84" s="529"/>
      <c r="E84" s="529"/>
      <c r="F84" s="529"/>
      <c r="G84" s="529"/>
      <c r="H84" s="529"/>
      <c r="I84" s="529"/>
      <c r="J84" s="529"/>
      <c r="K84" s="529"/>
      <c r="L84" s="529"/>
      <c r="M84" s="529"/>
      <c r="N84" s="529"/>
      <c r="O84" s="529"/>
      <c r="P84" s="529"/>
      <c r="Q84" s="529"/>
      <c r="R84" s="529"/>
      <c r="S84" s="529"/>
      <c r="T84" s="529"/>
      <c r="U84" s="529"/>
      <c r="V84" s="529"/>
      <c r="W84" s="530"/>
      <c r="X84" s="406"/>
    </row>
    <row r="85" spans="1:24" x14ac:dyDescent="0.3">
      <c r="A85" s="408"/>
      <c r="B85" s="531"/>
      <c r="C85" s="531"/>
      <c r="D85" s="531"/>
      <c r="E85" s="531"/>
      <c r="F85" s="531"/>
      <c r="G85" s="531"/>
      <c r="H85" s="531"/>
      <c r="I85" s="531"/>
      <c r="J85" s="531"/>
      <c r="K85" s="531"/>
      <c r="L85" s="531"/>
      <c r="M85" s="531"/>
      <c r="N85" s="531"/>
      <c r="O85" s="531"/>
      <c r="P85" s="531"/>
      <c r="Q85" s="531"/>
      <c r="R85" s="531"/>
      <c r="S85" s="531"/>
      <c r="T85" s="531"/>
      <c r="U85" s="531"/>
      <c r="V85" s="531"/>
      <c r="W85" s="532"/>
      <c r="X85" s="406"/>
    </row>
    <row r="86" spans="1:24" x14ac:dyDescent="0.3">
      <c r="A86" s="533"/>
      <c r="B86" s="534" t="s">
        <v>27</v>
      </c>
      <c r="C86" s="534"/>
      <c r="D86" s="534"/>
      <c r="E86" s="534"/>
      <c r="F86" s="534"/>
      <c r="G86" s="534"/>
      <c r="H86" s="535"/>
      <c r="I86" s="535"/>
      <c r="J86" s="535"/>
      <c r="K86" s="535"/>
      <c r="L86" s="536" t="s">
        <v>96</v>
      </c>
      <c r="M86" s="535"/>
      <c r="N86" s="537">
        <f>+T198</f>
        <v>43644</v>
      </c>
      <c r="O86" s="535"/>
      <c r="P86" s="535"/>
      <c r="Q86" s="535"/>
      <c r="R86" s="535"/>
      <c r="S86" s="535"/>
      <c r="T86" s="535" t="s">
        <v>109</v>
      </c>
      <c r="U86" s="535"/>
      <c r="V86" s="535" t="s">
        <v>116</v>
      </c>
      <c r="W86" s="538"/>
      <c r="X86" s="406"/>
    </row>
    <row r="87" spans="1:24" s="426" customFormat="1" x14ac:dyDescent="0.3">
      <c r="A87" s="439"/>
      <c r="B87" s="440" t="s">
        <v>28</v>
      </c>
      <c r="C87" s="440"/>
      <c r="D87" s="440"/>
      <c r="E87" s="440"/>
      <c r="F87" s="440"/>
      <c r="G87" s="440"/>
      <c r="H87" s="440"/>
      <c r="I87" s="440"/>
      <c r="J87" s="440"/>
      <c r="K87" s="440"/>
      <c r="L87" s="440"/>
      <c r="M87" s="440"/>
      <c r="N87" s="440"/>
      <c r="O87" s="440"/>
      <c r="P87" s="440"/>
      <c r="Q87" s="440"/>
      <c r="R87" s="440"/>
      <c r="S87" s="440"/>
      <c r="T87" s="539">
        <v>0</v>
      </c>
      <c r="U87" s="440"/>
      <c r="V87" s="540">
        <v>0</v>
      </c>
      <c r="W87" s="442"/>
      <c r="X87" s="425"/>
    </row>
    <row r="88" spans="1:24" s="426" customFormat="1" x14ac:dyDescent="0.3">
      <c r="A88" s="443"/>
      <c r="B88" s="444" t="s">
        <v>29</v>
      </c>
      <c r="C88" s="444"/>
      <c r="D88" s="444"/>
      <c r="E88" s="444"/>
      <c r="F88" s="444"/>
      <c r="G88" s="444"/>
      <c r="H88" s="482"/>
      <c r="I88" s="482"/>
      <c r="J88" s="482"/>
      <c r="K88" s="541"/>
      <c r="L88" s="482"/>
      <c r="M88" s="444"/>
      <c r="N88" s="542"/>
      <c r="O88" s="444"/>
      <c r="P88" s="444"/>
      <c r="Q88" s="444"/>
      <c r="R88" s="444"/>
      <c r="S88" s="444"/>
      <c r="T88" s="516">
        <f>11480-77</f>
        <v>11403</v>
      </c>
      <c r="U88" s="444"/>
      <c r="V88" s="517"/>
      <c r="W88" s="446"/>
      <c r="X88" s="425"/>
    </row>
    <row r="89" spans="1:24" s="426" customFormat="1" x14ac:dyDescent="0.3">
      <c r="A89" s="443"/>
      <c r="B89" s="444" t="s">
        <v>219</v>
      </c>
      <c r="C89" s="444"/>
      <c r="D89" s="444"/>
      <c r="E89" s="444"/>
      <c r="F89" s="444"/>
      <c r="G89" s="444"/>
      <c r="H89" s="482"/>
      <c r="I89" s="482"/>
      <c r="J89" s="482"/>
      <c r="K89" s="541"/>
      <c r="L89" s="482"/>
      <c r="M89" s="444"/>
      <c r="N89" s="542"/>
      <c r="O89" s="444"/>
      <c r="P89" s="444"/>
      <c r="Q89" s="444"/>
      <c r="R89" s="444"/>
      <c r="S89" s="444"/>
      <c r="T89" s="516"/>
      <c r="U89" s="444"/>
      <c r="V89" s="517">
        <f>4279+2380-1206-785</f>
        <v>4668</v>
      </c>
      <c r="W89" s="446"/>
      <c r="X89" s="425"/>
    </row>
    <row r="90" spans="1:24" s="426" customFormat="1" x14ac:dyDescent="0.3">
      <c r="A90" s="443"/>
      <c r="B90" s="444" t="s">
        <v>214</v>
      </c>
      <c r="C90" s="444"/>
      <c r="D90" s="444"/>
      <c r="E90" s="444"/>
      <c r="F90" s="444"/>
      <c r="G90" s="444"/>
      <c r="H90" s="482"/>
      <c r="I90" s="482"/>
      <c r="J90" s="482"/>
      <c r="K90" s="541"/>
      <c r="L90" s="482"/>
      <c r="M90" s="444"/>
      <c r="N90" s="542"/>
      <c r="O90" s="444"/>
      <c r="P90" s="444"/>
      <c r="Q90" s="444"/>
      <c r="R90" s="444"/>
      <c r="S90" s="444"/>
      <c r="T90" s="516"/>
      <c r="U90" s="444"/>
      <c r="V90" s="517">
        <f>67+45</f>
        <v>112</v>
      </c>
      <c r="W90" s="446"/>
      <c r="X90" s="425"/>
    </row>
    <row r="91" spans="1:24" s="426" customFormat="1" x14ac:dyDescent="0.3">
      <c r="A91" s="443"/>
      <c r="B91" s="444" t="s">
        <v>215</v>
      </c>
      <c r="C91" s="444"/>
      <c r="D91" s="444"/>
      <c r="E91" s="444"/>
      <c r="F91" s="444"/>
      <c r="G91" s="444"/>
      <c r="H91" s="482"/>
      <c r="I91" s="482"/>
      <c r="J91" s="482"/>
      <c r="K91" s="541"/>
      <c r="L91" s="482"/>
      <c r="M91" s="444"/>
      <c r="N91" s="542"/>
      <c r="O91" s="444"/>
      <c r="P91" s="444"/>
      <c r="Q91" s="444"/>
      <c r="R91" s="444"/>
      <c r="S91" s="444"/>
      <c r="T91" s="516"/>
      <c r="U91" s="444"/>
      <c r="V91" s="517">
        <v>79</v>
      </c>
      <c r="W91" s="446"/>
      <c r="X91" s="425"/>
    </row>
    <row r="92" spans="1:24" s="426" customFormat="1" x14ac:dyDescent="0.3">
      <c r="A92" s="443"/>
      <c r="B92" s="444" t="s">
        <v>277</v>
      </c>
      <c r="C92" s="444"/>
      <c r="D92" s="444"/>
      <c r="E92" s="444"/>
      <c r="F92" s="444"/>
      <c r="G92" s="444"/>
      <c r="H92" s="482"/>
      <c r="I92" s="482"/>
      <c r="J92" s="482"/>
      <c r="K92" s="541"/>
      <c r="L92" s="482"/>
      <c r="M92" s="444"/>
      <c r="N92" s="542"/>
      <c r="O92" s="444"/>
      <c r="P92" s="444"/>
      <c r="Q92" s="444"/>
      <c r="R92" s="444"/>
      <c r="S92" s="444"/>
      <c r="T92" s="516"/>
      <c r="U92" s="444"/>
      <c r="V92" s="517">
        <v>0</v>
      </c>
      <c r="W92" s="446"/>
      <c r="X92" s="425"/>
    </row>
    <row r="93" spans="1:24" s="426" customFormat="1" x14ac:dyDescent="0.3">
      <c r="A93" s="443"/>
      <c r="B93" s="444" t="s">
        <v>138</v>
      </c>
      <c r="C93" s="444"/>
      <c r="D93" s="444"/>
      <c r="E93" s="444"/>
      <c r="F93" s="444"/>
      <c r="G93" s="444"/>
      <c r="H93" s="444"/>
      <c r="I93" s="444"/>
      <c r="J93" s="444"/>
      <c r="K93" s="444"/>
      <c r="L93" s="444"/>
      <c r="M93" s="444"/>
      <c r="N93" s="444"/>
      <c r="O93" s="444"/>
      <c r="P93" s="444"/>
      <c r="Q93" s="444"/>
      <c r="R93" s="444"/>
      <c r="S93" s="444"/>
      <c r="T93" s="516"/>
      <c r="U93" s="444"/>
      <c r="V93" s="517">
        <v>0</v>
      </c>
      <c r="W93" s="446"/>
      <c r="X93" s="425"/>
    </row>
    <row r="94" spans="1:24" s="426" customFormat="1" x14ac:dyDescent="0.3">
      <c r="A94" s="443"/>
      <c r="B94" s="444" t="s">
        <v>265</v>
      </c>
      <c r="C94" s="444"/>
      <c r="D94" s="444"/>
      <c r="E94" s="444"/>
      <c r="F94" s="444"/>
      <c r="G94" s="444"/>
      <c r="H94" s="444"/>
      <c r="I94" s="444"/>
      <c r="J94" s="444"/>
      <c r="K94" s="444"/>
      <c r="L94" s="444"/>
      <c r="M94" s="444"/>
      <c r="N94" s="444"/>
      <c r="O94" s="444"/>
      <c r="P94" s="444"/>
      <c r="Q94" s="444"/>
      <c r="R94" s="444"/>
      <c r="S94" s="444"/>
      <c r="T94" s="516"/>
      <c r="U94" s="444"/>
      <c r="V94" s="517">
        <v>200</v>
      </c>
      <c r="W94" s="446"/>
      <c r="X94" s="425"/>
    </row>
    <row r="95" spans="1:24" s="426" customFormat="1" x14ac:dyDescent="0.3">
      <c r="A95" s="443"/>
      <c r="B95" s="444" t="s">
        <v>30</v>
      </c>
      <c r="C95" s="444"/>
      <c r="D95" s="444"/>
      <c r="E95" s="444"/>
      <c r="F95" s="444"/>
      <c r="G95" s="444"/>
      <c r="H95" s="444"/>
      <c r="I95" s="444"/>
      <c r="J95" s="444"/>
      <c r="K95" s="444"/>
      <c r="L95" s="444"/>
      <c r="M95" s="444"/>
      <c r="N95" s="444"/>
      <c r="O95" s="444"/>
      <c r="P95" s="444"/>
      <c r="Q95" s="444"/>
      <c r="R95" s="444"/>
      <c r="S95" s="444"/>
      <c r="T95" s="516">
        <f>SUM(T87:T94)</f>
        <v>11403</v>
      </c>
      <c r="U95" s="444"/>
      <c r="V95" s="516">
        <f>SUM(V87:V94)</f>
        <v>5059</v>
      </c>
      <c r="W95" s="446"/>
      <c r="X95" s="425"/>
    </row>
    <row r="96" spans="1:24" s="426" customFormat="1" x14ac:dyDescent="0.3">
      <c r="A96" s="443"/>
      <c r="B96" s="444" t="s">
        <v>164</v>
      </c>
      <c r="C96" s="444"/>
      <c r="D96" s="444"/>
      <c r="E96" s="444"/>
      <c r="F96" s="444"/>
      <c r="G96" s="444"/>
      <c r="H96" s="444"/>
      <c r="I96" s="444"/>
      <c r="J96" s="444"/>
      <c r="K96" s="444"/>
      <c r="L96" s="444"/>
      <c r="M96" s="444"/>
      <c r="N96" s="444"/>
      <c r="O96" s="444"/>
      <c r="P96" s="444"/>
      <c r="Q96" s="444"/>
      <c r="R96" s="444"/>
      <c r="S96" s="444"/>
      <c r="T96" s="516">
        <f>-V96</f>
        <v>0</v>
      </c>
      <c r="U96" s="444"/>
      <c r="V96" s="516">
        <v>0</v>
      </c>
      <c r="W96" s="446"/>
      <c r="X96" s="425"/>
    </row>
    <row r="97" spans="1:26" s="426" customFormat="1" x14ac:dyDescent="0.3">
      <c r="A97" s="443"/>
      <c r="B97" s="444" t="s">
        <v>31</v>
      </c>
      <c r="C97" s="444"/>
      <c r="D97" s="444"/>
      <c r="E97" s="444"/>
      <c r="F97" s="444"/>
      <c r="G97" s="444"/>
      <c r="H97" s="444"/>
      <c r="I97" s="444"/>
      <c r="J97" s="444"/>
      <c r="K97" s="444"/>
      <c r="L97" s="444"/>
      <c r="M97" s="444"/>
      <c r="N97" s="444"/>
      <c r="O97" s="444"/>
      <c r="P97" s="444"/>
      <c r="Q97" s="444"/>
      <c r="R97" s="444"/>
      <c r="S97" s="444"/>
      <c r="T97" s="516">
        <f>-V97</f>
        <v>0</v>
      </c>
      <c r="U97" s="444"/>
      <c r="V97" s="517">
        <v>0</v>
      </c>
      <c r="W97" s="446"/>
      <c r="X97" s="425"/>
    </row>
    <row r="98" spans="1:26" s="426" customFormat="1" x14ac:dyDescent="0.3">
      <c r="A98" s="443"/>
      <c r="B98" s="444" t="s">
        <v>288</v>
      </c>
      <c r="C98" s="444"/>
      <c r="D98" s="444"/>
      <c r="E98" s="444"/>
      <c r="F98" s="444"/>
      <c r="G98" s="444"/>
      <c r="H98" s="444"/>
      <c r="I98" s="444"/>
      <c r="J98" s="444"/>
      <c r="K98" s="444"/>
      <c r="L98" s="444"/>
      <c r="M98" s="444"/>
      <c r="N98" s="444"/>
      <c r="O98" s="444"/>
      <c r="P98" s="444"/>
      <c r="Q98" s="444"/>
      <c r="R98" s="444"/>
      <c r="S98" s="444"/>
      <c r="T98" s="516"/>
      <c r="U98" s="444"/>
      <c r="V98" s="517">
        <v>56</v>
      </c>
      <c r="W98" s="446"/>
      <c r="X98" s="425"/>
    </row>
    <row r="99" spans="1:26" s="426" customFormat="1" x14ac:dyDescent="0.3">
      <c r="A99" s="443"/>
      <c r="B99" s="444" t="s">
        <v>32</v>
      </c>
      <c r="C99" s="444"/>
      <c r="D99" s="444"/>
      <c r="E99" s="444"/>
      <c r="F99" s="444"/>
      <c r="G99" s="444"/>
      <c r="H99" s="444"/>
      <c r="I99" s="444"/>
      <c r="J99" s="444"/>
      <c r="K99" s="444"/>
      <c r="L99" s="444"/>
      <c r="M99" s="444"/>
      <c r="N99" s="444"/>
      <c r="O99" s="444"/>
      <c r="P99" s="444"/>
      <c r="Q99" s="444"/>
      <c r="R99" s="444"/>
      <c r="S99" s="444"/>
      <c r="T99" s="516">
        <f>T95+T97+T96</f>
        <v>11403</v>
      </c>
      <c r="U99" s="444"/>
      <c r="V99" s="516">
        <f>V95+V97+V96+V98</f>
        <v>5115</v>
      </c>
      <c r="W99" s="446"/>
      <c r="X99" s="425"/>
    </row>
    <row r="100" spans="1:26" x14ac:dyDescent="0.3">
      <c r="A100" s="543"/>
      <c r="B100" s="544" t="s">
        <v>33</v>
      </c>
      <c r="C100" s="465"/>
      <c r="D100" s="465"/>
      <c r="E100" s="465"/>
      <c r="F100" s="465"/>
      <c r="G100" s="465"/>
      <c r="H100" s="465"/>
      <c r="I100" s="465"/>
      <c r="J100" s="465"/>
      <c r="K100" s="465"/>
      <c r="L100" s="465"/>
      <c r="M100" s="465"/>
      <c r="N100" s="465"/>
      <c r="O100" s="465"/>
      <c r="P100" s="465"/>
      <c r="Q100" s="465"/>
      <c r="R100" s="465"/>
      <c r="S100" s="465"/>
      <c r="T100" s="545"/>
      <c r="U100" s="465"/>
      <c r="V100" s="546"/>
      <c r="W100" s="547"/>
      <c r="X100" s="406"/>
    </row>
    <row r="101" spans="1:26" s="426" customFormat="1" x14ac:dyDescent="0.3">
      <c r="A101" s="443">
        <v>1</v>
      </c>
      <c r="B101" s="444" t="s">
        <v>34</v>
      </c>
      <c r="C101" s="444"/>
      <c r="D101" s="444"/>
      <c r="E101" s="444"/>
      <c r="F101" s="444"/>
      <c r="G101" s="444"/>
      <c r="H101" s="444"/>
      <c r="I101" s="444"/>
      <c r="J101" s="444"/>
      <c r="K101" s="444"/>
      <c r="L101" s="444"/>
      <c r="M101" s="444"/>
      <c r="N101" s="444"/>
      <c r="O101" s="444"/>
      <c r="P101" s="444"/>
      <c r="Q101" s="444"/>
      <c r="R101" s="444"/>
      <c r="S101" s="444"/>
      <c r="T101" s="444"/>
      <c r="U101" s="444"/>
      <c r="V101" s="517">
        <v>0</v>
      </c>
      <c r="W101" s="446"/>
      <c r="X101" s="425"/>
    </row>
    <row r="102" spans="1:26" s="426" customFormat="1" x14ac:dyDescent="0.3">
      <c r="A102" s="443">
        <f>+A101+1</f>
        <v>2</v>
      </c>
      <c r="B102" s="444" t="s">
        <v>331</v>
      </c>
      <c r="C102" s="444"/>
      <c r="D102" s="444"/>
      <c r="E102" s="444"/>
      <c r="F102" s="444"/>
      <c r="G102" s="444"/>
      <c r="H102" s="444"/>
      <c r="I102" s="444"/>
      <c r="J102" s="444"/>
      <c r="K102" s="444"/>
      <c r="L102" s="444"/>
      <c r="M102" s="444"/>
      <c r="N102" s="444"/>
      <c r="O102" s="444"/>
      <c r="P102" s="444"/>
      <c r="Q102" s="444"/>
      <c r="R102" s="444"/>
      <c r="S102" s="444"/>
      <c r="T102" s="444"/>
      <c r="U102" s="444"/>
      <c r="V102" s="517">
        <f>-2</f>
        <v>-2</v>
      </c>
      <c r="W102" s="446"/>
      <c r="X102" s="425"/>
    </row>
    <row r="103" spans="1:26" s="426" customFormat="1" x14ac:dyDescent="0.3">
      <c r="A103" s="443">
        <f>+A102+1</f>
        <v>3</v>
      </c>
      <c r="B103" s="548" t="s">
        <v>332</v>
      </c>
      <c r="C103" s="444"/>
      <c r="D103" s="444"/>
      <c r="E103" s="444"/>
      <c r="F103" s="444"/>
      <c r="G103" s="444"/>
      <c r="H103" s="444"/>
      <c r="I103" s="444"/>
      <c r="J103" s="444"/>
      <c r="K103" s="444"/>
      <c r="L103" s="444"/>
      <c r="M103" s="444"/>
      <c r="N103" s="444"/>
      <c r="O103" s="444"/>
      <c r="P103" s="444"/>
      <c r="Q103" s="444"/>
      <c r="R103" s="444"/>
      <c r="S103" s="444"/>
      <c r="T103" s="444"/>
      <c r="U103" s="444"/>
      <c r="V103" s="517">
        <f>-276-98-10</f>
        <v>-384</v>
      </c>
      <c r="W103" s="446"/>
      <c r="X103" s="425"/>
    </row>
    <row r="104" spans="1:26" s="426" customFormat="1" x14ac:dyDescent="0.3">
      <c r="A104" s="443" t="s">
        <v>130</v>
      </c>
      <c r="B104" s="444" t="s">
        <v>119</v>
      </c>
      <c r="C104" s="444"/>
      <c r="D104" s="444"/>
      <c r="E104" s="444"/>
      <c r="F104" s="444"/>
      <c r="G104" s="444"/>
      <c r="H104" s="444"/>
      <c r="I104" s="444"/>
      <c r="J104" s="444"/>
      <c r="K104" s="444"/>
      <c r="L104" s="444"/>
      <c r="M104" s="444"/>
      <c r="N104" s="444"/>
      <c r="O104" s="444"/>
      <c r="P104" s="444"/>
      <c r="Q104" s="444"/>
      <c r="R104" s="444"/>
      <c r="S104" s="444"/>
      <c r="T104" s="444"/>
      <c r="U104" s="444"/>
      <c r="V104" s="517">
        <v>0</v>
      </c>
      <c r="W104" s="446"/>
      <c r="X104" s="425"/>
    </row>
    <row r="105" spans="1:26" s="426" customFormat="1" x14ac:dyDescent="0.3">
      <c r="A105" s="443" t="s">
        <v>131</v>
      </c>
      <c r="B105" s="444" t="s">
        <v>362</v>
      </c>
      <c r="C105" s="444"/>
      <c r="D105" s="444"/>
      <c r="E105" s="444"/>
      <c r="F105" s="444"/>
      <c r="G105" s="444"/>
      <c r="H105" s="444"/>
      <c r="I105" s="444"/>
      <c r="J105" s="444"/>
      <c r="K105" s="444"/>
      <c r="L105" s="444"/>
      <c r="M105" s="444"/>
      <c r="N105" s="444"/>
      <c r="O105" s="444"/>
      <c r="P105" s="444"/>
      <c r="Q105" s="444"/>
      <c r="R105" s="444"/>
      <c r="S105" s="444"/>
      <c r="T105" s="444"/>
      <c r="U105" s="444"/>
      <c r="V105" s="517">
        <f>-879-138</f>
        <v>-1017</v>
      </c>
      <c r="W105" s="446"/>
      <c r="X105" s="425"/>
      <c r="Y105" s="549"/>
      <c r="Z105" s="549"/>
    </row>
    <row r="106" spans="1:26" s="426" customFormat="1" x14ac:dyDescent="0.3">
      <c r="A106" s="443" t="s">
        <v>153</v>
      </c>
      <c r="B106" s="444" t="s">
        <v>363</v>
      </c>
      <c r="C106" s="444"/>
      <c r="D106" s="444"/>
      <c r="E106" s="444"/>
      <c r="F106" s="444"/>
      <c r="G106" s="444"/>
      <c r="H106" s="444"/>
      <c r="I106" s="444"/>
      <c r="J106" s="444"/>
      <c r="K106" s="444"/>
      <c r="L106" s="444"/>
      <c r="M106" s="444"/>
      <c r="N106" s="444"/>
      <c r="O106" s="444"/>
      <c r="P106" s="444"/>
      <c r="Q106" s="444"/>
      <c r="R106" s="444"/>
      <c r="S106" s="444"/>
      <c r="T106" s="444"/>
      <c r="U106" s="444"/>
      <c r="V106" s="517">
        <f>-238-206</f>
        <v>-444</v>
      </c>
      <c r="W106" s="446"/>
      <c r="X106" s="425"/>
      <c r="Y106" s="549"/>
    </row>
    <row r="107" spans="1:26" s="426" customFormat="1" x14ac:dyDescent="0.3">
      <c r="A107" s="443" t="s">
        <v>266</v>
      </c>
      <c r="B107" s="444" t="s">
        <v>269</v>
      </c>
      <c r="C107" s="444"/>
      <c r="D107" s="444"/>
      <c r="E107" s="444"/>
      <c r="F107" s="444"/>
      <c r="G107" s="444"/>
      <c r="H107" s="444"/>
      <c r="I107" s="444"/>
      <c r="J107" s="444"/>
      <c r="K107" s="444"/>
      <c r="L107" s="444"/>
      <c r="M107" s="444"/>
      <c r="N107" s="444"/>
      <c r="O107" s="444"/>
      <c r="P107" s="444"/>
      <c r="Q107" s="444"/>
      <c r="R107" s="444"/>
      <c r="S107" s="444"/>
      <c r="T107" s="444"/>
      <c r="U107" s="444"/>
      <c r="V107" s="517">
        <v>0</v>
      </c>
      <c r="W107" s="446"/>
      <c r="X107" s="425"/>
    </row>
    <row r="108" spans="1:26" s="426" customFormat="1" x14ac:dyDescent="0.3">
      <c r="A108" s="443" t="s">
        <v>208</v>
      </c>
      <c r="B108" s="444" t="s">
        <v>188</v>
      </c>
      <c r="C108" s="444"/>
      <c r="D108" s="444"/>
      <c r="E108" s="444"/>
      <c r="F108" s="444"/>
      <c r="G108" s="444"/>
      <c r="H108" s="444"/>
      <c r="I108" s="444"/>
      <c r="J108" s="444"/>
      <c r="K108" s="444"/>
      <c r="L108" s="444"/>
      <c r="M108" s="444"/>
      <c r="N108" s="444"/>
      <c r="O108" s="444"/>
      <c r="P108" s="444"/>
      <c r="Q108" s="444"/>
      <c r="R108" s="444"/>
      <c r="S108" s="444"/>
      <c r="T108" s="444"/>
      <c r="U108" s="444"/>
      <c r="V108" s="517">
        <v>-168</v>
      </c>
      <c r="W108" s="446"/>
      <c r="X108" s="425"/>
      <c r="Y108" s="549"/>
    </row>
    <row r="109" spans="1:26" s="426" customFormat="1" x14ac:dyDescent="0.3">
      <c r="A109" s="443" t="s">
        <v>209</v>
      </c>
      <c r="B109" s="444" t="s">
        <v>189</v>
      </c>
      <c r="C109" s="444"/>
      <c r="D109" s="444"/>
      <c r="E109" s="444"/>
      <c r="F109" s="444"/>
      <c r="G109" s="444"/>
      <c r="H109" s="444"/>
      <c r="I109" s="444"/>
      <c r="J109" s="444"/>
      <c r="K109" s="444"/>
      <c r="L109" s="444"/>
      <c r="M109" s="444"/>
      <c r="N109" s="444"/>
      <c r="O109" s="444"/>
      <c r="P109" s="444"/>
      <c r="Q109" s="444"/>
      <c r="R109" s="444"/>
      <c r="S109" s="444"/>
      <c r="T109" s="444"/>
      <c r="U109" s="444"/>
      <c r="V109" s="517">
        <v>-165</v>
      </c>
      <c r="W109" s="446"/>
      <c r="X109" s="425"/>
      <c r="Y109" s="549"/>
    </row>
    <row r="110" spans="1:26" s="426" customFormat="1" x14ac:dyDescent="0.3">
      <c r="A110" s="443" t="s">
        <v>210</v>
      </c>
      <c r="B110" s="444" t="s">
        <v>199</v>
      </c>
      <c r="C110" s="444"/>
      <c r="D110" s="444"/>
      <c r="E110" s="444"/>
      <c r="F110" s="444"/>
      <c r="G110" s="444"/>
      <c r="H110" s="444"/>
      <c r="I110" s="444"/>
      <c r="J110" s="444"/>
      <c r="K110" s="444"/>
      <c r="L110" s="444"/>
      <c r="M110" s="444"/>
      <c r="N110" s="444"/>
      <c r="O110" s="444"/>
      <c r="P110" s="444"/>
      <c r="Q110" s="444"/>
      <c r="R110" s="444"/>
      <c r="S110" s="444"/>
      <c r="T110" s="444"/>
      <c r="U110" s="444"/>
      <c r="V110" s="517">
        <v>-217</v>
      </c>
      <c r="W110" s="446"/>
      <c r="X110" s="425"/>
      <c r="Y110" s="549"/>
    </row>
    <row r="111" spans="1:26" s="426" customFormat="1" x14ac:dyDescent="0.3">
      <c r="A111" s="443" t="s">
        <v>230</v>
      </c>
      <c r="B111" s="444" t="s">
        <v>229</v>
      </c>
      <c r="C111" s="444"/>
      <c r="D111" s="444"/>
      <c r="E111" s="444"/>
      <c r="F111" s="444"/>
      <c r="G111" s="444"/>
      <c r="H111" s="444"/>
      <c r="I111" s="444"/>
      <c r="J111" s="444"/>
      <c r="K111" s="444"/>
      <c r="L111" s="444"/>
      <c r="M111" s="444"/>
      <c r="N111" s="444"/>
      <c r="O111" s="444"/>
      <c r="P111" s="444"/>
      <c r="Q111" s="444"/>
      <c r="R111" s="444"/>
      <c r="S111" s="444"/>
      <c r="T111" s="444"/>
      <c r="U111" s="444"/>
      <c r="V111" s="517">
        <v>-51</v>
      </c>
      <c r="W111" s="446"/>
      <c r="X111" s="425"/>
      <c r="Y111" s="549"/>
    </row>
    <row r="112" spans="1:26" s="426" customFormat="1" x14ac:dyDescent="0.3">
      <c r="A112" s="550">
        <v>7</v>
      </c>
      <c r="B112" s="548" t="s">
        <v>333</v>
      </c>
      <c r="C112" s="548"/>
      <c r="D112" s="548"/>
      <c r="E112" s="548"/>
      <c r="F112" s="548"/>
      <c r="G112" s="444"/>
      <c r="H112" s="444"/>
      <c r="I112" s="444"/>
      <c r="J112" s="444"/>
      <c r="K112" s="444"/>
      <c r="L112" s="444"/>
      <c r="M112" s="444"/>
      <c r="N112" s="444"/>
      <c r="O112" s="444"/>
      <c r="P112" s="444"/>
      <c r="Q112" s="444"/>
      <c r="R112" s="444"/>
      <c r="S112" s="444"/>
      <c r="T112" s="444"/>
      <c r="U112" s="444"/>
      <c r="V112" s="517">
        <v>0</v>
      </c>
      <c r="W112" s="446"/>
      <c r="X112" s="425"/>
      <c r="Y112" s="549"/>
    </row>
    <row r="113" spans="1:24" s="426" customFormat="1" x14ac:dyDescent="0.3">
      <c r="A113" s="443">
        <f t="shared" ref="A113:A120" si="0">+A112+1</f>
        <v>8</v>
      </c>
      <c r="B113" s="444" t="s">
        <v>35</v>
      </c>
      <c r="C113" s="444"/>
      <c r="D113" s="444"/>
      <c r="E113" s="444"/>
      <c r="F113" s="444"/>
      <c r="G113" s="444"/>
      <c r="H113" s="444"/>
      <c r="I113" s="444"/>
      <c r="J113" s="444"/>
      <c r="K113" s="444"/>
      <c r="L113" s="444"/>
      <c r="M113" s="444"/>
      <c r="N113" s="444"/>
      <c r="O113" s="444"/>
      <c r="P113" s="444"/>
      <c r="Q113" s="444"/>
      <c r="R113" s="444"/>
      <c r="S113" s="444"/>
      <c r="T113" s="444"/>
      <c r="U113" s="444"/>
      <c r="V113" s="517">
        <v>-10</v>
      </c>
      <c r="W113" s="446"/>
      <c r="X113" s="425"/>
    </row>
    <row r="114" spans="1:24" s="426" customFormat="1" x14ac:dyDescent="0.3">
      <c r="A114" s="443">
        <f t="shared" si="0"/>
        <v>9</v>
      </c>
      <c r="B114" s="444" t="s">
        <v>45</v>
      </c>
      <c r="C114" s="444"/>
      <c r="D114" s="444"/>
      <c r="E114" s="444"/>
      <c r="F114" s="444"/>
      <c r="G114" s="444"/>
      <c r="H114" s="444"/>
      <c r="I114" s="444"/>
      <c r="J114" s="444"/>
      <c r="K114" s="444"/>
      <c r="L114" s="444"/>
      <c r="M114" s="444"/>
      <c r="N114" s="444"/>
      <c r="O114" s="444"/>
      <c r="P114" s="444"/>
      <c r="Q114" s="444"/>
      <c r="R114" s="444"/>
      <c r="S114" s="444"/>
      <c r="T114" s="516">
        <f>-V114</f>
        <v>77</v>
      </c>
      <c r="U114" s="444"/>
      <c r="V114" s="517">
        <v>-77</v>
      </c>
      <c r="W114" s="446"/>
      <c r="X114" s="425"/>
    </row>
    <row r="115" spans="1:24" s="426" customFormat="1" x14ac:dyDescent="0.3">
      <c r="A115" s="443">
        <f t="shared" si="0"/>
        <v>10</v>
      </c>
      <c r="B115" s="444" t="s">
        <v>128</v>
      </c>
      <c r="C115" s="444"/>
      <c r="D115" s="444"/>
      <c r="E115" s="444"/>
      <c r="F115" s="444"/>
      <c r="G115" s="444"/>
      <c r="H115" s="444"/>
      <c r="I115" s="444"/>
      <c r="J115" s="444"/>
      <c r="K115" s="444"/>
      <c r="L115" s="444"/>
      <c r="M115" s="444"/>
      <c r="N115" s="444"/>
      <c r="O115" s="444"/>
      <c r="P115" s="444"/>
      <c r="Q115" s="444"/>
      <c r="R115" s="444"/>
      <c r="S115" s="444"/>
      <c r="T115" s="444"/>
      <c r="U115" s="444"/>
      <c r="V115" s="517">
        <v>0</v>
      </c>
      <c r="W115" s="446"/>
      <c r="X115" s="425"/>
    </row>
    <row r="116" spans="1:24" s="426" customFormat="1" x14ac:dyDescent="0.3">
      <c r="A116" s="443">
        <f t="shared" si="0"/>
        <v>11</v>
      </c>
      <c r="B116" s="444" t="s">
        <v>271</v>
      </c>
      <c r="C116" s="444"/>
      <c r="D116" s="444"/>
      <c r="E116" s="444"/>
      <c r="F116" s="444"/>
      <c r="G116" s="444"/>
      <c r="H116" s="444"/>
      <c r="I116" s="444"/>
      <c r="J116" s="444"/>
      <c r="K116" s="444"/>
      <c r="L116" s="444"/>
      <c r="M116" s="444"/>
      <c r="N116" s="444"/>
      <c r="O116" s="444"/>
      <c r="P116" s="444"/>
      <c r="Q116" s="444"/>
      <c r="R116" s="444"/>
      <c r="S116" s="444"/>
      <c r="T116" s="444"/>
      <c r="U116" s="444"/>
      <c r="V116" s="517">
        <v>0</v>
      </c>
      <c r="W116" s="446"/>
      <c r="X116" s="425"/>
    </row>
    <row r="117" spans="1:24" s="426" customFormat="1" x14ac:dyDescent="0.3">
      <c r="A117" s="443">
        <f t="shared" si="0"/>
        <v>12</v>
      </c>
      <c r="B117" s="444" t="s">
        <v>36</v>
      </c>
      <c r="C117" s="444"/>
      <c r="D117" s="444"/>
      <c r="E117" s="444"/>
      <c r="F117" s="444"/>
      <c r="G117" s="444"/>
      <c r="H117" s="444"/>
      <c r="I117" s="444"/>
      <c r="J117" s="444"/>
      <c r="K117" s="444"/>
      <c r="L117" s="444"/>
      <c r="M117" s="444"/>
      <c r="N117" s="444"/>
      <c r="O117" s="444"/>
      <c r="P117" s="444"/>
      <c r="Q117" s="444"/>
      <c r="R117" s="444"/>
      <c r="S117" s="444"/>
      <c r="T117" s="444"/>
      <c r="U117" s="444"/>
      <c r="V117" s="517">
        <v>0</v>
      </c>
      <c r="W117" s="446"/>
      <c r="X117" s="425"/>
    </row>
    <row r="118" spans="1:24" s="426" customFormat="1" x14ac:dyDescent="0.3">
      <c r="A118" s="443">
        <f t="shared" si="0"/>
        <v>13</v>
      </c>
      <c r="B118" s="444" t="s">
        <v>270</v>
      </c>
      <c r="C118" s="444"/>
      <c r="D118" s="444"/>
      <c r="E118" s="444"/>
      <c r="F118" s="444"/>
      <c r="G118" s="444"/>
      <c r="H118" s="444"/>
      <c r="I118" s="444"/>
      <c r="J118" s="444"/>
      <c r="K118" s="444"/>
      <c r="L118" s="444"/>
      <c r="M118" s="444"/>
      <c r="N118" s="444"/>
      <c r="O118" s="444"/>
      <c r="P118" s="444"/>
      <c r="Q118" s="444"/>
      <c r="R118" s="444"/>
      <c r="S118" s="444"/>
      <c r="T118" s="444"/>
      <c r="U118" s="444"/>
      <c r="V118" s="517">
        <v>0</v>
      </c>
      <c r="W118" s="446"/>
      <c r="X118" s="425"/>
    </row>
    <row r="119" spans="1:24" s="426" customFormat="1" x14ac:dyDescent="0.3">
      <c r="A119" s="443">
        <f t="shared" si="0"/>
        <v>14</v>
      </c>
      <c r="B119" s="444" t="s">
        <v>152</v>
      </c>
      <c r="C119" s="444"/>
      <c r="D119" s="444"/>
      <c r="E119" s="444"/>
      <c r="F119" s="444"/>
      <c r="G119" s="444"/>
      <c r="H119" s="444"/>
      <c r="I119" s="444"/>
      <c r="J119" s="444"/>
      <c r="K119" s="444"/>
      <c r="L119" s="444"/>
      <c r="M119" s="444"/>
      <c r="N119" s="444"/>
      <c r="O119" s="444"/>
      <c r="P119" s="444"/>
      <c r="Q119" s="444"/>
      <c r="R119" s="444"/>
      <c r="S119" s="444"/>
      <c r="T119" s="444"/>
      <c r="U119" s="444"/>
      <c r="V119" s="517">
        <v>-276</v>
      </c>
      <c r="W119" s="446"/>
      <c r="X119" s="425"/>
    </row>
    <row r="120" spans="1:24" s="426" customFormat="1" x14ac:dyDescent="0.3">
      <c r="A120" s="443">
        <f t="shared" si="0"/>
        <v>15</v>
      </c>
      <c r="B120" s="444" t="s">
        <v>129</v>
      </c>
      <c r="C120" s="444"/>
      <c r="D120" s="444"/>
      <c r="E120" s="444"/>
      <c r="F120" s="444"/>
      <c r="G120" s="444"/>
      <c r="H120" s="444"/>
      <c r="I120" s="444"/>
      <c r="J120" s="444"/>
      <c r="K120" s="444"/>
      <c r="L120" s="444"/>
      <c r="M120" s="444"/>
      <c r="N120" s="444"/>
      <c r="O120" s="444"/>
      <c r="P120" s="444"/>
      <c r="Q120" s="444"/>
      <c r="R120" s="444"/>
      <c r="S120" s="444"/>
      <c r="T120" s="444"/>
      <c r="U120" s="444"/>
      <c r="V120" s="517">
        <f>-V99-SUM(V101:V119)</f>
        <v>-2304</v>
      </c>
      <c r="W120" s="446"/>
      <c r="X120" s="425"/>
    </row>
    <row r="121" spans="1:24" x14ac:dyDescent="0.3">
      <c r="A121" s="543"/>
      <c r="B121" s="544" t="s">
        <v>37</v>
      </c>
      <c r="C121" s="465"/>
      <c r="D121" s="465"/>
      <c r="E121" s="465"/>
      <c r="F121" s="465"/>
      <c r="G121" s="465"/>
      <c r="H121" s="465"/>
      <c r="I121" s="465"/>
      <c r="J121" s="465"/>
      <c r="K121" s="465"/>
      <c r="L121" s="465"/>
      <c r="M121" s="465"/>
      <c r="N121" s="465"/>
      <c r="O121" s="465"/>
      <c r="P121" s="465"/>
      <c r="Q121" s="465"/>
      <c r="R121" s="465"/>
      <c r="S121" s="465"/>
      <c r="T121" s="465"/>
      <c r="U121" s="465"/>
      <c r="V121" s="551"/>
      <c r="W121" s="547"/>
      <c r="X121" s="406"/>
    </row>
    <row r="122" spans="1:24" s="426" customFormat="1" x14ac:dyDescent="0.3">
      <c r="A122" s="443"/>
      <c r="B122" s="444" t="s">
        <v>176</v>
      </c>
      <c r="C122" s="444"/>
      <c r="D122" s="444"/>
      <c r="E122" s="444"/>
      <c r="F122" s="444"/>
      <c r="G122" s="444"/>
      <c r="H122" s="444"/>
      <c r="I122" s="444"/>
      <c r="J122" s="444"/>
      <c r="K122" s="444"/>
      <c r="L122" s="444"/>
      <c r="M122" s="444"/>
      <c r="N122" s="444"/>
      <c r="O122" s="444"/>
      <c r="P122" s="444"/>
      <c r="Q122" s="444"/>
      <c r="R122" s="444"/>
      <c r="S122" s="444"/>
      <c r="T122" s="516">
        <f>-T182</f>
        <v>0</v>
      </c>
      <c r="U122" s="516"/>
      <c r="V122" s="517"/>
      <c r="W122" s="446"/>
      <c r="X122" s="425"/>
    </row>
    <row r="123" spans="1:24" s="426" customFormat="1" x14ac:dyDescent="0.3">
      <c r="A123" s="443"/>
      <c r="B123" s="444" t="s">
        <v>177</v>
      </c>
      <c r="C123" s="444"/>
      <c r="D123" s="444"/>
      <c r="E123" s="444"/>
      <c r="F123" s="444"/>
      <c r="G123" s="444"/>
      <c r="H123" s="444"/>
      <c r="I123" s="444"/>
      <c r="J123" s="444"/>
      <c r="K123" s="444"/>
      <c r="L123" s="444"/>
      <c r="M123" s="444"/>
      <c r="N123" s="444"/>
      <c r="O123" s="444"/>
      <c r="P123" s="444"/>
      <c r="Q123" s="444"/>
      <c r="R123" s="444"/>
      <c r="S123" s="444"/>
      <c r="T123" s="516">
        <v>0</v>
      </c>
      <c r="U123" s="516"/>
      <c r="V123" s="517"/>
      <c r="W123" s="446"/>
      <c r="X123" s="425"/>
    </row>
    <row r="124" spans="1:24" s="426" customFormat="1" x14ac:dyDescent="0.3">
      <c r="A124" s="443"/>
      <c r="B124" s="444" t="s">
        <v>38</v>
      </c>
      <c r="C124" s="444"/>
      <c r="D124" s="444"/>
      <c r="E124" s="444"/>
      <c r="F124" s="444"/>
      <c r="G124" s="444"/>
      <c r="H124" s="444"/>
      <c r="I124" s="444"/>
      <c r="J124" s="444"/>
      <c r="K124" s="444"/>
      <c r="L124" s="444"/>
      <c r="M124" s="444"/>
      <c r="N124" s="444"/>
      <c r="O124" s="444"/>
      <c r="P124" s="444"/>
      <c r="Q124" s="444"/>
      <c r="R124" s="444"/>
      <c r="S124" s="444"/>
      <c r="T124" s="516">
        <f>-S182</f>
        <v>0</v>
      </c>
      <c r="U124" s="516"/>
      <c r="V124" s="517"/>
      <c r="W124" s="446"/>
      <c r="X124" s="425"/>
    </row>
    <row r="125" spans="1:24" s="426" customFormat="1" x14ac:dyDescent="0.3">
      <c r="A125" s="443"/>
      <c r="B125" s="444" t="s">
        <v>386</v>
      </c>
      <c r="C125" s="444"/>
      <c r="D125" s="444"/>
      <c r="E125" s="444"/>
      <c r="F125" s="444"/>
      <c r="G125" s="444"/>
      <c r="H125" s="444"/>
      <c r="I125" s="444"/>
      <c r="J125" s="444"/>
      <c r="K125" s="444"/>
      <c r="L125" s="444"/>
      <c r="M125" s="444"/>
      <c r="N125" s="444"/>
      <c r="O125" s="444"/>
      <c r="P125" s="444"/>
      <c r="Q125" s="444"/>
      <c r="R125" s="444"/>
      <c r="S125" s="444"/>
      <c r="T125" s="516">
        <v>-5272</v>
      </c>
      <c r="U125" s="516"/>
      <c r="V125" s="517"/>
      <c r="W125" s="446"/>
      <c r="X125" s="425"/>
    </row>
    <row r="126" spans="1:24" s="426" customFormat="1" x14ac:dyDescent="0.3">
      <c r="A126" s="443"/>
      <c r="B126" s="444" t="s">
        <v>198</v>
      </c>
      <c r="C126" s="444"/>
      <c r="D126" s="444"/>
      <c r="E126" s="444"/>
      <c r="F126" s="444"/>
      <c r="G126" s="444"/>
      <c r="H126" s="444"/>
      <c r="I126" s="444"/>
      <c r="J126" s="444"/>
      <c r="K126" s="444"/>
      <c r="L126" s="444"/>
      <c r="M126" s="444"/>
      <c r="N126" s="444"/>
      <c r="O126" s="444"/>
      <c r="P126" s="444"/>
      <c r="Q126" s="444"/>
      <c r="R126" s="444"/>
      <c r="S126" s="444"/>
      <c r="T126" s="516">
        <v>-826</v>
      </c>
      <c r="U126" s="516"/>
      <c r="V126" s="517"/>
      <c r="W126" s="446"/>
      <c r="X126" s="425"/>
    </row>
    <row r="127" spans="1:24" s="426" customFormat="1" x14ac:dyDescent="0.3">
      <c r="A127" s="443"/>
      <c r="B127" s="444" t="s">
        <v>197</v>
      </c>
      <c r="C127" s="444"/>
      <c r="D127" s="444"/>
      <c r="E127" s="444"/>
      <c r="F127" s="444"/>
      <c r="G127" s="444"/>
      <c r="H127" s="444"/>
      <c r="I127" s="444"/>
      <c r="J127" s="444"/>
      <c r="K127" s="444"/>
      <c r="L127" s="444"/>
      <c r="M127" s="444"/>
      <c r="N127" s="444"/>
      <c r="O127" s="444"/>
      <c r="P127" s="444"/>
      <c r="Q127" s="444"/>
      <c r="R127" s="444"/>
      <c r="S127" s="444"/>
      <c r="T127" s="516">
        <v>-1397</v>
      </c>
      <c r="U127" s="516"/>
      <c r="V127" s="517"/>
      <c r="W127" s="446"/>
      <c r="X127" s="425"/>
    </row>
    <row r="128" spans="1:24" s="426" customFormat="1" x14ac:dyDescent="0.3">
      <c r="A128" s="443"/>
      <c r="B128" s="444" t="s">
        <v>232</v>
      </c>
      <c r="C128" s="444"/>
      <c r="D128" s="444"/>
      <c r="E128" s="444"/>
      <c r="F128" s="444"/>
      <c r="G128" s="444"/>
      <c r="H128" s="444"/>
      <c r="I128" s="444"/>
      <c r="J128" s="444"/>
      <c r="K128" s="444"/>
      <c r="L128" s="444"/>
      <c r="M128" s="444"/>
      <c r="N128" s="444"/>
      <c r="O128" s="444"/>
      <c r="P128" s="444"/>
      <c r="Q128" s="444"/>
      <c r="R128" s="444"/>
      <c r="S128" s="444"/>
      <c r="T128" s="516">
        <v>-1230</v>
      </c>
      <c r="U128" s="516"/>
      <c r="V128" s="517"/>
      <c r="W128" s="446"/>
      <c r="X128" s="425"/>
    </row>
    <row r="129" spans="1:24" s="426" customFormat="1" x14ac:dyDescent="0.3">
      <c r="A129" s="443"/>
      <c r="B129" s="444" t="s">
        <v>192</v>
      </c>
      <c r="C129" s="444"/>
      <c r="D129" s="444"/>
      <c r="E129" s="444"/>
      <c r="F129" s="444"/>
      <c r="G129" s="444"/>
      <c r="H129" s="444"/>
      <c r="I129" s="444"/>
      <c r="J129" s="444"/>
      <c r="K129" s="444"/>
      <c r="L129" s="444"/>
      <c r="M129" s="444"/>
      <c r="N129" s="444"/>
      <c r="O129" s="444"/>
      <c r="P129" s="444"/>
      <c r="Q129" s="444"/>
      <c r="R129" s="444"/>
      <c r="S129" s="444"/>
      <c r="T129" s="516">
        <v>-858</v>
      </c>
      <c r="U129" s="516"/>
      <c r="V129" s="517"/>
      <c r="W129" s="446"/>
      <c r="X129" s="425"/>
    </row>
    <row r="130" spans="1:24" s="426" customFormat="1" x14ac:dyDescent="0.3">
      <c r="A130" s="443"/>
      <c r="B130" s="444" t="s">
        <v>191</v>
      </c>
      <c r="C130" s="444"/>
      <c r="D130" s="444"/>
      <c r="E130" s="444"/>
      <c r="F130" s="444"/>
      <c r="G130" s="444"/>
      <c r="H130" s="444"/>
      <c r="I130" s="444"/>
      <c r="J130" s="444"/>
      <c r="K130" s="444"/>
      <c r="L130" s="444"/>
      <c r="M130" s="444"/>
      <c r="N130" s="444"/>
      <c r="O130" s="444"/>
      <c r="P130" s="444"/>
      <c r="Q130" s="444"/>
      <c r="R130" s="444"/>
      <c r="S130" s="444"/>
      <c r="T130" s="516">
        <v>-864</v>
      </c>
      <c r="U130" s="516"/>
      <c r="V130" s="517"/>
      <c r="W130" s="446"/>
      <c r="X130" s="425"/>
    </row>
    <row r="131" spans="1:24" s="426" customFormat="1" x14ac:dyDescent="0.3">
      <c r="A131" s="443"/>
      <c r="B131" s="444" t="s">
        <v>233</v>
      </c>
      <c r="C131" s="444"/>
      <c r="D131" s="444"/>
      <c r="E131" s="444"/>
      <c r="F131" s="444"/>
      <c r="G131" s="444"/>
      <c r="H131" s="444"/>
      <c r="I131" s="444"/>
      <c r="J131" s="444"/>
      <c r="K131" s="444"/>
      <c r="L131" s="444"/>
      <c r="M131" s="444"/>
      <c r="N131" s="444"/>
      <c r="O131" s="444"/>
      <c r="P131" s="444"/>
      <c r="Q131" s="444"/>
      <c r="R131" s="444"/>
      <c r="S131" s="444"/>
      <c r="T131" s="516">
        <v>-199</v>
      </c>
      <c r="U131" s="516"/>
      <c r="V131" s="517"/>
      <c r="W131" s="446"/>
      <c r="X131" s="425"/>
    </row>
    <row r="132" spans="1:24" s="426" customFormat="1" x14ac:dyDescent="0.3">
      <c r="A132" s="443"/>
      <c r="B132" s="444" t="s">
        <v>190</v>
      </c>
      <c r="C132" s="444"/>
      <c r="D132" s="444"/>
      <c r="E132" s="444"/>
      <c r="F132" s="444"/>
      <c r="G132" s="444"/>
      <c r="H132" s="444"/>
      <c r="I132" s="444"/>
      <c r="J132" s="444"/>
      <c r="K132" s="444"/>
      <c r="L132" s="444"/>
      <c r="M132" s="444"/>
      <c r="N132" s="444"/>
      <c r="O132" s="444"/>
      <c r="P132" s="444"/>
      <c r="Q132" s="444"/>
      <c r="R132" s="444"/>
      <c r="S132" s="444"/>
      <c r="T132" s="516">
        <v>-834</v>
      </c>
      <c r="U132" s="516"/>
      <c r="V132" s="517"/>
      <c r="W132" s="446"/>
      <c r="X132" s="425"/>
    </row>
    <row r="133" spans="1:24" s="426" customFormat="1" x14ac:dyDescent="0.3">
      <c r="A133" s="443"/>
      <c r="B133" s="444" t="s">
        <v>39</v>
      </c>
      <c r="C133" s="444"/>
      <c r="D133" s="444"/>
      <c r="E133" s="444"/>
      <c r="F133" s="444"/>
      <c r="G133" s="444"/>
      <c r="H133" s="444"/>
      <c r="I133" s="444"/>
      <c r="J133" s="444"/>
      <c r="K133" s="444"/>
      <c r="L133" s="444"/>
      <c r="M133" s="444"/>
      <c r="N133" s="444"/>
      <c r="O133" s="444"/>
      <c r="P133" s="444"/>
      <c r="Q133" s="444"/>
      <c r="R133" s="444"/>
      <c r="S133" s="444"/>
      <c r="T133" s="516">
        <f>SUM(T122:T132)</f>
        <v>-11480</v>
      </c>
      <c r="U133" s="516"/>
      <c r="V133" s="516">
        <f>SUM(V100:V130)</f>
        <v>-5115</v>
      </c>
      <c r="W133" s="446"/>
      <c r="X133" s="425"/>
    </row>
    <row r="134" spans="1:24" s="426" customFormat="1" x14ac:dyDescent="0.3">
      <c r="A134" s="443"/>
      <c r="B134" s="444" t="s">
        <v>40</v>
      </c>
      <c r="C134" s="444"/>
      <c r="D134" s="444"/>
      <c r="E134" s="444"/>
      <c r="F134" s="444"/>
      <c r="G134" s="444"/>
      <c r="H134" s="444"/>
      <c r="I134" s="444"/>
      <c r="J134" s="444"/>
      <c r="K134" s="444"/>
      <c r="L134" s="444"/>
      <c r="M134" s="444"/>
      <c r="N134" s="444"/>
      <c r="O134" s="444"/>
      <c r="P134" s="444"/>
      <c r="Q134" s="444"/>
      <c r="R134" s="444"/>
      <c r="S134" s="444"/>
      <c r="T134" s="516">
        <f>T99+T133+T114</f>
        <v>0</v>
      </c>
      <c r="U134" s="516"/>
      <c r="V134" s="516">
        <f>V99+V133</f>
        <v>0</v>
      </c>
      <c r="W134" s="446"/>
      <c r="X134" s="425"/>
    </row>
    <row r="135" spans="1:24" s="426" customFormat="1" x14ac:dyDescent="0.3">
      <c r="A135" s="421"/>
      <c r="B135" s="494"/>
      <c r="C135" s="494"/>
      <c r="D135" s="494"/>
      <c r="E135" s="494"/>
      <c r="F135" s="494"/>
      <c r="G135" s="494"/>
      <c r="H135" s="494"/>
      <c r="I135" s="494"/>
      <c r="J135" s="494"/>
      <c r="K135" s="494"/>
      <c r="L135" s="494"/>
      <c r="M135" s="494"/>
      <c r="N135" s="494"/>
      <c r="O135" s="494"/>
      <c r="P135" s="494"/>
      <c r="Q135" s="494"/>
      <c r="R135" s="494"/>
      <c r="S135" s="494"/>
      <c r="T135" s="552"/>
      <c r="U135" s="552"/>
      <c r="V135" s="552"/>
      <c r="W135" s="424"/>
      <c r="X135" s="425"/>
    </row>
    <row r="136" spans="1:24" s="426" customFormat="1" x14ac:dyDescent="0.3">
      <c r="A136" s="421"/>
      <c r="B136" s="422"/>
      <c r="C136" s="422"/>
      <c r="D136" s="422"/>
      <c r="E136" s="422"/>
      <c r="F136" s="422"/>
      <c r="G136" s="422"/>
      <c r="H136" s="422"/>
      <c r="I136" s="422"/>
      <c r="J136" s="422"/>
      <c r="K136" s="422"/>
      <c r="L136" s="422"/>
      <c r="M136" s="422"/>
      <c r="N136" s="422"/>
      <c r="O136" s="422"/>
      <c r="P136" s="422"/>
      <c r="Q136" s="422"/>
      <c r="R136" s="422"/>
      <c r="S136" s="422"/>
      <c r="T136" s="422"/>
      <c r="U136" s="422"/>
      <c r="V136" s="553"/>
      <c r="W136" s="424"/>
      <c r="X136" s="425"/>
    </row>
    <row r="137" spans="1:24" s="426" customFormat="1" ht="18.600000000000001" thickBot="1" x14ac:dyDescent="0.4">
      <c r="A137" s="500"/>
      <c r="B137" s="501" t="str">
        <f>B63</f>
        <v>PM13 INVESTOR REPORT QUARTER ENDING JUNE 2019</v>
      </c>
      <c r="C137" s="502"/>
      <c r="D137" s="502"/>
      <c r="E137" s="502"/>
      <c r="F137" s="502"/>
      <c r="G137" s="502"/>
      <c r="H137" s="502"/>
      <c r="I137" s="502"/>
      <c r="J137" s="502"/>
      <c r="K137" s="502"/>
      <c r="L137" s="502"/>
      <c r="M137" s="502"/>
      <c r="N137" s="502"/>
      <c r="O137" s="502"/>
      <c r="P137" s="502"/>
      <c r="Q137" s="502"/>
      <c r="R137" s="502"/>
      <c r="S137" s="502"/>
      <c r="T137" s="502"/>
      <c r="U137" s="502"/>
      <c r="V137" s="554"/>
      <c r="W137" s="555"/>
      <c r="X137" s="425"/>
    </row>
    <row r="138" spans="1:24" x14ac:dyDescent="0.3">
      <c r="A138" s="505"/>
      <c r="B138" s="506" t="s">
        <v>41</v>
      </c>
      <c r="C138" s="507"/>
      <c r="D138" s="507"/>
      <c r="E138" s="507"/>
      <c r="F138" s="507"/>
      <c r="G138" s="507"/>
      <c r="H138" s="507"/>
      <c r="I138" s="507"/>
      <c r="J138" s="507"/>
      <c r="K138" s="507"/>
      <c r="L138" s="507"/>
      <c r="M138" s="507"/>
      <c r="N138" s="507"/>
      <c r="O138" s="507"/>
      <c r="P138" s="507"/>
      <c r="Q138" s="507"/>
      <c r="R138" s="507"/>
      <c r="S138" s="507"/>
      <c r="T138" s="507"/>
      <c r="U138" s="507"/>
      <c r="V138" s="508"/>
      <c r="W138" s="509"/>
      <c r="X138" s="406"/>
    </row>
    <row r="139" spans="1:24" x14ac:dyDescent="0.3">
      <c r="A139" s="408"/>
      <c r="B139" s="556"/>
      <c r="C139" s="410"/>
      <c r="D139" s="410"/>
      <c r="E139" s="410"/>
      <c r="F139" s="410"/>
      <c r="G139" s="410"/>
      <c r="H139" s="410"/>
      <c r="I139" s="410"/>
      <c r="J139" s="410"/>
      <c r="K139" s="410"/>
      <c r="L139" s="410"/>
      <c r="M139" s="410"/>
      <c r="N139" s="410"/>
      <c r="O139" s="410"/>
      <c r="P139" s="410"/>
      <c r="Q139" s="410"/>
      <c r="R139" s="410"/>
      <c r="S139" s="410"/>
      <c r="T139" s="410"/>
      <c r="U139" s="410"/>
      <c r="V139" s="510"/>
      <c r="W139" s="411"/>
      <c r="X139" s="406"/>
    </row>
    <row r="140" spans="1:24" x14ac:dyDescent="0.3">
      <c r="A140" s="408"/>
      <c r="B140" s="557" t="s">
        <v>42</v>
      </c>
      <c r="C140" s="410"/>
      <c r="D140" s="410"/>
      <c r="E140" s="410"/>
      <c r="F140" s="410"/>
      <c r="G140" s="410"/>
      <c r="H140" s="410"/>
      <c r="I140" s="410"/>
      <c r="J140" s="410"/>
      <c r="K140" s="410"/>
      <c r="L140" s="410"/>
      <c r="M140" s="410"/>
      <c r="N140" s="410"/>
      <c r="O140" s="410"/>
      <c r="P140" s="410"/>
      <c r="Q140" s="410"/>
      <c r="R140" s="410"/>
      <c r="S140" s="410"/>
      <c r="T140" s="410"/>
      <c r="U140" s="410"/>
      <c r="V140" s="510"/>
      <c r="W140" s="411"/>
      <c r="X140" s="406"/>
    </row>
    <row r="141" spans="1:24" x14ac:dyDescent="0.3">
      <c r="A141" s="543"/>
      <c r="B141" s="444" t="s">
        <v>43</v>
      </c>
      <c r="C141" s="444"/>
      <c r="D141" s="444"/>
      <c r="E141" s="444"/>
      <c r="F141" s="444"/>
      <c r="G141" s="444"/>
      <c r="H141" s="444"/>
      <c r="I141" s="444"/>
      <c r="J141" s="444"/>
      <c r="K141" s="444"/>
      <c r="L141" s="444"/>
      <c r="M141" s="444"/>
      <c r="N141" s="444"/>
      <c r="O141" s="444"/>
      <c r="P141" s="444"/>
      <c r="Q141" s="444"/>
      <c r="R141" s="444"/>
      <c r="S141" s="444"/>
      <c r="T141" s="444"/>
      <c r="U141" s="444"/>
      <c r="V141" s="517">
        <f>+V34*0.019</f>
        <v>28503.61</v>
      </c>
      <c r="W141" s="558"/>
      <c r="X141" s="406"/>
    </row>
    <row r="142" spans="1:24" x14ac:dyDescent="0.3">
      <c r="A142" s="543"/>
      <c r="B142" s="444" t="s">
        <v>44</v>
      </c>
      <c r="C142" s="444"/>
      <c r="D142" s="444"/>
      <c r="E142" s="444"/>
      <c r="F142" s="444"/>
      <c r="G142" s="444"/>
      <c r="H142" s="444"/>
      <c r="I142" s="444"/>
      <c r="J142" s="444"/>
      <c r="K142" s="444"/>
      <c r="L142" s="444"/>
      <c r="M142" s="444"/>
      <c r="N142" s="444"/>
      <c r="O142" s="444"/>
      <c r="P142" s="444"/>
      <c r="Q142" s="444"/>
      <c r="R142" s="444"/>
      <c r="S142" s="444"/>
      <c r="T142" s="444"/>
      <c r="U142" s="444"/>
      <c r="V142" s="517">
        <v>28504</v>
      </c>
      <c r="W142" s="558"/>
      <c r="X142" s="406"/>
    </row>
    <row r="143" spans="1:24" x14ac:dyDescent="0.3">
      <c r="A143" s="543"/>
      <c r="B143" s="444" t="s">
        <v>139</v>
      </c>
      <c r="C143" s="444"/>
      <c r="D143" s="444"/>
      <c r="E143" s="444"/>
      <c r="F143" s="444"/>
      <c r="G143" s="444"/>
      <c r="H143" s="444"/>
      <c r="I143" s="444"/>
      <c r="J143" s="444"/>
      <c r="K143" s="444"/>
      <c r="L143" s="444"/>
      <c r="M143" s="444"/>
      <c r="N143" s="444"/>
      <c r="O143" s="444"/>
      <c r="P143" s="444"/>
      <c r="Q143" s="444"/>
      <c r="R143" s="444"/>
      <c r="S143" s="444"/>
      <c r="T143" s="444"/>
      <c r="U143" s="444"/>
      <c r="V143" s="517"/>
      <c r="W143" s="558"/>
      <c r="X143" s="406"/>
    </row>
    <row r="144" spans="1:24" x14ac:dyDescent="0.3">
      <c r="A144" s="543"/>
      <c r="B144" s="444" t="s">
        <v>126</v>
      </c>
      <c r="C144" s="444"/>
      <c r="D144" s="444"/>
      <c r="E144" s="444"/>
      <c r="F144" s="444"/>
      <c r="G144" s="444"/>
      <c r="H144" s="444"/>
      <c r="I144" s="444"/>
      <c r="J144" s="444"/>
      <c r="K144" s="444"/>
      <c r="L144" s="444"/>
      <c r="M144" s="444"/>
      <c r="N144" s="444"/>
      <c r="O144" s="444"/>
      <c r="P144" s="444"/>
      <c r="Q144" s="444"/>
      <c r="R144" s="444"/>
      <c r="S144" s="444"/>
      <c r="T144" s="444"/>
      <c r="U144" s="444"/>
      <c r="V144" s="517">
        <v>0</v>
      </c>
      <c r="W144" s="558"/>
      <c r="X144" s="406"/>
    </row>
    <row r="145" spans="1:25" x14ac:dyDescent="0.3">
      <c r="A145" s="543"/>
      <c r="B145" s="444" t="s">
        <v>127</v>
      </c>
      <c r="C145" s="444"/>
      <c r="D145" s="444"/>
      <c r="E145" s="444"/>
      <c r="F145" s="444"/>
      <c r="G145" s="444"/>
      <c r="H145" s="444"/>
      <c r="I145" s="444"/>
      <c r="J145" s="444"/>
      <c r="K145" s="444"/>
      <c r="L145" s="444"/>
      <c r="M145" s="444"/>
      <c r="N145" s="444"/>
      <c r="O145" s="444"/>
      <c r="P145" s="444"/>
      <c r="Q145" s="444"/>
      <c r="R145" s="444"/>
      <c r="S145" s="444"/>
      <c r="T145" s="444"/>
      <c r="U145" s="444"/>
      <c r="V145" s="517">
        <v>0</v>
      </c>
      <c r="W145" s="558"/>
      <c r="X145" s="406"/>
    </row>
    <row r="146" spans="1:25" x14ac:dyDescent="0.3">
      <c r="A146" s="543"/>
      <c r="B146" s="444" t="s">
        <v>178</v>
      </c>
      <c r="C146" s="444"/>
      <c r="D146" s="444"/>
      <c r="E146" s="444"/>
      <c r="F146" s="444"/>
      <c r="G146" s="444"/>
      <c r="H146" s="444"/>
      <c r="I146" s="444"/>
      <c r="J146" s="444"/>
      <c r="K146" s="444"/>
      <c r="L146" s="444"/>
      <c r="M146" s="444"/>
      <c r="N146" s="444"/>
      <c r="O146" s="444"/>
      <c r="P146" s="444"/>
      <c r="Q146" s="444"/>
      <c r="R146" s="444"/>
      <c r="S146" s="444"/>
      <c r="T146" s="444"/>
      <c r="U146" s="444"/>
      <c r="V146" s="517">
        <v>0</v>
      </c>
      <c r="W146" s="558"/>
      <c r="X146" s="406"/>
    </row>
    <row r="147" spans="1:25" x14ac:dyDescent="0.3">
      <c r="A147" s="543"/>
      <c r="B147" s="444" t="s">
        <v>45</v>
      </c>
      <c r="C147" s="444"/>
      <c r="D147" s="444"/>
      <c r="E147" s="444"/>
      <c r="F147" s="444"/>
      <c r="G147" s="444"/>
      <c r="H147" s="444"/>
      <c r="I147" s="444"/>
      <c r="J147" s="444"/>
      <c r="K147" s="444"/>
      <c r="L147" s="444"/>
      <c r="M147" s="444"/>
      <c r="N147" s="444"/>
      <c r="O147" s="444"/>
      <c r="P147" s="444"/>
      <c r="Q147" s="444"/>
      <c r="R147" s="444"/>
      <c r="S147" s="444"/>
      <c r="T147" s="444"/>
      <c r="U147" s="444"/>
      <c r="V147" s="517">
        <v>0</v>
      </c>
      <c r="W147" s="558"/>
      <c r="X147" s="406"/>
    </row>
    <row r="148" spans="1:25" x14ac:dyDescent="0.3">
      <c r="A148" s="543"/>
      <c r="B148" s="444" t="s">
        <v>132</v>
      </c>
      <c r="C148" s="444"/>
      <c r="D148" s="444"/>
      <c r="E148" s="444"/>
      <c r="F148" s="444"/>
      <c r="G148" s="444"/>
      <c r="H148" s="444"/>
      <c r="I148" s="444"/>
      <c r="J148" s="444"/>
      <c r="K148" s="444"/>
      <c r="L148" s="444"/>
      <c r="M148" s="444"/>
      <c r="N148" s="444"/>
      <c r="O148" s="444"/>
      <c r="P148" s="444"/>
      <c r="Q148" s="444"/>
      <c r="R148" s="444"/>
      <c r="S148" s="444"/>
      <c r="T148" s="444"/>
      <c r="U148" s="444"/>
      <c r="V148" s="517">
        <v>0</v>
      </c>
      <c r="W148" s="558"/>
      <c r="X148" s="406"/>
    </row>
    <row r="149" spans="1:25" x14ac:dyDescent="0.3">
      <c r="A149" s="543"/>
      <c r="B149" s="444" t="s">
        <v>267</v>
      </c>
      <c r="C149" s="444"/>
      <c r="D149" s="444"/>
      <c r="E149" s="444"/>
      <c r="F149" s="444"/>
      <c r="G149" s="444"/>
      <c r="H149" s="444"/>
      <c r="I149" s="444"/>
      <c r="J149" s="444"/>
      <c r="K149" s="444"/>
      <c r="L149" s="444"/>
      <c r="M149" s="444"/>
      <c r="N149" s="444"/>
      <c r="O149" s="444"/>
      <c r="P149" s="444"/>
      <c r="Q149" s="444"/>
      <c r="R149" s="444"/>
      <c r="S149" s="444"/>
      <c r="T149" s="444"/>
      <c r="U149" s="444"/>
      <c r="V149" s="517">
        <v>0</v>
      </c>
      <c r="W149" s="558"/>
      <c r="X149" s="406"/>
      <c r="Y149" s="559"/>
    </row>
    <row r="150" spans="1:25" x14ac:dyDescent="0.3">
      <c r="A150" s="543"/>
      <c r="B150" s="444" t="s">
        <v>46</v>
      </c>
      <c r="C150" s="444"/>
      <c r="D150" s="444"/>
      <c r="E150" s="444"/>
      <c r="F150" s="444"/>
      <c r="G150" s="444"/>
      <c r="H150" s="444"/>
      <c r="I150" s="444"/>
      <c r="J150" s="444"/>
      <c r="K150" s="444"/>
      <c r="L150" s="444"/>
      <c r="M150" s="444"/>
      <c r="N150" s="444"/>
      <c r="O150" s="444"/>
      <c r="P150" s="444"/>
      <c r="Q150" s="444"/>
      <c r="R150" s="444"/>
      <c r="S150" s="444"/>
      <c r="T150" s="444"/>
      <c r="U150" s="444"/>
      <c r="V150" s="517">
        <f>SUM(V142:V149)</f>
        <v>28504</v>
      </c>
      <c r="W150" s="558"/>
      <c r="X150" s="406"/>
    </row>
    <row r="151" spans="1:25" x14ac:dyDescent="0.3">
      <c r="A151" s="543"/>
      <c r="B151" s="465"/>
      <c r="C151" s="465"/>
      <c r="D151" s="465"/>
      <c r="E151" s="465"/>
      <c r="F151" s="465"/>
      <c r="G151" s="465"/>
      <c r="H151" s="465"/>
      <c r="I151" s="465"/>
      <c r="J151" s="465"/>
      <c r="K151" s="465"/>
      <c r="L151" s="465"/>
      <c r="M151" s="465"/>
      <c r="N151" s="465"/>
      <c r="O151" s="465"/>
      <c r="P151" s="465"/>
      <c r="Q151" s="465"/>
      <c r="R151" s="465"/>
      <c r="S151" s="465"/>
      <c r="T151" s="465"/>
      <c r="U151" s="465"/>
      <c r="V151" s="546"/>
      <c r="W151" s="547"/>
      <c r="X151" s="406"/>
    </row>
    <row r="152" spans="1:25" x14ac:dyDescent="0.3">
      <c r="A152" s="543"/>
      <c r="B152" s="544" t="s">
        <v>268</v>
      </c>
      <c r="C152" s="465"/>
      <c r="D152" s="465"/>
      <c r="E152" s="465"/>
      <c r="F152" s="465"/>
      <c r="G152" s="465"/>
      <c r="H152" s="465"/>
      <c r="I152" s="465"/>
      <c r="J152" s="465"/>
      <c r="K152" s="465"/>
      <c r="L152" s="465"/>
      <c r="M152" s="465"/>
      <c r="N152" s="465"/>
      <c r="O152" s="465"/>
      <c r="P152" s="465"/>
      <c r="Q152" s="465"/>
      <c r="R152" s="465"/>
      <c r="S152" s="465"/>
      <c r="T152" s="465"/>
      <c r="U152" s="465"/>
      <c r="V152" s="546"/>
      <c r="W152" s="547"/>
      <c r="X152" s="406"/>
    </row>
    <row r="153" spans="1:25" x14ac:dyDescent="0.3">
      <c r="A153" s="543"/>
      <c r="B153" s="444" t="s">
        <v>158</v>
      </c>
      <c r="C153" s="444"/>
      <c r="D153" s="444"/>
      <c r="E153" s="444"/>
      <c r="F153" s="444"/>
      <c r="G153" s="444"/>
      <c r="H153" s="444"/>
      <c r="I153" s="444"/>
      <c r="J153" s="444"/>
      <c r="K153" s="444"/>
      <c r="L153" s="444"/>
      <c r="M153" s="444"/>
      <c r="N153" s="444"/>
      <c r="O153" s="444"/>
      <c r="P153" s="444"/>
      <c r="Q153" s="444"/>
      <c r="R153" s="444"/>
      <c r="S153" s="444"/>
      <c r="T153" s="444"/>
      <c r="U153" s="444"/>
      <c r="V153" s="517">
        <v>15000</v>
      </c>
      <c r="W153" s="558"/>
      <c r="X153" s="406"/>
    </row>
    <row r="154" spans="1:25" x14ac:dyDescent="0.3">
      <c r="A154" s="543"/>
      <c r="B154" s="444" t="s">
        <v>175</v>
      </c>
      <c r="C154" s="444"/>
      <c r="D154" s="444"/>
      <c r="E154" s="444"/>
      <c r="F154" s="444"/>
      <c r="G154" s="444"/>
      <c r="H154" s="444"/>
      <c r="I154" s="444"/>
      <c r="J154" s="444"/>
      <c r="K154" s="444"/>
      <c r="L154" s="444"/>
      <c r="M154" s="444"/>
      <c r="N154" s="444"/>
      <c r="O154" s="444"/>
      <c r="P154" s="444"/>
      <c r="Q154" s="444"/>
      <c r="R154" s="444"/>
      <c r="S154" s="444"/>
      <c r="T154" s="444"/>
      <c r="U154" s="444"/>
      <c r="V154" s="517">
        <v>0</v>
      </c>
      <c r="W154" s="558"/>
      <c r="X154" s="406"/>
    </row>
    <row r="155" spans="1:25" x14ac:dyDescent="0.3">
      <c r="A155" s="543"/>
      <c r="B155" s="444" t="s">
        <v>341</v>
      </c>
      <c r="C155" s="444"/>
      <c r="D155" s="444"/>
      <c r="E155" s="444"/>
      <c r="F155" s="444"/>
      <c r="G155" s="444"/>
      <c r="H155" s="444"/>
      <c r="I155" s="444"/>
      <c r="J155" s="444"/>
      <c r="K155" s="444"/>
      <c r="L155" s="444"/>
      <c r="M155" s="444"/>
      <c r="N155" s="444"/>
      <c r="O155" s="444"/>
      <c r="P155" s="444"/>
      <c r="Q155" s="444"/>
      <c r="R155" s="444"/>
      <c r="S155" s="444"/>
      <c r="T155" s="444"/>
      <c r="U155" s="444"/>
      <c r="V155" s="517">
        <v>0</v>
      </c>
      <c r="W155" s="558"/>
      <c r="X155" s="406"/>
    </row>
    <row r="156" spans="1:25" x14ac:dyDescent="0.3">
      <c r="A156" s="543"/>
      <c r="B156" s="465"/>
      <c r="C156" s="465"/>
      <c r="D156" s="465"/>
      <c r="E156" s="465"/>
      <c r="F156" s="465"/>
      <c r="G156" s="465"/>
      <c r="H156" s="465"/>
      <c r="I156" s="465"/>
      <c r="J156" s="465"/>
      <c r="K156" s="465"/>
      <c r="L156" s="465"/>
      <c r="M156" s="465"/>
      <c r="N156" s="465"/>
      <c r="O156" s="465"/>
      <c r="P156" s="465"/>
      <c r="Q156" s="465"/>
      <c r="R156" s="465"/>
      <c r="S156" s="465"/>
      <c r="T156" s="465"/>
      <c r="U156" s="465"/>
      <c r="V156" s="546"/>
      <c r="W156" s="547"/>
      <c r="X156" s="406"/>
    </row>
    <row r="157" spans="1:25" x14ac:dyDescent="0.3">
      <c r="A157" s="408"/>
      <c r="B157" s="518"/>
      <c r="C157" s="518"/>
      <c r="D157" s="518"/>
      <c r="E157" s="518"/>
      <c r="F157" s="518"/>
      <c r="G157" s="518"/>
      <c r="H157" s="518"/>
      <c r="I157" s="518"/>
      <c r="J157" s="518"/>
      <c r="K157" s="518"/>
      <c r="L157" s="518"/>
      <c r="M157" s="518"/>
      <c r="N157" s="518"/>
      <c r="O157" s="518"/>
      <c r="P157" s="518"/>
      <c r="Q157" s="518"/>
      <c r="R157" s="518"/>
      <c r="S157" s="518"/>
      <c r="T157" s="518"/>
      <c r="U157" s="518"/>
      <c r="V157" s="560"/>
      <c r="W157" s="411"/>
      <c r="X157" s="406"/>
    </row>
    <row r="158" spans="1:25" x14ac:dyDescent="0.3">
      <c r="A158" s="408"/>
      <c r="B158" s="557" t="s">
        <v>24</v>
      </c>
      <c r="C158" s="410"/>
      <c r="D158" s="410"/>
      <c r="E158" s="410"/>
      <c r="F158" s="410"/>
      <c r="G158" s="410"/>
      <c r="H158" s="410"/>
      <c r="I158" s="410"/>
      <c r="J158" s="410"/>
      <c r="K158" s="410"/>
      <c r="L158" s="410"/>
      <c r="M158" s="410"/>
      <c r="N158" s="410"/>
      <c r="O158" s="410"/>
      <c r="P158" s="410"/>
      <c r="Q158" s="410"/>
      <c r="R158" s="410"/>
      <c r="S158" s="410"/>
      <c r="T158" s="410"/>
      <c r="U158" s="410"/>
      <c r="V158" s="510"/>
      <c r="W158" s="411"/>
      <c r="X158" s="406"/>
    </row>
    <row r="159" spans="1:25" x14ac:dyDescent="0.3">
      <c r="A159" s="543"/>
      <c r="B159" s="444" t="s">
        <v>47</v>
      </c>
      <c r="C159" s="444"/>
      <c r="D159" s="444"/>
      <c r="E159" s="444"/>
      <c r="F159" s="444"/>
      <c r="G159" s="444"/>
      <c r="H159" s="444"/>
      <c r="I159" s="444"/>
      <c r="J159" s="444"/>
      <c r="K159" s="444"/>
      <c r="L159" s="444"/>
      <c r="M159" s="444"/>
      <c r="N159" s="444"/>
      <c r="O159" s="444"/>
      <c r="P159" s="444"/>
      <c r="Q159" s="444"/>
      <c r="R159" s="444"/>
      <c r="S159" s="444"/>
      <c r="T159" s="444"/>
      <c r="U159" s="444"/>
      <c r="V159" s="561" t="s">
        <v>121</v>
      </c>
      <c r="W159" s="558"/>
      <c r="X159" s="406"/>
    </row>
    <row r="160" spans="1:25" x14ac:dyDescent="0.3">
      <c r="A160" s="543"/>
      <c r="B160" s="444" t="s">
        <v>48</v>
      </c>
      <c r="C160" s="444"/>
      <c r="D160" s="444"/>
      <c r="E160" s="444"/>
      <c r="F160" s="444"/>
      <c r="G160" s="444"/>
      <c r="H160" s="444"/>
      <c r="I160" s="444"/>
      <c r="J160" s="444"/>
      <c r="K160" s="444"/>
      <c r="L160" s="444"/>
      <c r="M160" s="444"/>
      <c r="N160" s="444"/>
      <c r="O160" s="444"/>
      <c r="P160" s="444"/>
      <c r="Q160" s="444"/>
      <c r="R160" s="444"/>
      <c r="S160" s="444"/>
      <c r="T160" s="444"/>
      <c r="U160" s="444"/>
      <c r="V160" s="561" t="s">
        <v>121</v>
      </c>
      <c r="W160" s="558"/>
      <c r="X160" s="406"/>
    </row>
    <row r="161" spans="1:24" x14ac:dyDescent="0.3">
      <c r="A161" s="543"/>
      <c r="B161" s="444" t="s">
        <v>49</v>
      </c>
      <c r="C161" s="444"/>
      <c r="D161" s="444"/>
      <c r="E161" s="444"/>
      <c r="F161" s="444"/>
      <c r="G161" s="444"/>
      <c r="H161" s="444"/>
      <c r="I161" s="444"/>
      <c r="J161" s="444"/>
      <c r="K161" s="444"/>
      <c r="L161" s="444"/>
      <c r="M161" s="444"/>
      <c r="N161" s="444"/>
      <c r="O161" s="444"/>
      <c r="P161" s="444"/>
      <c r="Q161" s="444"/>
      <c r="R161" s="444"/>
      <c r="S161" s="444"/>
      <c r="T161" s="444"/>
      <c r="U161" s="444"/>
      <c r="V161" s="561" t="s">
        <v>121</v>
      </c>
      <c r="W161" s="558"/>
      <c r="X161" s="406"/>
    </row>
    <row r="162" spans="1:24" x14ac:dyDescent="0.3">
      <c r="A162" s="543"/>
      <c r="B162" s="444" t="s">
        <v>50</v>
      </c>
      <c r="C162" s="444"/>
      <c r="D162" s="444"/>
      <c r="E162" s="444"/>
      <c r="F162" s="444"/>
      <c r="G162" s="444"/>
      <c r="H162" s="444"/>
      <c r="I162" s="444"/>
      <c r="J162" s="444"/>
      <c r="K162" s="444"/>
      <c r="L162" s="444"/>
      <c r="M162" s="444"/>
      <c r="N162" s="444"/>
      <c r="O162" s="444"/>
      <c r="P162" s="444"/>
      <c r="Q162" s="444"/>
      <c r="R162" s="444"/>
      <c r="S162" s="444"/>
      <c r="T162" s="444"/>
      <c r="U162" s="444"/>
      <c r="V162" s="561" t="s">
        <v>121</v>
      </c>
      <c r="W162" s="558"/>
      <c r="X162" s="406"/>
    </row>
    <row r="163" spans="1:24" x14ac:dyDescent="0.3">
      <c r="A163" s="408"/>
      <c r="B163" s="518"/>
      <c r="C163" s="518"/>
      <c r="D163" s="518"/>
      <c r="E163" s="518"/>
      <c r="F163" s="518"/>
      <c r="G163" s="518"/>
      <c r="H163" s="518"/>
      <c r="I163" s="518"/>
      <c r="J163" s="518"/>
      <c r="K163" s="518"/>
      <c r="L163" s="518"/>
      <c r="M163" s="518"/>
      <c r="N163" s="518"/>
      <c r="O163" s="518"/>
      <c r="P163" s="518"/>
      <c r="Q163" s="518"/>
      <c r="R163" s="518"/>
      <c r="S163" s="518"/>
      <c r="T163" s="518"/>
      <c r="U163" s="518"/>
      <c r="V163" s="560"/>
      <c r="W163" s="411"/>
      <c r="X163" s="406"/>
    </row>
    <row r="164" spans="1:24" x14ac:dyDescent="0.3">
      <c r="A164" s="408"/>
      <c r="B164" s="557" t="s">
        <v>51</v>
      </c>
      <c r="C164" s="410"/>
      <c r="D164" s="410"/>
      <c r="E164" s="410"/>
      <c r="F164" s="410"/>
      <c r="G164" s="410"/>
      <c r="H164" s="410"/>
      <c r="I164" s="410"/>
      <c r="J164" s="410"/>
      <c r="K164" s="410"/>
      <c r="L164" s="410"/>
      <c r="M164" s="410"/>
      <c r="N164" s="410"/>
      <c r="O164" s="410"/>
      <c r="P164" s="410"/>
      <c r="Q164" s="410"/>
      <c r="R164" s="410"/>
      <c r="S164" s="410"/>
      <c r="T164" s="410"/>
      <c r="U164" s="410"/>
      <c r="V164" s="562"/>
      <c r="W164" s="411"/>
      <c r="X164" s="406"/>
    </row>
    <row r="165" spans="1:24" x14ac:dyDescent="0.3">
      <c r="A165" s="563"/>
      <c r="B165" s="548" t="s">
        <v>52</v>
      </c>
      <c r="C165" s="548"/>
      <c r="D165" s="548"/>
      <c r="E165" s="548"/>
      <c r="F165" s="548"/>
      <c r="G165" s="548"/>
      <c r="H165" s="548"/>
      <c r="I165" s="548"/>
      <c r="J165" s="548"/>
      <c r="K165" s="548"/>
      <c r="L165" s="548"/>
      <c r="M165" s="548"/>
      <c r="N165" s="548"/>
      <c r="O165" s="548"/>
      <c r="P165" s="548"/>
      <c r="Q165" s="548"/>
      <c r="R165" s="548"/>
      <c r="S165" s="548"/>
      <c r="T165" s="548"/>
      <c r="U165" s="548"/>
      <c r="V165" s="564">
        <v>0</v>
      </c>
      <c r="W165" s="565"/>
      <c r="X165" s="406"/>
    </row>
    <row r="166" spans="1:24" x14ac:dyDescent="0.3">
      <c r="A166" s="563"/>
      <c r="B166" s="548" t="s">
        <v>53</v>
      </c>
      <c r="C166" s="548"/>
      <c r="D166" s="548"/>
      <c r="E166" s="548"/>
      <c r="F166" s="548"/>
      <c r="G166" s="548"/>
      <c r="H166" s="548"/>
      <c r="I166" s="548"/>
      <c r="J166" s="548"/>
      <c r="K166" s="548"/>
      <c r="L166" s="548"/>
      <c r="M166" s="548"/>
      <c r="N166" s="548"/>
      <c r="O166" s="548"/>
      <c r="P166" s="548"/>
      <c r="Q166" s="548"/>
      <c r="R166" s="548"/>
      <c r="S166" s="548"/>
      <c r="T166" s="548"/>
      <c r="U166" s="548"/>
      <c r="V166" s="564">
        <v>77</v>
      </c>
      <c r="W166" s="565"/>
      <c r="X166" s="406"/>
    </row>
    <row r="167" spans="1:24" x14ac:dyDescent="0.3">
      <c r="A167" s="563"/>
      <c r="B167" s="548" t="s">
        <v>54</v>
      </c>
      <c r="C167" s="548"/>
      <c r="D167" s="548"/>
      <c r="E167" s="548"/>
      <c r="F167" s="548"/>
      <c r="G167" s="548"/>
      <c r="H167" s="548"/>
      <c r="I167" s="548"/>
      <c r="J167" s="548"/>
      <c r="K167" s="548"/>
      <c r="L167" s="548"/>
      <c r="M167" s="548"/>
      <c r="N167" s="548"/>
      <c r="O167" s="548"/>
      <c r="P167" s="548"/>
      <c r="Q167" s="548"/>
      <c r="R167" s="548"/>
      <c r="S167" s="548"/>
      <c r="T167" s="548"/>
      <c r="U167" s="548"/>
      <c r="V167" s="564">
        <f>V166+V165</f>
        <v>77</v>
      </c>
      <c r="W167" s="565"/>
      <c r="X167" s="406"/>
    </row>
    <row r="168" spans="1:24" x14ac:dyDescent="0.3">
      <c r="A168" s="563"/>
      <c r="B168" s="444" t="s">
        <v>318</v>
      </c>
      <c r="C168" s="548"/>
      <c r="D168" s="548"/>
      <c r="E168" s="548"/>
      <c r="F168" s="548"/>
      <c r="G168" s="548"/>
      <c r="H168" s="548"/>
      <c r="I168" s="548"/>
      <c r="J168" s="548"/>
      <c r="K168" s="548"/>
      <c r="L168" s="548"/>
      <c r="M168" s="548"/>
      <c r="N168" s="548"/>
      <c r="O168" s="548"/>
      <c r="P168" s="548"/>
      <c r="Q168" s="548"/>
      <c r="R168" s="548"/>
      <c r="S168" s="548"/>
      <c r="T168" s="548"/>
      <c r="U168" s="548"/>
      <c r="V168" s="564">
        <f>V114</f>
        <v>-77</v>
      </c>
      <c r="W168" s="565"/>
      <c r="X168" s="406"/>
    </row>
    <row r="169" spans="1:24" x14ac:dyDescent="0.3">
      <c r="A169" s="563"/>
      <c r="B169" s="548" t="s">
        <v>55</v>
      </c>
      <c r="C169" s="548"/>
      <c r="D169" s="548"/>
      <c r="E169" s="548"/>
      <c r="F169" s="548"/>
      <c r="G169" s="548"/>
      <c r="H169" s="548"/>
      <c r="I169" s="548"/>
      <c r="J169" s="548"/>
      <c r="K169" s="548"/>
      <c r="L169" s="548"/>
      <c r="M169" s="548"/>
      <c r="N169" s="548"/>
      <c r="O169" s="548"/>
      <c r="P169" s="548"/>
      <c r="Q169" s="548"/>
      <c r="R169" s="548"/>
      <c r="S169" s="548"/>
      <c r="T169" s="548"/>
      <c r="U169" s="548"/>
      <c r="V169" s="564">
        <f>V167+V168</f>
        <v>0</v>
      </c>
      <c r="W169" s="565"/>
      <c r="X169" s="406"/>
    </row>
    <row r="170" spans="1:24" x14ac:dyDescent="0.3">
      <c r="A170" s="563"/>
      <c r="B170" s="548" t="s">
        <v>288</v>
      </c>
      <c r="C170" s="548"/>
      <c r="D170" s="548"/>
      <c r="E170" s="548"/>
      <c r="F170" s="548"/>
      <c r="G170" s="548"/>
      <c r="H170" s="548"/>
      <c r="I170" s="548"/>
      <c r="J170" s="548"/>
      <c r="K170" s="548"/>
      <c r="L170" s="548"/>
      <c r="M170" s="548"/>
      <c r="N170" s="548"/>
      <c r="O170" s="548"/>
      <c r="P170" s="548"/>
      <c r="Q170" s="548"/>
      <c r="R170" s="548"/>
      <c r="S170" s="548"/>
      <c r="T170" s="548"/>
      <c r="U170" s="548"/>
      <c r="V170" s="564">
        <v>0</v>
      </c>
      <c r="W170" s="565"/>
      <c r="X170" s="406"/>
    </row>
    <row r="171" spans="1:24" ht="16.2" thickBot="1" x14ac:dyDescent="0.35">
      <c r="A171" s="408"/>
      <c r="B171" s="518"/>
      <c r="C171" s="518"/>
      <c r="D171" s="518"/>
      <c r="E171" s="518"/>
      <c r="F171" s="518"/>
      <c r="G171" s="518"/>
      <c r="H171" s="518"/>
      <c r="I171" s="518"/>
      <c r="J171" s="518"/>
      <c r="K171" s="518"/>
      <c r="L171" s="518"/>
      <c r="M171" s="518"/>
      <c r="N171" s="518"/>
      <c r="O171" s="518"/>
      <c r="P171" s="518"/>
      <c r="Q171" s="518"/>
      <c r="R171" s="518"/>
      <c r="S171" s="518"/>
      <c r="T171" s="518"/>
      <c r="U171" s="518"/>
      <c r="V171" s="560"/>
      <c r="W171" s="411"/>
      <c r="X171" s="406"/>
    </row>
    <row r="172" spans="1:24" x14ac:dyDescent="0.3">
      <c r="A172" s="402"/>
      <c r="B172" s="404"/>
      <c r="C172" s="404"/>
      <c r="D172" s="404"/>
      <c r="E172" s="404"/>
      <c r="F172" s="404"/>
      <c r="G172" s="404"/>
      <c r="H172" s="404"/>
      <c r="I172" s="404"/>
      <c r="J172" s="404"/>
      <c r="K172" s="404"/>
      <c r="L172" s="404"/>
      <c r="M172" s="404"/>
      <c r="N172" s="404"/>
      <c r="O172" s="404"/>
      <c r="P172" s="404"/>
      <c r="Q172" s="404"/>
      <c r="R172" s="404"/>
      <c r="S172" s="404"/>
      <c r="T172" s="404"/>
      <c r="U172" s="404"/>
      <c r="V172" s="566"/>
      <c r="W172" s="405"/>
      <c r="X172" s="406"/>
    </row>
    <row r="173" spans="1:24" x14ac:dyDescent="0.3">
      <c r="A173" s="408"/>
      <c r="B173" s="557" t="s">
        <v>56</v>
      </c>
      <c r="C173" s="410"/>
      <c r="D173" s="410"/>
      <c r="E173" s="410"/>
      <c r="F173" s="410"/>
      <c r="G173" s="410"/>
      <c r="H173" s="410"/>
      <c r="I173" s="410"/>
      <c r="J173" s="410"/>
      <c r="K173" s="410"/>
      <c r="L173" s="410"/>
      <c r="M173" s="410"/>
      <c r="N173" s="410"/>
      <c r="O173" s="410"/>
      <c r="P173" s="410"/>
      <c r="Q173" s="410"/>
      <c r="R173" s="410"/>
      <c r="S173" s="410"/>
      <c r="T173" s="410"/>
      <c r="U173" s="410"/>
      <c r="V173" s="510"/>
      <c r="W173" s="411"/>
      <c r="X173" s="406"/>
    </row>
    <row r="174" spans="1:24" x14ac:dyDescent="0.3">
      <c r="A174" s="408"/>
      <c r="B174" s="556"/>
      <c r="C174" s="410"/>
      <c r="D174" s="410"/>
      <c r="E174" s="410"/>
      <c r="F174" s="410"/>
      <c r="G174" s="410"/>
      <c r="H174" s="410"/>
      <c r="I174" s="410"/>
      <c r="J174" s="410"/>
      <c r="K174" s="410"/>
      <c r="L174" s="410"/>
      <c r="M174" s="410"/>
      <c r="N174" s="410"/>
      <c r="O174" s="410"/>
      <c r="P174" s="410"/>
      <c r="Q174" s="410"/>
      <c r="R174" s="410"/>
      <c r="S174" s="410"/>
      <c r="T174" s="410"/>
      <c r="U174" s="410"/>
      <c r="V174" s="510"/>
      <c r="W174" s="411"/>
      <c r="X174" s="406"/>
    </row>
    <row r="175" spans="1:24" x14ac:dyDescent="0.3">
      <c r="A175" s="543"/>
      <c r="B175" s="444" t="s">
        <v>57</v>
      </c>
      <c r="C175" s="444"/>
      <c r="D175" s="444"/>
      <c r="E175" s="444"/>
      <c r="F175" s="444"/>
      <c r="G175" s="444"/>
      <c r="H175" s="444"/>
      <c r="I175" s="444"/>
      <c r="J175" s="444"/>
      <c r="K175" s="444"/>
      <c r="L175" s="444"/>
      <c r="M175" s="444"/>
      <c r="N175" s="444"/>
      <c r="O175" s="444"/>
      <c r="P175" s="444"/>
      <c r="Q175" s="444"/>
      <c r="R175" s="444"/>
      <c r="S175" s="444"/>
      <c r="T175" s="444"/>
      <c r="U175" s="444"/>
      <c r="V175" s="517">
        <f>V70</f>
        <v>711805</v>
      </c>
      <c r="W175" s="558"/>
      <c r="X175" s="406"/>
    </row>
    <row r="176" spans="1:24" x14ac:dyDescent="0.3">
      <c r="A176" s="543"/>
      <c r="B176" s="444" t="s">
        <v>58</v>
      </c>
      <c r="C176" s="444"/>
      <c r="D176" s="444"/>
      <c r="E176" s="444"/>
      <c r="F176" s="444"/>
      <c r="G176" s="444"/>
      <c r="H176" s="444"/>
      <c r="I176" s="444"/>
      <c r="J176" s="444"/>
      <c r="K176" s="444"/>
      <c r="L176" s="444"/>
      <c r="M176" s="444"/>
      <c r="N176" s="444"/>
      <c r="O176" s="444"/>
      <c r="P176" s="444"/>
      <c r="Q176" s="444"/>
      <c r="R176" s="444"/>
      <c r="S176" s="444"/>
      <c r="T176" s="444"/>
      <c r="U176" s="444"/>
      <c r="V176" s="517">
        <f>V83</f>
        <v>711805</v>
      </c>
      <c r="W176" s="558"/>
      <c r="X176" s="406"/>
    </row>
    <row r="177" spans="1:24" ht="16.2" thickBot="1" x14ac:dyDescent="0.35">
      <c r="A177" s="408"/>
      <c r="B177" s="518"/>
      <c r="C177" s="518"/>
      <c r="D177" s="518"/>
      <c r="E177" s="518"/>
      <c r="F177" s="518"/>
      <c r="G177" s="518"/>
      <c r="H177" s="518"/>
      <c r="I177" s="518"/>
      <c r="J177" s="518"/>
      <c r="K177" s="518"/>
      <c r="L177" s="518"/>
      <c r="M177" s="518"/>
      <c r="N177" s="518"/>
      <c r="O177" s="518"/>
      <c r="P177" s="518"/>
      <c r="Q177" s="518"/>
      <c r="R177" s="518"/>
      <c r="S177" s="518"/>
      <c r="T177" s="518"/>
      <c r="U177" s="518"/>
      <c r="V177" s="560"/>
      <c r="W177" s="411"/>
      <c r="X177" s="406"/>
    </row>
    <row r="178" spans="1:24" x14ac:dyDescent="0.3">
      <c r="A178" s="402"/>
      <c r="B178" s="404"/>
      <c r="C178" s="404"/>
      <c r="D178" s="404"/>
      <c r="E178" s="404"/>
      <c r="F178" s="404"/>
      <c r="G178" s="404"/>
      <c r="H178" s="404"/>
      <c r="I178" s="404"/>
      <c r="J178" s="404"/>
      <c r="K178" s="404"/>
      <c r="L178" s="404"/>
      <c r="M178" s="404"/>
      <c r="N178" s="404"/>
      <c r="O178" s="404"/>
      <c r="P178" s="404"/>
      <c r="Q178" s="404"/>
      <c r="R178" s="404"/>
      <c r="S178" s="404"/>
      <c r="T178" s="404"/>
      <c r="U178" s="404"/>
      <c r="V178" s="566"/>
      <c r="W178" s="405"/>
      <c r="X178" s="406"/>
    </row>
    <row r="179" spans="1:24" s="473" customFormat="1" x14ac:dyDescent="0.3">
      <c r="A179" s="511"/>
      <c r="B179" s="557" t="s">
        <v>59</v>
      </c>
      <c r="C179" s="567"/>
      <c r="D179" s="567"/>
      <c r="E179" s="567"/>
      <c r="F179" s="567"/>
      <c r="G179" s="567"/>
      <c r="H179" s="568"/>
      <c r="I179" s="568"/>
      <c r="J179" s="568"/>
      <c r="K179" s="568"/>
      <c r="L179" s="568"/>
      <c r="M179" s="568"/>
      <c r="N179" s="568"/>
      <c r="O179" s="568"/>
      <c r="P179" s="568"/>
      <c r="Q179" s="568"/>
      <c r="R179" s="568"/>
      <c r="S179" s="568" t="s">
        <v>102</v>
      </c>
      <c r="T179" s="568" t="s">
        <v>179</v>
      </c>
      <c r="U179" s="413"/>
      <c r="V179" s="569" t="s">
        <v>117</v>
      </c>
      <c r="W179" s="570"/>
      <c r="X179" s="472"/>
    </row>
    <row r="180" spans="1:24" s="426" customFormat="1" x14ac:dyDescent="0.3">
      <c r="A180" s="443"/>
      <c r="B180" s="444" t="s">
        <v>60</v>
      </c>
      <c r="C180" s="444"/>
      <c r="D180" s="444"/>
      <c r="E180" s="444"/>
      <c r="F180" s="444"/>
      <c r="G180" s="444"/>
      <c r="H180" s="444"/>
      <c r="I180" s="444"/>
      <c r="J180" s="444"/>
      <c r="K180" s="444"/>
      <c r="L180" s="444"/>
      <c r="M180" s="444"/>
      <c r="N180" s="444"/>
      <c r="O180" s="444"/>
      <c r="P180" s="444"/>
      <c r="Q180" s="444"/>
      <c r="R180" s="444"/>
      <c r="S180" s="517">
        <f>+V34*0.16</f>
        <v>240030.4</v>
      </c>
      <c r="T180" s="482"/>
      <c r="U180" s="444"/>
      <c r="V180" s="517"/>
      <c r="W180" s="446"/>
      <c r="X180" s="425"/>
    </row>
    <row r="181" spans="1:24" s="426" customFormat="1" x14ac:dyDescent="0.3">
      <c r="A181" s="443"/>
      <c r="B181" s="444" t="s">
        <v>61</v>
      </c>
      <c r="C181" s="444"/>
      <c r="D181" s="444"/>
      <c r="E181" s="444"/>
      <c r="F181" s="444"/>
      <c r="G181" s="444"/>
      <c r="H181" s="444"/>
      <c r="I181" s="444"/>
      <c r="J181" s="444"/>
      <c r="K181" s="444"/>
      <c r="L181" s="444"/>
      <c r="M181" s="444"/>
      <c r="N181" s="444"/>
      <c r="O181" s="444"/>
      <c r="P181" s="444"/>
      <c r="Q181" s="444"/>
      <c r="R181" s="444"/>
      <c r="S181" s="517">
        <f>+'March 19'!S183</f>
        <v>55845</v>
      </c>
      <c r="T181" s="517">
        <f>+'March 19'!T183</f>
        <v>9760</v>
      </c>
      <c r="U181" s="444"/>
      <c r="V181" s="517">
        <f>S181+T181</f>
        <v>65605</v>
      </c>
      <c r="W181" s="446"/>
      <c r="X181" s="425"/>
    </row>
    <row r="182" spans="1:24" s="426" customFormat="1" x14ac:dyDescent="0.3">
      <c r="A182" s="443"/>
      <c r="B182" s="444" t="s">
        <v>62</v>
      </c>
      <c r="C182" s="444"/>
      <c r="D182" s="444"/>
      <c r="E182" s="444"/>
      <c r="F182" s="444"/>
      <c r="G182" s="444"/>
      <c r="H182" s="444"/>
      <c r="I182" s="444"/>
      <c r="J182" s="444"/>
      <c r="K182" s="444"/>
      <c r="L182" s="444"/>
      <c r="M182" s="444"/>
      <c r="N182" s="444"/>
      <c r="O182" s="444"/>
      <c r="P182" s="444"/>
      <c r="Q182" s="444"/>
      <c r="R182" s="444"/>
      <c r="S182" s="516">
        <v>0</v>
      </c>
      <c r="T182" s="516">
        <v>0</v>
      </c>
      <c r="U182" s="444"/>
      <c r="V182" s="517">
        <f>S182+T182</f>
        <v>0</v>
      </c>
      <c r="W182" s="446"/>
      <c r="X182" s="425"/>
    </row>
    <row r="183" spans="1:24" s="426" customFormat="1" x14ac:dyDescent="0.3">
      <c r="A183" s="443"/>
      <c r="B183" s="444" t="s">
        <v>63</v>
      </c>
      <c r="C183" s="444"/>
      <c r="D183" s="444"/>
      <c r="E183" s="444"/>
      <c r="F183" s="444"/>
      <c r="G183" s="444"/>
      <c r="H183" s="444"/>
      <c r="I183" s="444"/>
      <c r="J183" s="444"/>
      <c r="K183" s="444"/>
      <c r="L183" s="444"/>
      <c r="M183" s="444"/>
      <c r="N183" s="444"/>
      <c r="O183" s="444"/>
      <c r="P183" s="444"/>
      <c r="Q183" s="444"/>
      <c r="R183" s="444"/>
      <c r="S183" s="517">
        <f>+S181+S182</f>
        <v>55845</v>
      </c>
      <c r="T183" s="517">
        <f>T182+T181</f>
        <v>9760</v>
      </c>
      <c r="U183" s="444"/>
      <c r="V183" s="517">
        <f>S183+T183</f>
        <v>65605</v>
      </c>
      <c r="W183" s="446"/>
      <c r="X183" s="425"/>
    </row>
    <row r="184" spans="1:24" s="426" customFormat="1" x14ac:dyDescent="0.3">
      <c r="A184" s="443"/>
      <c r="B184" s="444" t="s">
        <v>64</v>
      </c>
      <c r="C184" s="444"/>
      <c r="D184" s="444"/>
      <c r="E184" s="444"/>
      <c r="F184" s="444"/>
      <c r="G184" s="444"/>
      <c r="H184" s="444"/>
      <c r="I184" s="444"/>
      <c r="J184" s="444"/>
      <c r="K184" s="444"/>
      <c r="L184" s="444"/>
      <c r="M184" s="444"/>
      <c r="N184" s="444"/>
      <c r="O184" s="444"/>
      <c r="P184" s="444"/>
      <c r="Q184" s="444"/>
      <c r="R184" s="444"/>
      <c r="S184" s="517">
        <f>S180-S183-T183</f>
        <v>174425.4</v>
      </c>
      <c r="T184" s="482"/>
      <c r="U184" s="444"/>
      <c r="V184" s="517"/>
      <c r="W184" s="446"/>
      <c r="X184" s="425"/>
    </row>
    <row r="185" spans="1:24" ht="16.2" thickBot="1" x14ac:dyDescent="0.35">
      <c r="A185" s="408"/>
      <c r="B185" s="518"/>
      <c r="C185" s="518"/>
      <c r="D185" s="518"/>
      <c r="E185" s="518"/>
      <c r="F185" s="518"/>
      <c r="G185" s="518"/>
      <c r="H185" s="518"/>
      <c r="I185" s="518"/>
      <c r="J185" s="518"/>
      <c r="K185" s="518"/>
      <c r="L185" s="518"/>
      <c r="M185" s="518"/>
      <c r="N185" s="518"/>
      <c r="O185" s="518"/>
      <c r="P185" s="518"/>
      <c r="Q185" s="518"/>
      <c r="R185" s="518"/>
      <c r="S185" s="518"/>
      <c r="T185" s="518"/>
      <c r="U185" s="518"/>
      <c r="V185" s="560"/>
      <c r="W185" s="411"/>
      <c r="X185" s="406"/>
    </row>
    <row r="186" spans="1:24" x14ac:dyDescent="0.3">
      <c r="A186" s="402"/>
      <c r="B186" s="404"/>
      <c r="C186" s="404"/>
      <c r="D186" s="404"/>
      <c r="E186" s="404"/>
      <c r="F186" s="404"/>
      <c r="G186" s="404"/>
      <c r="H186" s="404"/>
      <c r="I186" s="404"/>
      <c r="J186" s="404"/>
      <c r="K186" s="404"/>
      <c r="L186" s="404"/>
      <c r="M186" s="404"/>
      <c r="N186" s="404"/>
      <c r="O186" s="404"/>
      <c r="P186" s="404"/>
      <c r="Q186" s="404"/>
      <c r="R186" s="404"/>
      <c r="S186" s="404"/>
      <c r="T186" s="404"/>
      <c r="U186" s="404"/>
      <c r="V186" s="566"/>
      <c r="W186" s="405"/>
      <c r="X186" s="406"/>
    </row>
    <row r="187" spans="1:24" x14ac:dyDescent="0.3">
      <c r="A187" s="408"/>
      <c r="B187" s="557" t="s">
        <v>65</v>
      </c>
      <c r="C187" s="410"/>
      <c r="D187" s="410"/>
      <c r="E187" s="410"/>
      <c r="F187" s="410"/>
      <c r="G187" s="410"/>
      <c r="H187" s="410"/>
      <c r="I187" s="410"/>
      <c r="J187" s="410"/>
      <c r="K187" s="410"/>
      <c r="L187" s="410"/>
      <c r="M187" s="410"/>
      <c r="N187" s="410"/>
      <c r="O187" s="410"/>
      <c r="P187" s="410"/>
      <c r="Q187" s="410"/>
      <c r="R187" s="410"/>
      <c r="S187" s="410"/>
      <c r="T187" s="410"/>
      <c r="U187" s="410"/>
      <c r="V187" s="571"/>
      <c r="W187" s="411"/>
      <c r="X187" s="406"/>
    </row>
    <row r="188" spans="1:24" s="426" customFormat="1" x14ac:dyDescent="0.3">
      <c r="A188" s="443"/>
      <c r="B188" s="444" t="s">
        <v>66</v>
      </c>
      <c r="C188" s="444"/>
      <c r="D188" s="444"/>
      <c r="E188" s="444"/>
      <c r="F188" s="444"/>
      <c r="G188" s="444"/>
      <c r="H188" s="444"/>
      <c r="I188" s="444"/>
      <c r="J188" s="444"/>
      <c r="K188" s="444"/>
      <c r="L188" s="444"/>
      <c r="M188" s="444"/>
      <c r="N188" s="444"/>
      <c r="O188" s="444"/>
      <c r="P188" s="444"/>
      <c r="Q188" s="444"/>
      <c r="R188" s="444"/>
      <c r="S188" s="444"/>
      <c r="T188" s="444"/>
      <c r="U188" s="444"/>
      <c r="V188" s="561">
        <f>(V99+V101+V102+V103+V104)/-(V105+V106)</f>
        <v>3.236824093086927</v>
      </c>
      <c r="W188" s="446" t="s">
        <v>118</v>
      </c>
      <c r="X188" s="425"/>
    </row>
    <row r="189" spans="1:24" s="426" customFormat="1" x14ac:dyDescent="0.3">
      <c r="A189" s="443"/>
      <c r="B189" s="444" t="s">
        <v>67</v>
      </c>
      <c r="C189" s="444"/>
      <c r="D189" s="444"/>
      <c r="E189" s="444"/>
      <c r="F189" s="444"/>
      <c r="G189" s="444"/>
      <c r="H189" s="444"/>
      <c r="I189" s="444"/>
      <c r="J189" s="444"/>
      <c r="K189" s="444"/>
      <c r="L189" s="444"/>
      <c r="M189" s="444"/>
      <c r="N189" s="444"/>
      <c r="O189" s="444"/>
      <c r="P189" s="444"/>
      <c r="Q189" s="444"/>
      <c r="R189" s="444"/>
      <c r="S189" s="444"/>
      <c r="T189" s="444"/>
      <c r="U189" s="444"/>
      <c r="V189" s="572">
        <v>1.96</v>
      </c>
      <c r="W189" s="446" t="s">
        <v>118</v>
      </c>
      <c r="X189" s="425"/>
    </row>
    <row r="190" spans="1:24" s="426" customFormat="1" x14ac:dyDescent="0.3">
      <c r="A190" s="443"/>
      <c r="B190" s="444" t="s">
        <v>68</v>
      </c>
      <c r="C190" s="444"/>
      <c r="D190" s="444"/>
      <c r="E190" s="444"/>
      <c r="F190" s="444"/>
      <c r="G190" s="444"/>
      <c r="H190" s="444"/>
      <c r="I190" s="444"/>
      <c r="J190" s="444"/>
      <c r="K190" s="444"/>
      <c r="L190" s="444"/>
      <c r="M190" s="444"/>
      <c r="N190" s="444"/>
      <c r="O190" s="444"/>
      <c r="P190" s="444"/>
      <c r="Q190" s="444"/>
      <c r="R190" s="444"/>
      <c r="S190" s="444"/>
      <c r="T190" s="444"/>
      <c r="U190" s="444"/>
      <c r="V190" s="561">
        <f>(V99+V101+V102+V103+V104+V105+V106)/-(V108+V109)</f>
        <v>9.8138138138138142</v>
      </c>
      <c r="W190" s="446" t="s">
        <v>118</v>
      </c>
      <c r="X190" s="425"/>
    </row>
    <row r="191" spans="1:24" s="426" customFormat="1" x14ac:dyDescent="0.3">
      <c r="A191" s="443"/>
      <c r="B191" s="444" t="s">
        <v>69</v>
      </c>
      <c r="C191" s="444"/>
      <c r="D191" s="444"/>
      <c r="E191" s="444"/>
      <c r="F191" s="444"/>
      <c r="G191" s="444"/>
      <c r="H191" s="444"/>
      <c r="I191" s="444"/>
      <c r="J191" s="444"/>
      <c r="K191" s="444"/>
      <c r="L191" s="444"/>
      <c r="M191" s="444"/>
      <c r="N191" s="444"/>
      <c r="O191" s="444"/>
      <c r="P191" s="444"/>
      <c r="Q191" s="444"/>
      <c r="R191" s="444"/>
      <c r="S191" s="444"/>
      <c r="T191" s="444"/>
      <c r="U191" s="444"/>
      <c r="V191" s="572">
        <v>8.0399999999999991</v>
      </c>
      <c r="W191" s="446" t="s">
        <v>118</v>
      </c>
      <c r="X191" s="425"/>
    </row>
    <row r="192" spans="1:24" s="426" customFormat="1" x14ac:dyDescent="0.3">
      <c r="A192" s="443"/>
      <c r="B192" s="444" t="s">
        <v>201</v>
      </c>
      <c r="C192" s="444"/>
      <c r="D192" s="444"/>
      <c r="E192" s="444"/>
      <c r="F192" s="444"/>
      <c r="G192" s="444"/>
      <c r="H192" s="444"/>
      <c r="I192" s="444"/>
      <c r="J192" s="444"/>
      <c r="K192" s="444"/>
      <c r="L192" s="444"/>
      <c r="M192" s="444"/>
      <c r="N192" s="444"/>
      <c r="O192" s="444"/>
      <c r="P192" s="444"/>
      <c r="Q192" s="444"/>
      <c r="R192" s="444"/>
      <c r="S192" s="444"/>
      <c r="T192" s="444"/>
      <c r="U192" s="444"/>
      <c r="V192" s="561">
        <f>(V99+V101+V102+V103+V104+V105+V106+V108+V109)/-(V110+V111)</f>
        <v>10.951492537313433</v>
      </c>
      <c r="W192" s="446" t="s">
        <v>118</v>
      </c>
      <c r="X192" s="425"/>
    </row>
    <row r="193" spans="1:24" s="426" customFormat="1" x14ac:dyDescent="0.3">
      <c r="A193" s="443"/>
      <c r="B193" s="444" t="s">
        <v>202</v>
      </c>
      <c r="C193" s="444"/>
      <c r="D193" s="444"/>
      <c r="E193" s="444"/>
      <c r="F193" s="444"/>
      <c r="G193" s="444"/>
      <c r="H193" s="444"/>
      <c r="I193" s="444"/>
      <c r="J193" s="444"/>
      <c r="K193" s="444"/>
      <c r="L193" s="444"/>
      <c r="M193" s="444"/>
      <c r="N193" s="444"/>
      <c r="O193" s="444"/>
      <c r="P193" s="444"/>
      <c r="Q193" s="444"/>
      <c r="R193" s="444"/>
      <c r="S193" s="444"/>
      <c r="T193" s="444"/>
      <c r="U193" s="444"/>
      <c r="V193" s="572">
        <v>9.98</v>
      </c>
      <c r="W193" s="446" t="s">
        <v>118</v>
      </c>
      <c r="X193" s="425"/>
    </row>
    <row r="194" spans="1:24" x14ac:dyDescent="0.3">
      <c r="A194" s="543"/>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547"/>
      <c r="X194" s="406"/>
    </row>
    <row r="195" spans="1:24" x14ac:dyDescent="0.3">
      <c r="A195" s="408"/>
      <c r="B195" s="518"/>
      <c r="C195" s="518"/>
      <c r="D195" s="518"/>
      <c r="E195" s="518"/>
      <c r="F195" s="518"/>
      <c r="G195" s="518"/>
      <c r="H195" s="518"/>
      <c r="I195" s="518"/>
      <c r="J195" s="518"/>
      <c r="K195" s="518"/>
      <c r="L195" s="518"/>
      <c r="M195" s="518"/>
      <c r="N195" s="518"/>
      <c r="O195" s="518"/>
      <c r="P195" s="518"/>
      <c r="Q195" s="518"/>
      <c r="R195" s="518"/>
      <c r="S195" s="518"/>
      <c r="T195" s="518"/>
      <c r="U195" s="518"/>
      <c r="V195" s="518"/>
      <c r="W195" s="411"/>
      <c r="X195" s="406"/>
    </row>
    <row r="196" spans="1:24" x14ac:dyDescent="0.3">
      <c r="A196" s="408"/>
      <c r="B196" s="410"/>
      <c r="C196" s="410"/>
      <c r="D196" s="410"/>
      <c r="E196" s="410"/>
      <c r="F196" s="410"/>
      <c r="G196" s="410"/>
      <c r="H196" s="410"/>
      <c r="I196" s="410"/>
      <c r="J196" s="410"/>
      <c r="K196" s="410"/>
      <c r="L196" s="410"/>
      <c r="M196" s="410"/>
      <c r="N196" s="410"/>
      <c r="O196" s="410"/>
      <c r="P196" s="410"/>
      <c r="Q196" s="410"/>
      <c r="R196" s="410"/>
      <c r="S196" s="410"/>
      <c r="T196" s="410"/>
      <c r="U196" s="410"/>
      <c r="V196" s="410"/>
      <c r="W196" s="411"/>
      <c r="X196" s="406"/>
    </row>
    <row r="197" spans="1:24" ht="18.600000000000001" thickBot="1" x14ac:dyDescent="0.4">
      <c r="A197" s="573"/>
      <c r="B197" s="501" t="str">
        <f>B137</f>
        <v>PM13 INVESTOR REPORT QUARTER ENDING JUNE 2019</v>
      </c>
      <c r="C197" s="574"/>
      <c r="D197" s="574"/>
      <c r="E197" s="574"/>
      <c r="F197" s="574"/>
      <c r="G197" s="574"/>
      <c r="H197" s="574"/>
      <c r="I197" s="574"/>
      <c r="J197" s="574"/>
      <c r="K197" s="574"/>
      <c r="L197" s="574"/>
      <c r="M197" s="574"/>
      <c r="N197" s="574"/>
      <c r="O197" s="574"/>
      <c r="P197" s="574"/>
      <c r="Q197" s="574"/>
      <c r="R197" s="574"/>
      <c r="S197" s="574"/>
      <c r="T197" s="574"/>
      <c r="U197" s="574"/>
      <c r="V197" s="574"/>
      <c r="W197" s="575"/>
      <c r="X197" s="406"/>
    </row>
    <row r="198" spans="1:24" x14ac:dyDescent="0.3">
      <c r="A198" s="505"/>
      <c r="B198" s="506" t="s">
        <v>70</v>
      </c>
      <c r="C198" s="576"/>
      <c r="D198" s="576"/>
      <c r="E198" s="576"/>
      <c r="F198" s="576"/>
      <c r="G198" s="577"/>
      <c r="H198" s="577"/>
      <c r="I198" s="577"/>
      <c r="J198" s="577"/>
      <c r="K198" s="577"/>
      <c r="L198" s="577"/>
      <c r="M198" s="577"/>
      <c r="N198" s="577"/>
      <c r="O198" s="577"/>
      <c r="P198" s="577"/>
      <c r="Q198" s="577"/>
      <c r="R198" s="577"/>
      <c r="S198" s="577"/>
      <c r="T198" s="577">
        <v>43644</v>
      </c>
      <c r="U198" s="507"/>
      <c r="V198" s="507"/>
      <c r="W198" s="509"/>
      <c r="X198" s="406"/>
    </row>
    <row r="199" spans="1:24" x14ac:dyDescent="0.3">
      <c r="A199" s="578"/>
      <c r="B199" s="579"/>
      <c r="C199" s="580"/>
      <c r="D199" s="580"/>
      <c r="E199" s="580"/>
      <c r="F199" s="580"/>
      <c r="G199" s="581"/>
      <c r="H199" s="581"/>
      <c r="I199" s="581"/>
      <c r="J199" s="581"/>
      <c r="K199" s="581"/>
      <c r="L199" s="581"/>
      <c r="M199" s="581"/>
      <c r="N199" s="581"/>
      <c r="O199" s="581"/>
      <c r="P199" s="581"/>
      <c r="Q199" s="581"/>
      <c r="R199" s="581"/>
      <c r="S199" s="581"/>
      <c r="T199" s="581"/>
      <c r="U199" s="410"/>
      <c r="V199" s="410"/>
      <c r="W199" s="411"/>
      <c r="X199" s="406"/>
    </row>
    <row r="200" spans="1:24" s="426" customFormat="1" x14ac:dyDescent="0.3">
      <c r="A200" s="443"/>
      <c r="B200" s="444" t="s">
        <v>71</v>
      </c>
      <c r="C200" s="582"/>
      <c r="D200" s="582"/>
      <c r="E200" s="582"/>
      <c r="F200" s="582"/>
      <c r="G200" s="488"/>
      <c r="H200" s="488"/>
      <c r="I200" s="488"/>
      <c r="J200" s="488"/>
      <c r="K200" s="488"/>
      <c r="L200" s="488"/>
      <c r="M200" s="488"/>
      <c r="N200" s="488"/>
      <c r="O200" s="488"/>
      <c r="P200" s="488"/>
      <c r="Q200" s="488"/>
      <c r="R200" s="488"/>
      <c r="S200" s="488"/>
      <c r="T200" s="479">
        <v>5.4539999999999998E-2</v>
      </c>
      <c r="U200" s="444"/>
      <c r="V200" s="444"/>
      <c r="W200" s="446"/>
      <c r="X200" s="425"/>
    </row>
    <row r="201" spans="1:24" s="426" customFormat="1" x14ac:dyDescent="0.3">
      <c r="A201" s="443"/>
      <c r="B201" s="444" t="s">
        <v>154</v>
      </c>
      <c r="C201" s="582"/>
      <c r="D201" s="582"/>
      <c r="E201" s="582"/>
      <c r="F201" s="582"/>
      <c r="G201" s="488"/>
      <c r="H201" s="488"/>
      <c r="I201" s="488"/>
      <c r="J201" s="488"/>
      <c r="K201" s="488"/>
      <c r="L201" s="488"/>
      <c r="M201" s="488"/>
      <c r="N201" s="488"/>
      <c r="O201" s="488"/>
      <c r="P201" s="488"/>
      <c r="Q201" s="488"/>
      <c r="R201" s="488"/>
      <c r="S201" s="488"/>
      <c r="T201" s="479">
        <f>'Dec 06'!T199</f>
        <v>5.238600504269459E-2</v>
      </c>
      <c r="U201" s="444"/>
      <c r="V201" s="444"/>
      <c r="W201" s="446"/>
      <c r="X201" s="425"/>
    </row>
    <row r="202" spans="1:24" s="426" customFormat="1" x14ac:dyDescent="0.3">
      <c r="A202" s="443"/>
      <c r="B202" s="444" t="s">
        <v>72</v>
      </c>
      <c r="C202" s="582"/>
      <c r="D202" s="582"/>
      <c r="E202" s="582"/>
      <c r="F202" s="582"/>
      <c r="G202" s="488"/>
      <c r="H202" s="488"/>
      <c r="I202" s="488"/>
      <c r="J202" s="488"/>
      <c r="K202" s="488"/>
      <c r="L202" s="488"/>
      <c r="M202" s="488"/>
      <c r="N202" s="488"/>
      <c r="O202" s="488"/>
      <c r="P202" s="488"/>
      <c r="Q202" s="488"/>
      <c r="R202" s="488"/>
      <c r="S202" s="488"/>
      <c r="T202" s="479">
        <f>+T200-T201</f>
        <v>2.1539949573054079E-3</v>
      </c>
      <c r="U202" s="444"/>
      <c r="V202" s="444"/>
      <c r="W202" s="446"/>
      <c r="X202" s="425"/>
    </row>
    <row r="203" spans="1:24" s="426" customFormat="1" x14ac:dyDescent="0.3">
      <c r="A203" s="443"/>
      <c r="B203" s="444" t="s">
        <v>73</v>
      </c>
      <c r="C203" s="582"/>
      <c r="D203" s="582"/>
      <c r="E203" s="582"/>
      <c r="F203" s="582"/>
      <c r="G203" s="488"/>
      <c r="H203" s="488"/>
      <c r="I203" s="488"/>
      <c r="J203" s="488"/>
      <c r="K203" s="488"/>
      <c r="L203" s="488"/>
      <c r="M203" s="488"/>
      <c r="N203" s="488"/>
      <c r="O203" s="488"/>
      <c r="P203" s="488"/>
      <c r="Q203" s="488"/>
      <c r="R203" s="488"/>
      <c r="S203" s="488"/>
      <c r="T203" s="479">
        <v>2.5899999999999999E-2</v>
      </c>
      <c r="U203" s="444"/>
      <c r="V203" s="444"/>
      <c r="W203" s="446"/>
      <c r="X203" s="425"/>
    </row>
    <row r="204" spans="1:24" s="426" customFormat="1" x14ac:dyDescent="0.3">
      <c r="A204" s="443"/>
      <c r="B204" s="444" t="s">
        <v>222</v>
      </c>
      <c r="C204" s="582"/>
      <c r="D204" s="582"/>
      <c r="E204" s="582"/>
      <c r="F204" s="582"/>
      <c r="G204" s="488"/>
      <c r="H204" s="488"/>
      <c r="I204" s="488"/>
      <c r="J204" s="488"/>
      <c r="K204" s="488"/>
      <c r="L204" s="488"/>
      <c r="M204" s="488"/>
      <c r="N204" s="488"/>
      <c r="O204" s="488"/>
      <c r="P204" s="488"/>
      <c r="Q204" s="488"/>
      <c r="R204" s="488"/>
      <c r="S204" s="488"/>
      <c r="T204" s="479">
        <f>V43</f>
        <v>1.1433443169571037E-2</v>
      </c>
      <c r="U204" s="444"/>
      <c r="V204" s="444"/>
      <c r="W204" s="446"/>
      <c r="X204" s="425"/>
    </row>
    <row r="205" spans="1:24" s="426" customFormat="1" x14ac:dyDescent="0.3">
      <c r="A205" s="443"/>
      <c r="B205" s="444" t="s">
        <v>74</v>
      </c>
      <c r="C205" s="582"/>
      <c r="D205" s="582"/>
      <c r="E205" s="582"/>
      <c r="F205" s="582"/>
      <c r="G205" s="488"/>
      <c r="H205" s="488"/>
      <c r="I205" s="488"/>
      <c r="J205" s="488"/>
      <c r="K205" s="488"/>
      <c r="L205" s="488"/>
      <c r="M205" s="488"/>
      <c r="N205" s="488"/>
      <c r="O205" s="488"/>
      <c r="P205" s="488"/>
      <c r="Q205" s="488"/>
      <c r="R205" s="488"/>
      <c r="S205" s="488"/>
      <c r="T205" s="479">
        <f>T203-T204</f>
        <v>1.4466556830428962E-2</v>
      </c>
      <c r="U205" s="444"/>
      <c r="V205" s="444"/>
      <c r="W205" s="446"/>
      <c r="X205" s="425"/>
    </row>
    <row r="206" spans="1:24" s="426" customFormat="1" x14ac:dyDescent="0.3">
      <c r="A206" s="443"/>
      <c r="B206" s="444" t="s">
        <v>274</v>
      </c>
      <c r="C206" s="582"/>
      <c r="D206" s="582"/>
      <c r="E206" s="582"/>
      <c r="F206" s="582"/>
      <c r="G206" s="488"/>
      <c r="H206" s="488"/>
      <c r="I206" s="488"/>
      <c r="J206" s="488"/>
      <c r="K206" s="488"/>
      <c r="L206" s="488"/>
      <c r="M206" s="488"/>
      <c r="N206" s="488"/>
      <c r="O206" s="488"/>
      <c r="P206" s="488"/>
      <c r="Q206" s="488"/>
      <c r="R206" s="488"/>
      <c r="S206" s="488"/>
      <c r="T206" s="479">
        <f>+V99/N70</f>
        <v>7.0719011178166282E-3</v>
      </c>
      <c r="U206" s="444"/>
      <c r="V206" s="444"/>
      <c r="W206" s="446"/>
      <c r="X206" s="425"/>
    </row>
    <row r="207" spans="1:24" s="426" customFormat="1" x14ac:dyDescent="0.3">
      <c r="A207" s="443"/>
      <c r="B207" s="444" t="s">
        <v>211</v>
      </c>
      <c r="C207" s="582"/>
      <c r="D207" s="582"/>
      <c r="E207" s="582"/>
      <c r="F207" s="582"/>
      <c r="G207" s="488"/>
      <c r="H207" s="488"/>
      <c r="I207" s="488"/>
      <c r="J207" s="488"/>
      <c r="K207" s="488"/>
      <c r="L207" s="488"/>
      <c r="M207" s="488"/>
      <c r="N207" s="488"/>
      <c r="O207" s="488"/>
      <c r="P207" s="488"/>
      <c r="Q207" s="488"/>
      <c r="R207" s="488"/>
      <c r="S207" s="488"/>
      <c r="T207" s="583">
        <v>50771</v>
      </c>
      <c r="U207" s="444"/>
      <c r="V207" s="444"/>
      <c r="W207" s="446"/>
      <c r="X207" s="425"/>
    </row>
    <row r="208" spans="1:24" s="426" customFormat="1" x14ac:dyDescent="0.3">
      <c r="A208" s="443"/>
      <c r="B208" s="444" t="s">
        <v>212</v>
      </c>
      <c r="C208" s="582"/>
      <c r="D208" s="582"/>
      <c r="E208" s="582"/>
      <c r="F208" s="582"/>
      <c r="G208" s="488"/>
      <c r="H208" s="488"/>
      <c r="I208" s="488"/>
      <c r="J208" s="488"/>
      <c r="K208" s="488"/>
      <c r="L208" s="488"/>
      <c r="M208" s="488"/>
      <c r="N208" s="488"/>
      <c r="O208" s="488"/>
      <c r="P208" s="488"/>
      <c r="Q208" s="488"/>
      <c r="R208" s="488"/>
      <c r="S208" s="488"/>
      <c r="T208" s="583">
        <v>50771</v>
      </c>
      <c r="U208" s="444"/>
      <c r="V208" s="444"/>
      <c r="W208" s="446"/>
      <c r="X208" s="425"/>
    </row>
    <row r="209" spans="1:24" s="426" customFormat="1" x14ac:dyDescent="0.3">
      <c r="A209" s="443"/>
      <c r="B209" s="444" t="s">
        <v>213</v>
      </c>
      <c r="C209" s="582"/>
      <c r="D209" s="582"/>
      <c r="E209" s="582"/>
      <c r="F209" s="582"/>
      <c r="G209" s="488"/>
      <c r="H209" s="488"/>
      <c r="I209" s="488"/>
      <c r="J209" s="488"/>
      <c r="K209" s="488"/>
      <c r="L209" s="488"/>
      <c r="M209" s="488"/>
      <c r="N209" s="488"/>
      <c r="O209" s="488"/>
      <c r="P209" s="488"/>
      <c r="Q209" s="488"/>
      <c r="R209" s="488"/>
      <c r="S209" s="488"/>
      <c r="T209" s="583">
        <v>50771</v>
      </c>
      <c r="U209" s="444"/>
      <c r="V209" s="444"/>
      <c r="W209" s="446"/>
      <c r="X209" s="425"/>
    </row>
    <row r="210" spans="1:24" s="426" customFormat="1" x14ac:dyDescent="0.3">
      <c r="A210" s="443"/>
      <c r="B210" s="444" t="s">
        <v>75</v>
      </c>
      <c r="C210" s="582"/>
      <c r="D210" s="582"/>
      <c r="E210" s="582"/>
      <c r="F210" s="582"/>
      <c r="G210" s="488"/>
      <c r="H210" s="488"/>
      <c r="I210" s="488"/>
      <c r="J210" s="488"/>
      <c r="K210" s="488"/>
      <c r="L210" s="488"/>
      <c r="M210" s="488"/>
      <c r="N210" s="488"/>
      <c r="O210" s="488"/>
      <c r="P210" s="488"/>
      <c r="Q210" s="488"/>
      <c r="R210" s="488"/>
      <c r="S210" s="488"/>
      <c r="T210" s="484">
        <v>20.66</v>
      </c>
      <c r="U210" s="444" t="s">
        <v>113</v>
      </c>
      <c r="V210" s="444"/>
      <c r="W210" s="446"/>
      <c r="X210" s="425"/>
    </row>
    <row r="211" spans="1:24" s="426" customFormat="1" x14ac:dyDescent="0.3">
      <c r="A211" s="443"/>
      <c r="B211" s="444" t="s">
        <v>76</v>
      </c>
      <c r="C211" s="582"/>
      <c r="D211" s="582"/>
      <c r="E211" s="582"/>
      <c r="F211" s="582"/>
      <c r="G211" s="488"/>
      <c r="H211" s="488"/>
      <c r="I211" s="488"/>
      <c r="J211" s="488"/>
      <c r="K211" s="488"/>
      <c r="L211" s="488"/>
      <c r="M211" s="488"/>
      <c r="N211" s="488"/>
      <c r="O211" s="488"/>
      <c r="P211" s="488"/>
      <c r="Q211" s="488"/>
      <c r="R211" s="488"/>
      <c r="S211" s="488"/>
      <c r="T211" s="484">
        <v>9.2799999999999994</v>
      </c>
      <c r="U211" s="444" t="s">
        <v>113</v>
      </c>
      <c r="V211" s="444"/>
      <c r="W211" s="446"/>
      <c r="X211" s="425"/>
    </row>
    <row r="212" spans="1:24" s="426" customFormat="1" x14ac:dyDescent="0.3">
      <c r="A212" s="443"/>
      <c r="B212" s="444" t="s">
        <v>77</v>
      </c>
      <c r="C212" s="582"/>
      <c r="D212" s="582"/>
      <c r="E212" s="582"/>
      <c r="F212" s="582"/>
      <c r="G212" s="488"/>
      <c r="H212" s="488"/>
      <c r="I212" s="488"/>
      <c r="J212" s="488"/>
      <c r="K212" s="488"/>
      <c r="L212" s="488"/>
      <c r="M212" s="488"/>
      <c r="N212" s="488"/>
      <c r="O212" s="488"/>
      <c r="P212" s="488"/>
      <c r="Q212" s="488"/>
      <c r="R212" s="488"/>
      <c r="S212" s="488"/>
      <c r="T212" s="479">
        <f>P67/N67</f>
        <v>1.5872028315256088E-2</v>
      </c>
      <c r="U212" s="444"/>
      <c r="V212" s="444"/>
      <c r="W212" s="446"/>
      <c r="X212" s="425"/>
    </row>
    <row r="213" spans="1:24" s="426" customFormat="1" x14ac:dyDescent="0.3">
      <c r="A213" s="443"/>
      <c r="B213" s="444" t="s">
        <v>78</v>
      </c>
      <c r="C213" s="582"/>
      <c r="D213" s="582"/>
      <c r="E213" s="582"/>
      <c r="F213" s="582"/>
      <c r="G213" s="488"/>
      <c r="H213" s="488"/>
      <c r="I213" s="488"/>
      <c r="J213" s="488"/>
      <c r="K213" s="488"/>
      <c r="L213" s="488"/>
      <c r="M213" s="488"/>
      <c r="N213" s="488"/>
      <c r="O213" s="488"/>
      <c r="P213" s="488"/>
      <c r="Q213" s="488"/>
      <c r="R213" s="488"/>
      <c r="S213" s="488"/>
      <c r="T213" s="479">
        <v>6.3E-2</v>
      </c>
      <c r="U213" s="444"/>
      <c r="V213" s="444"/>
      <c r="W213" s="446"/>
      <c r="X213" s="425"/>
    </row>
    <row r="214" spans="1:24" s="426" customFormat="1" x14ac:dyDescent="0.3">
      <c r="A214" s="421"/>
      <c r="B214" s="494"/>
      <c r="C214" s="494"/>
      <c r="D214" s="494"/>
      <c r="E214" s="494"/>
      <c r="F214" s="494"/>
      <c r="G214" s="494"/>
      <c r="H214" s="494"/>
      <c r="I214" s="494"/>
      <c r="J214" s="494"/>
      <c r="K214" s="494"/>
      <c r="L214" s="494"/>
      <c r="M214" s="494"/>
      <c r="N214" s="494"/>
      <c r="O214" s="494"/>
      <c r="P214" s="494"/>
      <c r="Q214" s="494"/>
      <c r="R214" s="494"/>
      <c r="S214" s="494"/>
      <c r="T214" s="584"/>
      <c r="U214" s="494"/>
      <c r="V214" s="585"/>
      <c r="W214" s="424"/>
      <c r="X214" s="425"/>
    </row>
    <row r="215" spans="1:24" s="426" customFormat="1" x14ac:dyDescent="0.3">
      <c r="A215" s="586"/>
      <c r="B215" s="420" t="s">
        <v>79</v>
      </c>
      <c r="C215" s="429"/>
      <c r="D215" s="429"/>
      <c r="E215" s="429"/>
      <c r="F215" s="587"/>
      <c r="G215" s="429"/>
      <c r="H215" s="429"/>
      <c r="I215" s="429"/>
      <c r="J215" s="429"/>
      <c r="K215" s="429"/>
      <c r="L215" s="429"/>
      <c r="M215" s="429"/>
      <c r="N215" s="429"/>
      <c r="O215" s="429"/>
      <c r="P215" s="429"/>
      <c r="Q215" s="429"/>
      <c r="R215" s="429"/>
      <c r="S215" s="429" t="s">
        <v>103</v>
      </c>
      <c r="T215" s="587" t="s">
        <v>110</v>
      </c>
      <c r="U215" s="422"/>
      <c r="V215" s="422"/>
      <c r="W215" s="424"/>
      <c r="X215" s="425"/>
    </row>
    <row r="216" spans="1:24" s="426" customFormat="1" x14ac:dyDescent="0.3">
      <c r="A216" s="588"/>
      <c r="B216" s="444" t="s">
        <v>80</v>
      </c>
      <c r="C216" s="516"/>
      <c r="D216" s="516"/>
      <c r="E216" s="516"/>
      <c r="F216" s="444"/>
      <c r="G216" s="444"/>
      <c r="H216" s="450"/>
      <c r="I216" s="450"/>
      <c r="J216" s="450"/>
      <c r="K216" s="450"/>
      <c r="L216" s="450"/>
      <c r="M216" s="450"/>
      <c r="N216" s="450"/>
      <c r="O216" s="450"/>
      <c r="P216" s="450"/>
      <c r="Q216" s="450"/>
      <c r="R216" s="450"/>
      <c r="S216" s="450">
        <v>0</v>
      </c>
      <c r="T216" s="589">
        <v>0</v>
      </c>
      <c r="U216" s="444"/>
      <c r="V216" s="590"/>
      <c r="W216" s="591"/>
      <c r="X216" s="425"/>
    </row>
    <row r="217" spans="1:24" s="426" customFormat="1" x14ac:dyDescent="0.3">
      <c r="A217" s="588"/>
      <c r="B217" s="444" t="s">
        <v>148</v>
      </c>
      <c r="C217" s="516"/>
      <c r="D217" s="516"/>
      <c r="E217" s="516"/>
      <c r="F217" s="444"/>
      <c r="G217" s="444"/>
      <c r="H217" s="450"/>
      <c r="I217" s="450"/>
      <c r="J217" s="450"/>
      <c r="K217" s="450"/>
      <c r="L217" s="450"/>
      <c r="M217" s="450"/>
      <c r="N217" s="450"/>
      <c r="O217" s="450"/>
      <c r="P217" s="450"/>
      <c r="Q217" s="450"/>
      <c r="R217" s="450"/>
      <c r="S217" s="592">
        <f>+R269</f>
        <v>90</v>
      </c>
      <c r="T217" s="589">
        <f>+T269</f>
        <v>16153</v>
      </c>
      <c r="U217" s="444"/>
      <c r="V217" s="590"/>
      <c r="W217" s="591"/>
      <c r="X217" s="425"/>
    </row>
    <row r="218" spans="1:24" s="426" customFormat="1" x14ac:dyDescent="0.3">
      <c r="A218" s="588"/>
      <c r="B218" s="444" t="s">
        <v>81</v>
      </c>
      <c r="C218" s="516"/>
      <c r="D218" s="516"/>
      <c r="E218" s="516"/>
      <c r="F218" s="444"/>
      <c r="G218" s="444"/>
      <c r="H218" s="450"/>
      <c r="I218" s="450"/>
      <c r="J218" s="450"/>
      <c r="K218" s="450"/>
      <c r="L218" s="450"/>
      <c r="M218" s="450"/>
      <c r="N218" s="450"/>
      <c r="O218" s="450"/>
      <c r="P218" s="450"/>
      <c r="Q218" s="450"/>
      <c r="R218" s="450"/>
      <c r="S218" s="592">
        <f>+R281</f>
        <v>0</v>
      </c>
      <c r="T218" s="589">
        <f>+T281</f>
        <v>0</v>
      </c>
      <c r="U218" s="444"/>
      <c r="V218" s="590"/>
      <c r="W218" s="591"/>
      <c r="X218" s="425"/>
    </row>
    <row r="219" spans="1:24" x14ac:dyDescent="0.3">
      <c r="A219" s="593"/>
      <c r="B219" s="594" t="s">
        <v>82</v>
      </c>
      <c r="C219" s="595"/>
      <c r="D219" s="595"/>
      <c r="E219" s="595"/>
      <c r="F219" s="465"/>
      <c r="G219" s="465"/>
      <c r="H219" s="465"/>
      <c r="I219" s="465"/>
      <c r="J219" s="465"/>
      <c r="K219" s="465"/>
      <c r="L219" s="465"/>
      <c r="M219" s="465"/>
      <c r="N219" s="465"/>
      <c r="O219" s="465"/>
      <c r="P219" s="465"/>
      <c r="Q219" s="465"/>
      <c r="R219" s="465"/>
      <c r="S219" s="465"/>
      <c r="T219" s="589">
        <v>0</v>
      </c>
      <c r="U219" s="465"/>
      <c r="V219" s="596"/>
      <c r="W219" s="597"/>
      <c r="X219" s="406"/>
    </row>
    <row r="220" spans="1:24" x14ac:dyDescent="0.3">
      <c r="A220" s="593"/>
      <c r="B220" s="594" t="s">
        <v>275</v>
      </c>
      <c r="C220" s="595"/>
      <c r="D220" s="595"/>
      <c r="E220" s="595"/>
      <c r="F220" s="465"/>
      <c r="G220" s="465"/>
      <c r="H220" s="465"/>
      <c r="I220" s="465"/>
      <c r="J220" s="465"/>
      <c r="K220" s="465"/>
      <c r="L220" s="465"/>
      <c r="M220" s="465"/>
      <c r="N220" s="465"/>
      <c r="O220" s="465"/>
      <c r="P220" s="465"/>
      <c r="Q220" s="465"/>
      <c r="R220" s="465"/>
      <c r="S220" s="465"/>
      <c r="T220" s="589">
        <f>+N80</f>
        <v>0</v>
      </c>
      <c r="U220" s="465"/>
      <c r="V220" s="596"/>
      <c r="W220" s="597"/>
      <c r="X220" s="406"/>
    </row>
    <row r="221" spans="1:24" x14ac:dyDescent="0.3">
      <c r="A221" s="598"/>
      <c r="B221" s="594" t="s">
        <v>83</v>
      </c>
      <c r="C221" s="599"/>
      <c r="D221" s="599"/>
      <c r="E221" s="599"/>
      <c r="F221" s="599"/>
      <c r="G221" s="465"/>
      <c r="H221" s="465"/>
      <c r="I221" s="465"/>
      <c r="J221" s="465"/>
      <c r="K221" s="465"/>
      <c r="L221" s="465"/>
      <c r="M221" s="465"/>
      <c r="N221" s="465"/>
      <c r="O221" s="465"/>
      <c r="P221" s="465"/>
      <c r="Q221" s="465"/>
      <c r="R221" s="465"/>
      <c r="S221" s="465"/>
      <c r="T221" s="600"/>
      <c r="U221" s="465"/>
      <c r="V221" s="596"/>
      <c r="W221" s="601"/>
      <c r="X221" s="406"/>
    </row>
    <row r="222" spans="1:24" s="426" customFormat="1" x14ac:dyDescent="0.3">
      <c r="A222" s="602"/>
      <c r="B222" s="444" t="s">
        <v>84</v>
      </c>
      <c r="C222" s="444"/>
      <c r="D222" s="444"/>
      <c r="E222" s="444"/>
      <c r="F222" s="444"/>
      <c r="G222" s="444"/>
      <c r="H222" s="444"/>
      <c r="I222" s="444"/>
      <c r="J222" s="444"/>
      <c r="K222" s="444"/>
      <c r="L222" s="444"/>
      <c r="M222" s="444"/>
      <c r="N222" s="444"/>
      <c r="O222" s="444"/>
      <c r="P222" s="444"/>
      <c r="Q222" s="444"/>
      <c r="R222" s="444"/>
      <c r="S222" s="450"/>
      <c r="T222" s="589">
        <f>V166</f>
        <v>77</v>
      </c>
      <c r="U222" s="444"/>
      <c r="V222" s="590"/>
      <c r="W222" s="603"/>
      <c r="X222" s="425"/>
    </row>
    <row r="223" spans="1:24" s="426" customFormat="1" x14ac:dyDescent="0.3">
      <c r="A223" s="588"/>
      <c r="B223" s="444" t="s">
        <v>85</v>
      </c>
      <c r="C223" s="516"/>
      <c r="D223" s="516"/>
      <c r="E223" s="516"/>
      <c r="F223" s="516"/>
      <c r="G223" s="444"/>
      <c r="H223" s="444"/>
      <c r="I223" s="444"/>
      <c r="J223" s="444"/>
      <c r="K223" s="444"/>
      <c r="L223" s="444"/>
      <c r="M223" s="444"/>
      <c r="N223" s="444"/>
      <c r="O223" s="444"/>
      <c r="P223" s="444"/>
      <c r="Q223" s="444"/>
      <c r="R223" s="444"/>
      <c r="S223" s="450"/>
      <c r="T223" s="589">
        <f>'March 19'!T223+T222</f>
        <v>12213</v>
      </c>
      <c r="U223" s="444"/>
      <c r="V223" s="590"/>
      <c r="W223" s="603"/>
      <c r="X223" s="425"/>
    </row>
    <row r="224" spans="1:24" x14ac:dyDescent="0.3">
      <c r="A224" s="598"/>
      <c r="B224" s="594" t="s">
        <v>297</v>
      </c>
      <c r="C224" s="599"/>
      <c r="D224" s="599"/>
      <c r="E224" s="599"/>
      <c r="F224" s="599"/>
      <c r="G224" s="465"/>
      <c r="H224" s="465"/>
      <c r="I224" s="465"/>
      <c r="J224" s="465"/>
      <c r="K224" s="465"/>
      <c r="L224" s="465"/>
      <c r="M224" s="465"/>
      <c r="N224" s="465"/>
      <c r="O224" s="465"/>
      <c r="P224" s="465"/>
      <c r="Q224" s="465"/>
      <c r="R224" s="465"/>
      <c r="S224" s="604"/>
      <c r="T224" s="600"/>
      <c r="U224" s="465"/>
      <c r="V224" s="596"/>
      <c r="W224" s="601"/>
      <c r="X224" s="406"/>
    </row>
    <row r="225" spans="1:25" s="426" customFormat="1" x14ac:dyDescent="0.3">
      <c r="A225" s="602"/>
      <c r="B225" s="444" t="s">
        <v>295</v>
      </c>
      <c r="C225" s="444"/>
      <c r="D225" s="444"/>
      <c r="E225" s="444"/>
      <c r="F225" s="444"/>
      <c r="G225" s="444"/>
      <c r="H225" s="444"/>
      <c r="I225" s="444"/>
      <c r="J225" s="444"/>
      <c r="K225" s="444"/>
      <c r="L225" s="444"/>
      <c r="M225" s="444"/>
      <c r="N225" s="444"/>
      <c r="O225" s="444"/>
      <c r="P225" s="444"/>
      <c r="Q225" s="444"/>
      <c r="R225" s="444"/>
      <c r="S225" s="450">
        <v>0</v>
      </c>
      <c r="T225" s="589">
        <v>0</v>
      </c>
      <c r="U225" s="444"/>
      <c r="V225" s="590"/>
      <c r="W225" s="603"/>
      <c r="X225" s="425"/>
    </row>
    <row r="226" spans="1:25" s="426" customFormat="1" x14ac:dyDescent="0.3">
      <c r="A226" s="588"/>
      <c r="B226" s="444" t="s">
        <v>87</v>
      </c>
      <c r="C226" s="482"/>
      <c r="D226" s="482"/>
      <c r="E226" s="482"/>
      <c r="F226" s="605"/>
      <c r="G226" s="444"/>
      <c r="H226" s="444"/>
      <c r="I226" s="444"/>
      <c r="J226" s="444"/>
      <c r="K226" s="444"/>
      <c r="L226" s="444"/>
      <c r="M226" s="444"/>
      <c r="N226" s="444"/>
      <c r="O226" s="444"/>
      <c r="P226" s="444"/>
      <c r="Q226" s="444"/>
      <c r="R226" s="444"/>
      <c r="S226" s="444"/>
      <c r="T226" s="606">
        <v>0</v>
      </c>
      <c r="U226" s="444"/>
      <c r="V226" s="590"/>
      <c r="W226" s="603"/>
      <c r="X226" s="425"/>
    </row>
    <row r="227" spans="1:25" s="426" customFormat="1" x14ac:dyDescent="0.3">
      <c r="A227" s="588"/>
      <c r="B227" s="444" t="s">
        <v>88</v>
      </c>
      <c r="C227" s="482"/>
      <c r="D227" s="482"/>
      <c r="E227" s="482"/>
      <c r="F227" s="605"/>
      <c r="G227" s="444"/>
      <c r="H227" s="444"/>
      <c r="I227" s="444"/>
      <c r="J227" s="444"/>
      <c r="K227" s="444"/>
      <c r="L227" s="444"/>
      <c r="M227" s="444"/>
      <c r="N227" s="444"/>
      <c r="O227" s="444"/>
      <c r="P227" s="444"/>
      <c r="Q227" s="444"/>
      <c r="R227" s="444"/>
      <c r="S227" s="444"/>
      <c r="T227" s="606">
        <v>0</v>
      </c>
      <c r="U227" s="444"/>
      <c r="V227" s="590"/>
      <c r="W227" s="603"/>
      <c r="X227" s="425"/>
    </row>
    <row r="228" spans="1:25" x14ac:dyDescent="0.3">
      <c r="A228" s="593"/>
      <c r="B228" s="594" t="s">
        <v>220</v>
      </c>
      <c r="C228" s="607"/>
      <c r="D228" s="607"/>
      <c r="E228" s="607"/>
      <c r="F228" s="608"/>
      <c r="G228" s="465"/>
      <c r="H228" s="465"/>
      <c r="I228" s="465"/>
      <c r="J228" s="465"/>
      <c r="K228" s="465"/>
      <c r="L228" s="465"/>
      <c r="M228" s="465"/>
      <c r="N228" s="465"/>
      <c r="O228" s="465"/>
      <c r="P228" s="465"/>
      <c r="Q228" s="465"/>
      <c r="R228" s="465"/>
      <c r="S228" s="609"/>
      <c r="T228" s="610"/>
      <c r="U228" s="465"/>
      <c r="V228" s="596"/>
      <c r="W228" s="601"/>
      <c r="X228" s="406"/>
    </row>
    <row r="229" spans="1:25" s="426" customFormat="1" x14ac:dyDescent="0.3">
      <c r="A229" s="588"/>
      <c r="B229" s="444" t="s">
        <v>295</v>
      </c>
      <c r="C229" s="482"/>
      <c r="D229" s="482"/>
      <c r="E229" s="482"/>
      <c r="F229" s="605"/>
      <c r="G229" s="444"/>
      <c r="H229" s="444"/>
      <c r="I229" s="444"/>
      <c r="J229" s="444"/>
      <c r="K229" s="444"/>
      <c r="L229" s="444"/>
      <c r="M229" s="444"/>
      <c r="N229" s="444"/>
      <c r="O229" s="444"/>
      <c r="P229" s="444"/>
      <c r="Q229" s="444"/>
      <c r="R229" s="444"/>
      <c r="S229" s="450">
        <v>3</v>
      </c>
      <c r="T229" s="589">
        <v>366</v>
      </c>
      <c r="U229" s="444"/>
      <c r="V229" s="590"/>
      <c r="W229" s="603"/>
      <c r="X229" s="425"/>
    </row>
    <row r="230" spans="1:25" s="426" customFormat="1" x14ac:dyDescent="0.3">
      <c r="A230" s="588"/>
      <c r="B230" s="444" t="s">
        <v>221</v>
      </c>
      <c r="C230" s="482"/>
      <c r="D230" s="482"/>
      <c r="E230" s="482"/>
      <c r="F230" s="605"/>
      <c r="G230" s="444"/>
      <c r="H230" s="444"/>
      <c r="I230" s="444"/>
      <c r="J230" s="444"/>
      <c r="K230" s="444"/>
      <c r="L230" s="444"/>
      <c r="M230" s="444"/>
      <c r="N230" s="444"/>
      <c r="O230" s="444"/>
      <c r="P230" s="444"/>
      <c r="Q230" s="444"/>
      <c r="R230" s="444"/>
      <c r="S230" s="444"/>
      <c r="T230" s="606">
        <v>7.5</v>
      </c>
      <c r="U230" s="444"/>
      <c r="V230" s="590"/>
      <c r="W230" s="603"/>
      <c r="X230" s="425"/>
    </row>
    <row r="231" spans="1:25" x14ac:dyDescent="0.3">
      <c r="A231" s="593"/>
      <c r="B231" s="599"/>
      <c r="C231" s="607"/>
      <c r="D231" s="607"/>
      <c r="E231" s="607"/>
      <c r="F231" s="608"/>
      <c r="G231" s="465"/>
      <c r="H231" s="465"/>
      <c r="I231" s="465"/>
      <c r="J231" s="465"/>
      <c r="K231" s="465"/>
      <c r="L231" s="465"/>
      <c r="M231" s="465"/>
      <c r="N231" s="465"/>
      <c r="O231" s="465"/>
      <c r="P231" s="465"/>
      <c r="Q231" s="465"/>
      <c r="R231" s="465"/>
      <c r="S231" s="465"/>
      <c r="T231" s="611"/>
      <c r="U231" s="465"/>
      <c r="V231" s="596"/>
      <c r="W231" s="601"/>
      <c r="X231" s="406"/>
    </row>
    <row r="232" spans="1:25" x14ac:dyDescent="0.3">
      <c r="A232" s="593"/>
      <c r="B232" s="599"/>
      <c r="C232" s="607"/>
      <c r="D232" s="607"/>
      <c r="E232" s="607"/>
      <c r="F232" s="608"/>
      <c r="G232" s="465"/>
      <c r="H232" s="465"/>
      <c r="I232" s="465"/>
      <c r="J232" s="465"/>
      <c r="K232" s="465"/>
      <c r="L232" s="465"/>
      <c r="M232" s="465"/>
      <c r="N232" s="465"/>
      <c r="O232" s="465"/>
      <c r="P232" s="465"/>
      <c r="Q232" s="465"/>
      <c r="R232" s="465"/>
      <c r="S232" s="465"/>
      <c r="T232" s="611"/>
      <c r="U232" s="465"/>
      <c r="V232" s="596"/>
      <c r="W232" s="601"/>
      <c r="X232" s="406"/>
    </row>
    <row r="233" spans="1:25" ht="18" x14ac:dyDescent="0.35">
      <c r="A233" s="593"/>
      <c r="B233" s="612" t="s">
        <v>171</v>
      </c>
      <c r="C233" s="607"/>
      <c r="D233" s="607"/>
      <c r="E233" s="607"/>
      <c r="F233" s="608"/>
      <c r="G233" s="465"/>
      <c r="H233" s="465"/>
      <c r="I233" s="465"/>
      <c r="J233" s="465"/>
      <c r="K233" s="465"/>
      <c r="L233" s="465"/>
      <c r="M233" s="465"/>
      <c r="N233" s="465"/>
      <c r="O233" s="465"/>
      <c r="P233" s="613" t="s">
        <v>370</v>
      </c>
      <c r="Q233" s="465"/>
      <c r="R233" s="465"/>
      <c r="S233" s="465"/>
      <c r="T233" s="611"/>
      <c r="U233" s="465"/>
      <c r="V233" s="596"/>
      <c r="W233" s="601"/>
      <c r="X233" s="406"/>
    </row>
    <row r="234" spans="1:25" x14ac:dyDescent="0.3">
      <c r="A234" s="614"/>
      <c r="B234" s="615"/>
      <c r="C234" s="616"/>
      <c r="D234" s="616"/>
      <c r="E234" s="616"/>
      <c r="F234" s="617"/>
      <c r="G234" s="518"/>
      <c r="H234" s="518"/>
      <c r="I234" s="518"/>
      <c r="J234" s="518"/>
      <c r="K234" s="518"/>
      <c r="L234" s="518"/>
      <c r="M234" s="518"/>
      <c r="N234" s="518"/>
      <c r="O234" s="518"/>
      <c r="P234" s="518"/>
      <c r="Q234" s="518"/>
      <c r="R234" s="518"/>
      <c r="S234" s="518"/>
      <c r="T234" s="618"/>
      <c r="U234" s="518"/>
      <c r="V234" s="619"/>
      <c r="W234" s="620"/>
      <c r="X234" s="406"/>
    </row>
    <row r="235" spans="1:25" x14ac:dyDescent="0.3">
      <c r="A235" s="533"/>
      <c r="B235" s="534" t="s">
        <v>310</v>
      </c>
      <c r="C235" s="535"/>
      <c r="D235" s="535"/>
      <c r="E235" s="535"/>
      <c r="F235" s="621"/>
      <c r="G235" s="535"/>
      <c r="H235" s="535"/>
      <c r="I235" s="535"/>
      <c r="J235" s="535"/>
      <c r="K235" s="535"/>
      <c r="L235" s="535"/>
      <c r="M235" s="535"/>
      <c r="N235" s="535"/>
      <c r="O235" s="535"/>
      <c r="P235" s="535"/>
      <c r="Q235" s="535"/>
      <c r="R235" s="621" t="s">
        <v>103</v>
      </c>
      <c r="S235" s="535" t="s">
        <v>104</v>
      </c>
      <c r="T235" s="621" t="s">
        <v>111</v>
      </c>
      <c r="U235" s="535" t="s">
        <v>104</v>
      </c>
      <c r="V235" s="622"/>
      <c r="W235" s="623"/>
      <c r="X235" s="406"/>
    </row>
    <row r="236" spans="1:25" s="426" customFormat="1" x14ac:dyDescent="0.3">
      <c r="A236" s="421"/>
      <c r="B236" s="552" t="s">
        <v>89</v>
      </c>
      <c r="C236" s="624"/>
      <c r="D236" s="624"/>
      <c r="E236" s="624"/>
      <c r="F236" s="494"/>
      <c r="G236" s="624"/>
      <c r="H236" s="624"/>
      <c r="I236" s="624"/>
      <c r="J236" s="624"/>
      <c r="K236" s="624"/>
      <c r="L236" s="624"/>
      <c r="M236" s="624"/>
      <c r="N236" s="624"/>
      <c r="O236" s="624"/>
      <c r="P236" s="624"/>
      <c r="Q236" s="624"/>
      <c r="R236" s="539">
        <f t="shared" ref="R236:R243" si="1">+R248+R260+R272</f>
        <v>5530</v>
      </c>
      <c r="S236" s="625">
        <f t="shared" ref="S236:S243" si="2">R236/$R$245</f>
        <v>0.99139476514879887</v>
      </c>
      <c r="T236" s="540">
        <f t="shared" ref="T236:T243" si="3">+T248+T260+T272</f>
        <v>705108</v>
      </c>
      <c r="U236" s="625">
        <f t="shared" ref="U236:U243" si="4">T236/$T$245</f>
        <v>0.99059152436411657</v>
      </c>
      <c r="V236" s="585"/>
      <c r="W236" s="626"/>
      <c r="X236" s="425"/>
    </row>
    <row r="237" spans="1:25" s="426" customFormat="1" x14ac:dyDescent="0.3">
      <c r="A237" s="443"/>
      <c r="B237" s="516" t="s">
        <v>90</v>
      </c>
      <c r="C237" s="627"/>
      <c r="D237" s="627"/>
      <c r="E237" s="627"/>
      <c r="F237" s="444"/>
      <c r="G237" s="628"/>
      <c r="H237" s="627"/>
      <c r="I237" s="627"/>
      <c r="J237" s="627"/>
      <c r="K237" s="627"/>
      <c r="L237" s="627"/>
      <c r="M237" s="627"/>
      <c r="N237" s="627"/>
      <c r="O237" s="627"/>
      <c r="P237" s="627"/>
      <c r="Q237" s="627"/>
      <c r="R237" s="516">
        <f t="shared" si="1"/>
        <v>13</v>
      </c>
      <c r="S237" s="628">
        <f t="shared" si="2"/>
        <v>2.3305844388669776E-3</v>
      </c>
      <c r="T237" s="517">
        <f t="shared" si="3"/>
        <v>1128</v>
      </c>
      <c r="U237" s="628">
        <f t="shared" si="4"/>
        <v>1.5847036758662835E-3</v>
      </c>
      <c r="V237" s="590"/>
      <c r="W237" s="603"/>
      <c r="X237" s="425"/>
      <c r="Y237" s="549"/>
    </row>
    <row r="238" spans="1:25" s="426" customFormat="1" x14ac:dyDescent="0.3">
      <c r="A238" s="443"/>
      <c r="B238" s="516" t="s">
        <v>91</v>
      </c>
      <c r="C238" s="627"/>
      <c r="D238" s="627"/>
      <c r="E238" s="627"/>
      <c r="F238" s="444"/>
      <c r="G238" s="628"/>
      <c r="H238" s="627"/>
      <c r="I238" s="627"/>
      <c r="J238" s="627"/>
      <c r="K238" s="627"/>
      <c r="L238" s="627"/>
      <c r="M238" s="627"/>
      <c r="N238" s="627"/>
      <c r="O238" s="627"/>
      <c r="P238" s="627"/>
      <c r="Q238" s="627"/>
      <c r="R238" s="516">
        <f t="shared" si="1"/>
        <v>22</v>
      </c>
      <c r="S238" s="628">
        <f t="shared" si="2"/>
        <v>3.9440659734671923E-3</v>
      </c>
      <c r="T238" s="517">
        <f t="shared" si="3"/>
        <v>3938</v>
      </c>
      <c r="U238" s="628">
        <f t="shared" si="4"/>
        <v>5.5324140740792777E-3</v>
      </c>
      <c r="V238" s="590"/>
      <c r="W238" s="603"/>
      <c r="X238" s="425"/>
    </row>
    <row r="239" spans="1:25" s="426" customFormat="1" x14ac:dyDescent="0.3">
      <c r="A239" s="443"/>
      <c r="B239" s="516" t="s">
        <v>159</v>
      </c>
      <c r="C239" s="627"/>
      <c r="D239" s="627"/>
      <c r="E239" s="627"/>
      <c r="F239" s="444"/>
      <c r="G239" s="628"/>
      <c r="H239" s="627"/>
      <c r="I239" s="627"/>
      <c r="J239" s="627"/>
      <c r="K239" s="627"/>
      <c r="L239" s="627"/>
      <c r="M239" s="627"/>
      <c r="N239" s="627"/>
      <c r="O239" s="627"/>
      <c r="P239" s="627"/>
      <c r="Q239" s="627"/>
      <c r="R239" s="516">
        <f t="shared" si="1"/>
        <v>2</v>
      </c>
      <c r="S239" s="628">
        <f t="shared" si="2"/>
        <v>3.5855145213338117E-4</v>
      </c>
      <c r="T239" s="517">
        <f t="shared" si="3"/>
        <v>179</v>
      </c>
      <c r="U239" s="628">
        <f t="shared" si="4"/>
        <v>2.514733670036035E-4</v>
      </c>
      <c r="V239" s="590"/>
      <c r="W239" s="603"/>
      <c r="X239" s="425"/>
      <c r="Y239" s="549"/>
    </row>
    <row r="240" spans="1:25" s="426" customFormat="1" x14ac:dyDescent="0.3">
      <c r="A240" s="443"/>
      <c r="B240" s="516" t="s">
        <v>160</v>
      </c>
      <c r="C240" s="627"/>
      <c r="D240" s="627"/>
      <c r="E240" s="627"/>
      <c r="F240" s="444"/>
      <c r="G240" s="628"/>
      <c r="H240" s="627"/>
      <c r="I240" s="627"/>
      <c r="J240" s="627"/>
      <c r="K240" s="627"/>
      <c r="L240" s="627"/>
      <c r="M240" s="627"/>
      <c r="N240" s="627"/>
      <c r="O240" s="627"/>
      <c r="P240" s="627"/>
      <c r="Q240" s="627"/>
      <c r="R240" s="516">
        <f t="shared" si="1"/>
        <v>1</v>
      </c>
      <c r="S240" s="628">
        <f t="shared" si="2"/>
        <v>1.7927572606669058E-4</v>
      </c>
      <c r="T240" s="517">
        <f t="shared" si="3"/>
        <v>13</v>
      </c>
      <c r="U240" s="628">
        <f t="shared" si="4"/>
        <v>1.8263428888529866E-5</v>
      </c>
      <c r="V240" s="590"/>
      <c r="W240" s="603"/>
      <c r="X240" s="425"/>
    </row>
    <row r="241" spans="1:25" s="426" customFormat="1" x14ac:dyDescent="0.3">
      <c r="A241" s="443"/>
      <c r="B241" s="516" t="s">
        <v>161</v>
      </c>
      <c r="C241" s="627"/>
      <c r="D241" s="627"/>
      <c r="E241" s="627"/>
      <c r="F241" s="444"/>
      <c r="G241" s="628"/>
      <c r="H241" s="627"/>
      <c r="I241" s="627"/>
      <c r="J241" s="627"/>
      <c r="K241" s="627"/>
      <c r="L241" s="627"/>
      <c r="M241" s="627"/>
      <c r="N241" s="627"/>
      <c r="O241" s="627"/>
      <c r="P241" s="627"/>
      <c r="Q241" s="627"/>
      <c r="R241" s="516">
        <f t="shared" si="1"/>
        <v>0</v>
      </c>
      <c r="S241" s="628">
        <f t="shared" si="2"/>
        <v>0</v>
      </c>
      <c r="T241" s="517">
        <f t="shared" si="3"/>
        <v>0</v>
      </c>
      <c r="U241" s="628">
        <f t="shared" si="4"/>
        <v>0</v>
      </c>
      <c r="V241" s="590"/>
      <c r="W241" s="603"/>
      <c r="X241" s="425"/>
      <c r="Y241" s="549"/>
    </row>
    <row r="242" spans="1:25" s="426" customFormat="1" x14ac:dyDescent="0.3">
      <c r="A242" s="443"/>
      <c r="B242" s="516" t="s">
        <v>162</v>
      </c>
      <c r="C242" s="627"/>
      <c r="D242" s="627"/>
      <c r="E242" s="627"/>
      <c r="F242" s="444"/>
      <c r="G242" s="628"/>
      <c r="H242" s="627"/>
      <c r="I242" s="627"/>
      <c r="J242" s="627"/>
      <c r="K242" s="627"/>
      <c r="L242" s="627"/>
      <c r="M242" s="627"/>
      <c r="N242" s="627"/>
      <c r="O242" s="627"/>
      <c r="P242" s="627"/>
      <c r="Q242" s="627"/>
      <c r="R242" s="516">
        <f t="shared" si="1"/>
        <v>0</v>
      </c>
      <c r="S242" s="628">
        <f t="shared" si="2"/>
        <v>0</v>
      </c>
      <c r="T242" s="517">
        <f t="shared" si="3"/>
        <v>0</v>
      </c>
      <c r="U242" s="628">
        <f t="shared" si="4"/>
        <v>0</v>
      </c>
      <c r="V242" s="590"/>
      <c r="W242" s="603"/>
      <c r="X242" s="425"/>
    </row>
    <row r="243" spans="1:25" s="426" customFormat="1" x14ac:dyDescent="0.3">
      <c r="A243" s="443"/>
      <c r="B243" s="516" t="s">
        <v>163</v>
      </c>
      <c r="C243" s="627"/>
      <c r="D243" s="627"/>
      <c r="E243" s="627"/>
      <c r="F243" s="444"/>
      <c r="G243" s="628"/>
      <c r="H243" s="627"/>
      <c r="I243" s="627"/>
      <c r="J243" s="627"/>
      <c r="K243" s="627"/>
      <c r="L243" s="627"/>
      <c r="M243" s="627"/>
      <c r="N243" s="627"/>
      <c r="O243" s="627"/>
      <c r="P243" s="627"/>
      <c r="Q243" s="627"/>
      <c r="R243" s="516">
        <f t="shared" si="1"/>
        <v>10</v>
      </c>
      <c r="S243" s="628">
        <f t="shared" si="2"/>
        <v>1.7927572606669057E-3</v>
      </c>
      <c r="T243" s="517">
        <f t="shared" si="3"/>
        <v>1439</v>
      </c>
      <c r="U243" s="628">
        <f t="shared" si="4"/>
        <v>2.0216210900457286E-3</v>
      </c>
      <c r="V243" s="590"/>
      <c r="W243" s="603"/>
      <c r="X243" s="425"/>
      <c r="Y243" s="549"/>
    </row>
    <row r="244" spans="1:25" s="426" customFormat="1" x14ac:dyDescent="0.3">
      <c r="A244" s="443"/>
      <c r="B244" s="516"/>
      <c r="C244" s="627"/>
      <c r="D244" s="627"/>
      <c r="E244" s="627"/>
      <c r="F244" s="444"/>
      <c r="G244" s="628"/>
      <c r="H244" s="627"/>
      <c r="I244" s="627"/>
      <c r="J244" s="627"/>
      <c r="K244" s="627"/>
      <c r="L244" s="627"/>
      <c r="M244" s="627"/>
      <c r="N244" s="627"/>
      <c r="O244" s="627"/>
      <c r="P244" s="627"/>
      <c r="Q244" s="627"/>
      <c r="R244" s="516"/>
      <c r="S244" s="628"/>
      <c r="T244" s="517"/>
      <c r="U244" s="628"/>
      <c r="V244" s="590"/>
      <c r="W244" s="603"/>
      <c r="X244" s="425"/>
    </row>
    <row r="245" spans="1:25" s="426" customFormat="1" x14ac:dyDescent="0.3">
      <c r="A245" s="443"/>
      <c r="B245" s="444" t="s">
        <v>117</v>
      </c>
      <c r="C245" s="444"/>
      <c r="D245" s="444"/>
      <c r="E245" s="444"/>
      <c r="F245" s="444"/>
      <c r="G245" s="444"/>
      <c r="H245" s="629"/>
      <c r="I245" s="629"/>
      <c r="J245" s="629"/>
      <c r="K245" s="629"/>
      <c r="L245" s="629"/>
      <c r="M245" s="629"/>
      <c r="N245" s="629"/>
      <c r="O245" s="629"/>
      <c r="P245" s="629"/>
      <c r="Q245" s="629"/>
      <c r="R245" s="516">
        <f>SUM(R236:R244)</f>
        <v>5578</v>
      </c>
      <c r="S245" s="628">
        <f>SUM(S236:S244)</f>
        <v>1</v>
      </c>
      <c r="T245" s="517">
        <f>SUM(T236:T244)</f>
        <v>711805</v>
      </c>
      <c r="U245" s="628">
        <f>SUM(U236:U244)</f>
        <v>1</v>
      </c>
      <c r="V245" s="444"/>
      <c r="W245" s="446"/>
      <c r="X245" s="425"/>
    </row>
    <row r="246" spans="1:25" x14ac:dyDescent="0.3">
      <c r="A246" s="614"/>
      <c r="B246" s="615"/>
      <c r="C246" s="616"/>
      <c r="D246" s="616"/>
      <c r="E246" s="616"/>
      <c r="F246" s="617"/>
      <c r="G246" s="518"/>
      <c r="H246" s="518"/>
      <c r="I246" s="518"/>
      <c r="J246" s="518"/>
      <c r="K246" s="518"/>
      <c r="L246" s="518"/>
      <c r="M246" s="518"/>
      <c r="N246" s="518"/>
      <c r="O246" s="518"/>
      <c r="P246" s="518"/>
      <c r="Q246" s="518"/>
      <c r="R246" s="518"/>
      <c r="S246" s="518"/>
      <c r="T246" s="618"/>
      <c r="U246" s="518"/>
      <c r="V246" s="619"/>
      <c r="W246" s="620"/>
      <c r="X246" s="406"/>
    </row>
    <row r="247" spans="1:25" x14ac:dyDescent="0.3">
      <c r="A247" s="533"/>
      <c r="B247" s="534" t="s">
        <v>165</v>
      </c>
      <c r="C247" s="535"/>
      <c r="D247" s="535"/>
      <c r="E247" s="535"/>
      <c r="F247" s="621"/>
      <c r="G247" s="535"/>
      <c r="H247" s="535"/>
      <c r="I247" s="535"/>
      <c r="J247" s="535"/>
      <c r="K247" s="535"/>
      <c r="L247" s="535"/>
      <c r="M247" s="535"/>
      <c r="N247" s="535"/>
      <c r="O247" s="535"/>
      <c r="P247" s="535"/>
      <c r="Q247" s="535"/>
      <c r="R247" s="621" t="s">
        <v>103</v>
      </c>
      <c r="S247" s="535" t="s">
        <v>104</v>
      </c>
      <c r="T247" s="621" t="s">
        <v>111</v>
      </c>
      <c r="U247" s="535" t="s">
        <v>104</v>
      </c>
      <c r="V247" s="622"/>
      <c r="W247" s="623"/>
      <c r="X247" s="406"/>
    </row>
    <row r="248" spans="1:25" s="426" customFormat="1" x14ac:dyDescent="0.3">
      <c r="A248" s="421"/>
      <c r="B248" s="552" t="s">
        <v>89</v>
      </c>
      <c r="C248" s="624"/>
      <c r="D248" s="624"/>
      <c r="E248" s="624"/>
      <c r="F248" s="494"/>
      <c r="G248" s="624"/>
      <c r="H248" s="624"/>
      <c r="I248" s="624"/>
      <c r="J248" s="624"/>
      <c r="K248" s="624"/>
      <c r="L248" s="624"/>
      <c r="M248" s="624"/>
      <c r="N248" s="624"/>
      <c r="O248" s="624"/>
      <c r="P248" s="624"/>
      <c r="Q248" s="624"/>
      <c r="R248" s="552">
        <v>5454</v>
      </c>
      <c r="S248" s="630">
        <f t="shared" ref="S248:S255" si="5">R248/$R$257</f>
        <v>0.99380466472303208</v>
      </c>
      <c r="T248" s="631">
        <v>691035</v>
      </c>
      <c r="U248" s="630">
        <f t="shared" ref="U248:U255" si="6">T248/$T$257</f>
        <v>0.9933630608407652</v>
      </c>
      <c r="V248" s="585"/>
      <c r="W248" s="626"/>
      <c r="X248" s="425"/>
    </row>
    <row r="249" spans="1:25" s="426" customFormat="1" x14ac:dyDescent="0.3">
      <c r="A249" s="443"/>
      <c r="B249" s="516" t="s">
        <v>90</v>
      </c>
      <c r="C249" s="627"/>
      <c r="D249" s="627"/>
      <c r="E249" s="627"/>
      <c r="F249" s="444"/>
      <c r="G249" s="628"/>
      <c r="H249" s="627"/>
      <c r="I249" s="627"/>
      <c r="J249" s="627"/>
      <c r="K249" s="627"/>
      <c r="L249" s="627"/>
      <c r="M249" s="627"/>
      <c r="N249" s="627"/>
      <c r="O249" s="627"/>
      <c r="P249" s="627"/>
      <c r="Q249" s="627"/>
      <c r="R249" s="516">
        <v>13</v>
      </c>
      <c r="S249" s="628">
        <f t="shared" si="5"/>
        <v>2.3688046647230322E-3</v>
      </c>
      <c r="T249" s="517">
        <v>1128</v>
      </c>
      <c r="U249" s="628">
        <f t="shared" si="6"/>
        <v>1.6215004053751014E-3</v>
      </c>
      <c r="V249" s="590"/>
      <c r="W249" s="603"/>
      <c r="X249" s="425"/>
      <c r="Y249" s="549"/>
    </row>
    <row r="250" spans="1:25" s="426" customFormat="1" x14ac:dyDescent="0.3">
      <c r="A250" s="443"/>
      <c r="B250" s="516" t="s">
        <v>91</v>
      </c>
      <c r="C250" s="627"/>
      <c r="D250" s="627"/>
      <c r="E250" s="627"/>
      <c r="F250" s="444"/>
      <c r="G250" s="628"/>
      <c r="H250" s="627"/>
      <c r="I250" s="627"/>
      <c r="J250" s="627"/>
      <c r="K250" s="627"/>
      <c r="L250" s="627"/>
      <c r="M250" s="627"/>
      <c r="N250" s="627"/>
      <c r="O250" s="627"/>
      <c r="P250" s="627"/>
      <c r="Q250" s="627"/>
      <c r="R250" s="516">
        <v>19</v>
      </c>
      <c r="S250" s="628">
        <f t="shared" si="5"/>
        <v>3.4620991253644317E-3</v>
      </c>
      <c r="T250" s="517">
        <v>3159</v>
      </c>
      <c r="U250" s="628">
        <f t="shared" si="6"/>
        <v>4.541063635265909E-3</v>
      </c>
      <c r="V250" s="590"/>
      <c r="W250" s="603"/>
      <c r="X250" s="425"/>
    </row>
    <row r="251" spans="1:25" s="426" customFormat="1" x14ac:dyDescent="0.3">
      <c r="A251" s="443"/>
      <c r="B251" s="516" t="s">
        <v>159</v>
      </c>
      <c r="C251" s="627"/>
      <c r="D251" s="627"/>
      <c r="E251" s="627"/>
      <c r="F251" s="444"/>
      <c r="G251" s="628"/>
      <c r="H251" s="627"/>
      <c r="I251" s="627"/>
      <c r="J251" s="627"/>
      <c r="K251" s="627"/>
      <c r="L251" s="627"/>
      <c r="M251" s="627"/>
      <c r="N251" s="627"/>
      <c r="O251" s="627"/>
      <c r="P251" s="627"/>
      <c r="Q251" s="627"/>
      <c r="R251" s="516">
        <v>1</v>
      </c>
      <c r="S251" s="628">
        <f t="shared" si="5"/>
        <v>1.8221574344023323E-4</v>
      </c>
      <c r="T251" s="517">
        <v>131</v>
      </c>
      <c r="U251" s="628">
        <f t="shared" si="6"/>
        <v>1.8831254707813678E-4</v>
      </c>
      <c r="V251" s="590"/>
      <c r="W251" s="603"/>
      <c r="X251" s="425"/>
      <c r="Y251" s="549"/>
    </row>
    <row r="252" spans="1:25" s="426" customFormat="1" x14ac:dyDescent="0.3">
      <c r="A252" s="443"/>
      <c r="B252" s="516" t="s">
        <v>160</v>
      </c>
      <c r="C252" s="627"/>
      <c r="D252" s="627"/>
      <c r="E252" s="627"/>
      <c r="F252" s="444"/>
      <c r="G252" s="628"/>
      <c r="H252" s="627"/>
      <c r="I252" s="627"/>
      <c r="J252" s="627"/>
      <c r="K252" s="627"/>
      <c r="L252" s="627"/>
      <c r="M252" s="627"/>
      <c r="N252" s="627"/>
      <c r="O252" s="627"/>
      <c r="P252" s="627"/>
      <c r="Q252" s="627"/>
      <c r="R252" s="516">
        <v>0</v>
      </c>
      <c r="S252" s="628">
        <f t="shared" si="5"/>
        <v>0</v>
      </c>
      <c r="T252" s="517">
        <v>0</v>
      </c>
      <c r="U252" s="628">
        <f t="shared" si="6"/>
        <v>0</v>
      </c>
      <c r="V252" s="590"/>
      <c r="W252" s="603"/>
      <c r="X252" s="425"/>
    </row>
    <row r="253" spans="1:25" s="426" customFormat="1" x14ac:dyDescent="0.3">
      <c r="A253" s="443"/>
      <c r="B253" s="516" t="s">
        <v>161</v>
      </c>
      <c r="C253" s="627"/>
      <c r="D253" s="627"/>
      <c r="E253" s="627"/>
      <c r="F253" s="444"/>
      <c r="G253" s="628"/>
      <c r="H253" s="627"/>
      <c r="I253" s="627"/>
      <c r="J253" s="627"/>
      <c r="K253" s="627"/>
      <c r="L253" s="627"/>
      <c r="M253" s="627"/>
      <c r="N253" s="627"/>
      <c r="O253" s="627"/>
      <c r="P253" s="627"/>
      <c r="Q253" s="627"/>
      <c r="R253" s="516">
        <v>0</v>
      </c>
      <c r="S253" s="628">
        <f t="shared" si="5"/>
        <v>0</v>
      </c>
      <c r="T253" s="517">
        <v>0</v>
      </c>
      <c r="U253" s="628">
        <f t="shared" si="6"/>
        <v>0</v>
      </c>
      <c r="V253" s="590"/>
      <c r="W253" s="603"/>
      <c r="X253" s="425"/>
      <c r="Y253" s="549"/>
    </row>
    <row r="254" spans="1:25" s="426" customFormat="1" x14ac:dyDescent="0.3">
      <c r="A254" s="443"/>
      <c r="B254" s="516" t="s">
        <v>162</v>
      </c>
      <c r="C254" s="627"/>
      <c r="D254" s="627"/>
      <c r="E254" s="627"/>
      <c r="F254" s="444"/>
      <c r="G254" s="628"/>
      <c r="H254" s="627"/>
      <c r="I254" s="627"/>
      <c r="J254" s="627"/>
      <c r="K254" s="627"/>
      <c r="L254" s="627"/>
      <c r="M254" s="627"/>
      <c r="N254" s="627"/>
      <c r="O254" s="627"/>
      <c r="P254" s="627"/>
      <c r="Q254" s="627"/>
      <c r="R254" s="516">
        <v>0</v>
      </c>
      <c r="S254" s="628">
        <f t="shared" si="5"/>
        <v>0</v>
      </c>
      <c r="T254" s="517">
        <v>0</v>
      </c>
      <c r="U254" s="628">
        <f t="shared" si="6"/>
        <v>0</v>
      </c>
      <c r="V254" s="590"/>
      <c r="W254" s="603"/>
      <c r="X254" s="425"/>
    </row>
    <row r="255" spans="1:25" s="426" customFormat="1" x14ac:dyDescent="0.3">
      <c r="A255" s="443"/>
      <c r="B255" s="516" t="s">
        <v>163</v>
      </c>
      <c r="C255" s="627"/>
      <c r="D255" s="627"/>
      <c r="E255" s="627"/>
      <c r="F255" s="444"/>
      <c r="G255" s="628"/>
      <c r="H255" s="627"/>
      <c r="I255" s="627"/>
      <c r="J255" s="627"/>
      <c r="K255" s="627"/>
      <c r="L255" s="627"/>
      <c r="M255" s="627"/>
      <c r="N255" s="627"/>
      <c r="O255" s="627"/>
      <c r="P255" s="627"/>
      <c r="Q255" s="627"/>
      <c r="R255" s="516">
        <v>1</v>
      </c>
      <c r="S255" s="628">
        <f t="shared" si="5"/>
        <v>1.8221574344023323E-4</v>
      </c>
      <c r="T255" s="517">
        <v>199</v>
      </c>
      <c r="U255" s="628">
        <f t="shared" si="6"/>
        <v>2.8606257151564288E-4</v>
      </c>
      <c r="V255" s="590"/>
      <c r="W255" s="603"/>
      <c r="X255" s="425"/>
      <c r="Y255" s="549"/>
    </row>
    <row r="256" spans="1:25" s="426" customFormat="1" x14ac:dyDescent="0.3">
      <c r="A256" s="443"/>
      <c r="B256" s="516"/>
      <c r="C256" s="627"/>
      <c r="D256" s="627"/>
      <c r="E256" s="627"/>
      <c r="F256" s="444"/>
      <c r="G256" s="628"/>
      <c r="H256" s="627"/>
      <c r="I256" s="627"/>
      <c r="J256" s="627"/>
      <c r="K256" s="627"/>
      <c r="L256" s="627"/>
      <c r="M256" s="627"/>
      <c r="N256" s="627"/>
      <c r="O256" s="627"/>
      <c r="P256" s="627"/>
      <c r="Q256" s="627"/>
      <c r="R256" s="516"/>
      <c r="S256" s="628"/>
      <c r="T256" s="517"/>
      <c r="U256" s="628"/>
      <c r="V256" s="590"/>
      <c r="W256" s="603"/>
      <c r="X256" s="425"/>
    </row>
    <row r="257" spans="1:24" s="426" customFormat="1" x14ac:dyDescent="0.3">
      <c r="A257" s="443"/>
      <c r="B257" s="444" t="s">
        <v>117</v>
      </c>
      <c r="C257" s="444"/>
      <c r="D257" s="444"/>
      <c r="E257" s="444"/>
      <c r="F257" s="444"/>
      <c r="G257" s="444"/>
      <c r="H257" s="629"/>
      <c r="I257" s="629"/>
      <c r="J257" s="629"/>
      <c r="K257" s="629"/>
      <c r="L257" s="629"/>
      <c r="M257" s="629"/>
      <c r="N257" s="629"/>
      <c r="O257" s="629"/>
      <c r="P257" s="629"/>
      <c r="Q257" s="629"/>
      <c r="R257" s="516">
        <f>SUM(R248:R256)</f>
        <v>5488</v>
      </c>
      <c r="S257" s="628">
        <f>SUM(S248:S256)</f>
        <v>1</v>
      </c>
      <c r="T257" s="517">
        <f>SUM(T248:T256)</f>
        <v>695652</v>
      </c>
      <c r="U257" s="628">
        <f>SUM(U248:U256)</f>
        <v>1</v>
      </c>
      <c r="V257" s="444"/>
      <c r="W257" s="446"/>
      <c r="X257" s="425"/>
    </row>
    <row r="258" spans="1:24" x14ac:dyDescent="0.3">
      <c r="A258" s="408"/>
      <c r="B258" s="518"/>
      <c r="C258" s="518"/>
      <c r="D258" s="518"/>
      <c r="E258" s="518"/>
      <c r="F258" s="518"/>
      <c r="G258" s="518"/>
      <c r="H258" s="632"/>
      <c r="I258" s="632"/>
      <c r="J258" s="632"/>
      <c r="K258" s="632"/>
      <c r="L258" s="632"/>
      <c r="M258" s="632"/>
      <c r="N258" s="632"/>
      <c r="O258" s="632"/>
      <c r="P258" s="632"/>
      <c r="Q258" s="632"/>
      <c r="R258" s="519"/>
      <c r="S258" s="633"/>
      <c r="T258" s="634"/>
      <c r="U258" s="633"/>
      <c r="V258" s="518"/>
      <c r="W258" s="411"/>
      <c r="X258" s="406"/>
    </row>
    <row r="259" spans="1:24" x14ac:dyDescent="0.3">
      <c r="A259" s="533"/>
      <c r="B259" s="534" t="s">
        <v>279</v>
      </c>
      <c r="C259" s="535"/>
      <c r="D259" s="535"/>
      <c r="E259" s="535"/>
      <c r="F259" s="621"/>
      <c r="G259" s="535"/>
      <c r="H259" s="535"/>
      <c r="I259" s="535"/>
      <c r="J259" s="535"/>
      <c r="K259" s="535"/>
      <c r="L259" s="535"/>
      <c r="M259" s="535"/>
      <c r="N259" s="535"/>
      <c r="O259" s="535"/>
      <c r="P259" s="535"/>
      <c r="Q259" s="535"/>
      <c r="R259" s="621" t="s">
        <v>103</v>
      </c>
      <c r="S259" s="535" t="s">
        <v>104</v>
      </c>
      <c r="T259" s="621" t="s">
        <v>111</v>
      </c>
      <c r="U259" s="535" t="s">
        <v>104</v>
      </c>
      <c r="V259" s="622"/>
      <c r="W259" s="538"/>
      <c r="X259" s="406"/>
    </row>
    <row r="260" spans="1:24" s="426" customFormat="1" x14ac:dyDescent="0.3">
      <c r="A260" s="421"/>
      <c r="B260" s="552" t="s">
        <v>89</v>
      </c>
      <c r="C260" s="624"/>
      <c r="D260" s="624"/>
      <c r="E260" s="624"/>
      <c r="F260" s="494"/>
      <c r="G260" s="624"/>
      <c r="H260" s="624"/>
      <c r="I260" s="624"/>
      <c r="J260" s="624"/>
      <c r="K260" s="624"/>
      <c r="L260" s="624"/>
      <c r="M260" s="624"/>
      <c r="N260" s="624"/>
      <c r="O260" s="624"/>
      <c r="P260" s="624"/>
      <c r="Q260" s="624"/>
      <c r="R260" s="552">
        <v>76</v>
      </c>
      <c r="S260" s="630">
        <f>R260/$R$269</f>
        <v>0.84444444444444444</v>
      </c>
      <c r="T260" s="631">
        <v>14073</v>
      </c>
      <c r="U260" s="630">
        <f t="shared" ref="U260:U267" si="7">T260/$T$269</f>
        <v>0.87123135021358267</v>
      </c>
      <c r="V260" s="494"/>
      <c r="W260" s="424"/>
      <c r="X260" s="425"/>
    </row>
    <row r="261" spans="1:24" s="426" customFormat="1" x14ac:dyDescent="0.3">
      <c r="A261" s="443"/>
      <c r="B261" s="516" t="s">
        <v>90</v>
      </c>
      <c r="C261" s="627"/>
      <c r="D261" s="627"/>
      <c r="E261" s="627"/>
      <c r="F261" s="444"/>
      <c r="G261" s="628"/>
      <c r="H261" s="627"/>
      <c r="I261" s="627"/>
      <c r="J261" s="627"/>
      <c r="K261" s="627"/>
      <c r="L261" s="627"/>
      <c r="M261" s="627"/>
      <c r="N261" s="627"/>
      <c r="O261" s="627"/>
      <c r="P261" s="627"/>
      <c r="Q261" s="627"/>
      <c r="R261" s="516">
        <v>0</v>
      </c>
      <c r="S261" s="628">
        <f t="shared" ref="S261:S265" si="8">R261/$R$269</f>
        <v>0</v>
      </c>
      <c r="T261" s="517">
        <v>0</v>
      </c>
      <c r="U261" s="628">
        <f t="shared" si="7"/>
        <v>0</v>
      </c>
      <c r="V261" s="444"/>
      <c r="W261" s="446"/>
      <c r="X261" s="425"/>
    </row>
    <row r="262" spans="1:24" s="426" customFormat="1" x14ac:dyDescent="0.3">
      <c r="A262" s="443"/>
      <c r="B262" s="516" t="s">
        <v>91</v>
      </c>
      <c r="C262" s="627"/>
      <c r="D262" s="627"/>
      <c r="E262" s="627"/>
      <c r="F262" s="444"/>
      <c r="G262" s="628"/>
      <c r="H262" s="627"/>
      <c r="I262" s="627"/>
      <c r="J262" s="627"/>
      <c r="K262" s="627"/>
      <c r="L262" s="627"/>
      <c r="M262" s="627"/>
      <c r="N262" s="627"/>
      <c r="O262" s="627"/>
      <c r="P262" s="627"/>
      <c r="Q262" s="627"/>
      <c r="R262" s="516">
        <v>3</v>
      </c>
      <c r="S262" s="628">
        <f t="shared" si="8"/>
        <v>3.3333333333333333E-2</v>
      </c>
      <c r="T262" s="517">
        <v>779</v>
      </c>
      <c r="U262" s="628">
        <f t="shared" si="7"/>
        <v>4.8226335665201507E-2</v>
      </c>
      <c r="V262" s="444"/>
      <c r="W262" s="446"/>
      <c r="X262" s="425"/>
    </row>
    <row r="263" spans="1:24" s="426" customFormat="1" x14ac:dyDescent="0.3">
      <c r="A263" s="443"/>
      <c r="B263" s="516" t="s">
        <v>159</v>
      </c>
      <c r="C263" s="627"/>
      <c r="D263" s="627"/>
      <c r="E263" s="627"/>
      <c r="F263" s="444"/>
      <c r="G263" s="628"/>
      <c r="H263" s="627"/>
      <c r="I263" s="627"/>
      <c r="J263" s="627"/>
      <c r="K263" s="627"/>
      <c r="L263" s="627"/>
      <c r="M263" s="627"/>
      <c r="N263" s="627"/>
      <c r="O263" s="627"/>
      <c r="P263" s="627"/>
      <c r="Q263" s="627"/>
      <c r="R263" s="516">
        <v>1</v>
      </c>
      <c r="S263" s="628">
        <f t="shared" si="8"/>
        <v>1.1111111111111112E-2</v>
      </c>
      <c r="T263" s="517">
        <v>48</v>
      </c>
      <c r="U263" s="628">
        <f t="shared" si="7"/>
        <v>2.9715842258404013E-3</v>
      </c>
      <c r="V263" s="444"/>
      <c r="W263" s="446"/>
      <c r="X263" s="425"/>
    </row>
    <row r="264" spans="1:24" s="426" customFormat="1" x14ac:dyDescent="0.3">
      <c r="A264" s="443"/>
      <c r="B264" s="516" t="s">
        <v>160</v>
      </c>
      <c r="C264" s="627"/>
      <c r="D264" s="627"/>
      <c r="E264" s="627"/>
      <c r="F264" s="444"/>
      <c r="G264" s="628"/>
      <c r="H264" s="627"/>
      <c r="I264" s="627"/>
      <c r="J264" s="627"/>
      <c r="K264" s="627"/>
      <c r="L264" s="627"/>
      <c r="M264" s="627"/>
      <c r="N264" s="627"/>
      <c r="O264" s="627"/>
      <c r="P264" s="627"/>
      <c r="Q264" s="627"/>
      <c r="R264" s="516">
        <v>1</v>
      </c>
      <c r="S264" s="628">
        <f t="shared" si="8"/>
        <v>1.1111111111111112E-2</v>
      </c>
      <c r="T264" s="517">
        <v>13</v>
      </c>
      <c r="U264" s="628">
        <f t="shared" si="7"/>
        <v>8.0480406116510868E-4</v>
      </c>
      <c r="V264" s="444"/>
      <c r="W264" s="446"/>
      <c r="X264" s="425"/>
    </row>
    <row r="265" spans="1:24" s="426" customFormat="1" x14ac:dyDescent="0.3">
      <c r="A265" s="443"/>
      <c r="B265" s="516" t="s">
        <v>161</v>
      </c>
      <c r="C265" s="627"/>
      <c r="D265" s="627"/>
      <c r="E265" s="627"/>
      <c r="F265" s="444"/>
      <c r="G265" s="628"/>
      <c r="H265" s="627"/>
      <c r="I265" s="627"/>
      <c r="J265" s="627"/>
      <c r="K265" s="627"/>
      <c r="L265" s="627"/>
      <c r="M265" s="627"/>
      <c r="N265" s="627"/>
      <c r="O265" s="627"/>
      <c r="P265" s="627"/>
      <c r="Q265" s="627"/>
      <c r="R265" s="516">
        <v>0</v>
      </c>
      <c r="S265" s="628">
        <f t="shared" si="8"/>
        <v>0</v>
      </c>
      <c r="T265" s="517">
        <v>0</v>
      </c>
      <c r="U265" s="628">
        <f t="shared" si="7"/>
        <v>0</v>
      </c>
      <c r="V265" s="444"/>
      <c r="W265" s="446"/>
      <c r="X265" s="425"/>
    </row>
    <row r="266" spans="1:24" s="426" customFormat="1" x14ac:dyDescent="0.3">
      <c r="A266" s="443"/>
      <c r="B266" s="516" t="s">
        <v>162</v>
      </c>
      <c r="C266" s="627"/>
      <c r="D266" s="627"/>
      <c r="E266" s="627"/>
      <c r="F266" s="444"/>
      <c r="G266" s="628"/>
      <c r="H266" s="627"/>
      <c r="I266" s="627"/>
      <c r="J266" s="627"/>
      <c r="K266" s="627"/>
      <c r="L266" s="627"/>
      <c r="M266" s="627"/>
      <c r="N266" s="627"/>
      <c r="O266" s="627"/>
      <c r="P266" s="627"/>
      <c r="Q266" s="627"/>
      <c r="R266" s="516">
        <v>0</v>
      </c>
      <c r="S266" s="628">
        <f>R266/$R$269</f>
        <v>0</v>
      </c>
      <c r="T266" s="517">
        <v>0</v>
      </c>
      <c r="U266" s="628">
        <f t="shared" si="7"/>
        <v>0</v>
      </c>
      <c r="V266" s="444"/>
      <c r="W266" s="446"/>
      <c r="X266" s="425"/>
    </row>
    <row r="267" spans="1:24" s="426" customFormat="1" x14ac:dyDescent="0.3">
      <c r="A267" s="443"/>
      <c r="B267" s="516" t="s">
        <v>163</v>
      </c>
      <c r="C267" s="627"/>
      <c r="D267" s="627"/>
      <c r="E267" s="627"/>
      <c r="F267" s="444"/>
      <c r="G267" s="628"/>
      <c r="H267" s="627"/>
      <c r="I267" s="627"/>
      <c r="J267" s="627"/>
      <c r="K267" s="627"/>
      <c r="L267" s="627"/>
      <c r="M267" s="627"/>
      <c r="N267" s="627"/>
      <c r="O267" s="627"/>
      <c r="P267" s="627"/>
      <c r="Q267" s="627"/>
      <c r="R267" s="516">
        <v>9</v>
      </c>
      <c r="S267" s="628">
        <f>R267/$R$269</f>
        <v>0.1</v>
      </c>
      <c r="T267" s="517">
        <v>1240</v>
      </c>
      <c r="U267" s="628">
        <f t="shared" si="7"/>
        <v>7.6765925834210366E-2</v>
      </c>
      <c r="V267" s="444"/>
      <c r="W267" s="446"/>
      <c r="X267" s="425"/>
    </row>
    <row r="268" spans="1:24" s="426" customFormat="1" x14ac:dyDescent="0.3">
      <c r="A268" s="443"/>
      <c r="B268" s="516"/>
      <c r="C268" s="627"/>
      <c r="D268" s="627"/>
      <c r="E268" s="627"/>
      <c r="F268" s="444"/>
      <c r="G268" s="628"/>
      <c r="H268" s="627"/>
      <c r="I268" s="627"/>
      <c r="J268" s="627"/>
      <c r="K268" s="627"/>
      <c r="L268" s="627"/>
      <c r="M268" s="627"/>
      <c r="N268" s="627"/>
      <c r="O268" s="627"/>
      <c r="P268" s="627"/>
      <c r="Q268" s="627"/>
      <c r="R268" s="516"/>
      <c r="S268" s="628"/>
      <c r="T268" s="517"/>
      <c r="U268" s="628"/>
      <c r="V268" s="444"/>
      <c r="W268" s="446"/>
      <c r="X268" s="425"/>
    </row>
    <row r="269" spans="1:24" s="426" customFormat="1" x14ac:dyDescent="0.3">
      <c r="A269" s="443"/>
      <c r="B269" s="444" t="s">
        <v>117</v>
      </c>
      <c r="C269" s="444"/>
      <c r="D269" s="444"/>
      <c r="E269" s="444"/>
      <c r="F269" s="444"/>
      <c r="G269" s="444"/>
      <c r="H269" s="629"/>
      <c r="I269" s="629"/>
      <c r="J269" s="629"/>
      <c r="K269" s="629"/>
      <c r="L269" s="629"/>
      <c r="M269" s="629"/>
      <c r="N269" s="629"/>
      <c r="O269" s="629"/>
      <c r="P269" s="629"/>
      <c r="Q269" s="629"/>
      <c r="R269" s="516">
        <f>SUM(R260:R268)</f>
        <v>90</v>
      </c>
      <c r="S269" s="628">
        <f>SUM(S260:S268)</f>
        <v>0.99999999999999989</v>
      </c>
      <c r="T269" s="517">
        <f>SUM(T260:T268)</f>
        <v>16153</v>
      </c>
      <c r="U269" s="628">
        <f>SUM(U260:U268)</f>
        <v>1</v>
      </c>
      <c r="V269" s="444"/>
      <c r="W269" s="446"/>
      <c r="X269" s="425"/>
    </row>
    <row r="270" spans="1:24" x14ac:dyDescent="0.3">
      <c r="A270" s="408"/>
      <c r="B270" s="518"/>
      <c r="C270" s="518"/>
      <c r="D270" s="518"/>
      <c r="E270" s="518"/>
      <c r="F270" s="518"/>
      <c r="G270" s="518"/>
      <c r="H270" s="632"/>
      <c r="I270" s="632"/>
      <c r="J270" s="632"/>
      <c r="K270" s="632"/>
      <c r="L270" s="632"/>
      <c r="M270" s="632"/>
      <c r="N270" s="632"/>
      <c r="O270" s="632"/>
      <c r="P270" s="632"/>
      <c r="Q270" s="632"/>
      <c r="R270" s="519"/>
      <c r="S270" s="633"/>
      <c r="T270" s="634"/>
      <c r="U270" s="633"/>
      <c r="V270" s="518"/>
      <c r="W270" s="411"/>
      <c r="X270" s="406"/>
    </row>
    <row r="271" spans="1:24" x14ac:dyDescent="0.3">
      <c r="A271" s="533"/>
      <c r="B271" s="534" t="s">
        <v>166</v>
      </c>
      <c r="C271" s="622"/>
      <c r="D271" s="622"/>
      <c r="E271" s="622"/>
      <c r="F271" s="622"/>
      <c r="G271" s="622"/>
      <c r="H271" s="635"/>
      <c r="I271" s="635"/>
      <c r="J271" s="635"/>
      <c r="K271" s="635"/>
      <c r="L271" s="635"/>
      <c r="M271" s="635"/>
      <c r="N271" s="635"/>
      <c r="O271" s="635"/>
      <c r="P271" s="635"/>
      <c r="Q271" s="635"/>
      <c r="R271" s="621" t="s">
        <v>103</v>
      </c>
      <c r="S271" s="535" t="s">
        <v>104</v>
      </c>
      <c r="T271" s="621" t="s">
        <v>111</v>
      </c>
      <c r="U271" s="535" t="s">
        <v>104</v>
      </c>
      <c r="V271" s="622"/>
      <c r="W271" s="538"/>
      <c r="X271" s="406"/>
    </row>
    <row r="272" spans="1:24" s="426" customFormat="1" x14ac:dyDescent="0.3">
      <c r="A272" s="421"/>
      <c r="B272" s="552" t="s">
        <v>89</v>
      </c>
      <c r="C272" s="494"/>
      <c r="D272" s="494"/>
      <c r="E272" s="494"/>
      <c r="F272" s="494"/>
      <c r="G272" s="494"/>
      <c r="H272" s="636"/>
      <c r="I272" s="636"/>
      <c r="J272" s="636"/>
      <c r="K272" s="636"/>
      <c r="L272" s="636"/>
      <c r="M272" s="636"/>
      <c r="N272" s="636"/>
      <c r="O272" s="636"/>
      <c r="P272" s="636"/>
      <c r="Q272" s="636"/>
      <c r="R272" s="552">
        <v>0</v>
      </c>
      <c r="S272" s="630">
        <v>0</v>
      </c>
      <c r="T272" s="631">
        <v>0</v>
      </c>
      <c r="U272" s="630">
        <v>0</v>
      </c>
      <c r="V272" s="494"/>
      <c r="W272" s="424"/>
      <c r="X272" s="425"/>
    </row>
    <row r="273" spans="1:24" s="426" customFormat="1" x14ac:dyDescent="0.3">
      <c r="A273" s="443"/>
      <c r="B273" s="516" t="s">
        <v>90</v>
      </c>
      <c r="C273" s="444"/>
      <c r="D273" s="444"/>
      <c r="E273" s="444"/>
      <c r="F273" s="444"/>
      <c r="G273" s="444"/>
      <c r="H273" s="629"/>
      <c r="I273" s="629"/>
      <c r="J273" s="629"/>
      <c r="K273" s="629"/>
      <c r="L273" s="629"/>
      <c r="M273" s="629"/>
      <c r="N273" s="629"/>
      <c r="O273" s="629"/>
      <c r="P273" s="629"/>
      <c r="Q273" s="629"/>
      <c r="R273" s="516">
        <v>0</v>
      </c>
      <c r="S273" s="628">
        <v>0</v>
      </c>
      <c r="T273" s="517">
        <v>0</v>
      </c>
      <c r="U273" s="628">
        <v>0</v>
      </c>
      <c r="V273" s="444"/>
      <c r="W273" s="446"/>
      <c r="X273" s="425"/>
    </row>
    <row r="274" spans="1:24" s="426" customFormat="1" x14ac:dyDescent="0.3">
      <c r="A274" s="443"/>
      <c r="B274" s="516" t="s">
        <v>91</v>
      </c>
      <c r="C274" s="444"/>
      <c r="D274" s="444"/>
      <c r="E274" s="444"/>
      <c r="F274" s="444"/>
      <c r="G274" s="444"/>
      <c r="H274" s="629"/>
      <c r="I274" s="629"/>
      <c r="J274" s="629"/>
      <c r="K274" s="629"/>
      <c r="L274" s="629"/>
      <c r="M274" s="629"/>
      <c r="N274" s="629"/>
      <c r="O274" s="629"/>
      <c r="P274" s="629"/>
      <c r="Q274" s="629"/>
      <c r="R274" s="516">
        <v>0</v>
      </c>
      <c r="S274" s="628">
        <v>0</v>
      </c>
      <c r="T274" s="517">
        <v>0</v>
      </c>
      <c r="U274" s="628">
        <v>0</v>
      </c>
      <c r="V274" s="444"/>
      <c r="W274" s="446"/>
      <c r="X274" s="425"/>
    </row>
    <row r="275" spans="1:24" s="426" customFormat="1" x14ac:dyDescent="0.3">
      <c r="A275" s="443"/>
      <c r="B275" s="516" t="s">
        <v>159</v>
      </c>
      <c r="C275" s="444"/>
      <c r="D275" s="444"/>
      <c r="E275" s="444"/>
      <c r="F275" s="444"/>
      <c r="G275" s="444"/>
      <c r="H275" s="629"/>
      <c r="I275" s="629"/>
      <c r="J275" s="629"/>
      <c r="K275" s="629"/>
      <c r="L275" s="629"/>
      <c r="M275" s="629"/>
      <c r="N275" s="629"/>
      <c r="O275" s="629"/>
      <c r="P275" s="629"/>
      <c r="Q275" s="629"/>
      <c r="R275" s="516">
        <v>0</v>
      </c>
      <c r="S275" s="628">
        <v>0</v>
      </c>
      <c r="T275" s="517">
        <v>0</v>
      </c>
      <c r="U275" s="628">
        <v>0</v>
      </c>
      <c r="V275" s="444"/>
      <c r="W275" s="446"/>
      <c r="X275" s="425"/>
    </row>
    <row r="276" spans="1:24" s="426" customFormat="1" x14ac:dyDescent="0.3">
      <c r="A276" s="443"/>
      <c r="B276" s="516" t="s">
        <v>160</v>
      </c>
      <c r="C276" s="444"/>
      <c r="D276" s="444"/>
      <c r="E276" s="444"/>
      <c r="F276" s="444"/>
      <c r="G276" s="444"/>
      <c r="H276" s="629"/>
      <c r="I276" s="629"/>
      <c r="J276" s="629"/>
      <c r="K276" s="629"/>
      <c r="L276" s="629"/>
      <c r="M276" s="629"/>
      <c r="N276" s="629"/>
      <c r="O276" s="629"/>
      <c r="P276" s="629"/>
      <c r="Q276" s="629"/>
      <c r="R276" s="516">
        <v>0</v>
      </c>
      <c r="S276" s="628">
        <v>0</v>
      </c>
      <c r="T276" s="517">
        <v>0</v>
      </c>
      <c r="U276" s="628">
        <v>0</v>
      </c>
      <c r="V276" s="444"/>
      <c r="W276" s="446"/>
      <c r="X276" s="425"/>
    </row>
    <row r="277" spans="1:24" s="426" customFormat="1" x14ac:dyDescent="0.3">
      <c r="A277" s="443"/>
      <c r="B277" s="516" t="s">
        <v>161</v>
      </c>
      <c r="C277" s="444"/>
      <c r="D277" s="444"/>
      <c r="E277" s="444"/>
      <c r="F277" s="444"/>
      <c r="G277" s="444"/>
      <c r="H277" s="629"/>
      <c r="I277" s="629"/>
      <c r="J277" s="629"/>
      <c r="K277" s="629"/>
      <c r="L277" s="629"/>
      <c r="M277" s="629"/>
      <c r="N277" s="629"/>
      <c r="O277" s="629"/>
      <c r="P277" s="629"/>
      <c r="Q277" s="629"/>
      <c r="R277" s="516">
        <v>0</v>
      </c>
      <c r="S277" s="628">
        <v>0</v>
      </c>
      <c r="T277" s="517">
        <v>0</v>
      </c>
      <c r="U277" s="628">
        <v>0</v>
      </c>
      <c r="V277" s="444"/>
      <c r="W277" s="446"/>
      <c r="X277" s="425"/>
    </row>
    <row r="278" spans="1:24" s="426" customFormat="1" x14ac:dyDescent="0.3">
      <c r="A278" s="443"/>
      <c r="B278" s="516" t="s">
        <v>162</v>
      </c>
      <c r="C278" s="444"/>
      <c r="D278" s="444"/>
      <c r="E278" s="444"/>
      <c r="F278" s="444"/>
      <c r="G278" s="444"/>
      <c r="H278" s="629"/>
      <c r="I278" s="629"/>
      <c r="J278" s="629"/>
      <c r="K278" s="629"/>
      <c r="L278" s="629"/>
      <c r="M278" s="629"/>
      <c r="N278" s="629"/>
      <c r="O278" s="629"/>
      <c r="P278" s="629"/>
      <c r="Q278" s="629"/>
      <c r="R278" s="516">
        <v>0</v>
      </c>
      <c r="S278" s="628">
        <v>0</v>
      </c>
      <c r="T278" s="517">
        <v>0</v>
      </c>
      <c r="U278" s="628">
        <v>0</v>
      </c>
      <c r="V278" s="444"/>
      <c r="W278" s="446"/>
      <c r="X278" s="425"/>
    </row>
    <row r="279" spans="1:24" s="426" customFormat="1" x14ac:dyDescent="0.3">
      <c r="A279" s="443"/>
      <c r="B279" s="516" t="s">
        <v>163</v>
      </c>
      <c r="C279" s="444"/>
      <c r="D279" s="444"/>
      <c r="E279" s="444"/>
      <c r="F279" s="444"/>
      <c r="G279" s="444"/>
      <c r="H279" s="629"/>
      <c r="I279" s="629"/>
      <c r="J279" s="629"/>
      <c r="K279" s="629"/>
      <c r="L279" s="629"/>
      <c r="M279" s="629"/>
      <c r="N279" s="629"/>
      <c r="O279" s="629"/>
      <c r="P279" s="629"/>
      <c r="Q279" s="629"/>
      <c r="R279" s="516">
        <v>0</v>
      </c>
      <c r="S279" s="628">
        <v>0</v>
      </c>
      <c r="T279" s="517">
        <v>0</v>
      </c>
      <c r="U279" s="628">
        <v>0</v>
      </c>
      <c r="V279" s="444"/>
      <c r="W279" s="446"/>
      <c r="X279" s="425"/>
    </row>
    <row r="280" spans="1:24" s="426" customFormat="1" x14ac:dyDescent="0.3">
      <c r="A280" s="443"/>
      <c r="B280" s="516"/>
      <c r="C280" s="444"/>
      <c r="D280" s="444"/>
      <c r="E280" s="444"/>
      <c r="F280" s="444"/>
      <c r="G280" s="444"/>
      <c r="H280" s="629"/>
      <c r="I280" s="629"/>
      <c r="J280" s="629"/>
      <c r="K280" s="629"/>
      <c r="L280" s="629"/>
      <c r="M280" s="629"/>
      <c r="N280" s="629"/>
      <c r="O280" s="629"/>
      <c r="P280" s="629"/>
      <c r="Q280" s="629"/>
      <c r="R280" s="516"/>
      <c r="S280" s="628"/>
      <c r="T280" s="517"/>
      <c r="U280" s="628"/>
      <c r="V280" s="444"/>
      <c r="W280" s="446"/>
      <c r="X280" s="425"/>
    </row>
    <row r="281" spans="1:24" s="426" customFormat="1" x14ac:dyDescent="0.3">
      <c r="A281" s="443"/>
      <c r="B281" s="444" t="s">
        <v>117</v>
      </c>
      <c r="C281" s="444"/>
      <c r="D281" s="444"/>
      <c r="E281" s="444"/>
      <c r="F281" s="444"/>
      <c r="G281" s="444"/>
      <c r="H281" s="629"/>
      <c r="I281" s="629"/>
      <c r="J281" s="629"/>
      <c r="K281" s="629"/>
      <c r="L281" s="629"/>
      <c r="M281" s="629"/>
      <c r="N281" s="629"/>
      <c r="O281" s="629"/>
      <c r="P281" s="629"/>
      <c r="Q281" s="629"/>
      <c r="R281" s="516">
        <f>SUM(R272:R279)</f>
        <v>0</v>
      </c>
      <c r="S281" s="628">
        <f>SUM(S272:S279)</f>
        <v>0</v>
      </c>
      <c r="T281" s="517">
        <f>SUM(T272:T279)</f>
        <v>0</v>
      </c>
      <c r="U281" s="628">
        <f>SUM(U272:U279)</f>
        <v>0</v>
      </c>
      <c r="V281" s="444"/>
      <c r="W281" s="446"/>
      <c r="X281" s="425"/>
    </row>
    <row r="282" spans="1:24" s="426" customFormat="1" x14ac:dyDescent="0.3">
      <c r="A282" s="443"/>
      <c r="B282" s="444"/>
      <c r="C282" s="444"/>
      <c r="D282" s="444"/>
      <c r="E282" s="444"/>
      <c r="F282" s="444"/>
      <c r="G282" s="444"/>
      <c r="H282" s="629"/>
      <c r="I282" s="629"/>
      <c r="J282" s="629"/>
      <c r="K282" s="629"/>
      <c r="L282" s="629"/>
      <c r="M282" s="629"/>
      <c r="N282" s="629"/>
      <c r="O282" s="629"/>
      <c r="P282" s="629"/>
      <c r="Q282" s="629"/>
      <c r="R282" s="516"/>
      <c r="S282" s="628"/>
      <c r="T282" s="517"/>
      <c r="U282" s="628"/>
      <c r="V282" s="444"/>
      <c r="W282" s="446"/>
      <c r="X282" s="425"/>
    </row>
    <row r="283" spans="1:24" s="426" customFormat="1" x14ac:dyDescent="0.3">
      <c r="A283" s="443"/>
      <c r="B283" s="449" t="s">
        <v>167</v>
      </c>
      <c r="C283" s="444"/>
      <c r="D283" s="444"/>
      <c r="E283" s="444"/>
      <c r="F283" s="444"/>
      <c r="G283" s="444"/>
      <c r="H283" s="629"/>
      <c r="I283" s="629"/>
      <c r="J283" s="629"/>
      <c r="K283" s="629"/>
      <c r="L283" s="629"/>
      <c r="M283" s="629"/>
      <c r="N283" s="629"/>
      <c r="O283" s="629"/>
      <c r="P283" s="629"/>
      <c r="Q283" s="629"/>
      <c r="R283" s="637">
        <f>R281+R269+R257</f>
        <v>5578</v>
      </c>
      <c r="S283" s="628"/>
      <c r="T283" s="638">
        <f>+T281+T269+T257</f>
        <v>711805</v>
      </c>
      <c r="U283" s="628"/>
      <c r="V283" s="444"/>
      <c r="W283" s="446"/>
      <c r="X283" s="425"/>
    </row>
    <row r="284" spans="1:24" s="426" customFormat="1" x14ac:dyDescent="0.3">
      <c r="A284" s="421"/>
      <c r="B284" s="494"/>
      <c r="C284" s="494"/>
      <c r="D284" s="494"/>
      <c r="E284" s="494"/>
      <c r="F284" s="494"/>
      <c r="G284" s="494"/>
      <c r="H284" s="636"/>
      <c r="I284" s="636"/>
      <c r="J284" s="636"/>
      <c r="K284" s="636"/>
      <c r="L284" s="636"/>
      <c r="M284" s="636"/>
      <c r="N284" s="636"/>
      <c r="O284" s="636"/>
      <c r="P284" s="636"/>
      <c r="Q284" s="636"/>
      <c r="R284" s="636"/>
      <c r="S284" s="636"/>
      <c r="T284" s="631"/>
      <c r="U284" s="636"/>
      <c r="V284" s="494"/>
      <c r="W284" s="424"/>
      <c r="X284" s="425"/>
    </row>
    <row r="285" spans="1:24" s="426" customFormat="1" x14ac:dyDescent="0.3">
      <c r="A285" s="421"/>
      <c r="B285" s="422"/>
      <c r="C285" s="422"/>
      <c r="D285" s="422"/>
      <c r="E285" s="422"/>
      <c r="F285" s="422"/>
      <c r="G285" s="422"/>
      <c r="H285" s="639"/>
      <c r="I285" s="639"/>
      <c r="J285" s="639"/>
      <c r="K285" s="639"/>
      <c r="L285" s="639"/>
      <c r="M285" s="639"/>
      <c r="N285" s="639"/>
      <c r="O285" s="639"/>
      <c r="P285" s="639"/>
      <c r="Q285" s="639"/>
      <c r="R285" s="639"/>
      <c r="S285" s="639"/>
      <c r="T285" s="640"/>
      <c r="U285" s="639"/>
      <c r="V285" s="422"/>
      <c r="W285" s="424"/>
      <c r="X285" s="425"/>
    </row>
    <row r="286" spans="1:24" s="426" customFormat="1" x14ac:dyDescent="0.3">
      <c r="A286" s="421"/>
      <c r="B286" s="420" t="s">
        <v>92</v>
      </c>
      <c r="C286" s="422"/>
      <c r="D286" s="422"/>
      <c r="E286" s="422"/>
      <c r="F286" s="429" t="s">
        <v>98</v>
      </c>
      <c r="G286" s="422"/>
      <c r="H286" s="420" t="s">
        <v>100</v>
      </c>
      <c r="I286" s="420"/>
      <c r="J286" s="420"/>
      <c r="K286" s="422"/>
      <c r="L286" s="422"/>
      <c r="M286" s="422"/>
      <c r="N286" s="422"/>
      <c r="O286" s="422"/>
      <c r="P286" s="422"/>
      <c r="Q286" s="422"/>
      <c r="R286" s="422"/>
      <c r="S286" s="422"/>
      <c r="T286" s="422"/>
      <c r="U286" s="422"/>
      <c r="V286" s="422"/>
      <c r="W286" s="424"/>
      <c r="X286" s="425"/>
    </row>
    <row r="287" spans="1:24" s="426" customFormat="1" x14ac:dyDescent="0.3">
      <c r="A287" s="421"/>
      <c r="B287" s="420" t="s">
        <v>336</v>
      </c>
      <c r="C287" s="420"/>
      <c r="D287" s="420"/>
      <c r="E287" s="420"/>
      <c r="F287" s="641" t="s">
        <v>282</v>
      </c>
      <c r="G287" s="420"/>
      <c r="H287" s="420" t="s">
        <v>371</v>
      </c>
      <c r="I287" s="422"/>
      <c r="J287" s="420"/>
      <c r="K287" s="422"/>
      <c r="L287" s="422"/>
      <c r="M287" s="422"/>
      <c r="N287" s="422"/>
      <c r="O287" s="422"/>
      <c r="P287" s="422"/>
      <c r="Q287" s="422"/>
      <c r="R287" s="422"/>
      <c r="S287" s="422"/>
      <c r="T287" s="422"/>
      <c r="U287" s="422"/>
      <c r="V287" s="422"/>
      <c r="W287" s="424"/>
      <c r="X287" s="425"/>
    </row>
    <row r="288" spans="1:24" s="426" customFormat="1" x14ac:dyDescent="0.3">
      <c r="A288" s="421"/>
      <c r="B288" s="420" t="s">
        <v>337</v>
      </c>
      <c r="C288" s="420"/>
      <c r="D288" s="420"/>
      <c r="E288" s="420"/>
      <c r="F288" s="641" t="s">
        <v>150</v>
      </c>
      <c r="G288" s="420"/>
      <c r="H288" s="420" t="s">
        <v>372</v>
      </c>
      <c r="I288" s="420"/>
      <c r="J288" s="420"/>
      <c r="K288" s="422"/>
      <c r="L288" s="422"/>
      <c r="M288" s="422"/>
      <c r="N288" s="422"/>
      <c r="O288" s="422"/>
      <c r="P288" s="422"/>
      <c r="Q288" s="422"/>
      <c r="R288" s="422"/>
      <c r="S288" s="422"/>
      <c r="T288" s="422"/>
      <c r="U288" s="422"/>
      <c r="V288" s="422"/>
      <c r="W288" s="424"/>
      <c r="X288" s="425"/>
    </row>
    <row r="289" spans="1:24" s="426" customFormat="1" x14ac:dyDescent="0.3">
      <c r="A289" s="421"/>
      <c r="B289" s="420"/>
      <c r="C289" s="420"/>
      <c r="D289" s="420"/>
      <c r="E289" s="420"/>
      <c r="F289" s="641"/>
      <c r="G289" s="420"/>
      <c r="H289" s="420"/>
      <c r="I289" s="420"/>
      <c r="J289" s="420"/>
      <c r="K289" s="422"/>
      <c r="L289" s="422"/>
      <c r="M289" s="422"/>
      <c r="N289" s="422"/>
      <c r="O289" s="422"/>
      <c r="P289" s="422"/>
      <c r="Q289" s="422"/>
      <c r="R289" s="422"/>
      <c r="S289" s="422"/>
      <c r="T289" s="422"/>
      <c r="U289" s="422"/>
      <c r="V289" s="422"/>
      <c r="W289" s="424"/>
      <c r="X289" s="425"/>
    </row>
    <row r="290" spans="1:24" s="426" customFormat="1" x14ac:dyDescent="0.3">
      <c r="A290" s="421"/>
      <c r="B290" s="494" t="s">
        <v>367</v>
      </c>
      <c r="C290" s="420"/>
      <c r="D290" s="420"/>
      <c r="E290" s="420"/>
      <c r="F290" s="641"/>
      <c r="G290" s="420"/>
      <c r="H290" s="420"/>
      <c r="I290" s="420"/>
      <c r="J290" s="420"/>
      <c r="K290" s="422"/>
      <c r="L290" s="422"/>
      <c r="M290" s="422"/>
      <c r="N290" s="422"/>
      <c r="O290" s="422"/>
      <c r="P290" s="422"/>
      <c r="Q290" s="422"/>
      <c r="R290" s="422"/>
      <c r="S290" s="422"/>
      <c r="T290" s="422"/>
      <c r="U290" s="422"/>
      <c r="V290" s="422"/>
      <c r="W290" s="424"/>
      <c r="X290" s="425"/>
    </row>
    <row r="291" spans="1:24" s="426" customFormat="1" x14ac:dyDescent="0.3">
      <c r="A291" s="421"/>
      <c r="B291" s="494" t="s">
        <v>373</v>
      </c>
      <c r="C291" s="420"/>
      <c r="D291" s="420"/>
      <c r="E291" s="420"/>
      <c r="F291" s="641"/>
      <c r="G291" s="420"/>
      <c r="H291" s="420"/>
      <c r="I291" s="420"/>
      <c r="J291" s="420"/>
      <c r="K291" s="422"/>
      <c r="L291" s="422"/>
      <c r="M291" s="422"/>
      <c r="N291" s="422"/>
      <c r="O291" s="422"/>
      <c r="P291" s="422"/>
      <c r="Q291" s="422"/>
      <c r="R291" s="422"/>
      <c r="S291" s="422"/>
      <c r="T291" s="422"/>
      <c r="U291" s="422"/>
      <c r="V291" s="422"/>
      <c r="W291" s="424"/>
      <c r="X291" s="425"/>
    </row>
    <row r="292" spans="1:24" s="426" customFormat="1" x14ac:dyDescent="0.3">
      <c r="A292" s="421"/>
      <c r="B292" s="494" t="s">
        <v>365</v>
      </c>
      <c r="C292" s="420"/>
      <c r="D292" s="420"/>
      <c r="E292" s="420"/>
      <c r="F292" s="641"/>
      <c r="G292" s="420"/>
      <c r="H292" s="420"/>
      <c r="I292" s="420"/>
      <c r="J292" s="420"/>
      <c r="K292" s="422"/>
      <c r="L292" s="422"/>
      <c r="M292" s="422"/>
      <c r="N292" s="422"/>
      <c r="O292" s="422"/>
      <c r="P292" s="422"/>
      <c r="Q292" s="422"/>
      <c r="R292" s="422"/>
      <c r="S292" s="422"/>
      <c r="T292" s="422"/>
      <c r="U292" s="422"/>
      <c r="V292" s="422"/>
      <c r="W292" s="424"/>
      <c r="X292" s="425"/>
    </row>
    <row r="293" spans="1:24" s="426" customFormat="1" x14ac:dyDescent="0.3">
      <c r="A293" s="421"/>
      <c r="B293" s="494" t="s">
        <v>366</v>
      </c>
      <c r="C293" s="420"/>
      <c r="D293" s="420"/>
      <c r="E293" s="420"/>
      <c r="F293" s="641"/>
      <c r="G293" s="420"/>
      <c r="H293" s="420"/>
      <c r="I293" s="420"/>
      <c r="J293" s="420"/>
      <c r="K293" s="422"/>
      <c r="L293" s="422"/>
      <c r="M293" s="422"/>
      <c r="N293" s="422"/>
      <c r="O293" s="422"/>
      <c r="P293" s="422"/>
      <c r="Q293" s="422"/>
      <c r="R293" s="422"/>
      <c r="S293" s="422"/>
      <c r="T293" s="422"/>
      <c r="U293" s="422"/>
      <c r="V293" s="422"/>
      <c r="W293" s="424"/>
      <c r="X293" s="425"/>
    </row>
    <row r="294" spans="1:24" x14ac:dyDescent="0.3">
      <c r="A294" s="408"/>
      <c r="B294" s="642"/>
      <c r="C294" s="642"/>
      <c r="D294" s="642"/>
      <c r="E294" s="642"/>
      <c r="F294" s="643"/>
      <c r="G294" s="642"/>
      <c r="H294" s="642"/>
      <c r="I294" s="642"/>
      <c r="J294" s="642"/>
      <c r="K294" s="531"/>
      <c r="L294" s="531"/>
      <c r="M294" s="531"/>
      <c r="N294" s="531"/>
      <c r="O294" s="531"/>
      <c r="P294" s="531"/>
      <c r="Q294" s="531"/>
      <c r="R294" s="531"/>
      <c r="S294" s="531"/>
      <c r="T294" s="531"/>
      <c r="U294" s="531"/>
      <c r="V294" s="531"/>
      <c r="W294" s="532"/>
      <c r="X294" s="406"/>
    </row>
    <row r="295" spans="1:24" ht="18" x14ac:dyDescent="0.35">
      <c r="A295" s="408"/>
      <c r="B295" s="644" t="s">
        <v>368</v>
      </c>
      <c r="C295" s="642"/>
      <c r="D295" s="642"/>
      <c r="E295" s="642"/>
      <c r="F295" s="642"/>
      <c r="G295" s="642"/>
      <c r="H295" s="531"/>
      <c r="I295" s="531"/>
      <c r="J295" s="531"/>
      <c r="K295" s="531"/>
      <c r="L295" s="410"/>
      <c r="M295" s="410"/>
      <c r="N295" s="645"/>
      <c r="O295" s="410"/>
      <c r="P295" s="646" t="s">
        <v>370</v>
      </c>
      <c r="Q295" s="531"/>
      <c r="R295" s="531"/>
      <c r="S295" s="531"/>
      <c r="T295" s="531"/>
      <c r="U295" s="531"/>
      <c r="V295" s="531"/>
      <c r="W295" s="532"/>
      <c r="X295" s="406"/>
    </row>
    <row r="296" spans="1:24" x14ac:dyDescent="0.3">
      <c r="A296" s="408"/>
      <c r="B296" s="642"/>
      <c r="C296" s="642"/>
      <c r="D296" s="642"/>
      <c r="E296" s="642"/>
      <c r="F296" s="642"/>
      <c r="G296" s="642"/>
      <c r="H296" s="531"/>
      <c r="I296" s="531"/>
      <c r="J296" s="531"/>
      <c r="K296" s="531"/>
      <c r="L296" s="531"/>
      <c r="M296" s="531"/>
      <c r="N296" s="531"/>
      <c r="O296" s="531"/>
      <c r="P296" s="531"/>
      <c r="Q296" s="531"/>
      <c r="R296" s="531"/>
      <c r="S296" s="531"/>
      <c r="T296" s="531"/>
      <c r="U296" s="531"/>
      <c r="V296" s="531"/>
      <c r="W296" s="532"/>
      <c r="X296" s="406"/>
    </row>
    <row r="297" spans="1:24" ht="18.600000000000001" thickBot="1" x14ac:dyDescent="0.4">
      <c r="A297" s="408"/>
      <c r="B297" s="647" t="str">
        <f>B197</f>
        <v>PM13 INVESTOR REPORT QUARTER ENDING JUNE 2019</v>
      </c>
      <c r="C297" s="642"/>
      <c r="D297" s="642"/>
      <c r="E297" s="642"/>
      <c r="F297" s="642"/>
      <c r="G297" s="642"/>
      <c r="H297" s="531"/>
      <c r="I297" s="531"/>
      <c r="J297" s="531"/>
      <c r="K297" s="531"/>
      <c r="L297" s="531"/>
      <c r="M297" s="531"/>
      <c r="N297" s="531"/>
      <c r="O297" s="531"/>
      <c r="P297" s="531"/>
      <c r="Q297" s="531"/>
      <c r="R297" s="531"/>
      <c r="S297" s="531"/>
      <c r="T297" s="531"/>
      <c r="U297" s="531"/>
      <c r="V297" s="531"/>
      <c r="W297" s="648"/>
      <c r="X297" s="406"/>
    </row>
    <row r="298" spans="1:24" x14ac:dyDescent="0.3">
      <c r="A298" s="649"/>
      <c r="B298" s="649"/>
      <c r="C298" s="649"/>
      <c r="D298" s="649"/>
      <c r="E298" s="649"/>
      <c r="F298" s="649"/>
      <c r="G298" s="649"/>
      <c r="H298" s="649"/>
      <c r="I298" s="649"/>
      <c r="J298" s="649"/>
      <c r="K298" s="649"/>
      <c r="L298" s="649"/>
      <c r="M298" s="649"/>
      <c r="N298" s="649"/>
      <c r="O298" s="649"/>
      <c r="P298" s="649"/>
      <c r="Q298" s="649"/>
      <c r="R298" s="649"/>
      <c r="S298" s="649"/>
      <c r="T298" s="649"/>
      <c r="U298" s="649"/>
      <c r="V298" s="649"/>
      <c r="W298" s="649"/>
    </row>
  </sheetData>
  <hyperlinks>
    <hyperlink ref="P233" r:id="rId1" display="http://www.paragon-group.co.uk" xr:uid="{8574D3D9-E9FD-476D-BB29-5EAB50BF0162}"/>
    <hyperlink ref="I9" r:id="rId2" display="http://www.paragon-group.co.uk" xr:uid="{3BDB4529-D8E3-4F60-8924-76D97C120935}"/>
    <hyperlink ref="P295" r:id="rId3" display="http://www.paragon-group.co.uk" xr:uid="{D06A7F2F-5479-4E5F-A8BA-2D8566A86033}"/>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37" max="22" man="1"/>
    <brk id="197" max="22" man="1"/>
  </rowBreaks>
  <drawing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9C69B-1726-49AC-8DE3-E4BC60E2AB72}">
  <sheetPr>
    <tabColor rgb="FF2D2926"/>
  </sheetPr>
  <dimension ref="A1:Z301"/>
  <sheetViews>
    <sheetView showGridLines="0" showOutlineSymbols="0" zoomScale="70" zoomScaleNormal="70" workbookViewId="0">
      <selection activeCell="V173" sqref="V173"/>
    </sheetView>
  </sheetViews>
  <sheetFormatPr defaultColWidth="9.81640625" defaultRowHeight="15.6" x14ac:dyDescent="0.3"/>
  <cols>
    <col min="1" max="1" width="4" style="407" customWidth="1"/>
    <col min="2" max="2" width="71.08984375" style="407" customWidth="1"/>
    <col min="3" max="3" width="2.08984375" style="407" customWidth="1"/>
    <col min="4" max="4" width="19.1796875" style="407" customWidth="1"/>
    <col min="5" max="5" width="2.08984375" style="407" customWidth="1"/>
    <col min="6" max="6" width="25.08984375" style="407" customWidth="1"/>
    <col min="7" max="7" width="2.08984375" style="407" customWidth="1"/>
    <col min="8" max="8" width="16.08984375" style="407" customWidth="1"/>
    <col min="9" max="9" width="2.81640625" style="407" customWidth="1"/>
    <col min="10" max="10" width="16.08984375" style="407" customWidth="1"/>
    <col min="11" max="11" width="2.08984375" style="407" customWidth="1"/>
    <col min="12" max="12" width="17.81640625" style="407" customWidth="1"/>
    <col min="13" max="13" width="2.1796875" style="407" customWidth="1"/>
    <col min="14" max="14" width="14.81640625" style="407" customWidth="1"/>
    <col min="15" max="15" width="2.1796875" style="407" customWidth="1"/>
    <col min="16" max="16" width="15.54296875" style="407" customWidth="1"/>
    <col min="17" max="17" width="2.08984375" style="407" customWidth="1"/>
    <col min="18" max="18" width="15.54296875" style="407" customWidth="1"/>
    <col min="19" max="20" width="12.81640625" style="407" customWidth="1"/>
    <col min="21" max="21" width="7.81640625" style="407" customWidth="1"/>
    <col min="22" max="22" width="14.81640625" style="407" customWidth="1"/>
    <col min="23" max="23" width="11.81640625" style="407" customWidth="1"/>
    <col min="24" max="16384" width="9.81640625" style="407"/>
  </cols>
  <sheetData>
    <row r="1" spans="1:24" ht="21" x14ac:dyDescent="0.4">
      <c r="A1" s="402"/>
      <c r="B1" s="403" t="s">
        <v>238</v>
      </c>
      <c r="C1" s="404"/>
      <c r="D1" s="404"/>
      <c r="E1" s="404"/>
      <c r="F1" s="404"/>
      <c r="G1" s="404"/>
      <c r="H1" s="404"/>
      <c r="I1" s="404"/>
      <c r="J1" s="404"/>
      <c r="K1" s="404"/>
      <c r="L1" s="404"/>
      <c r="M1" s="404"/>
      <c r="N1" s="404"/>
      <c r="O1" s="404"/>
      <c r="P1" s="404"/>
      <c r="Q1" s="404"/>
      <c r="R1" s="404"/>
      <c r="S1" s="404"/>
      <c r="T1" s="404"/>
      <c r="U1" s="404"/>
      <c r="V1" s="404"/>
      <c r="W1" s="405"/>
      <c r="X1" s="406"/>
    </row>
    <row r="2" spans="1:24" x14ac:dyDescent="0.3">
      <c r="A2" s="408"/>
      <c r="B2" s="409"/>
      <c r="C2" s="410"/>
      <c r="D2" s="410"/>
      <c r="E2" s="410"/>
      <c r="F2" s="410"/>
      <c r="G2" s="410"/>
      <c r="H2" s="410"/>
      <c r="I2" s="410"/>
      <c r="J2" s="410"/>
      <c r="K2" s="410"/>
      <c r="L2" s="410"/>
      <c r="M2" s="410"/>
      <c r="N2" s="410"/>
      <c r="O2" s="410"/>
      <c r="P2" s="410"/>
      <c r="Q2" s="410"/>
      <c r="R2" s="410"/>
      <c r="S2" s="410"/>
      <c r="T2" s="410"/>
      <c r="U2" s="410"/>
      <c r="V2" s="410"/>
      <c r="W2" s="411"/>
      <c r="X2" s="406"/>
    </row>
    <row r="3" spans="1:24" x14ac:dyDescent="0.3">
      <c r="A3" s="412"/>
      <c r="B3" s="413" t="s">
        <v>239</v>
      </c>
      <c r="C3" s="410"/>
      <c r="D3" s="410"/>
      <c r="E3" s="410"/>
      <c r="F3" s="410"/>
      <c r="G3" s="410"/>
      <c r="H3" s="410"/>
      <c r="I3" s="410"/>
      <c r="J3" s="410"/>
      <c r="K3" s="410"/>
      <c r="L3" s="410"/>
      <c r="M3" s="410"/>
      <c r="N3" s="410"/>
      <c r="O3" s="410"/>
      <c r="P3" s="410"/>
      <c r="Q3" s="410"/>
      <c r="R3" s="410"/>
      <c r="S3" s="410"/>
      <c r="T3" s="410"/>
      <c r="U3" s="410"/>
      <c r="V3" s="410"/>
      <c r="W3" s="411"/>
      <c r="X3" s="406"/>
    </row>
    <row r="4" spans="1:24" x14ac:dyDescent="0.3">
      <c r="A4" s="408"/>
      <c r="B4" s="409"/>
      <c r="C4" s="410"/>
      <c r="D4" s="410"/>
      <c r="E4" s="410"/>
      <c r="F4" s="410"/>
      <c r="G4" s="410"/>
      <c r="H4" s="410"/>
      <c r="I4" s="410"/>
      <c r="J4" s="410"/>
      <c r="K4" s="410"/>
      <c r="L4" s="410"/>
      <c r="M4" s="410"/>
      <c r="N4" s="410"/>
      <c r="O4" s="410"/>
      <c r="P4" s="410"/>
      <c r="Q4" s="410"/>
      <c r="R4" s="410"/>
      <c r="S4" s="410"/>
      <c r="T4" s="410"/>
      <c r="U4" s="410"/>
      <c r="V4" s="410"/>
      <c r="W4" s="411"/>
      <c r="X4" s="406"/>
    </row>
    <row r="5" spans="1:24" x14ac:dyDescent="0.3">
      <c r="A5" s="408"/>
      <c r="B5" s="414" t="s">
        <v>140</v>
      </c>
      <c r="C5" s="410"/>
      <c r="D5" s="410"/>
      <c r="E5" s="410"/>
      <c r="F5" s="410"/>
      <c r="G5" s="410"/>
      <c r="H5" s="410"/>
      <c r="I5" s="410"/>
      <c r="J5" s="410"/>
      <c r="K5" s="410"/>
      <c r="L5" s="410"/>
      <c r="M5" s="410"/>
      <c r="N5" s="410"/>
      <c r="O5" s="410"/>
      <c r="P5" s="410"/>
      <c r="Q5" s="410"/>
      <c r="R5" s="410"/>
      <c r="S5" s="410"/>
      <c r="T5" s="410"/>
      <c r="U5" s="410"/>
      <c r="V5" s="410"/>
      <c r="W5" s="411"/>
      <c r="X5" s="406"/>
    </row>
    <row r="6" spans="1:24" x14ac:dyDescent="0.3">
      <c r="A6" s="408"/>
      <c r="B6" s="414" t="s">
        <v>142</v>
      </c>
      <c r="C6" s="410"/>
      <c r="D6" s="410"/>
      <c r="E6" s="410"/>
      <c r="F6" s="410"/>
      <c r="G6" s="410"/>
      <c r="H6" s="410"/>
      <c r="I6" s="410"/>
      <c r="J6" s="410"/>
      <c r="K6" s="410"/>
      <c r="L6" s="410"/>
      <c r="M6" s="410"/>
      <c r="N6" s="410"/>
      <c r="O6" s="410"/>
      <c r="P6" s="410"/>
      <c r="Q6" s="410"/>
      <c r="R6" s="410"/>
      <c r="S6" s="410"/>
      <c r="T6" s="410"/>
      <c r="U6" s="410"/>
      <c r="V6" s="410"/>
      <c r="W6" s="411"/>
      <c r="X6" s="406"/>
    </row>
    <row r="7" spans="1:24" x14ac:dyDescent="0.3">
      <c r="A7" s="408"/>
      <c r="B7" s="414" t="s">
        <v>141</v>
      </c>
      <c r="C7" s="410"/>
      <c r="D7" s="410"/>
      <c r="E7" s="410"/>
      <c r="F7" s="410"/>
      <c r="G7" s="410"/>
      <c r="H7" s="410"/>
      <c r="I7" s="410"/>
      <c r="J7" s="410"/>
      <c r="K7" s="410"/>
      <c r="L7" s="410"/>
      <c r="M7" s="410"/>
      <c r="N7" s="410"/>
      <c r="O7" s="410"/>
      <c r="P7" s="410"/>
      <c r="Q7" s="410"/>
      <c r="R7" s="410"/>
      <c r="S7" s="410"/>
      <c r="T7" s="410"/>
      <c r="U7" s="410"/>
      <c r="V7" s="410"/>
      <c r="W7" s="411"/>
      <c r="X7" s="406"/>
    </row>
    <row r="8" spans="1:24" x14ac:dyDescent="0.3">
      <c r="A8" s="408"/>
      <c r="B8" s="415"/>
      <c r="C8" s="410"/>
      <c r="D8" s="410"/>
      <c r="E8" s="410"/>
      <c r="F8" s="410"/>
      <c r="G8" s="410"/>
      <c r="H8" s="410"/>
      <c r="I8" s="410"/>
      <c r="J8" s="410"/>
      <c r="K8" s="410"/>
      <c r="L8" s="410"/>
      <c r="M8" s="410"/>
      <c r="N8" s="410"/>
      <c r="O8" s="410"/>
      <c r="P8" s="410"/>
      <c r="Q8" s="410"/>
      <c r="R8" s="410"/>
      <c r="S8" s="410"/>
      <c r="T8" s="410"/>
      <c r="U8" s="410"/>
      <c r="V8" s="410"/>
      <c r="W8" s="411"/>
      <c r="X8" s="406"/>
    </row>
    <row r="9" spans="1:24" ht="18" x14ac:dyDescent="0.35">
      <c r="A9" s="408"/>
      <c r="B9" s="413" t="s">
        <v>169</v>
      </c>
      <c r="C9" s="410"/>
      <c r="D9" s="410"/>
      <c r="E9" s="410"/>
      <c r="F9" s="410"/>
      <c r="G9" s="410"/>
      <c r="H9" s="410"/>
      <c r="I9" s="416" t="s">
        <v>370</v>
      </c>
      <c r="J9" s="410"/>
      <c r="K9" s="410"/>
      <c r="L9" s="417"/>
      <c r="M9" s="410"/>
      <c r="N9" s="418"/>
      <c r="O9" s="410"/>
      <c r="P9" s="410"/>
      <c r="Q9" s="410"/>
      <c r="R9" s="410"/>
      <c r="S9" s="410"/>
      <c r="T9" s="410"/>
      <c r="U9" s="410"/>
      <c r="V9" s="410"/>
      <c r="W9" s="411"/>
      <c r="X9" s="406"/>
    </row>
    <row r="10" spans="1:24" x14ac:dyDescent="0.3">
      <c r="A10" s="408"/>
      <c r="B10" s="415"/>
      <c r="C10" s="419"/>
      <c r="D10" s="419"/>
      <c r="E10" s="419"/>
      <c r="F10" s="410"/>
      <c r="G10" s="410"/>
      <c r="H10" s="410"/>
      <c r="I10" s="410"/>
      <c r="J10" s="410"/>
      <c r="K10" s="410"/>
      <c r="L10" s="410"/>
      <c r="M10" s="410"/>
      <c r="N10" s="410"/>
      <c r="O10" s="410"/>
      <c r="P10" s="410"/>
      <c r="Q10" s="410"/>
      <c r="R10" s="410"/>
      <c r="S10" s="410"/>
      <c r="T10" s="410"/>
      <c r="U10" s="410"/>
      <c r="V10" s="410"/>
      <c r="W10" s="411"/>
      <c r="X10" s="406"/>
    </row>
    <row r="11" spans="1:24" x14ac:dyDescent="0.3">
      <c r="A11" s="408"/>
      <c r="B11" s="420" t="s">
        <v>0</v>
      </c>
      <c r="C11" s="410"/>
      <c r="D11" s="410"/>
      <c r="E11" s="410"/>
      <c r="F11" s="410"/>
      <c r="G11" s="410"/>
      <c r="H11" s="410"/>
      <c r="I11" s="410"/>
      <c r="J11" s="410"/>
      <c r="K11" s="410"/>
      <c r="L11" s="410"/>
      <c r="M11" s="410"/>
      <c r="N11" s="410"/>
      <c r="O11" s="410"/>
      <c r="P11" s="410"/>
      <c r="Q11" s="410"/>
      <c r="R11" s="410"/>
      <c r="S11" s="410"/>
      <c r="T11" s="410"/>
      <c r="U11" s="410"/>
      <c r="V11" s="410"/>
      <c r="W11" s="411"/>
      <c r="X11" s="406"/>
    </row>
    <row r="12" spans="1:24" ht="16.2" thickBot="1" x14ac:dyDescent="0.35">
      <c r="A12" s="408"/>
      <c r="B12" s="419"/>
      <c r="C12" s="410"/>
      <c r="D12" s="410"/>
      <c r="E12" s="410"/>
      <c r="F12" s="410"/>
      <c r="G12" s="410"/>
      <c r="H12" s="410"/>
      <c r="I12" s="410"/>
      <c r="J12" s="410"/>
      <c r="K12" s="410"/>
      <c r="L12" s="410"/>
      <c r="M12" s="410"/>
      <c r="N12" s="410"/>
      <c r="O12" s="410"/>
      <c r="P12" s="410"/>
      <c r="Q12" s="410"/>
      <c r="R12" s="410"/>
      <c r="S12" s="410"/>
      <c r="T12" s="410"/>
      <c r="U12" s="410"/>
      <c r="V12" s="410"/>
      <c r="W12" s="411"/>
      <c r="X12" s="406"/>
    </row>
    <row r="13" spans="1:24" x14ac:dyDescent="0.3">
      <c r="A13" s="402"/>
      <c r="B13" s="404"/>
      <c r="C13" s="404"/>
      <c r="D13" s="404"/>
      <c r="E13" s="404"/>
      <c r="F13" s="404"/>
      <c r="G13" s="404"/>
      <c r="H13" s="404"/>
      <c r="I13" s="404"/>
      <c r="J13" s="404"/>
      <c r="K13" s="404"/>
      <c r="L13" s="404"/>
      <c r="M13" s="404"/>
      <c r="N13" s="404"/>
      <c r="O13" s="404"/>
      <c r="P13" s="404"/>
      <c r="Q13" s="404"/>
      <c r="R13" s="404"/>
      <c r="S13" s="404"/>
      <c r="T13" s="404"/>
      <c r="U13" s="404"/>
      <c r="V13" s="404"/>
      <c r="W13" s="405"/>
      <c r="X13" s="406"/>
    </row>
    <row r="14" spans="1:24" s="426" customFormat="1" x14ac:dyDescent="0.3">
      <c r="A14" s="421"/>
      <c r="B14" s="420" t="s">
        <v>1</v>
      </c>
      <c r="C14" s="422"/>
      <c r="D14" s="422"/>
      <c r="E14" s="422"/>
      <c r="F14" s="422"/>
      <c r="G14" s="422"/>
      <c r="H14" s="422"/>
      <c r="I14" s="422"/>
      <c r="J14" s="422"/>
      <c r="K14" s="422"/>
      <c r="L14" s="422"/>
      <c r="M14" s="422"/>
      <c r="N14" s="422"/>
      <c r="O14" s="422"/>
      <c r="P14" s="422"/>
      <c r="Q14" s="422"/>
      <c r="R14" s="422"/>
      <c r="S14" s="422"/>
      <c r="T14" s="422"/>
      <c r="U14" s="422"/>
      <c r="V14" s="423" t="s">
        <v>240</v>
      </c>
      <c r="W14" s="424"/>
      <c r="X14" s="425"/>
    </row>
    <row r="15" spans="1:24" s="426" customFormat="1" x14ac:dyDescent="0.3">
      <c r="A15" s="421"/>
      <c r="B15" s="420" t="s">
        <v>2</v>
      </c>
      <c r="C15" s="422"/>
      <c r="D15" s="422"/>
      <c r="E15" s="422"/>
      <c r="F15" s="422"/>
      <c r="G15" s="422"/>
      <c r="H15" s="427"/>
      <c r="I15" s="427"/>
      <c r="J15" s="427"/>
      <c r="K15" s="427"/>
      <c r="L15" s="427"/>
      <c r="M15" s="427"/>
      <c r="N15" s="427"/>
      <c r="O15" s="427"/>
      <c r="P15" s="427"/>
      <c r="Q15" s="427"/>
      <c r="R15" s="427" t="s">
        <v>105</v>
      </c>
      <c r="S15" s="428">
        <v>0.57609999999999995</v>
      </c>
      <c r="T15" s="429" t="s">
        <v>143</v>
      </c>
      <c r="U15" s="428">
        <v>0.4239</v>
      </c>
      <c r="V15" s="423"/>
      <c r="W15" s="424"/>
      <c r="X15" s="425"/>
    </row>
    <row r="16" spans="1:24" s="426" customFormat="1" x14ac:dyDescent="0.3">
      <c r="A16" s="421"/>
      <c r="B16" s="420" t="s">
        <v>3</v>
      </c>
      <c r="C16" s="422"/>
      <c r="D16" s="422"/>
      <c r="E16" s="422"/>
      <c r="F16" s="422"/>
      <c r="G16" s="422"/>
      <c r="H16" s="427"/>
      <c r="I16" s="427"/>
      <c r="J16" s="427"/>
      <c r="K16" s="427"/>
      <c r="L16" s="427"/>
      <c r="M16" s="427"/>
      <c r="N16" s="427"/>
      <c r="O16" s="427"/>
      <c r="P16" s="427"/>
      <c r="Q16" s="427"/>
      <c r="R16" s="427" t="s">
        <v>105</v>
      </c>
      <c r="S16" s="428">
        <v>0.68400000000000005</v>
      </c>
      <c r="T16" s="429" t="s">
        <v>143</v>
      </c>
      <c r="U16" s="428">
        <v>0.316</v>
      </c>
      <c r="V16" s="423"/>
      <c r="W16" s="424"/>
      <c r="X16" s="425"/>
    </row>
    <row r="17" spans="1:24" s="426" customFormat="1" x14ac:dyDescent="0.3">
      <c r="A17" s="421"/>
      <c r="B17" s="420" t="s">
        <v>4</v>
      </c>
      <c r="C17" s="422"/>
      <c r="D17" s="422"/>
      <c r="E17" s="422"/>
      <c r="F17" s="422"/>
      <c r="G17" s="422"/>
      <c r="H17" s="422"/>
      <c r="I17" s="422"/>
      <c r="J17" s="422"/>
      <c r="K17" s="422"/>
      <c r="L17" s="422"/>
      <c r="M17" s="422"/>
      <c r="N17" s="422"/>
      <c r="O17" s="422"/>
      <c r="P17" s="422"/>
      <c r="Q17" s="422"/>
      <c r="R17" s="422"/>
      <c r="S17" s="422"/>
      <c r="T17" s="422"/>
      <c r="U17" s="422"/>
      <c r="V17" s="430">
        <v>39016</v>
      </c>
      <c r="W17" s="424"/>
      <c r="X17" s="425"/>
    </row>
    <row r="18" spans="1:24" s="426" customFormat="1" x14ac:dyDescent="0.3">
      <c r="A18" s="421"/>
      <c r="B18" s="420" t="s">
        <v>5</v>
      </c>
      <c r="C18" s="422"/>
      <c r="D18" s="422"/>
      <c r="E18" s="422"/>
      <c r="F18" s="422"/>
      <c r="G18" s="422"/>
      <c r="H18" s="422"/>
      <c r="I18" s="422"/>
      <c r="J18" s="422"/>
      <c r="K18" s="422"/>
      <c r="L18" s="422"/>
      <c r="M18" s="422"/>
      <c r="N18" s="422"/>
      <c r="O18" s="422"/>
      <c r="P18" s="422"/>
      <c r="Q18" s="422"/>
      <c r="R18" s="422"/>
      <c r="S18" s="422"/>
      <c r="T18" s="422"/>
      <c r="U18" s="422"/>
      <c r="V18" s="430">
        <v>43754</v>
      </c>
      <c r="W18" s="424"/>
      <c r="X18" s="425"/>
    </row>
    <row r="19" spans="1:24" s="426" customFormat="1" x14ac:dyDescent="0.3">
      <c r="A19" s="421"/>
      <c r="B19" s="422"/>
      <c r="C19" s="422"/>
      <c r="D19" s="422"/>
      <c r="E19" s="422"/>
      <c r="F19" s="422"/>
      <c r="G19" s="422"/>
      <c r="H19" s="422"/>
      <c r="I19" s="422"/>
      <c r="J19" s="422"/>
      <c r="K19" s="422"/>
      <c r="L19" s="422"/>
      <c r="M19" s="422"/>
      <c r="N19" s="422"/>
      <c r="O19" s="422"/>
      <c r="P19" s="422"/>
      <c r="Q19" s="422"/>
      <c r="R19" s="422"/>
      <c r="S19" s="422"/>
      <c r="T19" s="422"/>
      <c r="U19" s="422"/>
      <c r="V19" s="431"/>
      <c r="W19" s="424"/>
      <c r="X19" s="425"/>
    </row>
    <row r="20" spans="1:24" s="426" customFormat="1" x14ac:dyDescent="0.3">
      <c r="A20" s="421"/>
      <c r="B20" s="432" t="s">
        <v>6</v>
      </c>
      <c r="C20" s="422"/>
      <c r="D20" s="422"/>
      <c r="E20" s="422"/>
      <c r="F20" s="422"/>
      <c r="G20" s="422"/>
      <c r="H20" s="422"/>
      <c r="I20" s="422"/>
      <c r="J20" s="422"/>
      <c r="K20" s="422"/>
      <c r="L20" s="422"/>
      <c r="M20" s="422"/>
      <c r="N20" s="422"/>
      <c r="O20" s="422"/>
      <c r="P20" s="422"/>
      <c r="Q20" s="422"/>
      <c r="R20" s="422"/>
      <c r="S20" s="422"/>
      <c r="T20" s="431" t="s">
        <v>106</v>
      </c>
      <c r="U20" s="422"/>
      <c r="V20" s="422"/>
      <c r="W20" s="424"/>
      <c r="X20" s="425"/>
    </row>
    <row r="21" spans="1:24" x14ac:dyDescent="0.3">
      <c r="A21" s="408"/>
      <c r="B21" s="410"/>
      <c r="C21" s="410"/>
      <c r="D21" s="410"/>
      <c r="E21" s="410"/>
      <c r="F21" s="410"/>
      <c r="G21" s="410"/>
      <c r="H21" s="410"/>
      <c r="I21" s="410"/>
      <c r="J21" s="410"/>
      <c r="K21" s="410"/>
      <c r="L21" s="410"/>
      <c r="M21" s="410"/>
      <c r="N21" s="410"/>
      <c r="O21" s="410"/>
      <c r="P21" s="410"/>
      <c r="Q21" s="410"/>
      <c r="R21" s="410"/>
      <c r="S21" s="410"/>
      <c r="T21" s="410"/>
      <c r="U21" s="410"/>
      <c r="V21" s="433"/>
      <c r="W21" s="411"/>
      <c r="X21" s="406"/>
    </row>
    <row r="22" spans="1:24" x14ac:dyDescent="0.3">
      <c r="A22" s="434"/>
      <c r="B22" s="435"/>
      <c r="C22" s="436"/>
      <c r="D22" s="436" t="s">
        <v>180</v>
      </c>
      <c r="E22" s="436"/>
      <c r="F22" s="436" t="s">
        <v>181</v>
      </c>
      <c r="G22" s="436"/>
      <c r="H22" s="436" t="s">
        <v>182</v>
      </c>
      <c r="I22" s="436"/>
      <c r="J22" s="436" t="s">
        <v>223</v>
      </c>
      <c r="K22" s="436"/>
      <c r="L22" s="436" t="s">
        <v>183</v>
      </c>
      <c r="M22" s="436"/>
      <c r="N22" s="436" t="s">
        <v>184</v>
      </c>
      <c r="O22" s="436"/>
      <c r="P22" s="436" t="s">
        <v>224</v>
      </c>
      <c r="Q22" s="436"/>
      <c r="R22" s="436" t="s">
        <v>185</v>
      </c>
      <c r="S22" s="437"/>
      <c r="T22" s="437"/>
      <c r="U22" s="435"/>
      <c r="V22" s="435"/>
      <c r="W22" s="438"/>
      <c r="X22" s="406"/>
    </row>
    <row r="23" spans="1:24" s="426" customFormat="1" x14ac:dyDescent="0.3">
      <c r="A23" s="439"/>
      <c r="B23" s="440" t="s">
        <v>7</v>
      </c>
      <c r="C23" s="441"/>
      <c r="D23" s="441" t="s">
        <v>216</v>
      </c>
      <c r="E23" s="441"/>
      <c r="F23" s="441" t="s">
        <v>144</v>
      </c>
      <c r="G23" s="441"/>
      <c r="H23" s="441" t="s">
        <v>144</v>
      </c>
      <c r="I23" s="441"/>
      <c r="J23" s="441" t="s">
        <v>144</v>
      </c>
      <c r="K23" s="441"/>
      <c r="L23" s="441" t="s">
        <v>186</v>
      </c>
      <c r="M23" s="441"/>
      <c r="N23" s="441" t="s">
        <v>186</v>
      </c>
      <c r="O23" s="441"/>
      <c r="P23" s="441" t="s">
        <v>145</v>
      </c>
      <c r="Q23" s="441"/>
      <c r="R23" s="441" t="s">
        <v>145</v>
      </c>
      <c r="S23" s="441"/>
      <c r="T23" s="441"/>
      <c r="U23" s="440"/>
      <c r="V23" s="440"/>
      <c r="W23" s="442"/>
      <c r="X23" s="425"/>
    </row>
    <row r="24" spans="1:24" s="426" customFormat="1" x14ac:dyDescent="0.3">
      <c r="A24" s="443"/>
      <c r="B24" s="444" t="s">
        <v>8</v>
      </c>
      <c r="C24" s="445"/>
      <c r="D24" s="445" t="s">
        <v>217</v>
      </c>
      <c r="E24" s="445"/>
      <c r="F24" s="445" t="s">
        <v>146</v>
      </c>
      <c r="G24" s="445"/>
      <c r="H24" s="445" t="s">
        <v>146</v>
      </c>
      <c r="I24" s="445"/>
      <c r="J24" s="445" t="s">
        <v>146</v>
      </c>
      <c r="K24" s="445"/>
      <c r="L24" s="445" t="s">
        <v>168</v>
      </c>
      <c r="M24" s="445"/>
      <c r="N24" s="445" t="s">
        <v>168</v>
      </c>
      <c r="O24" s="445"/>
      <c r="P24" s="445" t="s">
        <v>147</v>
      </c>
      <c r="Q24" s="445"/>
      <c r="R24" s="445" t="s">
        <v>147</v>
      </c>
      <c r="S24" s="445"/>
      <c r="T24" s="445"/>
      <c r="U24" s="444"/>
      <c r="V24" s="444"/>
      <c r="W24" s="446"/>
      <c r="X24" s="425"/>
    </row>
    <row r="25" spans="1:24" s="426" customFormat="1" x14ac:dyDescent="0.3">
      <c r="A25" s="447"/>
      <c r="B25" s="444" t="s">
        <v>193</v>
      </c>
      <c r="C25" s="448"/>
      <c r="D25" s="445" t="s">
        <v>218</v>
      </c>
      <c r="E25" s="445"/>
      <c r="F25" s="445" t="s">
        <v>146</v>
      </c>
      <c r="G25" s="445"/>
      <c r="H25" s="445" t="s">
        <v>146</v>
      </c>
      <c r="I25" s="445"/>
      <c r="J25" s="445" t="s">
        <v>146</v>
      </c>
      <c r="K25" s="445"/>
      <c r="L25" s="445" t="s">
        <v>168</v>
      </c>
      <c r="M25" s="445"/>
      <c r="N25" s="445" t="s">
        <v>168</v>
      </c>
      <c r="O25" s="445"/>
      <c r="P25" s="445" t="s">
        <v>147</v>
      </c>
      <c r="Q25" s="445"/>
      <c r="R25" s="445" t="s">
        <v>147</v>
      </c>
      <c r="S25" s="448"/>
      <c r="T25" s="445"/>
      <c r="U25" s="444"/>
      <c r="V25" s="444"/>
      <c r="W25" s="446"/>
      <c r="X25" s="425"/>
    </row>
    <row r="26" spans="1:24" s="426" customFormat="1" x14ac:dyDescent="0.3">
      <c r="A26" s="447"/>
      <c r="B26" s="449" t="s">
        <v>9</v>
      </c>
      <c r="C26" s="448"/>
      <c r="D26" s="448" t="s">
        <v>144</v>
      </c>
      <c r="E26" s="448"/>
      <c r="F26" s="448" t="s">
        <v>144</v>
      </c>
      <c r="G26" s="448"/>
      <c r="H26" s="448" t="s">
        <v>144</v>
      </c>
      <c r="I26" s="448"/>
      <c r="J26" s="448" t="s">
        <v>144</v>
      </c>
      <c r="K26" s="448"/>
      <c r="L26" s="448" t="s">
        <v>186</v>
      </c>
      <c r="M26" s="448"/>
      <c r="N26" s="448" t="s">
        <v>186</v>
      </c>
      <c r="O26" s="448"/>
      <c r="P26" s="448" t="s">
        <v>145</v>
      </c>
      <c r="Q26" s="448"/>
      <c r="R26" s="448" t="s">
        <v>145</v>
      </c>
      <c r="S26" s="448"/>
      <c r="T26" s="445"/>
      <c r="U26" s="444"/>
      <c r="V26" s="444"/>
      <c r="W26" s="446"/>
      <c r="X26" s="425"/>
    </row>
    <row r="27" spans="1:24" s="426" customFormat="1" x14ac:dyDescent="0.3">
      <c r="A27" s="443"/>
      <c r="B27" s="449" t="s">
        <v>194</v>
      </c>
      <c r="C27" s="445"/>
      <c r="D27" s="448" t="s">
        <v>168</v>
      </c>
      <c r="E27" s="448"/>
      <c r="F27" s="448" t="s">
        <v>168</v>
      </c>
      <c r="G27" s="448"/>
      <c r="H27" s="448" t="s">
        <v>168</v>
      </c>
      <c r="I27" s="448"/>
      <c r="J27" s="448" t="s">
        <v>168</v>
      </c>
      <c r="K27" s="448"/>
      <c r="L27" s="448" t="s">
        <v>168</v>
      </c>
      <c r="M27" s="448"/>
      <c r="N27" s="448" t="s">
        <v>168</v>
      </c>
      <c r="O27" s="448"/>
      <c r="P27" s="448" t="s">
        <v>360</v>
      </c>
      <c r="Q27" s="448"/>
      <c r="R27" s="448" t="s">
        <v>360</v>
      </c>
      <c r="S27" s="445"/>
      <c r="T27" s="450"/>
      <c r="U27" s="444"/>
      <c r="V27" s="444"/>
      <c r="W27" s="446"/>
      <c r="X27" s="425"/>
    </row>
    <row r="28" spans="1:24" s="426" customFormat="1" x14ac:dyDescent="0.3">
      <c r="A28" s="443"/>
      <c r="B28" s="449" t="s">
        <v>195</v>
      </c>
      <c r="C28" s="445"/>
      <c r="D28" s="448" t="s">
        <v>146</v>
      </c>
      <c r="E28" s="448"/>
      <c r="F28" s="448" t="s">
        <v>146</v>
      </c>
      <c r="G28" s="448"/>
      <c r="H28" s="448" t="s">
        <v>146</v>
      </c>
      <c r="I28" s="448"/>
      <c r="J28" s="448" t="s">
        <v>146</v>
      </c>
      <c r="K28" s="448"/>
      <c r="L28" s="448" t="s">
        <v>146</v>
      </c>
      <c r="M28" s="448"/>
      <c r="N28" s="448" t="s">
        <v>146</v>
      </c>
      <c r="O28" s="448"/>
      <c r="P28" s="448" t="s">
        <v>147</v>
      </c>
      <c r="Q28" s="448"/>
      <c r="R28" s="448" t="s">
        <v>147</v>
      </c>
      <c r="S28" s="445"/>
      <c r="T28" s="450"/>
      <c r="U28" s="444"/>
      <c r="V28" s="444"/>
      <c r="W28" s="446"/>
      <c r="X28" s="425"/>
    </row>
    <row r="29" spans="1:24" s="426" customFormat="1" x14ac:dyDescent="0.3">
      <c r="A29" s="443"/>
      <c r="B29" s="444" t="s">
        <v>10</v>
      </c>
      <c r="C29" s="451"/>
      <c r="D29" s="445" t="s">
        <v>348</v>
      </c>
      <c r="E29" s="445"/>
      <c r="F29" s="450" t="s">
        <v>242</v>
      </c>
      <c r="G29" s="445"/>
      <c r="H29" s="445" t="s">
        <v>243</v>
      </c>
      <c r="I29" s="445"/>
      <c r="J29" s="445" t="s">
        <v>245</v>
      </c>
      <c r="K29" s="445"/>
      <c r="L29" s="445" t="s">
        <v>246</v>
      </c>
      <c r="M29" s="445"/>
      <c r="N29" s="445" t="s">
        <v>247</v>
      </c>
      <c r="O29" s="445"/>
      <c r="P29" s="445" t="s">
        <v>248</v>
      </c>
      <c r="Q29" s="445"/>
      <c r="R29" s="445" t="s">
        <v>249</v>
      </c>
      <c r="S29" s="452"/>
      <c r="T29" s="452"/>
      <c r="U29" s="451"/>
      <c r="V29" s="452"/>
      <c r="W29" s="453"/>
      <c r="X29" s="425"/>
    </row>
    <row r="30" spans="1:24" s="426" customFormat="1" x14ac:dyDescent="0.3">
      <c r="A30" s="443"/>
      <c r="B30" s="444" t="s">
        <v>10</v>
      </c>
      <c r="C30" s="451"/>
      <c r="D30" s="445" t="s">
        <v>241</v>
      </c>
      <c r="E30" s="445"/>
      <c r="F30" s="450" t="s">
        <v>121</v>
      </c>
      <c r="G30" s="445"/>
      <c r="H30" s="445" t="s">
        <v>121</v>
      </c>
      <c r="I30" s="445"/>
      <c r="J30" s="445" t="s">
        <v>244</v>
      </c>
      <c r="K30" s="445"/>
      <c r="L30" s="445" t="s">
        <v>121</v>
      </c>
      <c r="M30" s="445"/>
      <c r="N30" s="445" t="s">
        <v>121</v>
      </c>
      <c r="O30" s="445"/>
      <c r="P30" s="445" t="s">
        <v>121</v>
      </c>
      <c r="Q30" s="445"/>
      <c r="R30" s="445" t="s">
        <v>121</v>
      </c>
      <c r="S30" s="452"/>
      <c r="T30" s="452"/>
      <c r="U30" s="451"/>
      <c r="V30" s="452"/>
      <c r="W30" s="453"/>
      <c r="X30" s="425"/>
    </row>
    <row r="31" spans="1:24" s="426" customFormat="1" x14ac:dyDescent="0.3">
      <c r="A31" s="447"/>
      <c r="B31" s="444" t="s">
        <v>136</v>
      </c>
      <c r="C31" s="454"/>
      <c r="D31" s="455">
        <v>1500000</v>
      </c>
      <c r="E31" s="451"/>
      <c r="F31" s="452">
        <v>125000</v>
      </c>
      <c r="G31" s="452"/>
      <c r="H31" s="456">
        <v>315000</v>
      </c>
      <c r="I31" s="456"/>
      <c r="J31" s="455">
        <v>350000</v>
      </c>
      <c r="K31" s="452"/>
      <c r="L31" s="452">
        <v>56000</v>
      </c>
      <c r="M31" s="452"/>
      <c r="N31" s="456">
        <v>84000</v>
      </c>
      <c r="O31" s="452"/>
      <c r="P31" s="452">
        <v>13000</v>
      </c>
      <c r="Q31" s="452"/>
      <c r="R31" s="456">
        <v>81000</v>
      </c>
      <c r="S31" s="457"/>
      <c r="T31" s="457"/>
      <c r="U31" s="454"/>
      <c r="V31" s="457"/>
      <c r="W31" s="453"/>
      <c r="X31" s="425"/>
    </row>
    <row r="32" spans="1:24" s="426" customFormat="1" x14ac:dyDescent="0.3">
      <c r="A32" s="443"/>
      <c r="B32" s="444" t="s">
        <v>135</v>
      </c>
      <c r="C32" s="451"/>
      <c r="D32" s="458">
        <f>D34*D38</f>
        <v>326876.7488304</v>
      </c>
      <c r="E32" s="451"/>
      <c r="F32" s="452">
        <f>F31*F38</f>
        <v>51210.924999999996</v>
      </c>
      <c r="G32" s="452"/>
      <c r="H32" s="456">
        <f>H31*H38</f>
        <v>129051.53099999999</v>
      </c>
      <c r="I32" s="456"/>
      <c r="J32" s="455">
        <f>J31*J38</f>
        <v>143389.68</v>
      </c>
      <c r="K32" s="452"/>
      <c r="L32" s="452">
        <f>L31*L38</f>
        <v>53225.558400000002</v>
      </c>
      <c r="M32" s="452"/>
      <c r="N32" s="456">
        <f>N31*N38</f>
        <v>79838.337599999999</v>
      </c>
      <c r="O32" s="452"/>
      <c r="P32" s="452">
        <f>P31*P38</f>
        <v>12355.933199999999</v>
      </c>
      <c r="Q32" s="452"/>
      <c r="R32" s="456">
        <f>R31*R38</f>
        <v>76986.968399999998</v>
      </c>
      <c r="S32" s="452"/>
      <c r="T32" s="452"/>
      <c r="U32" s="451"/>
      <c r="V32" s="452"/>
      <c r="W32" s="453"/>
      <c r="X32" s="425"/>
    </row>
    <row r="33" spans="1:24" s="426" customFormat="1" x14ac:dyDescent="0.3">
      <c r="A33" s="443"/>
      <c r="B33" s="449" t="s">
        <v>137</v>
      </c>
      <c r="C33" s="451"/>
      <c r="D33" s="459">
        <f>D34*D37</f>
        <v>320432.8951968</v>
      </c>
      <c r="E33" s="454"/>
      <c r="F33" s="457">
        <f>F37*F31</f>
        <v>50201.375</v>
      </c>
      <c r="G33" s="457"/>
      <c r="H33" s="460">
        <f>H31*H37</f>
        <v>126507.465</v>
      </c>
      <c r="I33" s="460"/>
      <c r="J33" s="461">
        <f>J37*J31</f>
        <v>140562.94</v>
      </c>
      <c r="K33" s="457"/>
      <c r="L33" s="457">
        <f>L31*L37</f>
        <v>52176.297599999998</v>
      </c>
      <c r="M33" s="457"/>
      <c r="N33" s="460">
        <f>N31*N37</f>
        <v>78264.446400000001</v>
      </c>
      <c r="O33" s="457"/>
      <c r="P33" s="457">
        <f>P31*P37</f>
        <v>12112.354799999999</v>
      </c>
      <c r="Q33" s="457"/>
      <c r="R33" s="460">
        <f>R31*R37</f>
        <v>75469.287599999996</v>
      </c>
      <c r="S33" s="452"/>
      <c r="T33" s="452"/>
      <c r="U33" s="451"/>
      <c r="V33" s="452"/>
      <c r="W33" s="453"/>
      <c r="X33" s="425"/>
    </row>
    <row r="34" spans="1:24" s="426" customFormat="1" x14ac:dyDescent="0.3">
      <c r="A34" s="447"/>
      <c r="B34" s="444" t="s">
        <v>298</v>
      </c>
      <c r="C34" s="454"/>
      <c r="D34" s="452">
        <v>797872</v>
      </c>
      <c r="E34" s="451"/>
      <c r="F34" s="452">
        <v>125000</v>
      </c>
      <c r="G34" s="452"/>
      <c r="H34" s="452">
        <v>211409</v>
      </c>
      <c r="I34" s="452"/>
      <c r="J34" s="452">
        <v>186170</v>
      </c>
      <c r="K34" s="452"/>
      <c r="L34" s="452">
        <v>56000</v>
      </c>
      <c r="M34" s="452"/>
      <c r="N34" s="452">
        <v>56376</v>
      </c>
      <c r="O34" s="452"/>
      <c r="P34" s="452">
        <v>13000</v>
      </c>
      <c r="Q34" s="452"/>
      <c r="R34" s="452">
        <v>54363</v>
      </c>
      <c r="S34" s="457"/>
      <c r="T34" s="457"/>
      <c r="U34" s="454"/>
      <c r="V34" s="452">
        <f>SUM(C34:R34)</f>
        <v>1500190</v>
      </c>
      <c r="W34" s="453"/>
      <c r="X34" s="425"/>
    </row>
    <row r="35" spans="1:24" s="426" customFormat="1" x14ac:dyDescent="0.3">
      <c r="A35" s="447"/>
      <c r="B35" s="444" t="s">
        <v>299</v>
      </c>
      <c r="C35" s="454"/>
      <c r="D35" s="452">
        <f>D34*D38</f>
        <v>326876.7488304</v>
      </c>
      <c r="E35" s="451"/>
      <c r="F35" s="452">
        <f>F34*F38</f>
        <v>51210.924999999996</v>
      </c>
      <c r="G35" s="452"/>
      <c r="H35" s="452">
        <f>H34*H38</f>
        <v>86611.603546599988</v>
      </c>
      <c r="I35" s="452"/>
      <c r="J35" s="452">
        <f>J34*J38</f>
        <v>76271.019216000001</v>
      </c>
      <c r="K35" s="452"/>
      <c r="L35" s="452">
        <f>L34*L38</f>
        <v>53225.558400000002</v>
      </c>
      <c r="M35" s="452"/>
      <c r="N35" s="452">
        <f>N34*N38</f>
        <v>53582.930006399998</v>
      </c>
      <c r="O35" s="452"/>
      <c r="P35" s="452">
        <f>P34*P38</f>
        <v>12355.933199999999</v>
      </c>
      <c r="Q35" s="452"/>
      <c r="R35" s="452">
        <f>R34*R38</f>
        <v>51669.661273199999</v>
      </c>
      <c r="S35" s="452"/>
      <c r="T35" s="452"/>
      <c r="U35" s="451"/>
      <c r="V35" s="452">
        <f>SUM(C35:R35)+1</f>
        <v>711805.37947259983</v>
      </c>
      <c r="W35" s="453"/>
      <c r="X35" s="425"/>
    </row>
    <row r="36" spans="1:24" s="426" customFormat="1" x14ac:dyDescent="0.3">
      <c r="A36" s="447"/>
      <c r="B36" s="449" t="s">
        <v>304</v>
      </c>
      <c r="C36" s="454"/>
      <c r="D36" s="457">
        <f>D34*D37</f>
        <v>320432.8951968</v>
      </c>
      <c r="E36" s="454"/>
      <c r="F36" s="457">
        <f>F34*F37</f>
        <v>50201.375</v>
      </c>
      <c r="G36" s="457"/>
      <c r="H36" s="457">
        <f>H34*H37</f>
        <v>84904.179898999995</v>
      </c>
      <c r="I36" s="457"/>
      <c r="J36" s="457">
        <f>J34*J37</f>
        <v>74767.435828000001</v>
      </c>
      <c r="K36" s="457"/>
      <c r="L36" s="457">
        <f>L34*L37</f>
        <v>52176.297599999998</v>
      </c>
      <c r="M36" s="457"/>
      <c r="N36" s="457">
        <f>N34*N37</f>
        <v>52526.6241696</v>
      </c>
      <c r="O36" s="457"/>
      <c r="P36" s="457">
        <f>P34*P37</f>
        <v>12112.354799999999</v>
      </c>
      <c r="Q36" s="457"/>
      <c r="R36" s="457">
        <f>R34*R37</f>
        <v>50651.072614799996</v>
      </c>
      <c r="S36" s="462"/>
      <c r="T36" s="462"/>
      <c r="U36" s="451"/>
      <c r="V36" s="457">
        <f>SUM(C36:R36)+1</f>
        <v>697773.23510819988</v>
      </c>
      <c r="W36" s="453"/>
      <c r="X36" s="425"/>
    </row>
    <row r="37" spans="1:24" s="473" customFormat="1" x14ac:dyDescent="0.3">
      <c r="A37" s="463"/>
      <c r="B37" s="464" t="s">
        <v>133</v>
      </c>
      <c r="C37" s="465"/>
      <c r="D37" s="466">
        <v>0.40160940000000001</v>
      </c>
      <c r="E37" s="467"/>
      <c r="F37" s="466">
        <v>0.401611</v>
      </c>
      <c r="G37" s="468"/>
      <c r="H37" s="466">
        <v>0.401611</v>
      </c>
      <c r="I37" s="468"/>
      <c r="J37" s="466">
        <v>0.40160839999999998</v>
      </c>
      <c r="K37" s="468"/>
      <c r="L37" s="466">
        <v>0.93171959999999998</v>
      </c>
      <c r="M37" s="468"/>
      <c r="N37" s="466">
        <v>0.93171959999999998</v>
      </c>
      <c r="O37" s="468"/>
      <c r="P37" s="466">
        <v>0.93171959999999998</v>
      </c>
      <c r="Q37" s="468"/>
      <c r="R37" s="466">
        <v>0.93171959999999998</v>
      </c>
      <c r="S37" s="469"/>
      <c r="T37" s="469"/>
      <c r="U37" s="470"/>
      <c r="V37" s="470"/>
      <c r="W37" s="471"/>
      <c r="X37" s="472"/>
    </row>
    <row r="38" spans="1:24" s="473" customFormat="1" x14ac:dyDescent="0.3">
      <c r="A38" s="463"/>
      <c r="B38" s="465" t="s">
        <v>134</v>
      </c>
      <c r="C38" s="465"/>
      <c r="D38" s="474">
        <v>0.40968569999999999</v>
      </c>
      <c r="E38" s="475"/>
      <c r="F38" s="474">
        <v>0.40968739999999998</v>
      </c>
      <c r="G38" s="476"/>
      <c r="H38" s="474">
        <v>0.40968739999999998</v>
      </c>
      <c r="I38" s="476"/>
      <c r="J38" s="474">
        <v>0.40968480000000002</v>
      </c>
      <c r="K38" s="476"/>
      <c r="L38" s="474">
        <v>0.95045639999999998</v>
      </c>
      <c r="M38" s="476"/>
      <c r="N38" s="474">
        <v>0.95045639999999998</v>
      </c>
      <c r="O38" s="476"/>
      <c r="P38" s="474">
        <v>0.95045639999999998</v>
      </c>
      <c r="Q38" s="476"/>
      <c r="R38" s="474">
        <v>0.95045639999999998</v>
      </c>
      <c r="S38" s="477"/>
      <c r="T38" s="478"/>
      <c r="U38" s="470"/>
      <c r="V38" s="477"/>
      <c r="W38" s="471"/>
      <c r="X38" s="472"/>
    </row>
    <row r="39" spans="1:24" s="426" customFormat="1" x14ac:dyDescent="0.3">
      <c r="A39" s="443"/>
      <c r="B39" s="444" t="s">
        <v>11</v>
      </c>
      <c r="C39" s="444"/>
      <c r="D39" s="450" t="s">
        <v>226</v>
      </c>
      <c r="E39" s="444"/>
      <c r="F39" s="450" t="s">
        <v>226</v>
      </c>
      <c r="G39" s="450"/>
      <c r="H39" s="450" t="s">
        <v>226</v>
      </c>
      <c r="I39" s="450"/>
      <c r="J39" s="450" t="s">
        <v>256</v>
      </c>
      <c r="K39" s="450"/>
      <c r="L39" s="450" t="s">
        <v>254</v>
      </c>
      <c r="M39" s="450"/>
      <c r="N39" s="450" t="s">
        <v>257</v>
      </c>
      <c r="O39" s="450"/>
      <c r="P39" s="450" t="s">
        <v>258</v>
      </c>
      <c r="Q39" s="450"/>
      <c r="R39" s="450" t="s">
        <v>259</v>
      </c>
      <c r="S39" s="479"/>
      <c r="T39" s="480"/>
      <c r="U39" s="444"/>
      <c r="V39" s="444"/>
      <c r="W39" s="446"/>
      <c r="X39" s="425"/>
    </row>
    <row r="40" spans="1:24" s="426" customFormat="1" x14ac:dyDescent="0.3">
      <c r="A40" s="443"/>
      <c r="B40" s="444" t="s">
        <v>12</v>
      </c>
      <c r="C40" s="444"/>
      <c r="D40" s="480">
        <v>1.00713E-2</v>
      </c>
      <c r="E40" s="444"/>
      <c r="F40" s="480">
        <v>1.00713E-2</v>
      </c>
      <c r="G40" s="479"/>
      <c r="H40" s="480">
        <v>0</v>
      </c>
      <c r="I40" s="480"/>
      <c r="J40" s="480">
        <v>2.48338E-2</v>
      </c>
      <c r="K40" s="479"/>
      <c r="L40" s="480">
        <v>1.1671300000000001E-2</v>
      </c>
      <c r="M40" s="479"/>
      <c r="N40" s="480">
        <v>1.6000000000000001E-4</v>
      </c>
      <c r="O40" s="479"/>
      <c r="P40" s="480">
        <v>1.5671299999999999E-2</v>
      </c>
      <c r="Q40" s="479"/>
      <c r="R40" s="480">
        <v>4.1599999999999996E-3</v>
      </c>
      <c r="S40" s="479"/>
      <c r="T40" s="480"/>
      <c r="U40" s="444"/>
      <c r="V40" s="450"/>
      <c r="W40" s="446"/>
      <c r="X40" s="425"/>
    </row>
    <row r="41" spans="1:24" s="426" customFormat="1" x14ac:dyDescent="0.3">
      <c r="A41" s="443"/>
      <c r="B41" s="444" t="s">
        <v>13</v>
      </c>
      <c r="C41" s="444"/>
      <c r="D41" s="480">
        <v>1.06088E-2</v>
      </c>
      <c r="E41" s="444"/>
      <c r="F41" s="480">
        <v>1.06088E-2</v>
      </c>
      <c r="G41" s="479"/>
      <c r="H41" s="480">
        <v>0</v>
      </c>
      <c r="I41" s="480"/>
      <c r="J41" s="480">
        <v>2.7767500000000001E-2</v>
      </c>
      <c r="K41" s="479"/>
      <c r="L41" s="480">
        <v>1.2208800000000001E-2</v>
      </c>
      <c r="M41" s="479"/>
      <c r="N41" s="480">
        <v>6.9999999999999999E-4</v>
      </c>
      <c r="O41" s="479"/>
      <c r="P41" s="480">
        <v>1.6208799999999999E-2</v>
      </c>
      <c r="Q41" s="479"/>
      <c r="R41" s="480">
        <v>4.7000000000000002E-3</v>
      </c>
      <c r="S41" s="479"/>
      <c r="T41" s="480"/>
      <c r="U41" s="444"/>
      <c r="V41" s="479" t="s">
        <v>196</v>
      </c>
      <c r="W41" s="446"/>
      <c r="X41" s="425"/>
    </row>
    <row r="42" spans="1:24" s="426" customFormat="1" x14ac:dyDescent="0.3">
      <c r="A42" s="443"/>
      <c r="B42" s="444" t="s">
        <v>300</v>
      </c>
      <c r="C42" s="444"/>
      <c r="D42" s="450" t="s">
        <v>226</v>
      </c>
      <c r="E42" s="444"/>
      <c r="F42" s="450" t="s">
        <v>226</v>
      </c>
      <c r="G42" s="450"/>
      <c r="H42" s="450" t="s">
        <v>227</v>
      </c>
      <c r="I42" s="450"/>
      <c r="J42" s="450" t="s">
        <v>237</v>
      </c>
      <c r="K42" s="450"/>
      <c r="L42" s="450" t="s">
        <v>254</v>
      </c>
      <c r="M42" s="450"/>
      <c r="N42" s="450" t="s">
        <v>260</v>
      </c>
      <c r="O42" s="450"/>
      <c r="P42" s="450" t="s">
        <v>258</v>
      </c>
      <c r="Q42" s="450"/>
      <c r="R42" s="450" t="s">
        <v>261</v>
      </c>
      <c r="S42" s="479"/>
      <c r="T42" s="480"/>
      <c r="U42" s="444"/>
      <c r="V42" s="444"/>
      <c r="W42" s="446"/>
      <c r="X42" s="425"/>
    </row>
    <row r="43" spans="1:24" s="426" customFormat="1" x14ac:dyDescent="0.3">
      <c r="A43" s="443"/>
      <c r="B43" s="444" t="s">
        <v>301</v>
      </c>
      <c r="C43" s="481"/>
      <c r="D43" s="480">
        <f>+D40</f>
        <v>1.00713E-2</v>
      </c>
      <c r="E43" s="480"/>
      <c r="F43" s="480">
        <f>+F40</f>
        <v>1.00713E-2</v>
      </c>
      <c r="G43" s="480"/>
      <c r="H43" s="480">
        <v>1.0315299999999999E-2</v>
      </c>
      <c r="I43" s="480"/>
      <c r="J43" s="480">
        <v>1.01513E-2</v>
      </c>
      <c r="K43" s="480"/>
      <c r="L43" s="480">
        <f>+L40</f>
        <v>1.1671300000000001E-2</v>
      </c>
      <c r="M43" s="480"/>
      <c r="N43" s="480">
        <v>1.18513E-2</v>
      </c>
      <c r="O43" s="480"/>
      <c r="P43" s="480">
        <f>+P40</f>
        <v>1.5671299999999999E-2</v>
      </c>
      <c r="Q43" s="479"/>
      <c r="R43" s="480">
        <v>1.60713E-2</v>
      </c>
      <c r="S43" s="450"/>
      <c r="T43" s="450"/>
      <c r="U43" s="444"/>
      <c r="V43" s="479">
        <f>SUMPRODUCT(D43:R43,D35:R35)/V35</f>
        <v>1.0895927855929036E-2</v>
      </c>
      <c r="W43" s="446"/>
      <c r="X43" s="425"/>
    </row>
    <row r="44" spans="1:24" s="426" customFormat="1" x14ac:dyDescent="0.3">
      <c r="A44" s="443"/>
      <c r="B44" s="444" t="s">
        <v>302</v>
      </c>
      <c r="C44" s="481"/>
      <c r="D44" s="480">
        <f>+D41</f>
        <v>1.06088E-2</v>
      </c>
      <c r="E44" s="480"/>
      <c r="F44" s="480">
        <f>+F41</f>
        <v>1.06088E-2</v>
      </c>
      <c r="G44" s="480"/>
      <c r="H44" s="480">
        <v>1.0852799999999999E-2</v>
      </c>
      <c r="I44" s="480"/>
      <c r="J44" s="480">
        <v>1.06888E-2</v>
      </c>
      <c r="K44" s="480"/>
      <c r="L44" s="480">
        <f>+L41</f>
        <v>1.2208800000000001E-2</v>
      </c>
      <c r="M44" s="480"/>
      <c r="N44" s="480">
        <v>1.23888E-2</v>
      </c>
      <c r="O44" s="480"/>
      <c r="P44" s="480">
        <f>+P41</f>
        <v>1.6208799999999999E-2</v>
      </c>
      <c r="Q44" s="479"/>
      <c r="R44" s="480">
        <v>1.66088E-2</v>
      </c>
      <c r="S44" s="450"/>
      <c r="T44" s="450"/>
      <c r="U44" s="444"/>
      <c r="V44" s="444"/>
      <c r="W44" s="446"/>
      <c r="X44" s="425"/>
    </row>
    <row r="45" spans="1:24" s="426" customFormat="1" x14ac:dyDescent="0.3">
      <c r="A45" s="443"/>
      <c r="B45" s="444" t="s">
        <v>14</v>
      </c>
      <c r="C45" s="444"/>
      <c r="D45" s="481">
        <v>40466</v>
      </c>
      <c r="E45" s="481"/>
      <c r="F45" s="481">
        <v>40466</v>
      </c>
      <c r="G45" s="481"/>
      <c r="H45" s="481">
        <v>40466</v>
      </c>
      <c r="I45" s="481"/>
      <c r="J45" s="481">
        <v>40466</v>
      </c>
      <c r="K45" s="481"/>
      <c r="L45" s="481">
        <v>40466</v>
      </c>
      <c r="M45" s="481"/>
      <c r="N45" s="481">
        <v>40466</v>
      </c>
      <c r="O45" s="481"/>
      <c r="P45" s="481">
        <v>40466</v>
      </c>
      <c r="Q45" s="481"/>
      <c r="R45" s="481">
        <v>40466</v>
      </c>
      <c r="S45" s="450"/>
      <c r="T45" s="450"/>
      <c r="U45" s="444"/>
      <c r="V45" s="444"/>
      <c r="W45" s="446"/>
      <c r="X45" s="425"/>
    </row>
    <row r="46" spans="1:24" s="426" customFormat="1" x14ac:dyDescent="0.3">
      <c r="A46" s="443"/>
      <c r="B46" s="444" t="s">
        <v>15</v>
      </c>
      <c r="C46" s="444"/>
      <c r="D46" s="481">
        <v>41105</v>
      </c>
      <c r="E46" s="481"/>
      <c r="F46" s="481">
        <v>40831</v>
      </c>
      <c r="G46" s="481"/>
      <c r="H46" s="481">
        <v>40831</v>
      </c>
      <c r="I46" s="481"/>
      <c r="J46" s="481">
        <v>40831</v>
      </c>
      <c r="K46" s="450"/>
      <c r="L46" s="481">
        <v>40831</v>
      </c>
      <c r="M46" s="450"/>
      <c r="N46" s="481">
        <v>40831</v>
      </c>
      <c r="O46" s="450"/>
      <c r="P46" s="481">
        <v>40831</v>
      </c>
      <c r="Q46" s="450"/>
      <c r="R46" s="481">
        <v>40831</v>
      </c>
      <c r="S46" s="450"/>
      <c r="T46" s="450"/>
      <c r="U46" s="444"/>
      <c r="V46" s="444"/>
      <c r="W46" s="446"/>
      <c r="X46" s="425"/>
    </row>
    <row r="47" spans="1:24" s="426" customFormat="1" x14ac:dyDescent="0.3">
      <c r="A47" s="443"/>
      <c r="B47" s="444" t="s">
        <v>122</v>
      </c>
      <c r="C47" s="444"/>
      <c r="D47" s="450" t="s">
        <v>226</v>
      </c>
      <c r="E47" s="444"/>
      <c r="F47" s="450" t="s">
        <v>226</v>
      </c>
      <c r="G47" s="450"/>
      <c r="H47" s="450" t="s">
        <v>226</v>
      </c>
      <c r="I47" s="450"/>
      <c r="J47" s="450" t="s">
        <v>256</v>
      </c>
      <c r="K47" s="450"/>
      <c r="L47" s="450" t="s">
        <v>254</v>
      </c>
      <c r="M47" s="450"/>
      <c r="N47" s="450" t="s">
        <v>257</v>
      </c>
      <c r="O47" s="450"/>
      <c r="P47" s="450" t="s">
        <v>258</v>
      </c>
      <c r="Q47" s="450"/>
      <c r="R47" s="450" t="s">
        <v>259</v>
      </c>
      <c r="S47" s="482"/>
      <c r="T47" s="482"/>
      <c r="U47" s="482"/>
      <c r="V47" s="482"/>
      <c r="W47" s="446"/>
      <c r="X47" s="425"/>
    </row>
    <row r="48" spans="1:24" s="426" customFormat="1" x14ac:dyDescent="0.3">
      <c r="A48" s="443"/>
      <c r="B48" s="444" t="s">
        <v>303</v>
      </c>
      <c r="C48" s="444"/>
      <c r="D48" s="450" t="s">
        <v>226</v>
      </c>
      <c r="E48" s="444"/>
      <c r="F48" s="450" t="s">
        <v>226</v>
      </c>
      <c r="G48" s="450"/>
      <c r="H48" s="450" t="s">
        <v>227</v>
      </c>
      <c r="I48" s="450"/>
      <c r="J48" s="450" t="s">
        <v>237</v>
      </c>
      <c r="K48" s="450"/>
      <c r="L48" s="450" t="s">
        <v>254</v>
      </c>
      <c r="M48" s="450"/>
      <c r="N48" s="450" t="s">
        <v>260</v>
      </c>
      <c r="O48" s="450"/>
      <c r="P48" s="450" t="s">
        <v>258</v>
      </c>
      <c r="Q48" s="450"/>
      <c r="R48" s="450" t="s">
        <v>261</v>
      </c>
      <c r="S48" s="444"/>
      <c r="T48" s="444"/>
      <c r="U48" s="444"/>
      <c r="V48" s="479"/>
      <c r="W48" s="446"/>
      <c r="X48" s="425"/>
    </row>
    <row r="49" spans="1:25" s="426" customFormat="1" x14ac:dyDescent="0.3">
      <c r="A49" s="443"/>
      <c r="B49" s="444"/>
      <c r="C49" s="444"/>
      <c r="D49" s="450"/>
      <c r="E49" s="444"/>
      <c r="F49" s="450"/>
      <c r="G49" s="450"/>
      <c r="H49" s="450"/>
      <c r="I49" s="450"/>
      <c r="J49" s="450"/>
      <c r="K49" s="450"/>
      <c r="L49" s="450"/>
      <c r="M49" s="450"/>
      <c r="N49" s="450"/>
      <c r="O49" s="450"/>
      <c r="P49" s="450"/>
      <c r="Q49" s="450"/>
      <c r="R49" s="450"/>
      <c r="S49" s="444"/>
      <c r="T49" s="444"/>
      <c r="U49" s="444"/>
      <c r="V49" s="479" t="s">
        <v>196</v>
      </c>
      <c r="W49" s="446"/>
      <c r="X49" s="425"/>
    </row>
    <row r="50" spans="1:25" s="426" customFormat="1" x14ac:dyDescent="0.3">
      <c r="A50" s="443"/>
      <c r="B50" s="444" t="s">
        <v>172</v>
      </c>
      <c r="C50" s="444"/>
      <c r="D50" s="450"/>
      <c r="E50" s="444"/>
      <c r="F50" s="450"/>
      <c r="G50" s="450"/>
      <c r="H50" s="450"/>
      <c r="I50" s="450"/>
      <c r="J50" s="450"/>
      <c r="K50" s="450"/>
      <c r="L50" s="450"/>
      <c r="M50" s="450"/>
      <c r="N50" s="450"/>
      <c r="O50" s="450"/>
      <c r="P50" s="450"/>
      <c r="Q50" s="450"/>
      <c r="R50" s="450"/>
      <c r="S50" s="444"/>
      <c r="T50" s="444"/>
      <c r="U50" s="444"/>
      <c r="V50" s="479">
        <f>SUM(L34:R34)/SUM(D34:J34)</f>
        <v>0.13611940162868597</v>
      </c>
      <c r="W50" s="446"/>
      <c r="X50" s="425"/>
    </row>
    <row r="51" spans="1:25" s="426" customFormat="1" x14ac:dyDescent="0.3">
      <c r="A51" s="443"/>
      <c r="B51" s="444" t="s">
        <v>173</v>
      </c>
      <c r="C51" s="444"/>
      <c r="D51" s="444"/>
      <c r="E51" s="444"/>
      <c r="F51" s="483"/>
      <c r="G51" s="444"/>
      <c r="H51" s="444"/>
      <c r="I51" s="444"/>
      <c r="J51" s="444"/>
      <c r="K51" s="444"/>
      <c r="L51" s="444"/>
      <c r="M51" s="444"/>
      <c r="N51" s="444"/>
      <c r="O51" s="444"/>
      <c r="P51" s="444"/>
      <c r="Q51" s="444"/>
      <c r="R51" s="444"/>
      <c r="S51" s="444"/>
      <c r="T51" s="444"/>
      <c r="U51" s="444"/>
      <c r="V51" s="479">
        <f>SUM(L36:R36)/SUM(D36:J36)</f>
        <v>0.31579198652994656</v>
      </c>
      <c r="W51" s="446"/>
      <c r="X51" s="425"/>
    </row>
    <row r="52" spans="1:25" s="426" customFormat="1" x14ac:dyDescent="0.3">
      <c r="A52" s="443"/>
      <c r="B52" s="444" t="s">
        <v>174</v>
      </c>
      <c r="C52" s="444"/>
      <c r="D52" s="444"/>
      <c r="E52" s="444"/>
      <c r="F52" s="444"/>
      <c r="G52" s="444"/>
      <c r="H52" s="444"/>
      <c r="I52" s="444"/>
      <c r="J52" s="444"/>
      <c r="K52" s="444"/>
      <c r="L52" s="444"/>
      <c r="M52" s="444"/>
      <c r="N52" s="444"/>
      <c r="O52" s="444"/>
      <c r="P52" s="444"/>
      <c r="Q52" s="444"/>
      <c r="R52" s="444"/>
      <c r="S52" s="444"/>
      <c r="T52" s="450" t="s">
        <v>107</v>
      </c>
      <c r="U52" s="450" t="s">
        <v>112</v>
      </c>
      <c r="V52" s="452">
        <f>+V34/2-SUM(L34:R34)</f>
        <v>570356</v>
      </c>
      <c r="W52" s="446"/>
      <c r="X52" s="425"/>
    </row>
    <row r="53" spans="1:25" s="426" customFormat="1" x14ac:dyDescent="0.3">
      <c r="A53" s="443"/>
      <c r="B53" s="444"/>
      <c r="C53" s="444"/>
      <c r="D53" s="444"/>
      <c r="E53" s="444"/>
      <c r="F53" s="444"/>
      <c r="G53" s="444"/>
      <c r="H53" s="444"/>
      <c r="I53" s="444"/>
      <c r="J53" s="444"/>
      <c r="K53" s="444"/>
      <c r="L53" s="444"/>
      <c r="M53" s="444"/>
      <c r="N53" s="444"/>
      <c r="O53" s="444"/>
      <c r="P53" s="444"/>
      <c r="Q53" s="444"/>
      <c r="R53" s="444"/>
      <c r="S53" s="444"/>
      <c r="T53" s="444"/>
      <c r="U53" s="444"/>
      <c r="V53" s="484"/>
      <c r="W53" s="446"/>
      <c r="X53" s="425"/>
    </row>
    <row r="54" spans="1:25" s="426" customFormat="1" x14ac:dyDescent="0.3">
      <c r="A54" s="443"/>
      <c r="B54" s="444" t="s">
        <v>358</v>
      </c>
      <c r="C54" s="444"/>
      <c r="D54" s="444"/>
      <c r="E54" s="444"/>
      <c r="F54" s="444"/>
      <c r="G54" s="444"/>
      <c r="H54" s="444"/>
      <c r="I54" s="444"/>
      <c r="J54" s="444"/>
      <c r="K54" s="444"/>
      <c r="L54" s="444"/>
      <c r="M54" s="444"/>
      <c r="N54" s="444"/>
      <c r="O54" s="444"/>
      <c r="P54" s="444"/>
      <c r="Q54" s="444"/>
      <c r="R54" s="444"/>
      <c r="S54" s="444"/>
      <c r="T54" s="450"/>
      <c r="U54" s="450"/>
      <c r="V54" s="485" t="s">
        <v>114</v>
      </c>
      <c r="W54" s="486"/>
      <c r="X54" s="487"/>
    </row>
    <row r="55" spans="1:25" s="426" customFormat="1" x14ac:dyDescent="0.3">
      <c r="A55" s="443"/>
      <c r="B55" s="449" t="s">
        <v>204</v>
      </c>
      <c r="C55" s="449"/>
      <c r="D55" s="449"/>
      <c r="E55" s="449"/>
      <c r="F55" s="449"/>
      <c r="G55" s="449"/>
      <c r="H55" s="449"/>
      <c r="I55" s="449"/>
      <c r="J55" s="449"/>
      <c r="K55" s="449"/>
      <c r="L55" s="449"/>
      <c r="M55" s="449"/>
      <c r="N55" s="449"/>
      <c r="O55" s="449"/>
      <c r="P55" s="449"/>
      <c r="Q55" s="449"/>
      <c r="R55" s="449"/>
      <c r="S55" s="449"/>
      <c r="T55" s="488"/>
      <c r="U55" s="488"/>
      <c r="V55" s="489">
        <v>43753</v>
      </c>
      <c r="W55" s="486"/>
      <c r="X55" s="487"/>
    </row>
    <row r="56" spans="1:25" s="426" customFormat="1" x14ac:dyDescent="0.3">
      <c r="A56" s="443"/>
      <c r="B56" s="444" t="s">
        <v>124</v>
      </c>
      <c r="C56" s="444"/>
      <c r="D56" s="444"/>
      <c r="E56" s="444"/>
      <c r="F56" s="444"/>
      <c r="G56" s="444"/>
      <c r="H56" s="490"/>
      <c r="I56" s="490"/>
      <c r="J56" s="490"/>
      <c r="K56" s="490"/>
      <c r="L56" s="490"/>
      <c r="M56" s="490"/>
      <c r="N56" s="490"/>
      <c r="O56" s="490"/>
      <c r="P56" s="490"/>
      <c r="Q56" s="490"/>
      <c r="R56" s="444">
        <f>+V56-T56+1</f>
        <v>91</v>
      </c>
      <c r="S56" s="490"/>
      <c r="T56" s="491">
        <v>43570</v>
      </c>
      <c r="U56" s="492"/>
      <c r="V56" s="491">
        <v>43660</v>
      </c>
      <c r="W56" s="486"/>
      <c r="X56" s="487"/>
    </row>
    <row r="57" spans="1:25" s="426" customFormat="1" x14ac:dyDescent="0.3">
      <c r="A57" s="443"/>
      <c r="B57" s="444" t="s">
        <v>125</v>
      </c>
      <c r="C57" s="444"/>
      <c r="D57" s="444"/>
      <c r="E57" s="444"/>
      <c r="F57" s="444"/>
      <c r="G57" s="444"/>
      <c r="H57" s="444"/>
      <c r="I57" s="444"/>
      <c r="J57" s="444"/>
      <c r="K57" s="444"/>
      <c r="L57" s="444"/>
      <c r="M57" s="444"/>
      <c r="N57" s="444"/>
      <c r="O57" s="444"/>
      <c r="P57" s="444"/>
      <c r="Q57" s="444"/>
      <c r="R57" s="444">
        <f>+V57-T57+1</f>
        <v>92</v>
      </c>
      <c r="S57" s="444"/>
      <c r="T57" s="491">
        <v>43661</v>
      </c>
      <c r="U57" s="492"/>
      <c r="V57" s="491">
        <v>43752</v>
      </c>
      <c r="W57" s="486"/>
      <c r="X57" s="487"/>
    </row>
    <row r="58" spans="1:25" s="426" customFormat="1" x14ac:dyDescent="0.3">
      <c r="A58" s="443"/>
      <c r="B58" s="444" t="s">
        <v>357</v>
      </c>
      <c r="C58" s="444"/>
      <c r="D58" s="444"/>
      <c r="E58" s="444"/>
      <c r="F58" s="444"/>
      <c r="G58" s="444"/>
      <c r="H58" s="444"/>
      <c r="I58" s="444"/>
      <c r="J58" s="444"/>
      <c r="K58" s="444"/>
      <c r="L58" s="444"/>
      <c r="M58" s="444"/>
      <c r="N58" s="444"/>
      <c r="O58" s="444"/>
      <c r="P58" s="444"/>
      <c r="Q58" s="444"/>
      <c r="R58" s="444"/>
      <c r="S58" s="444"/>
      <c r="T58" s="491"/>
      <c r="U58" s="492"/>
      <c r="V58" s="491" t="s">
        <v>123</v>
      </c>
      <c r="W58" s="486"/>
      <c r="X58" s="487"/>
    </row>
    <row r="59" spans="1:25" s="426" customFormat="1" x14ac:dyDescent="0.3">
      <c r="A59" s="443"/>
      <c r="B59" s="444" t="s">
        <v>356</v>
      </c>
      <c r="C59" s="444"/>
      <c r="D59" s="444"/>
      <c r="E59" s="444"/>
      <c r="F59" s="444"/>
      <c r="G59" s="444"/>
      <c r="H59" s="444"/>
      <c r="I59" s="444"/>
      <c r="J59" s="444"/>
      <c r="K59" s="444"/>
      <c r="L59" s="444"/>
      <c r="M59" s="444"/>
      <c r="N59" s="444"/>
      <c r="O59" s="444"/>
      <c r="P59" s="444"/>
      <c r="Q59" s="444"/>
      <c r="R59" s="444"/>
      <c r="S59" s="444"/>
      <c r="T59" s="491"/>
      <c r="U59" s="492"/>
      <c r="V59" s="491" t="s">
        <v>157</v>
      </c>
      <c r="W59" s="486"/>
      <c r="X59" s="487"/>
      <c r="Y59" s="493"/>
    </row>
    <row r="60" spans="1:25" s="426" customFormat="1" x14ac:dyDescent="0.3">
      <c r="A60" s="443"/>
      <c r="B60" s="444" t="s">
        <v>16</v>
      </c>
      <c r="C60" s="444"/>
      <c r="D60" s="444"/>
      <c r="E60" s="444"/>
      <c r="F60" s="444"/>
      <c r="G60" s="444"/>
      <c r="H60" s="444"/>
      <c r="I60" s="444"/>
      <c r="J60" s="444"/>
      <c r="K60" s="444"/>
      <c r="L60" s="444"/>
      <c r="M60" s="444"/>
      <c r="N60" s="444"/>
      <c r="O60" s="444"/>
      <c r="P60" s="444"/>
      <c r="Q60" s="444"/>
      <c r="R60" s="444"/>
      <c r="S60" s="444"/>
      <c r="T60" s="491"/>
      <c r="U60" s="492"/>
      <c r="V60" s="491">
        <v>43739</v>
      </c>
      <c r="W60" s="486"/>
      <c r="X60" s="487"/>
    </row>
    <row r="61" spans="1:25" s="426" customFormat="1" x14ac:dyDescent="0.3">
      <c r="A61" s="421"/>
      <c r="B61" s="494"/>
      <c r="C61" s="494"/>
      <c r="D61" s="494"/>
      <c r="E61" s="494"/>
      <c r="F61" s="494"/>
      <c r="G61" s="494"/>
      <c r="H61" s="494"/>
      <c r="I61" s="494"/>
      <c r="J61" s="494"/>
      <c r="K61" s="494"/>
      <c r="L61" s="494"/>
      <c r="M61" s="494"/>
      <c r="N61" s="494"/>
      <c r="O61" s="494"/>
      <c r="P61" s="494"/>
      <c r="Q61" s="494"/>
      <c r="R61" s="494"/>
      <c r="S61" s="494"/>
      <c r="T61" s="495"/>
      <c r="U61" s="496"/>
      <c r="V61" s="495"/>
      <c r="W61" s="497"/>
      <c r="X61" s="487"/>
    </row>
    <row r="62" spans="1:25" s="426" customFormat="1" x14ac:dyDescent="0.3">
      <c r="A62" s="421"/>
      <c r="B62" s="422"/>
      <c r="C62" s="422"/>
      <c r="D62" s="422"/>
      <c r="E62" s="422"/>
      <c r="F62" s="422"/>
      <c r="G62" s="422"/>
      <c r="H62" s="422"/>
      <c r="I62" s="422"/>
      <c r="J62" s="422"/>
      <c r="K62" s="422"/>
      <c r="L62" s="422"/>
      <c r="M62" s="422"/>
      <c r="N62" s="422"/>
      <c r="O62" s="422"/>
      <c r="P62" s="422"/>
      <c r="Q62" s="422"/>
      <c r="R62" s="422"/>
      <c r="S62" s="422"/>
      <c r="T62" s="498"/>
      <c r="U62" s="499"/>
      <c r="V62" s="498"/>
      <c r="W62" s="497"/>
      <c r="X62" s="487"/>
    </row>
    <row r="63" spans="1:25" s="426" customFormat="1" ht="18.600000000000001" thickBot="1" x14ac:dyDescent="0.4">
      <c r="A63" s="500"/>
      <c r="B63" s="501" t="s">
        <v>381</v>
      </c>
      <c r="C63" s="502"/>
      <c r="D63" s="502"/>
      <c r="E63" s="502"/>
      <c r="F63" s="502"/>
      <c r="G63" s="502"/>
      <c r="H63" s="502"/>
      <c r="I63" s="502"/>
      <c r="J63" s="502"/>
      <c r="K63" s="502"/>
      <c r="L63" s="502"/>
      <c r="M63" s="502"/>
      <c r="N63" s="502"/>
      <c r="O63" s="502"/>
      <c r="P63" s="502"/>
      <c r="Q63" s="502"/>
      <c r="R63" s="502"/>
      <c r="S63" s="502"/>
      <c r="T63" s="502"/>
      <c r="U63" s="502"/>
      <c r="V63" s="503"/>
      <c r="W63" s="504"/>
      <c r="X63" s="487"/>
    </row>
    <row r="64" spans="1:25" x14ac:dyDescent="0.3">
      <c r="A64" s="505"/>
      <c r="B64" s="506" t="s">
        <v>17</v>
      </c>
      <c r="C64" s="507"/>
      <c r="D64" s="507"/>
      <c r="E64" s="507"/>
      <c r="F64" s="507"/>
      <c r="G64" s="507"/>
      <c r="H64" s="507"/>
      <c r="I64" s="507"/>
      <c r="J64" s="507"/>
      <c r="K64" s="507"/>
      <c r="L64" s="507"/>
      <c r="M64" s="507"/>
      <c r="N64" s="507"/>
      <c r="O64" s="507"/>
      <c r="P64" s="507"/>
      <c r="Q64" s="507"/>
      <c r="R64" s="507"/>
      <c r="S64" s="507"/>
      <c r="T64" s="507"/>
      <c r="U64" s="507"/>
      <c r="V64" s="508"/>
      <c r="W64" s="509"/>
      <c r="X64" s="406"/>
    </row>
    <row r="65" spans="1:24" x14ac:dyDescent="0.3">
      <c r="A65" s="408"/>
      <c r="B65" s="419"/>
      <c r="C65" s="410"/>
      <c r="D65" s="410"/>
      <c r="E65" s="410"/>
      <c r="F65" s="410"/>
      <c r="G65" s="410"/>
      <c r="H65" s="410"/>
      <c r="I65" s="410"/>
      <c r="J65" s="410"/>
      <c r="K65" s="410"/>
      <c r="L65" s="410"/>
      <c r="M65" s="410"/>
      <c r="N65" s="410"/>
      <c r="O65" s="410"/>
      <c r="P65" s="410"/>
      <c r="Q65" s="410"/>
      <c r="R65" s="410"/>
      <c r="S65" s="410"/>
      <c r="T65" s="410"/>
      <c r="U65" s="410"/>
      <c r="V65" s="510"/>
      <c r="W65" s="411"/>
      <c r="X65" s="406"/>
    </row>
    <row r="66" spans="1:24" s="473" customFormat="1" ht="46.8" x14ac:dyDescent="0.3">
      <c r="A66" s="511"/>
      <c r="B66" s="512" t="s">
        <v>18</v>
      </c>
      <c r="C66" s="513"/>
      <c r="D66" s="513"/>
      <c r="E66" s="513"/>
      <c r="F66" s="513"/>
      <c r="G66" s="513"/>
      <c r="H66" s="513"/>
      <c r="I66" s="513"/>
      <c r="J66" s="513"/>
      <c r="K66" s="513"/>
      <c r="L66" s="513" t="s">
        <v>95</v>
      </c>
      <c r="M66" s="513"/>
      <c r="N66" s="513" t="s">
        <v>97</v>
      </c>
      <c r="O66" s="513"/>
      <c r="P66" s="513" t="s">
        <v>99</v>
      </c>
      <c r="Q66" s="513"/>
      <c r="R66" s="513" t="s">
        <v>101</v>
      </c>
      <c r="S66" s="513"/>
      <c r="T66" s="513" t="s">
        <v>108</v>
      </c>
      <c r="U66" s="513"/>
      <c r="V66" s="514" t="s">
        <v>115</v>
      </c>
      <c r="W66" s="515"/>
      <c r="X66" s="472"/>
    </row>
    <row r="67" spans="1:24" s="426" customFormat="1" x14ac:dyDescent="0.3">
      <c r="A67" s="443"/>
      <c r="B67" s="444" t="s">
        <v>19</v>
      </c>
      <c r="C67" s="516"/>
      <c r="D67" s="516"/>
      <c r="E67" s="516"/>
      <c r="F67" s="516"/>
      <c r="G67" s="516"/>
      <c r="H67" s="516"/>
      <c r="I67" s="516"/>
      <c r="J67" s="516"/>
      <c r="K67" s="516"/>
      <c r="L67" s="516">
        <f>1085286</f>
        <v>1085286</v>
      </c>
      <c r="M67" s="516"/>
      <c r="N67" s="517">
        <v>711805</v>
      </c>
      <c r="O67" s="516"/>
      <c r="P67" s="516">
        <v>14032</v>
      </c>
      <c r="Q67" s="516"/>
      <c r="R67" s="516">
        <v>0</v>
      </c>
      <c r="S67" s="516"/>
      <c r="T67" s="516">
        <v>0</v>
      </c>
      <c r="U67" s="516"/>
      <c r="V67" s="517">
        <f>+N67-P67+R67-T67</f>
        <v>697773</v>
      </c>
      <c r="W67" s="446"/>
      <c r="X67" s="425"/>
    </row>
    <row r="68" spans="1:24" s="426" customFormat="1" x14ac:dyDescent="0.3">
      <c r="A68" s="443"/>
      <c r="B68" s="444" t="s">
        <v>20</v>
      </c>
      <c r="C68" s="516"/>
      <c r="D68" s="516"/>
      <c r="E68" s="516"/>
      <c r="F68" s="516"/>
      <c r="G68" s="516"/>
      <c r="H68" s="516"/>
      <c r="I68" s="516"/>
      <c r="J68" s="516"/>
      <c r="K68" s="516"/>
      <c r="L68" s="516">
        <v>35</v>
      </c>
      <c r="M68" s="516"/>
      <c r="N68" s="517">
        <v>0</v>
      </c>
      <c r="O68" s="516"/>
      <c r="P68" s="516">
        <v>0</v>
      </c>
      <c r="Q68" s="516"/>
      <c r="R68" s="516">
        <v>0</v>
      </c>
      <c r="S68" s="516"/>
      <c r="T68" s="516">
        <v>0</v>
      </c>
      <c r="U68" s="516"/>
      <c r="V68" s="517">
        <f>+N68-P68</f>
        <v>0</v>
      </c>
      <c r="W68" s="446"/>
      <c r="X68" s="425"/>
    </row>
    <row r="69" spans="1:24" s="426" customFormat="1" x14ac:dyDescent="0.3">
      <c r="A69" s="443"/>
      <c r="B69" s="444"/>
      <c r="C69" s="516"/>
      <c r="D69" s="516"/>
      <c r="E69" s="516"/>
      <c r="F69" s="516"/>
      <c r="G69" s="516"/>
      <c r="H69" s="516"/>
      <c r="I69" s="516"/>
      <c r="J69" s="516"/>
      <c r="K69" s="516"/>
      <c r="L69" s="516"/>
      <c r="M69" s="516"/>
      <c r="N69" s="517"/>
      <c r="O69" s="516"/>
      <c r="P69" s="516"/>
      <c r="Q69" s="516"/>
      <c r="R69" s="516"/>
      <c r="S69" s="516"/>
      <c r="T69" s="516"/>
      <c r="U69" s="516"/>
      <c r="V69" s="517"/>
      <c r="W69" s="446"/>
      <c r="X69" s="425"/>
    </row>
    <row r="70" spans="1:24" s="426" customFormat="1" x14ac:dyDescent="0.3">
      <c r="A70" s="443"/>
      <c r="B70" s="444" t="s">
        <v>21</v>
      </c>
      <c r="C70" s="516"/>
      <c r="D70" s="516"/>
      <c r="E70" s="516"/>
      <c r="F70" s="516"/>
      <c r="G70" s="516"/>
      <c r="H70" s="516"/>
      <c r="I70" s="516"/>
      <c r="J70" s="516"/>
      <c r="K70" s="516"/>
      <c r="L70" s="516">
        <f>SUM(L67:L69)</f>
        <v>1085321</v>
      </c>
      <c r="M70" s="516"/>
      <c r="N70" s="516">
        <f>N67+N68</f>
        <v>711805</v>
      </c>
      <c r="O70" s="516"/>
      <c r="P70" s="516">
        <f>SUM(P67:P69)</f>
        <v>14032</v>
      </c>
      <c r="Q70" s="516"/>
      <c r="R70" s="516">
        <f>SUM(R67:R69)</f>
        <v>0</v>
      </c>
      <c r="S70" s="516"/>
      <c r="T70" s="516">
        <f>SUM(T67:T69)</f>
        <v>0</v>
      </c>
      <c r="U70" s="516"/>
      <c r="V70" s="516">
        <f>SUM(V67:V69)</f>
        <v>697773</v>
      </c>
      <c r="W70" s="446"/>
      <c r="X70" s="425"/>
    </row>
    <row r="71" spans="1:24" x14ac:dyDescent="0.3">
      <c r="A71" s="408"/>
      <c r="B71" s="518"/>
      <c r="C71" s="519"/>
      <c r="D71" s="519"/>
      <c r="E71" s="519"/>
      <c r="F71" s="519"/>
      <c r="G71" s="519"/>
      <c r="H71" s="519"/>
      <c r="I71" s="519"/>
      <c r="J71" s="519"/>
      <c r="K71" s="519"/>
      <c r="L71" s="519"/>
      <c r="M71" s="519"/>
      <c r="N71" s="519"/>
      <c r="O71" s="519"/>
      <c r="P71" s="519"/>
      <c r="Q71" s="519"/>
      <c r="R71" s="519"/>
      <c r="S71" s="519"/>
      <c r="T71" s="519"/>
      <c r="U71" s="519"/>
      <c r="V71" s="520"/>
      <c r="W71" s="411"/>
      <c r="X71" s="406"/>
    </row>
    <row r="72" spans="1:24" x14ac:dyDescent="0.3">
      <c r="A72" s="408"/>
      <c r="B72" s="413" t="s">
        <v>22</v>
      </c>
      <c r="C72" s="521"/>
      <c r="D72" s="521"/>
      <c r="E72" s="521"/>
      <c r="F72" s="521"/>
      <c r="G72" s="521"/>
      <c r="H72" s="521"/>
      <c r="I72" s="521"/>
      <c r="J72" s="521"/>
      <c r="K72" s="521"/>
      <c r="L72" s="521"/>
      <c r="M72" s="521"/>
      <c r="N72" s="521"/>
      <c r="O72" s="521"/>
      <c r="P72" s="521"/>
      <c r="Q72" s="521"/>
      <c r="R72" s="521"/>
      <c r="S72" s="521"/>
      <c r="T72" s="521"/>
      <c r="U72" s="521"/>
      <c r="V72" s="522"/>
      <c r="W72" s="411"/>
      <c r="X72" s="406"/>
    </row>
    <row r="73" spans="1:24" x14ac:dyDescent="0.3">
      <c r="A73" s="408"/>
      <c r="B73" s="410"/>
      <c r="C73" s="521"/>
      <c r="D73" s="521"/>
      <c r="E73" s="521"/>
      <c r="F73" s="521"/>
      <c r="G73" s="521"/>
      <c r="H73" s="521"/>
      <c r="I73" s="521"/>
      <c r="J73" s="521"/>
      <c r="K73" s="521"/>
      <c r="L73" s="521"/>
      <c r="M73" s="521"/>
      <c r="N73" s="521"/>
      <c r="O73" s="521"/>
      <c r="P73" s="521"/>
      <c r="Q73" s="521"/>
      <c r="R73" s="521"/>
      <c r="S73" s="521"/>
      <c r="T73" s="521"/>
      <c r="U73" s="521"/>
      <c r="V73" s="522"/>
      <c r="W73" s="411"/>
      <c r="X73" s="406"/>
    </row>
    <row r="74" spans="1:24" s="426" customFormat="1" x14ac:dyDescent="0.3">
      <c r="A74" s="443"/>
      <c r="B74" s="444" t="s">
        <v>19</v>
      </c>
      <c r="C74" s="516"/>
      <c r="D74" s="516"/>
      <c r="E74" s="516"/>
      <c r="F74" s="516"/>
      <c r="G74" s="516"/>
      <c r="H74" s="516"/>
      <c r="I74" s="516"/>
      <c r="J74" s="516"/>
      <c r="K74" s="516"/>
      <c r="L74" s="516"/>
      <c r="M74" s="516"/>
      <c r="N74" s="516"/>
      <c r="O74" s="516"/>
      <c r="P74" s="516"/>
      <c r="Q74" s="516"/>
      <c r="R74" s="516"/>
      <c r="S74" s="516"/>
      <c r="T74" s="516"/>
      <c r="U74" s="516"/>
      <c r="V74" s="516"/>
      <c r="W74" s="446"/>
      <c r="X74" s="425"/>
    </row>
    <row r="75" spans="1:24" s="426" customFormat="1" x14ac:dyDescent="0.3">
      <c r="A75" s="443"/>
      <c r="B75" s="444" t="s">
        <v>20</v>
      </c>
      <c r="C75" s="516"/>
      <c r="D75" s="516"/>
      <c r="E75" s="516"/>
      <c r="F75" s="516"/>
      <c r="G75" s="516"/>
      <c r="H75" s="516"/>
      <c r="I75" s="516"/>
      <c r="J75" s="516"/>
      <c r="K75" s="516"/>
      <c r="L75" s="516"/>
      <c r="M75" s="516"/>
      <c r="N75" s="516"/>
      <c r="O75" s="516"/>
      <c r="P75" s="516"/>
      <c r="Q75" s="516"/>
      <c r="R75" s="516"/>
      <c r="S75" s="516"/>
      <c r="T75" s="516"/>
      <c r="U75" s="516"/>
      <c r="V75" s="516"/>
      <c r="W75" s="446"/>
      <c r="X75" s="425"/>
    </row>
    <row r="76" spans="1:24" s="426" customFormat="1" x14ac:dyDescent="0.3">
      <c r="A76" s="443"/>
      <c r="B76" s="444"/>
      <c r="C76" s="516"/>
      <c r="D76" s="516"/>
      <c r="E76" s="516"/>
      <c r="F76" s="516"/>
      <c r="G76" s="516"/>
      <c r="H76" s="516"/>
      <c r="I76" s="516"/>
      <c r="J76" s="516"/>
      <c r="K76" s="516"/>
      <c r="L76" s="516"/>
      <c r="M76" s="516"/>
      <c r="N76" s="516"/>
      <c r="O76" s="516"/>
      <c r="P76" s="516"/>
      <c r="Q76" s="516"/>
      <c r="R76" s="516"/>
      <c r="S76" s="516"/>
      <c r="T76" s="516"/>
      <c r="U76" s="516"/>
      <c r="V76" s="516"/>
      <c r="W76" s="446"/>
      <c r="X76" s="425"/>
    </row>
    <row r="77" spans="1:24" s="426" customFormat="1" x14ac:dyDescent="0.3">
      <c r="A77" s="443"/>
      <c r="B77" s="444" t="s">
        <v>21</v>
      </c>
      <c r="C77" s="516"/>
      <c r="D77" s="516"/>
      <c r="E77" s="516"/>
      <c r="F77" s="516"/>
      <c r="G77" s="516"/>
      <c r="H77" s="516"/>
      <c r="I77" s="516"/>
      <c r="J77" s="516"/>
      <c r="K77" s="516"/>
      <c r="L77" s="516"/>
      <c r="M77" s="516"/>
      <c r="N77" s="516"/>
      <c r="O77" s="516"/>
      <c r="P77" s="516"/>
      <c r="Q77" s="516"/>
      <c r="R77" s="516"/>
      <c r="S77" s="516"/>
      <c r="T77" s="516"/>
      <c r="U77" s="516"/>
      <c r="V77" s="516"/>
      <c r="W77" s="446"/>
      <c r="X77" s="425"/>
    </row>
    <row r="78" spans="1:24" s="426" customFormat="1" x14ac:dyDescent="0.3">
      <c r="A78" s="443"/>
      <c r="B78" s="444"/>
      <c r="C78" s="516"/>
      <c r="D78" s="516"/>
      <c r="E78" s="516"/>
      <c r="F78" s="516"/>
      <c r="G78" s="516"/>
      <c r="H78" s="516"/>
      <c r="I78" s="516"/>
      <c r="J78" s="516"/>
      <c r="K78" s="516"/>
      <c r="L78" s="516"/>
      <c r="M78" s="516"/>
      <c r="N78" s="516"/>
      <c r="O78" s="516"/>
      <c r="P78" s="516"/>
      <c r="Q78" s="516"/>
      <c r="R78" s="516"/>
      <c r="S78" s="516"/>
      <c r="T78" s="516"/>
      <c r="U78" s="516"/>
      <c r="V78" s="516"/>
      <c r="W78" s="446"/>
      <c r="X78" s="425"/>
    </row>
    <row r="79" spans="1:24" s="426" customFormat="1" x14ac:dyDescent="0.3">
      <c r="A79" s="443"/>
      <c r="B79" s="444" t="s">
        <v>23</v>
      </c>
      <c r="C79" s="516"/>
      <c r="D79" s="516"/>
      <c r="E79" s="516"/>
      <c r="F79" s="516"/>
      <c r="G79" s="516"/>
      <c r="H79" s="516"/>
      <c r="I79" s="516"/>
      <c r="J79" s="516"/>
      <c r="K79" s="516"/>
      <c r="L79" s="516">
        <v>0</v>
      </c>
      <c r="M79" s="516"/>
      <c r="N79" s="516">
        <v>0</v>
      </c>
      <c r="O79" s="516"/>
      <c r="P79" s="516"/>
      <c r="Q79" s="516"/>
      <c r="R79" s="516"/>
      <c r="S79" s="516"/>
      <c r="T79" s="516"/>
      <c r="U79" s="516"/>
      <c r="V79" s="517">
        <v>0</v>
      </c>
      <c r="W79" s="446"/>
      <c r="X79" s="425"/>
    </row>
    <row r="80" spans="1:24" s="426" customFormat="1" x14ac:dyDescent="0.3">
      <c r="A80" s="443"/>
      <c r="B80" s="444" t="s">
        <v>120</v>
      </c>
      <c r="C80" s="516"/>
      <c r="D80" s="516"/>
      <c r="E80" s="516"/>
      <c r="F80" s="516"/>
      <c r="G80" s="516"/>
      <c r="H80" s="516"/>
      <c r="I80" s="516"/>
      <c r="J80" s="516"/>
      <c r="K80" s="516"/>
      <c r="L80" s="516">
        <f>414862+7</f>
        <v>414869</v>
      </c>
      <c r="M80" s="516"/>
      <c r="N80" s="516">
        <v>0</v>
      </c>
      <c r="O80" s="516"/>
      <c r="P80" s="516">
        <v>0</v>
      </c>
      <c r="Q80" s="516"/>
      <c r="R80" s="516"/>
      <c r="S80" s="516"/>
      <c r="T80" s="516"/>
      <c r="U80" s="516"/>
      <c r="V80" s="516">
        <f>SUM(N80:R80)</f>
        <v>0</v>
      </c>
      <c r="W80" s="446"/>
      <c r="X80" s="425"/>
    </row>
    <row r="81" spans="1:24" s="426" customFormat="1" x14ac:dyDescent="0.3">
      <c r="A81" s="443"/>
      <c r="B81" s="444" t="s">
        <v>149</v>
      </c>
      <c r="C81" s="516"/>
      <c r="D81" s="516"/>
      <c r="E81" s="516"/>
      <c r="F81" s="516"/>
      <c r="G81" s="516"/>
      <c r="H81" s="516"/>
      <c r="I81" s="516"/>
      <c r="J81" s="516"/>
      <c r="K81" s="516"/>
      <c r="L81" s="516">
        <v>0</v>
      </c>
      <c r="M81" s="516"/>
      <c r="N81" s="516">
        <v>0</v>
      </c>
      <c r="O81" s="516"/>
      <c r="P81" s="516">
        <v>0</v>
      </c>
      <c r="Q81" s="516"/>
      <c r="R81" s="516"/>
      <c r="S81" s="516"/>
      <c r="T81" s="516"/>
      <c r="U81" s="516"/>
      <c r="V81" s="516">
        <f>+N81+P81</f>
        <v>0</v>
      </c>
      <c r="W81" s="446"/>
      <c r="X81" s="425"/>
    </row>
    <row r="82" spans="1:24" s="426" customFormat="1" x14ac:dyDescent="0.3">
      <c r="A82" s="443"/>
      <c r="B82" s="444" t="s">
        <v>25</v>
      </c>
      <c r="C82" s="516"/>
      <c r="D82" s="516"/>
      <c r="E82" s="516"/>
      <c r="F82" s="516"/>
      <c r="G82" s="516"/>
      <c r="H82" s="516"/>
      <c r="I82" s="516"/>
      <c r="J82" s="516"/>
      <c r="K82" s="516"/>
      <c r="L82" s="516">
        <v>0</v>
      </c>
      <c r="M82" s="516"/>
      <c r="N82" s="516">
        <v>0</v>
      </c>
      <c r="O82" s="516"/>
      <c r="P82" s="516"/>
      <c r="Q82" s="516"/>
      <c r="R82" s="516"/>
      <c r="S82" s="516"/>
      <c r="T82" s="516"/>
      <c r="U82" s="516"/>
      <c r="V82" s="516">
        <v>0</v>
      </c>
      <c r="W82" s="446"/>
      <c r="X82" s="425"/>
    </row>
    <row r="83" spans="1:24" s="426" customFormat="1" x14ac:dyDescent="0.3">
      <c r="A83" s="523"/>
      <c r="B83" s="524" t="s">
        <v>26</v>
      </c>
      <c r="C83" s="525"/>
      <c r="D83" s="525"/>
      <c r="E83" s="525"/>
      <c r="F83" s="525"/>
      <c r="G83" s="525"/>
      <c r="H83" s="525"/>
      <c r="I83" s="525"/>
      <c r="J83" s="525"/>
      <c r="K83" s="525"/>
      <c r="L83" s="525">
        <f>SUM(L70:L82)</f>
        <v>1500190</v>
      </c>
      <c r="M83" s="525"/>
      <c r="N83" s="525">
        <f>SUM(N70:N82)</f>
        <v>711805</v>
      </c>
      <c r="O83" s="525"/>
      <c r="P83" s="525"/>
      <c r="Q83" s="525"/>
      <c r="R83" s="525"/>
      <c r="S83" s="525"/>
      <c r="T83" s="525"/>
      <c r="U83" s="525"/>
      <c r="V83" s="525">
        <f>SUM(V70:V82)</f>
        <v>697773</v>
      </c>
      <c r="W83" s="526"/>
      <c r="X83" s="425"/>
    </row>
    <row r="84" spans="1:24" x14ac:dyDescent="0.3">
      <c r="A84" s="527"/>
      <c r="B84" s="528"/>
      <c r="C84" s="529"/>
      <c r="D84" s="529"/>
      <c r="E84" s="529"/>
      <c r="F84" s="529"/>
      <c r="G84" s="529"/>
      <c r="H84" s="529"/>
      <c r="I84" s="529"/>
      <c r="J84" s="529"/>
      <c r="K84" s="529"/>
      <c r="L84" s="529"/>
      <c r="M84" s="529"/>
      <c r="N84" s="529"/>
      <c r="O84" s="529"/>
      <c r="P84" s="529"/>
      <c r="Q84" s="529"/>
      <c r="R84" s="529"/>
      <c r="S84" s="529"/>
      <c r="T84" s="529"/>
      <c r="U84" s="529"/>
      <c r="V84" s="529"/>
      <c r="W84" s="530"/>
      <c r="X84" s="406"/>
    </row>
    <row r="85" spans="1:24" x14ac:dyDescent="0.3">
      <c r="A85" s="408"/>
      <c r="B85" s="531"/>
      <c r="C85" s="531"/>
      <c r="D85" s="531"/>
      <c r="E85" s="531"/>
      <c r="F85" s="531"/>
      <c r="G85" s="531"/>
      <c r="H85" s="531"/>
      <c r="I85" s="531"/>
      <c r="J85" s="531"/>
      <c r="K85" s="531"/>
      <c r="L85" s="531"/>
      <c r="M85" s="531"/>
      <c r="N85" s="531"/>
      <c r="O85" s="531"/>
      <c r="P85" s="531"/>
      <c r="Q85" s="531"/>
      <c r="R85" s="531"/>
      <c r="S85" s="531"/>
      <c r="T85" s="531"/>
      <c r="U85" s="531"/>
      <c r="V85" s="531"/>
      <c r="W85" s="532"/>
      <c r="X85" s="406"/>
    </row>
    <row r="86" spans="1:24" x14ac:dyDescent="0.3">
      <c r="A86" s="533"/>
      <c r="B86" s="534" t="s">
        <v>27</v>
      </c>
      <c r="C86" s="534"/>
      <c r="D86" s="534"/>
      <c r="E86" s="534"/>
      <c r="F86" s="534"/>
      <c r="G86" s="534"/>
      <c r="H86" s="535"/>
      <c r="I86" s="535"/>
      <c r="J86" s="535"/>
      <c r="K86" s="535"/>
      <c r="L86" s="536" t="s">
        <v>96</v>
      </c>
      <c r="M86" s="535"/>
      <c r="N86" s="537">
        <f>+T201</f>
        <v>43738</v>
      </c>
      <c r="O86" s="535"/>
      <c r="P86" s="535"/>
      <c r="Q86" s="535"/>
      <c r="R86" s="535"/>
      <c r="S86" s="535"/>
      <c r="T86" s="535" t="s">
        <v>109</v>
      </c>
      <c r="U86" s="535"/>
      <c r="V86" s="535" t="s">
        <v>116</v>
      </c>
      <c r="W86" s="538"/>
      <c r="X86" s="406"/>
    </row>
    <row r="87" spans="1:24" s="426" customFormat="1" x14ac:dyDescent="0.3">
      <c r="A87" s="439"/>
      <c r="B87" s="440" t="s">
        <v>28</v>
      </c>
      <c r="C87" s="440"/>
      <c r="D87" s="440"/>
      <c r="E87" s="440"/>
      <c r="F87" s="440"/>
      <c r="G87" s="440"/>
      <c r="H87" s="440"/>
      <c r="I87" s="440"/>
      <c r="J87" s="440"/>
      <c r="K87" s="440"/>
      <c r="L87" s="440"/>
      <c r="M87" s="440"/>
      <c r="N87" s="440"/>
      <c r="O87" s="440"/>
      <c r="P87" s="440"/>
      <c r="Q87" s="440"/>
      <c r="R87" s="440"/>
      <c r="S87" s="440"/>
      <c r="T87" s="539">
        <v>0</v>
      </c>
      <c r="U87" s="440"/>
      <c r="V87" s="540">
        <v>0</v>
      </c>
      <c r="W87" s="442"/>
      <c r="X87" s="425"/>
    </row>
    <row r="88" spans="1:24" s="426" customFormat="1" x14ac:dyDescent="0.3">
      <c r="A88" s="443"/>
      <c r="B88" s="444" t="s">
        <v>29</v>
      </c>
      <c r="C88" s="444"/>
      <c r="D88" s="444"/>
      <c r="E88" s="444"/>
      <c r="F88" s="444"/>
      <c r="G88" s="444"/>
      <c r="H88" s="482"/>
      <c r="I88" s="482"/>
      <c r="J88" s="482"/>
      <c r="K88" s="541"/>
      <c r="L88" s="482"/>
      <c r="M88" s="444"/>
      <c r="N88" s="542"/>
      <c r="O88" s="444"/>
      <c r="P88" s="444"/>
      <c r="Q88" s="444"/>
      <c r="R88" s="444"/>
      <c r="S88" s="444"/>
      <c r="T88" s="516">
        <f>14032-524</f>
        <v>13508</v>
      </c>
      <c r="U88" s="444"/>
      <c r="V88" s="517"/>
      <c r="W88" s="446"/>
      <c r="X88" s="425"/>
    </row>
    <row r="89" spans="1:24" s="426" customFormat="1" x14ac:dyDescent="0.3">
      <c r="A89" s="443"/>
      <c r="B89" s="444" t="s">
        <v>219</v>
      </c>
      <c r="C89" s="444"/>
      <c r="D89" s="444"/>
      <c r="E89" s="444"/>
      <c r="F89" s="444"/>
      <c r="G89" s="444"/>
      <c r="H89" s="482"/>
      <c r="I89" s="482"/>
      <c r="J89" s="482"/>
      <c r="K89" s="541"/>
      <c r="L89" s="482"/>
      <c r="M89" s="444"/>
      <c r="N89" s="542"/>
      <c r="O89" s="444"/>
      <c r="P89" s="444"/>
      <c r="Q89" s="444"/>
      <c r="R89" s="444"/>
      <c r="S89" s="444"/>
      <c r="T89" s="516"/>
      <c r="U89" s="444"/>
      <c r="V89" s="517">
        <f>3686+2191-1055-739</f>
        <v>4083</v>
      </c>
      <c r="W89" s="446"/>
      <c r="X89" s="425"/>
    </row>
    <row r="90" spans="1:24" s="426" customFormat="1" x14ac:dyDescent="0.3">
      <c r="A90" s="443"/>
      <c r="B90" s="444" t="s">
        <v>214</v>
      </c>
      <c r="C90" s="444"/>
      <c r="D90" s="444"/>
      <c r="E90" s="444"/>
      <c r="F90" s="444"/>
      <c r="G90" s="444"/>
      <c r="H90" s="482"/>
      <c r="I90" s="482"/>
      <c r="J90" s="482"/>
      <c r="K90" s="541"/>
      <c r="L90" s="482"/>
      <c r="M90" s="444"/>
      <c r="N90" s="542"/>
      <c r="O90" s="444"/>
      <c r="P90" s="444"/>
      <c r="Q90" s="444"/>
      <c r="R90" s="444"/>
      <c r="S90" s="444"/>
      <c r="T90" s="516"/>
      <c r="U90" s="444"/>
      <c r="V90" s="517">
        <f>239+50</f>
        <v>289</v>
      </c>
      <c r="W90" s="446"/>
      <c r="X90" s="425"/>
    </row>
    <row r="91" spans="1:24" s="426" customFormat="1" x14ac:dyDescent="0.3">
      <c r="A91" s="443"/>
      <c r="B91" s="444" t="s">
        <v>215</v>
      </c>
      <c r="C91" s="444"/>
      <c r="D91" s="444"/>
      <c r="E91" s="444"/>
      <c r="F91" s="444"/>
      <c r="G91" s="444"/>
      <c r="H91" s="482"/>
      <c r="I91" s="482"/>
      <c r="J91" s="482"/>
      <c r="K91" s="541"/>
      <c r="L91" s="482"/>
      <c r="M91" s="444"/>
      <c r="N91" s="542"/>
      <c r="O91" s="444"/>
      <c r="P91" s="444"/>
      <c r="Q91" s="444"/>
      <c r="R91" s="444"/>
      <c r="S91" s="444"/>
      <c r="T91" s="516"/>
      <c r="U91" s="444"/>
      <c r="V91" s="517">
        <v>74</v>
      </c>
      <c r="W91" s="446"/>
      <c r="X91" s="425"/>
    </row>
    <row r="92" spans="1:24" s="426" customFormat="1" x14ac:dyDescent="0.3">
      <c r="A92" s="443"/>
      <c r="B92" s="444" t="s">
        <v>277</v>
      </c>
      <c r="C92" s="444"/>
      <c r="D92" s="444"/>
      <c r="E92" s="444"/>
      <c r="F92" s="444"/>
      <c r="G92" s="444"/>
      <c r="H92" s="482"/>
      <c r="I92" s="482"/>
      <c r="J92" s="482"/>
      <c r="K92" s="541"/>
      <c r="L92" s="482"/>
      <c r="M92" s="444"/>
      <c r="N92" s="542"/>
      <c r="O92" s="444"/>
      <c r="P92" s="444"/>
      <c r="Q92" s="444"/>
      <c r="R92" s="444"/>
      <c r="S92" s="444"/>
      <c r="T92" s="516"/>
      <c r="U92" s="444"/>
      <c r="V92" s="517">
        <v>0</v>
      </c>
      <c r="W92" s="446"/>
      <c r="X92" s="425"/>
    </row>
    <row r="93" spans="1:24" s="426" customFormat="1" x14ac:dyDescent="0.3">
      <c r="A93" s="443"/>
      <c r="B93" s="444" t="s">
        <v>138</v>
      </c>
      <c r="C93" s="444"/>
      <c r="D93" s="444"/>
      <c r="E93" s="444"/>
      <c r="F93" s="444"/>
      <c r="G93" s="444"/>
      <c r="H93" s="444"/>
      <c r="I93" s="444"/>
      <c r="J93" s="444"/>
      <c r="K93" s="444"/>
      <c r="L93" s="444"/>
      <c r="M93" s="444"/>
      <c r="N93" s="444"/>
      <c r="O93" s="444"/>
      <c r="P93" s="444"/>
      <c r="Q93" s="444"/>
      <c r="R93" s="444"/>
      <c r="S93" s="444"/>
      <c r="T93" s="516"/>
      <c r="U93" s="444"/>
      <c r="V93" s="517">
        <v>0</v>
      </c>
      <c r="W93" s="446"/>
      <c r="X93" s="425"/>
    </row>
    <row r="94" spans="1:24" s="426" customFormat="1" x14ac:dyDescent="0.3">
      <c r="A94" s="443"/>
      <c r="B94" s="444" t="s">
        <v>265</v>
      </c>
      <c r="C94" s="444"/>
      <c r="D94" s="444"/>
      <c r="E94" s="444"/>
      <c r="F94" s="444"/>
      <c r="G94" s="444"/>
      <c r="H94" s="444"/>
      <c r="I94" s="444"/>
      <c r="J94" s="444"/>
      <c r="K94" s="444"/>
      <c r="L94" s="444"/>
      <c r="M94" s="444"/>
      <c r="N94" s="444"/>
      <c r="O94" s="444"/>
      <c r="P94" s="444"/>
      <c r="Q94" s="444"/>
      <c r="R94" s="444"/>
      <c r="S94" s="444"/>
      <c r="T94" s="516"/>
      <c r="U94" s="444"/>
      <c r="V94" s="517">
        <v>43</v>
      </c>
      <c r="W94" s="446"/>
      <c r="X94" s="425"/>
    </row>
    <row r="95" spans="1:24" s="426" customFormat="1" x14ac:dyDescent="0.3">
      <c r="A95" s="443"/>
      <c r="B95" s="444" t="s">
        <v>30</v>
      </c>
      <c r="C95" s="444"/>
      <c r="D95" s="444"/>
      <c r="E95" s="444"/>
      <c r="F95" s="444"/>
      <c r="G95" s="444"/>
      <c r="H95" s="444"/>
      <c r="I95" s="444"/>
      <c r="J95" s="444"/>
      <c r="K95" s="444"/>
      <c r="L95" s="444"/>
      <c r="M95" s="444"/>
      <c r="N95" s="444"/>
      <c r="O95" s="444"/>
      <c r="P95" s="444"/>
      <c r="Q95" s="444"/>
      <c r="R95" s="444"/>
      <c r="S95" s="444"/>
      <c r="T95" s="516">
        <f>SUM(T87:T94)</f>
        <v>13508</v>
      </c>
      <c r="U95" s="444"/>
      <c r="V95" s="516">
        <f>SUM(V87:V94)</f>
        <v>4489</v>
      </c>
      <c r="W95" s="446"/>
      <c r="X95" s="425"/>
    </row>
    <row r="96" spans="1:24" s="426" customFormat="1" x14ac:dyDescent="0.3">
      <c r="A96" s="443"/>
      <c r="B96" s="444" t="s">
        <v>164</v>
      </c>
      <c r="C96" s="444"/>
      <c r="D96" s="444"/>
      <c r="E96" s="444"/>
      <c r="F96" s="444"/>
      <c r="G96" s="444"/>
      <c r="H96" s="444"/>
      <c r="I96" s="444"/>
      <c r="J96" s="444"/>
      <c r="K96" s="444"/>
      <c r="L96" s="444"/>
      <c r="M96" s="444"/>
      <c r="N96" s="444"/>
      <c r="O96" s="444"/>
      <c r="P96" s="444"/>
      <c r="Q96" s="444"/>
      <c r="R96" s="444"/>
      <c r="S96" s="444"/>
      <c r="T96" s="516">
        <f>-V96</f>
        <v>0</v>
      </c>
      <c r="U96" s="444"/>
      <c r="V96" s="516">
        <v>0</v>
      </c>
      <c r="W96" s="446"/>
      <c r="X96" s="425"/>
    </row>
    <row r="97" spans="1:26" s="426" customFormat="1" x14ac:dyDescent="0.3">
      <c r="A97" s="443"/>
      <c r="B97" s="444" t="s">
        <v>31</v>
      </c>
      <c r="C97" s="444"/>
      <c r="D97" s="444"/>
      <c r="E97" s="444"/>
      <c r="F97" s="444"/>
      <c r="G97" s="444"/>
      <c r="H97" s="444"/>
      <c r="I97" s="444"/>
      <c r="J97" s="444"/>
      <c r="K97" s="444"/>
      <c r="L97" s="444"/>
      <c r="M97" s="444"/>
      <c r="N97" s="444"/>
      <c r="O97" s="444"/>
      <c r="P97" s="444"/>
      <c r="Q97" s="444"/>
      <c r="R97" s="444"/>
      <c r="S97" s="444"/>
      <c r="T97" s="516">
        <f>-V97</f>
        <v>0</v>
      </c>
      <c r="U97" s="444"/>
      <c r="V97" s="517">
        <v>0</v>
      </c>
      <c r="W97" s="446"/>
      <c r="X97" s="425"/>
    </row>
    <row r="98" spans="1:26" s="426" customFormat="1" x14ac:dyDescent="0.3">
      <c r="A98" s="443"/>
      <c r="B98" s="444" t="s">
        <v>288</v>
      </c>
      <c r="C98" s="444"/>
      <c r="D98" s="444"/>
      <c r="E98" s="444"/>
      <c r="F98" s="444"/>
      <c r="G98" s="444"/>
      <c r="H98" s="444"/>
      <c r="I98" s="444"/>
      <c r="J98" s="444"/>
      <c r="K98" s="444"/>
      <c r="L98" s="444"/>
      <c r="M98" s="444"/>
      <c r="N98" s="444"/>
      <c r="O98" s="444"/>
      <c r="P98" s="444"/>
      <c r="Q98" s="444"/>
      <c r="R98" s="444"/>
      <c r="S98" s="444"/>
      <c r="T98" s="516"/>
      <c r="U98" s="444"/>
      <c r="V98" s="517">
        <v>318</v>
      </c>
      <c r="W98" s="446"/>
      <c r="X98" s="425"/>
    </row>
    <row r="99" spans="1:26" s="426" customFormat="1" x14ac:dyDescent="0.3">
      <c r="A99" s="443"/>
      <c r="B99" s="444" t="s">
        <v>32</v>
      </c>
      <c r="C99" s="444"/>
      <c r="D99" s="444"/>
      <c r="E99" s="444"/>
      <c r="F99" s="444"/>
      <c r="G99" s="444"/>
      <c r="H99" s="444"/>
      <c r="I99" s="444"/>
      <c r="J99" s="444"/>
      <c r="K99" s="444"/>
      <c r="L99" s="444"/>
      <c r="M99" s="444"/>
      <c r="N99" s="444"/>
      <c r="O99" s="444"/>
      <c r="P99" s="444"/>
      <c r="Q99" s="444"/>
      <c r="R99" s="444"/>
      <c r="S99" s="444"/>
      <c r="T99" s="516">
        <f>T95+T97+T96</f>
        <v>13508</v>
      </c>
      <c r="U99" s="444"/>
      <c r="V99" s="516">
        <f>V95+V97+V96+V98</f>
        <v>4807</v>
      </c>
      <c r="W99" s="446"/>
      <c r="X99" s="425"/>
    </row>
    <row r="100" spans="1:26" x14ac:dyDescent="0.3">
      <c r="A100" s="543"/>
      <c r="B100" s="544" t="s">
        <v>33</v>
      </c>
      <c r="C100" s="465"/>
      <c r="D100" s="465"/>
      <c r="E100" s="465"/>
      <c r="F100" s="465"/>
      <c r="G100" s="465"/>
      <c r="H100" s="465"/>
      <c r="I100" s="465"/>
      <c r="J100" s="465"/>
      <c r="K100" s="465"/>
      <c r="L100" s="465"/>
      <c r="M100" s="465"/>
      <c r="N100" s="465"/>
      <c r="O100" s="465"/>
      <c r="P100" s="465"/>
      <c r="Q100" s="465"/>
      <c r="R100" s="465"/>
      <c r="S100" s="465"/>
      <c r="T100" s="545"/>
      <c r="U100" s="465"/>
      <c r="V100" s="546"/>
      <c r="W100" s="547"/>
      <c r="X100" s="406"/>
    </row>
    <row r="101" spans="1:26" s="426" customFormat="1" x14ac:dyDescent="0.3">
      <c r="A101" s="443">
        <v>1</v>
      </c>
      <c r="B101" s="444" t="s">
        <v>34</v>
      </c>
      <c r="C101" s="444"/>
      <c r="D101" s="444"/>
      <c r="E101" s="444"/>
      <c r="F101" s="444"/>
      <c r="G101" s="444"/>
      <c r="H101" s="444"/>
      <c r="I101" s="444"/>
      <c r="J101" s="444"/>
      <c r="K101" s="444"/>
      <c r="L101" s="444"/>
      <c r="M101" s="444"/>
      <c r="N101" s="444"/>
      <c r="O101" s="444"/>
      <c r="P101" s="444"/>
      <c r="Q101" s="444"/>
      <c r="R101" s="444"/>
      <c r="S101" s="444"/>
      <c r="T101" s="444"/>
      <c r="U101" s="444"/>
      <c r="V101" s="517">
        <v>0</v>
      </c>
      <c r="W101" s="446"/>
      <c r="X101" s="425"/>
    </row>
    <row r="102" spans="1:26" s="426" customFormat="1" x14ac:dyDescent="0.3">
      <c r="A102" s="443">
        <f>+A101+1</f>
        <v>2</v>
      </c>
      <c r="B102" s="444" t="s">
        <v>331</v>
      </c>
      <c r="C102" s="444"/>
      <c r="D102" s="444"/>
      <c r="E102" s="444"/>
      <c r="F102" s="444"/>
      <c r="G102" s="444"/>
      <c r="H102" s="444"/>
      <c r="I102" s="444"/>
      <c r="J102" s="444"/>
      <c r="K102" s="444"/>
      <c r="L102" s="444"/>
      <c r="M102" s="444"/>
      <c r="N102" s="444"/>
      <c r="O102" s="444"/>
      <c r="P102" s="444"/>
      <c r="Q102" s="444"/>
      <c r="R102" s="444"/>
      <c r="S102" s="444"/>
      <c r="T102" s="444"/>
      <c r="U102" s="444"/>
      <c r="V102" s="517">
        <f>-2</f>
        <v>-2</v>
      </c>
      <c r="W102" s="446"/>
      <c r="X102" s="425"/>
    </row>
    <row r="103" spans="1:26" s="426" customFormat="1" x14ac:dyDescent="0.3">
      <c r="A103" s="443">
        <f>+A102+1</f>
        <v>3</v>
      </c>
      <c r="B103" s="548" t="s">
        <v>332</v>
      </c>
      <c r="C103" s="444"/>
      <c r="D103" s="444"/>
      <c r="E103" s="444"/>
      <c r="F103" s="444"/>
      <c r="G103" s="444"/>
      <c r="H103" s="444"/>
      <c r="I103" s="444"/>
      <c r="J103" s="444"/>
      <c r="K103" s="444"/>
      <c r="L103" s="444"/>
      <c r="M103" s="444"/>
      <c r="N103" s="444"/>
      <c r="O103" s="444"/>
      <c r="P103" s="444"/>
      <c r="Q103" s="444"/>
      <c r="R103" s="444"/>
      <c r="S103" s="444"/>
      <c r="T103" s="444"/>
      <c r="U103" s="444"/>
      <c r="V103" s="517">
        <f>-274-100-10</f>
        <v>-384</v>
      </c>
      <c r="W103" s="446"/>
      <c r="X103" s="425"/>
    </row>
    <row r="104" spans="1:26" s="426" customFormat="1" x14ac:dyDescent="0.3">
      <c r="A104" s="443" t="s">
        <v>130</v>
      </c>
      <c r="B104" s="444" t="s">
        <v>119</v>
      </c>
      <c r="C104" s="444"/>
      <c r="D104" s="444"/>
      <c r="E104" s="444"/>
      <c r="F104" s="444"/>
      <c r="G104" s="444"/>
      <c r="H104" s="444"/>
      <c r="I104" s="444"/>
      <c r="J104" s="444"/>
      <c r="K104" s="444"/>
      <c r="L104" s="444"/>
      <c r="M104" s="444"/>
      <c r="N104" s="444"/>
      <c r="O104" s="444"/>
      <c r="P104" s="444"/>
      <c r="Q104" s="444"/>
      <c r="R104" s="444"/>
      <c r="S104" s="444"/>
      <c r="T104" s="444"/>
      <c r="U104" s="444"/>
      <c r="V104" s="517">
        <v>0</v>
      </c>
      <c r="W104" s="446"/>
      <c r="X104" s="425"/>
    </row>
    <row r="105" spans="1:26" s="426" customFormat="1" x14ac:dyDescent="0.3">
      <c r="A105" s="443" t="s">
        <v>131</v>
      </c>
      <c r="B105" s="444" t="s">
        <v>362</v>
      </c>
      <c r="C105" s="444"/>
      <c r="D105" s="444"/>
      <c r="E105" s="444"/>
      <c r="F105" s="444"/>
      <c r="G105" s="444"/>
      <c r="H105" s="444"/>
      <c r="I105" s="444"/>
      <c r="J105" s="444"/>
      <c r="K105" s="444"/>
      <c r="L105" s="444"/>
      <c r="M105" s="444"/>
      <c r="N105" s="444"/>
      <c r="O105" s="444"/>
      <c r="P105" s="444"/>
      <c r="Q105" s="444"/>
      <c r="R105" s="444"/>
      <c r="S105" s="444"/>
      <c r="T105" s="444"/>
      <c r="U105" s="444"/>
      <c r="V105" s="517">
        <f>-830-130</f>
        <v>-960</v>
      </c>
      <c r="W105" s="446"/>
      <c r="X105" s="425"/>
      <c r="Y105" s="549"/>
      <c r="Z105" s="549"/>
    </row>
    <row r="106" spans="1:26" s="426" customFormat="1" x14ac:dyDescent="0.3">
      <c r="A106" s="443" t="s">
        <v>153</v>
      </c>
      <c r="B106" s="444" t="s">
        <v>363</v>
      </c>
      <c r="C106" s="444"/>
      <c r="D106" s="444"/>
      <c r="E106" s="444"/>
      <c r="F106" s="444"/>
      <c r="G106" s="444"/>
      <c r="H106" s="444"/>
      <c r="I106" s="444"/>
      <c r="J106" s="444"/>
      <c r="K106" s="444"/>
      <c r="L106" s="444"/>
      <c r="M106" s="444"/>
      <c r="N106" s="444"/>
      <c r="O106" s="444"/>
      <c r="P106" s="444"/>
      <c r="Q106" s="444"/>
      <c r="R106" s="444"/>
      <c r="S106" s="444"/>
      <c r="T106" s="444"/>
      <c r="U106" s="444"/>
      <c r="V106" s="517">
        <f>-225-195</f>
        <v>-420</v>
      </c>
      <c r="W106" s="446"/>
      <c r="X106" s="425"/>
      <c r="Y106" s="549"/>
    </row>
    <row r="107" spans="1:26" s="426" customFormat="1" x14ac:dyDescent="0.3">
      <c r="A107" s="443" t="s">
        <v>266</v>
      </c>
      <c r="B107" s="444" t="s">
        <v>269</v>
      </c>
      <c r="C107" s="444"/>
      <c r="D107" s="444"/>
      <c r="E107" s="444"/>
      <c r="F107" s="444"/>
      <c r="G107" s="444"/>
      <c r="H107" s="444"/>
      <c r="I107" s="444"/>
      <c r="J107" s="444"/>
      <c r="K107" s="444"/>
      <c r="L107" s="444"/>
      <c r="M107" s="444"/>
      <c r="N107" s="444"/>
      <c r="O107" s="444"/>
      <c r="P107" s="444"/>
      <c r="Q107" s="444"/>
      <c r="R107" s="444"/>
      <c r="S107" s="444"/>
      <c r="T107" s="444"/>
      <c r="U107" s="444"/>
      <c r="V107" s="517">
        <v>0</v>
      </c>
      <c r="W107" s="446"/>
      <c r="X107" s="425"/>
    </row>
    <row r="108" spans="1:26" s="426" customFormat="1" x14ac:dyDescent="0.3">
      <c r="A108" s="443" t="s">
        <v>208</v>
      </c>
      <c r="B108" s="444" t="s">
        <v>188</v>
      </c>
      <c r="C108" s="444"/>
      <c r="D108" s="444"/>
      <c r="E108" s="444"/>
      <c r="F108" s="444"/>
      <c r="G108" s="444"/>
      <c r="H108" s="444"/>
      <c r="I108" s="444"/>
      <c r="J108" s="444"/>
      <c r="K108" s="444"/>
      <c r="L108" s="444"/>
      <c r="M108" s="444"/>
      <c r="N108" s="444"/>
      <c r="O108" s="444"/>
      <c r="P108" s="444"/>
      <c r="Q108" s="444"/>
      <c r="R108" s="444"/>
      <c r="S108" s="444"/>
      <c r="T108" s="444"/>
      <c r="U108" s="444"/>
      <c r="V108" s="517">
        <v>-160</v>
      </c>
      <c r="W108" s="446"/>
      <c r="X108" s="425"/>
      <c r="Y108" s="549"/>
    </row>
    <row r="109" spans="1:26" s="426" customFormat="1" x14ac:dyDescent="0.3">
      <c r="A109" s="443" t="s">
        <v>209</v>
      </c>
      <c r="B109" s="444" t="s">
        <v>189</v>
      </c>
      <c r="C109" s="444"/>
      <c r="D109" s="444"/>
      <c r="E109" s="444"/>
      <c r="F109" s="444"/>
      <c r="G109" s="444"/>
      <c r="H109" s="444"/>
      <c r="I109" s="444"/>
      <c r="J109" s="444"/>
      <c r="K109" s="444"/>
      <c r="L109" s="444"/>
      <c r="M109" s="444"/>
      <c r="N109" s="444"/>
      <c r="O109" s="444"/>
      <c r="P109" s="444"/>
      <c r="Q109" s="444"/>
      <c r="R109" s="444"/>
      <c r="S109" s="444"/>
      <c r="T109" s="444"/>
      <c r="U109" s="444"/>
      <c r="V109" s="517">
        <v>-157</v>
      </c>
      <c r="W109" s="446"/>
      <c r="X109" s="425"/>
      <c r="Y109" s="549"/>
    </row>
    <row r="110" spans="1:26" s="426" customFormat="1" x14ac:dyDescent="0.3">
      <c r="A110" s="443" t="s">
        <v>210</v>
      </c>
      <c r="B110" s="444" t="s">
        <v>199</v>
      </c>
      <c r="C110" s="444"/>
      <c r="D110" s="444"/>
      <c r="E110" s="444"/>
      <c r="F110" s="444"/>
      <c r="G110" s="444"/>
      <c r="H110" s="444"/>
      <c r="I110" s="444"/>
      <c r="J110" s="444"/>
      <c r="K110" s="444"/>
      <c r="L110" s="444"/>
      <c r="M110" s="444"/>
      <c r="N110" s="444"/>
      <c r="O110" s="444"/>
      <c r="P110" s="444"/>
      <c r="Q110" s="444"/>
      <c r="R110" s="444"/>
      <c r="S110" s="444"/>
      <c r="T110" s="444"/>
      <c r="U110" s="444"/>
      <c r="V110" s="517">
        <v>-209</v>
      </c>
      <c r="W110" s="446"/>
      <c r="X110" s="425"/>
      <c r="Y110" s="549"/>
    </row>
    <row r="111" spans="1:26" s="426" customFormat="1" x14ac:dyDescent="0.3">
      <c r="A111" s="443" t="s">
        <v>230</v>
      </c>
      <c r="B111" s="444" t="s">
        <v>229</v>
      </c>
      <c r="C111" s="444"/>
      <c r="D111" s="444"/>
      <c r="E111" s="444"/>
      <c r="F111" s="444"/>
      <c r="G111" s="444"/>
      <c r="H111" s="444"/>
      <c r="I111" s="444"/>
      <c r="J111" s="444"/>
      <c r="K111" s="444"/>
      <c r="L111" s="444"/>
      <c r="M111" s="444"/>
      <c r="N111" s="444"/>
      <c r="O111" s="444"/>
      <c r="P111" s="444"/>
      <c r="Q111" s="444"/>
      <c r="R111" s="444"/>
      <c r="S111" s="444"/>
      <c r="T111" s="444"/>
      <c r="U111" s="444"/>
      <c r="V111" s="517">
        <v>-49</v>
      </c>
      <c r="W111" s="446"/>
      <c r="X111" s="425"/>
      <c r="Y111" s="549"/>
    </row>
    <row r="112" spans="1:26" s="426" customFormat="1" x14ac:dyDescent="0.3">
      <c r="A112" s="550">
        <v>7</v>
      </c>
      <c r="B112" s="548" t="s">
        <v>333</v>
      </c>
      <c r="C112" s="548"/>
      <c r="D112" s="548"/>
      <c r="E112" s="548"/>
      <c r="F112" s="548"/>
      <c r="G112" s="444"/>
      <c r="H112" s="444"/>
      <c r="I112" s="444"/>
      <c r="J112" s="444"/>
      <c r="K112" s="444"/>
      <c r="L112" s="444"/>
      <c r="M112" s="444"/>
      <c r="N112" s="444"/>
      <c r="O112" s="444"/>
      <c r="P112" s="444"/>
      <c r="Q112" s="444"/>
      <c r="R112" s="444"/>
      <c r="S112" s="444"/>
      <c r="T112" s="444"/>
      <c r="U112" s="444"/>
      <c r="V112" s="517">
        <v>0</v>
      </c>
      <c r="W112" s="446"/>
      <c r="X112" s="425"/>
      <c r="Y112" s="549"/>
    </row>
    <row r="113" spans="1:24" s="426" customFormat="1" x14ac:dyDescent="0.3">
      <c r="A113" s="443">
        <f t="shared" ref="A113:A123" si="0">+A112+1</f>
        <v>8</v>
      </c>
      <c r="B113" s="444" t="s">
        <v>35</v>
      </c>
      <c r="C113" s="444"/>
      <c r="D113" s="444"/>
      <c r="E113" s="444"/>
      <c r="F113" s="444"/>
      <c r="G113" s="444"/>
      <c r="H113" s="444"/>
      <c r="I113" s="444"/>
      <c r="J113" s="444"/>
      <c r="K113" s="444"/>
      <c r="L113" s="444"/>
      <c r="M113" s="444"/>
      <c r="N113" s="444"/>
      <c r="O113" s="444"/>
      <c r="P113" s="444"/>
      <c r="Q113" s="444"/>
      <c r="R113" s="444"/>
      <c r="S113" s="444"/>
      <c r="T113" s="444"/>
      <c r="U113" s="444"/>
      <c r="V113" s="517">
        <v>-10</v>
      </c>
      <c r="W113" s="446"/>
      <c r="X113" s="425"/>
    </row>
    <row r="114" spans="1:24" s="426" customFormat="1" x14ac:dyDescent="0.3">
      <c r="A114" s="443">
        <f t="shared" si="0"/>
        <v>9</v>
      </c>
      <c r="B114" s="444" t="s">
        <v>45</v>
      </c>
      <c r="C114" s="444"/>
      <c r="D114" s="444"/>
      <c r="E114" s="444"/>
      <c r="F114" s="444"/>
      <c r="G114" s="444"/>
      <c r="H114" s="444"/>
      <c r="I114" s="444"/>
      <c r="J114" s="444"/>
      <c r="K114" s="444"/>
      <c r="L114" s="444"/>
      <c r="M114" s="444"/>
      <c r="N114" s="444"/>
      <c r="O114" s="444"/>
      <c r="P114" s="444"/>
      <c r="Q114" s="444"/>
      <c r="R114" s="444"/>
      <c r="S114" s="444"/>
      <c r="T114" s="516">
        <f>-V114</f>
        <v>524</v>
      </c>
      <c r="U114" s="444"/>
      <c r="V114" s="517">
        <v>-524</v>
      </c>
      <c r="W114" s="446"/>
      <c r="X114" s="425"/>
    </row>
    <row r="115" spans="1:24" s="426" customFormat="1" x14ac:dyDescent="0.3">
      <c r="A115" s="443">
        <f t="shared" si="0"/>
        <v>10</v>
      </c>
      <c r="B115" s="444" t="s">
        <v>128</v>
      </c>
      <c r="C115" s="444"/>
      <c r="D115" s="444"/>
      <c r="E115" s="444"/>
      <c r="F115" s="444"/>
      <c r="G115" s="444"/>
      <c r="H115" s="444"/>
      <c r="I115" s="444"/>
      <c r="J115" s="444"/>
      <c r="K115" s="444"/>
      <c r="L115" s="444"/>
      <c r="M115" s="444"/>
      <c r="N115" s="444"/>
      <c r="O115" s="444"/>
      <c r="P115" s="444"/>
      <c r="Q115" s="444"/>
      <c r="R115" s="444"/>
      <c r="S115" s="444"/>
      <c r="T115" s="444"/>
      <c r="U115" s="444"/>
      <c r="V115" s="517">
        <v>0</v>
      </c>
      <c r="W115" s="446"/>
      <c r="X115" s="425"/>
    </row>
    <row r="116" spans="1:24" s="426" customFormat="1" x14ac:dyDescent="0.3">
      <c r="A116" s="443">
        <f t="shared" si="0"/>
        <v>11</v>
      </c>
      <c r="B116" s="444" t="s">
        <v>271</v>
      </c>
      <c r="C116" s="444"/>
      <c r="D116" s="444"/>
      <c r="E116" s="444"/>
      <c r="F116" s="444"/>
      <c r="G116" s="444"/>
      <c r="H116" s="444"/>
      <c r="I116" s="444"/>
      <c r="J116" s="444"/>
      <c r="K116" s="444"/>
      <c r="L116" s="444"/>
      <c r="M116" s="444"/>
      <c r="N116" s="444"/>
      <c r="O116" s="444"/>
      <c r="P116" s="444"/>
      <c r="Q116" s="444"/>
      <c r="R116" s="444"/>
      <c r="S116" s="444"/>
      <c r="T116" s="444"/>
      <c r="U116" s="444"/>
      <c r="V116" s="517">
        <v>0</v>
      </c>
      <c r="W116" s="446"/>
      <c r="X116" s="425"/>
    </row>
    <row r="117" spans="1:24" s="426" customFormat="1" x14ac:dyDescent="0.3">
      <c r="A117" s="443">
        <f t="shared" si="0"/>
        <v>12</v>
      </c>
      <c r="B117" s="444" t="s">
        <v>36</v>
      </c>
      <c r="C117" s="444"/>
      <c r="D117" s="444"/>
      <c r="E117" s="444"/>
      <c r="F117" s="444"/>
      <c r="G117" s="444"/>
      <c r="H117" s="444"/>
      <c r="I117" s="444"/>
      <c r="J117" s="444"/>
      <c r="K117" s="444"/>
      <c r="L117" s="444"/>
      <c r="M117" s="444"/>
      <c r="N117" s="444"/>
      <c r="O117" s="444"/>
      <c r="P117" s="444"/>
      <c r="Q117" s="444"/>
      <c r="R117" s="444"/>
      <c r="S117" s="444"/>
      <c r="T117" s="444"/>
      <c r="U117" s="444"/>
      <c r="V117" s="517">
        <v>0</v>
      </c>
      <c r="W117" s="446"/>
      <c r="X117" s="425"/>
    </row>
    <row r="118" spans="1:24" s="426" customFormat="1" x14ac:dyDescent="0.3">
      <c r="A118" s="443">
        <f t="shared" si="0"/>
        <v>13</v>
      </c>
      <c r="B118" s="444" t="s">
        <v>270</v>
      </c>
      <c r="C118" s="444"/>
      <c r="D118" s="444"/>
      <c r="E118" s="444"/>
      <c r="F118" s="444"/>
      <c r="G118" s="444"/>
      <c r="H118" s="444"/>
      <c r="I118" s="444"/>
      <c r="J118" s="444"/>
      <c r="K118" s="444"/>
      <c r="L118" s="444"/>
      <c r="M118" s="444"/>
      <c r="N118" s="444"/>
      <c r="O118" s="444"/>
      <c r="P118" s="444"/>
      <c r="Q118" s="444"/>
      <c r="R118" s="444"/>
      <c r="S118" s="444"/>
      <c r="T118" s="444"/>
      <c r="U118" s="444"/>
      <c r="V118" s="517">
        <v>0</v>
      </c>
      <c r="W118" s="446"/>
      <c r="X118" s="425"/>
    </row>
    <row r="119" spans="1:24" s="426" customFormat="1" x14ac:dyDescent="0.3">
      <c r="A119" s="443">
        <f t="shared" si="0"/>
        <v>14</v>
      </c>
      <c r="B119" s="444" t="s">
        <v>152</v>
      </c>
      <c r="C119" s="444"/>
      <c r="D119" s="444"/>
      <c r="E119" s="444"/>
      <c r="F119" s="444"/>
      <c r="G119" s="444"/>
      <c r="H119" s="444"/>
      <c r="I119" s="444"/>
      <c r="J119" s="444"/>
      <c r="K119" s="444"/>
      <c r="L119" s="444"/>
      <c r="M119" s="444"/>
      <c r="N119" s="444"/>
      <c r="O119" s="444"/>
      <c r="P119" s="444"/>
      <c r="Q119" s="444"/>
      <c r="R119" s="444"/>
      <c r="S119" s="444"/>
      <c r="T119" s="444"/>
      <c r="U119" s="444"/>
      <c r="V119" s="517">
        <v>-274</v>
      </c>
      <c r="W119" s="446"/>
      <c r="X119" s="425"/>
    </row>
    <row r="120" spans="1:24" s="426" customFormat="1" x14ac:dyDescent="0.3">
      <c r="A120" s="443">
        <f t="shared" si="0"/>
        <v>15</v>
      </c>
      <c r="B120" s="548" t="s">
        <v>382</v>
      </c>
      <c r="C120" s="444"/>
      <c r="D120" s="444"/>
      <c r="E120" s="444"/>
      <c r="F120" s="444"/>
      <c r="G120" s="444"/>
      <c r="H120" s="444"/>
      <c r="I120" s="444"/>
      <c r="J120" s="444"/>
      <c r="K120" s="444"/>
      <c r="L120" s="444"/>
      <c r="M120" s="444"/>
      <c r="N120" s="444"/>
      <c r="O120" s="444"/>
      <c r="P120" s="444"/>
      <c r="Q120" s="444"/>
      <c r="R120" s="444"/>
      <c r="S120" s="444"/>
      <c r="T120" s="444"/>
      <c r="U120" s="444"/>
      <c r="V120" s="517">
        <v>-342</v>
      </c>
      <c r="W120" s="446"/>
      <c r="X120" s="425"/>
    </row>
    <row r="121" spans="1:24" s="426" customFormat="1" x14ac:dyDescent="0.3">
      <c r="A121" s="443">
        <f t="shared" si="0"/>
        <v>16</v>
      </c>
      <c r="B121" s="444" t="s">
        <v>383</v>
      </c>
      <c r="C121" s="444"/>
      <c r="D121" s="444"/>
      <c r="E121" s="444"/>
      <c r="F121" s="444"/>
      <c r="G121" s="444"/>
      <c r="H121" s="444"/>
      <c r="I121" s="444"/>
      <c r="J121" s="444"/>
      <c r="K121" s="444"/>
      <c r="L121" s="444"/>
      <c r="M121" s="444"/>
      <c r="N121" s="444"/>
      <c r="O121" s="444"/>
      <c r="P121" s="444"/>
      <c r="Q121" s="444"/>
      <c r="R121" s="444"/>
      <c r="S121" s="444"/>
      <c r="T121" s="444"/>
      <c r="U121" s="444"/>
      <c r="V121" s="517">
        <v>-43</v>
      </c>
      <c r="W121" s="446"/>
      <c r="X121" s="425"/>
    </row>
    <row r="122" spans="1:24" s="426" customFormat="1" x14ac:dyDescent="0.3">
      <c r="A122" s="443">
        <f t="shared" si="0"/>
        <v>17</v>
      </c>
      <c r="B122" s="444" t="s">
        <v>384</v>
      </c>
      <c r="C122" s="444"/>
      <c r="D122" s="444"/>
      <c r="E122" s="444"/>
      <c r="F122" s="444"/>
      <c r="G122" s="444"/>
      <c r="H122" s="444"/>
      <c r="I122" s="444"/>
      <c r="J122" s="444"/>
      <c r="K122" s="444"/>
      <c r="L122" s="444"/>
      <c r="M122" s="444"/>
      <c r="N122" s="444"/>
      <c r="O122" s="444"/>
      <c r="P122" s="444"/>
      <c r="Q122" s="444"/>
      <c r="R122" s="444"/>
      <c r="S122" s="444"/>
      <c r="T122" s="444"/>
      <c r="U122" s="444"/>
      <c r="V122" s="517">
        <v>0</v>
      </c>
      <c r="W122" s="446"/>
      <c r="X122" s="425"/>
    </row>
    <row r="123" spans="1:24" s="426" customFormat="1" x14ac:dyDescent="0.3">
      <c r="A123" s="443">
        <f t="shared" si="0"/>
        <v>18</v>
      </c>
      <c r="B123" s="444" t="s">
        <v>385</v>
      </c>
      <c r="C123" s="444"/>
      <c r="D123" s="444"/>
      <c r="E123" s="444"/>
      <c r="F123" s="444"/>
      <c r="G123" s="444"/>
      <c r="H123" s="444"/>
      <c r="I123" s="444"/>
      <c r="J123" s="444"/>
      <c r="K123" s="444"/>
      <c r="L123" s="444"/>
      <c r="M123" s="444"/>
      <c r="N123" s="444"/>
      <c r="O123" s="444"/>
      <c r="P123" s="444"/>
      <c r="Q123" s="444"/>
      <c r="R123" s="444"/>
      <c r="S123" s="444"/>
      <c r="T123" s="444"/>
      <c r="U123" s="444"/>
      <c r="V123" s="517">
        <f>-V99-SUM(V101:V122)</f>
        <v>-1273</v>
      </c>
      <c r="W123" s="446"/>
      <c r="X123" s="425"/>
    </row>
    <row r="124" spans="1:24" x14ac:dyDescent="0.3">
      <c r="A124" s="543"/>
      <c r="B124" s="544" t="s">
        <v>37</v>
      </c>
      <c r="C124" s="465"/>
      <c r="D124" s="465"/>
      <c r="E124" s="465"/>
      <c r="F124" s="465"/>
      <c r="G124" s="465"/>
      <c r="H124" s="465"/>
      <c r="I124" s="465"/>
      <c r="J124" s="465"/>
      <c r="K124" s="465"/>
      <c r="L124" s="465"/>
      <c r="M124" s="465"/>
      <c r="N124" s="465"/>
      <c r="O124" s="465"/>
      <c r="P124" s="465"/>
      <c r="Q124" s="465"/>
      <c r="R124" s="465"/>
      <c r="S124" s="465"/>
      <c r="T124" s="465"/>
      <c r="U124" s="465"/>
      <c r="V124" s="551"/>
      <c r="W124" s="547"/>
      <c r="X124" s="406"/>
    </row>
    <row r="125" spans="1:24" s="426" customFormat="1" x14ac:dyDescent="0.3">
      <c r="A125" s="443"/>
      <c r="B125" s="444" t="s">
        <v>176</v>
      </c>
      <c r="C125" s="444"/>
      <c r="D125" s="444"/>
      <c r="E125" s="444"/>
      <c r="F125" s="444"/>
      <c r="G125" s="444"/>
      <c r="H125" s="444"/>
      <c r="I125" s="444"/>
      <c r="J125" s="444"/>
      <c r="K125" s="444"/>
      <c r="L125" s="444"/>
      <c r="M125" s="444"/>
      <c r="N125" s="444"/>
      <c r="O125" s="444"/>
      <c r="P125" s="444"/>
      <c r="Q125" s="444"/>
      <c r="R125" s="444"/>
      <c r="S125" s="444"/>
      <c r="T125" s="516">
        <f>-T185</f>
        <v>0</v>
      </c>
      <c r="U125" s="516"/>
      <c r="V125" s="517"/>
      <c r="W125" s="446"/>
      <c r="X125" s="425"/>
    </row>
    <row r="126" spans="1:24" s="426" customFormat="1" x14ac:dyDescent="0.3">
      <c r="A126" s="443"/>
      <c r="B126" s="444" t="s">
        <v>177</v>
      </c>
      <c r="C126" s="444"/>
      <c r="D126" s="444"/>
      <c r="E126" s="444"/>
      <c r="F126" s="444"/>
      <c r="G126" s="444"/>
      <c r="H126" s="444"/>
      <c r="I126" s="444"/>
      <c r="J126" s="444"/>
      <c r="K126" s="444"/>
      <c r="L126" s="444"/>
      <c r="M126" s="444"/>
      <c r="N126" s="444"/>
      <c r="O126" s="444"/>
      <c r="P126" s="444"/>
      <c r="Q126" s="444"/>
      <c r="R126" s="444"/>
      <c r="S126" s="444"/>
      <c r="T126" s="516">
        <v>0</v>
      </c>
      <c r="U126" s="516"/>
      <c r="V126" s="517"/>
      <c r="W126" s="446"/>
      <c r="X126" s="425"/>
    </row>
    <row r="127" spans="1:24" s="426" customFormat="1" x14ac:dyDescent="0.3">
      <c r="A127" s="443"/>
      <c r="B127" s="444" t="s">
        <v>38</v>
      </c>
      <c r="C127" s="444"/>
      <c r="D127" s="444"/>
      <c r="E127" s="444"/>
      <c r="F127" s="444"/>
      <c r="G127" s="444"/>
      <c r="H127" s="444"/>
      <c r="I127" s="444"/>
      <c r="J127" s="444"/>
      <c r="K127" s="444"/>
      <c r="L127" s="444"/>
      <c r="M127" s="444"/>
      <c r="N127" s="444"/>
      <c r="O127" s="444"/>
      <c r="P127" s="444"/>
      <c r="Q127" s="444"/>
      <c r="R127" s="444"/>
      <c r="S127" s="444"/>
      <c r="T127" s="516">
        <f>-S185</f>
        <v>0</v>
      </c>
      <c r="U127" s="516"/>
      <c r="V127" s="517"/>
      <c r="W127" s="446"/>
      <c r="X127" s="425"/>
    </row>
    <row r="128" spans="1:24" s="426" customFormat="1" x14ac:dyDescent="0.3">
      <c r="A128" s="443"/>
      <c r="B128" s="444" t="s">
        <v>386</v>
      </c>
      <c r="C128" s="444"/>
      <c r="D128" s="444"/>
      <c r="E128" s="444"/>
      <c r="F128" s="444"/>
      <c r="G128" s="444"/>
      <c r="H128" s="444"/>
      <c r="I128" s="444"/>
      <c r="J128" s="444"/>
      <c r="K128" s="444"/>
      <c r="L128" s="444"/>
      <c r="M128" s="444"/>
      <c r="N128" s="444"/>
      <c r="O128" s="444"/>
      <c r="P128" s="444"/>
      <c r="Q128" s="444"/>
      <c r="R128" s="444"/>
      <c r="S128" s="444"/>
      <c r="T128" s="516">
        <v>-6444</v>
      </c>
      <c r="U128" s="516"/>
      <c r="V128" s="517"/>
      <c r="W128" s="446"/>
      <c r="X128" s="425"/>
    </row>
    <row r="129" spans="1:24" s="426" customFormat="1" x14ac:dyDescent="0.3">
      <c r="A129" s="443"/>
      <c r="B129" s="444" t="s">
        <v>198</v>
      </c>
      <c r="C129" s="444"/>
      <c r="D129" s="444"/>
      <c r="E129" s="444"/>
      <c r="F129" s="444"/>
      <c r="G129" s="444"/>
      <c r="H129" s="444"/>
      <c r="I129" s="444"/>
      <c r="J129" s="444"/>
      <c r="K129" s="444"/>
      <c r="L129" s="444"/>
      <c r="M129" s="444"/>
      <c r="N129" s="444"/>
      <c r="O129" s="444"/>
      <c r="P129" s="444"/>
      <c r="Q129" s="444"/>
      <c r="R129" s="444"/>
      <c r="S129" s="444"/>
      <c r="T129" s="516">
        <v>-1009</v>
      </c>
      <c r="U129" s="516"/>
      <c r="V129" s="517"/>
      <c r="W129" s="446"/>
      <c r="X129" s="425"/>
    </row>
    <row r="130" spans="1:24" s="426" customFormat="1" x14ac:dyDescent="0.3">
      <c r="A130" s="443"/>
      <c r="B130" s="444" t="s">
        <v>197</v>
      </c>
      <c r="C130" s="444"/>
      <c r="D130" s="444"/>
      <c r="E130" s="444"/>
      <c r="F130" s="444"/>
      <c r="G130" s="444"/>
      <c r="H130" s="444"/>
      <c r="I130" s="444"/>
      <c r="J130" s="444"/>
      <c r="K130" s="444"/>
      <c r="L130" s="444"/>
      <c r="M130" s="444"/>
      <c r="N130" s="444"/>
      <c r="O130" s="444"/>
      <c r="P130" s="444"/>
      <c r="Q130" s="444"/>
      <c r="R130" s="444"/>
      <c r="S130" s="444"/>
      <c r="T130" s="516">
        <v>-1707</v>
      </c>
      <c r="U130" s="516"/>
      <c r="V130" s="517"/>
      <c r="W130" s="446"/>
      <c r="X130" s="425"/>
    </row>
    <row r="131" spans="1:24" s="426" customFormat="1" x14ac:dyDescent="0.3">
      <c r="A131" s="443"/>
      <c r="B131" s="444" t="s">
        <v>232</v>
      </c>
      <c r="C131" s="444"/>
      <c r="D131" s="444"/>
      <c r="E131" s="444"/>
      <c r="F131" s="444"/>
      <c r="G131" s="444"/>
      <c r="H131" s="444"/>
      <c r="I131" s="444"/>
      <c r="J131" s="444"/>
      <c r="K131" s="444"/>
      <c r="L131" s="444"/>
      <c r="M131" s="444"/>
      <c r="N131" s="444"/>
      <c r="O131" s="444"/>
      <c r="P131" s="444"/>
      <c r="Q131" s="444"/>
      <c r="R131" s="444"/>
      <c r="S131" s="444"/>
      <c r="T131" s="516">
        <v>-1504</v>
      </c>
      <c r="U131" s="516"/>
      <c r="V131" s="517"/>
      <c r="W131" s="446"/>
      <c r="X131" s="425"/>
    </row>
    <row r="132" spans="1:24" s="426" customFormat="1" x14ac:dyDescent="0.3">
      <c r="A132" s="443"/>
      <c r="B132" s="444" t="s">
        <v>192</v>
      </c>
      <c r="C132" s="444"/>
      <c r="D132" s="444"/>
      <c r="E132" s="444"/>
      <c r="F132" s="444"/>
      <c r="G132" s="444"/>
      <c r="H132" s="444"/>
      <c r="I132" s="444"/>
      <c r="J132" s="444"/>
      <c r="K132" s="444"/>
      <c r="L132" s="444"/>
      <c r="M132" s="444"/>
      <c r="N132" s="444"/>
      <c r="O132" s="444"/>
      <c r="P132" s="444"/>
      <c r="Q132" s="444"/>
      <c r="R132" s="444"/>
      <c r="S132" s="444"/>
      <c r="T132" s="516">
        <v>-1049</v>
      </c>
      <c r="U132" s="516"/>
      <c r="V132" s="517"/>
      <c r="W132" s="446"/>
      <c r="X132" s="425"/>
    </row>
    <row r="133" spans="1:24" s="426" customFormat="1" x14ac:dyDescent="0.3">
      <c r="A133" s="443"/>
      <c r="B133" s="444" t="s">
        <v>191</v>
      </c>
      <c r="C133" s="444"/>
      <c r="D133" s="444"/>
      <c r="E133" s="444"/>
      <c r="F133" s="444"/>
      <c r="G133" s="444"/>
      <c r="H133" s="444"/>
      <c r="I133" s="444"/>
      <c r="J133" s="444"/>
      <c r="K133" s="444"/>
      <c r="L133" s="444"/>
      <c r="M133" s="444"/>
      <c r="N133" s="444"/>
      <c r="O133" s="444"/>
      <c r="P133" s="444"/>
      <c r="Q133" s="444"/>
      <c r="R133" s="444"/>
      <c r="S133" s="444"/>
      <c r="T133" s="516">
        <v>-1056</v>
      </c>
      <c r="U133" s="516"/>
      <c r="V133" s="517"/>
      <c r="W133" s="446"/>
      <c r="X133" s="425"/>
    </row>
    <row r="134" spans="1:24" s="426" customFormat="1" x14ac:dyDescent="0.3">
      <c r="A134" s="443"/>
      <c r="B134" s="444" t="s">
        <v>233</v>
      </c>
      <c r="C134" s="444"/>
      <c r="D134" s="444"/>
      <c r="E134" s="444"/>
      <c r="F134" s="444"/>
      <c r="G134" s="444"/>
      <c r="H134" s="444"/>
      <c r="I134" s="444"/>
      <c r="J134" s="444"/>
      <c r="K134" s="444"/>
      <c r="L134" s="444"/>
      <c r="M134" s="444"/>
      <c r="N134" s="444"/>
      <c r="O134" s="444"/>
      <c r="P134" s="444"/>
      <c r="Q134" s="444"/>
      <c r="R134" s="444"/>
      <c r="S134" s="444"/>
      <c r="T134" s="516">
        <v>-244</v>
      </c>
      <c r="U134" s="516"/>
      <c r="V134" s="517"/>
      <c r="W134" s="446"/>
      <c r="X134" s="425"/>
    </row>
    <row r="135" spans="1:24" s="426" customFormat="1" x14ac:dyDescent="0.3">
      <c r="A135" s="443"/>
      <c r="B135" s="444" t="s">
        <v>190</v>
      </c>
      <c r="C135" s="444"/>
      <c r="D135" s="444"/>
      <c r="E135" s="444"/>
      <c r="F135" s="444"/>
      <c r="G135" s="444"/>
      <c r="H135" s="444"/>
      <c r="I135" s="444"/>
      <c r="J135" s="444"/>
      <c r="K135" s="444"/>
      <c r="L135" s="444"/>
      <c r="M135" s="444"/>
      <c r="N135" s="444"/>
      <c r="O135" s="444"/>
      <c r="P135" s="444"/>
      <c r="Q135" s="444"/>
      <c r="R135" s="444"/>
      <c r="S135" s="444"/>
      <c r="T135" s="516">
        <v>-1019</v>
      </c>
      <c r="U135" s="516"/>
      <c r="V135" s="517"/>
      <c r="W135" s="446"/>
      <c r="X135" s="425"/>
    </row>
    <row r="136" spans="1:24" s="426" customFormat="1" x14ac:dyDescent="0.3">
      <c r="A136" s="443"/>
      <c r="B136" s="444" t="s">
        <v>39</v>
      </c>
      <c r="C136" s="444"/>
      <c r="D136" s="444"/>
      <c r="E136" s="444"/>
      <c r="F136" s="444"/>
      <c r="G136" s="444"/>
      <c r="H136" s="444"/>
      <c r="I136" s="444"/>
      <c r="J136" s="444"/>
      <c r="K136" s="444"/>
      <c r="L136" s="444"/>
      <c r="M136" s="444"/>
      <c r="N136" s="444"/>
      <c r="O136" s="444"/>
      <c r="P136" s="444"/>
      <c r="Q136" s="444"/>
      <c r="R136" s="444"/>
      <c r="S136" s="444"/>
      <c r="T136" s="516">
        <f>SUM(T125:T135)</f>
        <v>-14032</v>
      </c>
      <c r="U136" s="516"/>
      <c r="V136" s="516">
        <f>SUM(V100:V133)</f>
        <v>-4807</v>
      </c>
      <c r="W136" s="446"/>
      <c r="X136" s="425"/>
    </row>
    <row r="137" spans="1:24" s="426" customFormat="1" x14ac:dyDescent="0.3">
      <c r="A137" s="443"/>
      <c r="B137" s="444" t="s">
        <v>40</v>
      </c>
      <c r="C137" s="444"/>
      <c r="D137" s="444"/>
      <c r="E137" s="444"/>
      <c r="F137" s="444"/>
      <c r="G137" s="444"/>
      <c r="H137" s="444"/>
      <c r="I137" s="444"/>
      <c r="J137" s="444"/>
      <c r="K137" s="444"/>
      <c r="L137" s="444"/>
      <c r="M137" s="444"/>
      <c r="N137" s="444"/>
      <c r="O137" s="444"/>
      <c r="P137" s="444"/>
      <c r="Q137" s="444"/>
      <c r="R137" s="444"/>
      <c r="S137" s="444"/>
      <c r="T137" s="516">
        <f>T99+T136+T114</f>
        <v>0</v>
      </c>
      <c r="U137" s="516"/>
      <c r="V137" s="516">
        <f>V99+V136</f>
        <v>0</v>
      </c>
      <c r="W137" s="446"/>
      <c r="X137" s="425"/>
    </row>
    <row r="138" spans="1:24" s="426" customFormat="1" x14ac:dyDescent="0.3">
      <c r="A138" s="421"/>
      <c r="B138" s="494"/>
      <c r="C138" s="494"/>
      <c r="D138" s="494"/>
      <c r="E138" s="494"/>
      <c r="F138" s="494"/>
      <c r="G138" s="494"/>
      <c r="H138" s="494"/>
      <c r="I138" s="494"/>
      <c r="J138" s="494"/>
      <c r="K138" s="494"/>
      <c r="L138" s="494"/>
      <c r="M138" s="494"/>
      <c r="N138" s="494"/>
      <c r="O138" s="494"/>
      <c r="P138" s="494"/>
      <c r="Q138" s="494"/>
      <c r="R138" s="494"/>
      <c r="S138" s="494"/>
      <c r="T138" s="552"/>
      <c r="U138" s="552"/>
      <c r="V138" s="552"/>
      <c r="W138" s="424"/>
      <c r="X138" s="425"/>
    </row>
    <row r="139" spans="1:24" s="426" customFormat="1" x14ac:dyDescent="0.3">
      <c r="A139" s="421"/>
      <c r="B139" s="422"/>
      <c r="C139" s="422"/>
      <c r="D139" s="422"/>
      <c r="E139" s="422"/>
      <c r="F139" s="422"/>
      <c r="G139" s="422"/>
      <c r="H139" s="422"/>
      <c r="I139" s="422"/>
      <c r="J139" s="422"/>
      <c r="K139" s="422"/>
      <c r="L139" s="422"/>
      <c r="M139" s="422"/>
      <c r="N139" s="422"/>
      <c r="O139" s="422"/>
      <c r="P139" s="422"/>
      <c r="Q139" s="422"/>
      <c r="R139" s="422"/>
      <c r="S139" s="422"/>
      <c r="T139" s="422"/>
      <c r="U139" s="422"/>
      <c r="V139" s="553"/>
      <c r="W139" s="424"/>
      <c r="X139" s="425"/>
    </row>
    <row r="140" spans="1:24" s="426" customFormat="1" ht="18.600000000000001" thickBot="1" x14ac:dyDescent="0.4">
      <c r="A140" s="500"/>
      <c r="B140" s="501" t="str">
        <f>B63</f>
        <v>PM13 INVESTOR REPORT QUARTER ENDING SEPTEMBER 2019</v>
      </c>
      <c r="C140" s="502"/>
      <c r="D140" s="502"/>
      <c r="E140" s="502"/>
      <c r="F140" s="502"/>
      <c r="G140" s="502"/>
      <c r="H140" s="502"/>
      <c r="I140" s="502"/>
      <c r="J140" s="502"/>
      <c r="K140" s="502"/>
      <c r="L140" s="502"/>
      <c r="M140" s="502"/>
      <c r="N140" s="502"/>
      <c r="O140" s="502"/>
      <c r="P140" s="502"/>
      <c r="Q140" s="502"/>
      <c r="R140" s="502"/>
      <c r="S140" s="502"/>
      <c r="T140" s="502"/>
      <c r="U140" s="502"/>
      <c r="V140" s="554"/>
      <c r="W140" s="555"/>
      <c r="X140" s="425"/>
    </row>
    <row r="141" spans="1:24" x14ac:dyDescent="0.3">
      <c r="A141" s="505"/>
      <c r="B141" s="506" t="s">
        <v>41</v>
      </c>
      <c r="C141" s="507"/>
      <c r="D141" s="507"/>
      <c r="E141" s="507"/>
      <c r="F141" s="507"/>
      <c r="G141" s="507"/>
      <c r="H141" s="507"/>
      <c r="I141" s="507"/>
      <c r="J141" s="507"/>
      <c r="K141" s="507"/>
      <c r="L141" s="507"/>
      <c r="M141" s="507"/>
      <c r="N141" s="507"/>
      <c r="O141" s="507"/>
      <c r="P141" s="507"/>
      <c r="Q141" s="507"/>
      <c r="R141" s="507"/>
      <c r="S141" s="507"/>
      <c r="T141" s="507"/>
      <c r="U141" s="507"/>
      <c r="V141" s="508"/>
      <c r="W141" s="509"/>
      <c r="X141" s="406"/>
    </row>
    <row r="142" spans="1:24" x14ac:dyDescent="0.3">
      <c r="A142" s="408"/>
      <c r="B142" s="556"/>
      <c r="C142" s="410"/>
      <c r="D142" s="410"/>
      <c r="E142" s="410"/>
      <c r="F142" s="410"/>
      <c r="G142" s="410"/>
      <c r="H142" s="410"/>
      <c r="I142" s="410"/>
      <c r="J142" s="410"/>
      <c r="K142" s="410"/>
      <c r="L142" s="410"/>
      <c r="M142" s="410"/>
      <c r="N142" s="410"/>
      <c r="O142" s="410"/>
      <c r="P142" s="410"/>
      <c r="Q142" s="410"/>
      <c r="R142" s="410"/>
      <c r="S142" s="410"/>
      <c r="T142" s="410"/>
      <c r="U142" s="410"/>
      <c r="V142" s="510"/>
      <c r="W142" s="411"/>
      <c r="X142" s="406"/>
    </row>
    <row r="143" spans="1:24" x14ac:dyDescent="0.3">
      <c r="A143" s="408"/>
      <c r="B143" s="557" t="s">
        <v>42</v>
      </c>
      <c r="C143" s="410"/>
      <c r="D143" s="410"/>
      <c r="E143" s="410"/>
      <c r="F143" s="410"/>
      <c r="G143" s="410"/>
      <c r="H143" s="410"/>
      <c r="I143" s="410"/>
      <c r="J143" s="410"/>
      <c r="K143" s="410"/>
      <c r="L143" s="410"/>
      <c r="M143" s="410"/>
      <c r="N143" s="410"/>
      <c r="O143" s="410"/>
      <c r="P143" s="410"/>
      <c r="Q143" s="410"/>
      <c r="R143" s="410"/>
      <c r="S143" s="410"/>
      <c r="T143" s="410"/>
      <c r="U143" s="410"/>
      <c r="V143" s="510"/>
      <c r="W143" s="411"/>
      <c r="X143" s="406"/>
    </row>
    <row r="144" spans="1:24" x14ac:dyDescent="0.3">
      <c r="A144" s="543"/>
      <c r="B144" s="444" t="s">
        <v>43</v>
      </c>
      <c r="C144" s="444"/>
      <c r="D144" s="444"/>
      <c r="E144" s="444"/>
      <c r="F144" s="444"/>
      <c r="G144" s="444"/>
      <c r="H144" s="444"/>
      <c r="I144" s="444"/>
      <c r="J144" s="444"/>
      <c r="K144" s="444"/>
      <c r="L144" s="444"/>
      <c r="M144" s="444"/>
      <c r="N144" s="444"/>
      <c r="O144" s="444"/>
      <c r="P144" s="444"/>
      <c r="Q144" s="444"/>
      <c r="R144" s="444"/>
      <c r="S144" s="444"/>
      <c r="T144" s="444"/>
      <c r="U144" s="444"/>
      <c r="V144" s="517">
        <f>+V34*0.019</f>
        <v>28503.61</v>
      </c>
      <c r="W144" s="558"/>
      <c r="X144" s="406"/>
    </row>
    <row r="145" spans="1:25" x14ac:dyDescent="0.3">
      <c r="A145" s="543"/>
      <c r="B145" s="444" t="s">
        <v>44</v>
      </c>
      <c r="C145" s="444"/>
      <c r="D145" s="444"/>
      <c r="E145" s="444"/>
      <c r="F145" s="444"/>
      <c r="G145" s="444"/>
      <c r="H145" s="444"/>
      <c r="I145" s="444"/>
      <c r="J145" s="444"/>
      <c r="K145" s="444"/>
      <c r="L145" s="444"/>
      <c r="M145" s="444"/>
      <c r="N145" s="444"/>
      <c r="O145" s="444"/>
      <c r="P145" s="444"/>
      <c r="Q145" s="444"/>
      <c r="R145" s="444"/>
      <c r="S145" s="444"/>
      <c r="T145" s="444"/>
      <c r="U145" s="444"/>
      <c r="V145" s="517">
        <v>28504</v>
      </c>
      <c r="W145" s="558"/>
      <c r="X145" s="406"/>
    </row>
    <row r="146" spans="1:25" x14ac:dyDescent="0.3">
      <c r="A146" s="543"/>
      <c r="B146" s="444" t="s">
        <v>139</v>
      </c>
      <c r="C146" s="444"/>
      <c r="D146" s="444"/>
      <c r="E146" s="444"/>
      <c r="F146" s="444"/>
      <c r="G146" s="444"/>
      <c r="H146" s="444"/>
      <c r="I146" s="444"/>
      <c r="J146" s="444"/>
      <c r="K146" s="444"/>
      <c r="L146" s="444"/>
      <c r="M146" s="444"/>
      <c r="N146" s="444"/>
      <c r="O146" s="444"/>
      <c r="P146" s="444"/>
      <c r="Q146" s="444"/>
      <c r="R146" s="444"/>
      <c r="S146" s="444"/>
      <c r="T146" s="444"/>
      <c r="U146" s="444"/>
      <c r="V146" s="517"/>
      <c r="W146" s="558"/>
      <c r="X146" s="406"/>
    </row>
    <row r="147" spans="1:25" x14ac:dyDescent="0.3">
      <c r="A147" s="543"/>
      <c r="B147" s="444" t="s">
        <v>126</v>
      </c>
      <c r="C147" s="444"/>
      <c r="D147" s="444"/>
      <c r="E147" s="444"/>
      <c r="F147" s="444"/>
      <c r="G147" s="444"/>
      <c r="H147" s="444"/>
      <c r="I147" s="444"/>
      <c r="J147" s="444"/>
      <c r="K147" s="444"/>
      <c r="L147" s="444"/>
      <c r="M147" s="444"/>
      <c r="N147" s="444"/>
      <c r="O147" s="444"/>
      <c r="P147" s="444"/>
      <c r="Q147" s="444"/>
      <c r="R147" s="444"/>
      <c r="S147" s="444"/>
      <c r="T147" s="444"/>
      <c r="U147" s="444"/>
      <c r="V147" s="517">
        <v>0</v>
      </c>
      <c r="W147" s="558"/>
      <c r="X147" s="406"/>
    </row>
    <row r="148" spans="1:25" x14ac:dyDescent="0.3">
      <c r="A148" s="543"/>
      <c r="B148" s="444" t="s">
        <v>127</v>
      </c>
      <c r="C148" s="444"/>
      <c r="D148" s="444"/>
      <c r="E148" s="444"/>
      <c r="F148" s="444"/>
      <c r="G148" s="444"/>
      <c r="H148" s="444"/>
      <c r="I148" s="444"/>
      <c r="J148" s="444"/>
      <c r="K148" s="444"/>
      <c r="L148" s="444"/>
      <c r="M148" s="444"/>
      <c r="N148" s="444"/>
      <c r="O148" s="444"/>
      <c r="P148" s="444"/>
      <c r="Q148" s="444"/>
      <c r="R148" s="444"/>
      <c r="S148" s="444"/>
      <c r="T148" s="444"/>
      <c r="U148" s="444"/>
      <c r="V148" s="517">
        <v>0</v>
      </c>
      <c r="W148" s="558"/>
      <c r="X148" s="406"/>
    </row>
    <row r="149" spans="1:25" x14ac:dyDescent="0.3">
      <c r="A149" s="543"/>
      <c r="B149" s="444" t="s">
        <v>178</v>
      </c>
      <c r="C149" s="444"/>
      <c r="D149" s="444"/>
      <c r="E149" s="444"/>
      <c r="F149" s="444"/>
      <c r="G149" s="444"/>
      <c r="H149" s="444"/>
      <c r="I149" s="444"/>
      <c r="J149" s="444"/>
      <c r="K149" s="444"/>
      <c r="L149" s="444"/>
      <c r="M149" s="444"/>
      <c r="N149" s="444"/>
      <c r="O149" s="444"/>
      <c r="P149" s="444"/>
      <c r="Q149" s="444"/>
      <c r="R149" s="444"/>
      <c r="S149" s="444"/>
      <c r="T149" s="444"/>
      <c r="U149" s="444"/>
      <c r="V149" s="517">
        <v>0</v>
      </c>
      <c r="W149" s="558"/>
      <c r="X149" s="406"/>
    </row>
    <row r="150" spans="1:25" x14ac:dyDescent="0.3">
      <c r="A150" s="543"/>
      <c r="B150" s="444" t="s">
        <v>45</v>
      </c>
      <c r="C150" s="444"/>
      <c r="D150" s="444"/>
      <c r="E150" s="444"/>
      <c r="F150" s="444"/>
      <c r="G150" s="444"/>
      <c r="H150" s="444"/>
      <c r="I150" s="444"/>
      <c r="J150" s="444"/>
      <c r="K150" s="444"/>
      <c r="L150" s="444"/>
      <c r="M150" s="444"/>
      <c r="N150" s="444"/>
      <c r="O150" s="444"/>
      <c r="P150" s="444"/>
      <c r="Q150" s="444"/>
      <c r="R150" s="444"/>
      <c r="S150" s="444"/>
      <c r="T150" s="444"/>
      <c r="U150" s="444"/>
      <c r="V150" s="517">
        <v>0</v>
      </c>
      <c r="W150" s="558"/>
      <c r="X150" s="406"/>
    </row>
    <row r="151" spans="1:25" x14ac:dyDescent="0.3">
      <c r="A151" s="543"/>
      <c r="B151" s="444" t="s">
        <v>132</v>
      </c>
      <c r="C151" s="444"/>
      <c r="D151" s="444"/>
      <c r="E151" s="444"/>
      <c r="F151" s="444"/>
      <c r="G151" s="444"/>
      <c r="H151" s="444"/>
      <c r="I151" s="444"/>
      <c r="J151" s="444"/>
      <c r="K151" s="444"/>
      <c r="L151" s="444"/>
      <c r="M151" s="444"/>
      <c r="N151" s="444"/>
      <c r="O151" s="444"/>
      <c r="P151" s="444"/>
      <c r="Q151" s="444"/>
      <c r="R151" s="444"/>
      <c r="S151" s="444"/>
      <c r="T151" s="444"/>
      <c r="U151" s="444"/>
      <c r="V151" s="517">
        <v>0</v>
      </c>
      <c r="W151" s="558"/>
      <c r="X151" s="406"/>
    </row>
    <row r="152" spans="1:25" x14ac:dyDescent="0.3">
      <c r="A152" s="543"/>
      <c r="B152" s="444" t="s">
        <v>267</v>
      </c>
      <c r="C152" s="444"/>
      <c r="D152" s="444"/>
      <c r="E152" s="444"/>
      <c r="F152" s="444"/>
      <c r="G152" s="444"/>
      <c r="H152" s="444"/>
      <c r="I152" s="444"/>
      <c r="J152" s="444"/>
      <c r="K152" s="444"/>
      <c r="L152" s="444"/>
      <c r="M152" s="444"/>
      <c r="N152" s="444"/>
      <c r="O152" s="444"/>
      <c r="P152" s="444"/>
      <c r="Q152" s="444"/>
      <c r="R152" s="444"/>
      <c r="S152" s="444"/>
      <c r="T152" s="444"/>
      <c r="U152" s="444"/>
      <c r="V152" s="517">
        <v>0</v>
      </c>
      <c r="W152" s="558"/>
      <c r="X152" s="406"/>
      <c r="Y152" s="559"/>
    </row>
    <row r="153" spans="1:25" x14ac:dyDescent="0.3">
      <c r="A153" s="543"/>
      <c r="B153" s="444" t="s">
        <v>46</v>
      </c>
      <c r="C153" s="444"/>
      <c r="D153" s="444"/>
      <c r="E153" s="444"/>
      <c r="F153" s="444"/>
      <c r="G153" s="444"/>
      <c r="H153" s="444"/>
      <c r="I153" s="444"/>
      <c r="J153" s="444"/>
      <c r="K153" s="444"/>
      <c r="L153" s="444"/>
      <c r="M153" s="444"/>
      <c r="N153" s="444"/>
      <c r="O153" s="444"/>
      <c r="P153" s="444"/>
      <c r="Q153" s="444"/>
      <c r="R153" s="444"/>
      <c r="S153" s="444"/>
      <c r="T153" s="444"/>
      <c r="U153" s="444"/>
      <c r="V153" s="517">
        <f>SUM(V145:V152)</f>
        <v>28504</v>
      </c>
      <c r="W153" s="558"/>
      <c r="X153" s="406"/>
    </row>
    <row r="154" spans="1:25" x14ac:dyDescent="0.3">
      <c r="A154" s="543"/>
      <c r="B154" s="465"/>
      <c r="C154" s="465"/>
      <c r="D154" s="465"/>
      <c r="E154" s="465"/>
      <c r="F154" s="465"/>
      <c r="G154" s="465"/>
      <c r="H154" s="465"/>
      <c r="I154" s="465"/>
      <c r="J154" s="465"/>
      <c r="K154" s="465"/>
      <c r="L154" s="465"/>
      <c r="M154" s="465"/>
      <c r="N154" s="465"/>
      <c r="O154" s="465"/>
      <c r="P154" s="465"/>
      <c r="Q154" s="465"/>
      <c r="R154" s="465"/>
      <c r="S154" s="465"/>
      <c r="T154" s="465"/>
      <c r="U154" s="465"/>
      <c r="V154" s="546"/>
      <c r="W154" s="547"/>
      <c r="X154" s="406"/>
    </row>
    <row r="155" spans="1:25" x14ac:dyDescent="0.3">
      <c r="A155" s="543"/>
      <c r="B155" s="544" t="s">
        <v>268</v>
      </c>
      <c r="C155" s="465"/>
      <c r="D155" s="465"/>
      <c r="E155" s="465"/>
      <c r="F155" s="465"/>
      <c r="G155" s="465"/>
      <c r="H155" s="465"/>
      <c r="I155" s="465"/>
      <c r="J155" s="465"/>
      <c r="K155" s="465"/>
      <c r="L155" s="465"/>
      <c r="M155" s="465"/>
      <c r="N155" s="465"/>
      <c r="O155" s="465"/>
      <c r="P155" s="465"/>
      <c r="Q155" s="465"/>
      <c r="R155" s="465"/>
      <c r="S155" s="465"/>
      <c r="T155" s="465"/>
      <c r="U155" s="465"/>
      <c r="V155" s="546"/>
      <c r="W155" s="547"/>
      <c r="X155" s="406"/>
    </row>
    <row r="156" spans="1:25" x14ac:dyDescent="0.3">
      <c r="A156" s="543"/>
      <c r="B156" s="444" t="s">
        <v>158</v>
      </c>
      <c r="C156" s="444"/>
      <c r="D156" s="444"/>
      <c r="E156" s="444"/>
      <c r="F156" s="444"/>
      <c r="G156" s="444"/>
      <c r="H156" s="444"/>
      <c r="I156" s="444"/>
      <c r="J156" s="444"/>
      <c r="K156" s="444"/>
      <c r="L156" s="444"/>
      <c r="M156" s="444"/>
      <c r="N156" s="444"/>
      <c r="O156" s="444"/>
      <c r="P156" s="444"/>
      <c r="Q156" s="444"/>
      <c r="R156" s="444"/>
      <c r="S156" s="444"/>
      <c r="T156" s="444"/>
      <c r="U156" s="444"/>
      <c r="V156" s="517">
        <v>15000</v>
      </c>
      <c r="W156" s="558"/>
      <c r="X156" s="406"/>
    </row>
    <row r="157" spans="1:25" x14ac:dyDescent="0.3">
      <c r="A157" s="543"/>
      <c r="B157" s="444" t="s">
        <v>175</v>
      </c>
      <c r="C157" s="444"/>
      <c r="D157" s="444"/>
      <c r="E157" s="444"/>
      <c r="F157" s="444"/>
      <c r="G157" s="444"/>
      <c r="H157" s="444"/>
      <c r="I157" s="444"/>
      <c r="J157" s="444"/>
      <c r="K157" s="444"/>
      <c r="L157" s="444"/>
      <c r="M157" s="444"/>
      <c r="N157" s="444"/>
      <c r="O157" s="444"/>
      <c r="P157" s="444"/>
      <c r="Q157" s="444"/>
      <c r="R157" s="444"/>
      <c r="S157" s="444"/>
      <c r="T157" s="444"/>
      <c r="U157" s="444"/>
      <c r="V157" s="517">
        <v>0</v>
      </c>
      <c r="W157" s="558"/>
      <c r="X157" s="406"/>
    </row>
    <row r="158" spans="1:25" x14ac:dyDescent="0.3">
      <c r="A158" s="543"/>
      <c r="B158" s="444" t="s">
        <v>341</v>
      </c>
      <c r="C158" s="444"/>
      <c r="D158" s="444"/>
      <c r="E158" s="444"/>
      <c r="F158" s="444"/>
      <c r="G158" s="444"/>
      <c r="H158" s="444"/>
      <c r="I158" s="444"/>
      <c r="J158" s="444"/>
      <c r="K158" s="444"/>
      <c r="L158" s="444"/>
      <c r="M158" s="444"/>
      <c r="N158" s="444"/>
      <c r="O158" s="444"/>
      <c r="P158" s="444"/>
      <c r="Q158" s="444"/>
      <c r="R158" s="444"/>
      <c r="S158" s="444"/>
      <c r="T158" s="444"/>
      <c r="U158" s="444"/>
      <c r="V158" s="517">
        <v>0</v>
      </c>
      <c r="W158" s="558"/>
      <c r="X158" s="406"/>
    </row>
    <row r="159" spans="1:25" x14ac:dyDescent="0.3">
      <c r="A159" s="543"/>
      <c r="B159" s="465"/>
      <c r="C159" s="465"/>
      <c r="D159" s="465"/>
      <c r="E159" s="465"/>
      <c r="F159" s="465"/>
      <c r="G159" s="465"/>
      <c r="H159" s="465"/>
      <c r="I159" s="465"/>
      <c r="J159" s="465"/>
      <c r="K159" s="465"/>
      <c r="L159" s="465"/>
      <c r="M159" s="465"/>
      <c r="N159" s="465"/>
      <c r="O159" s="465"/>
      <c r="P159" s="465"/>
      <c r="Q159" s="465"/>
      <c r="R159" s="465"/>
      <c r="S159" s="465"/>
      <c r="T159" s="465"/>
      <c r="U159" s="465"/>
      <c r="V159" s="546"/>
      <c r="W159" s="547"/>
      <c r="X159" s="406"/>
    </row>
    <row r="160" spans="1:25" x14ac:dyDescent="0.3">
      <c r="A160" s="408"/>
      <c r="B160" s="518"/>
      <c r="C160" s="518"/>
      <c r="D160" s="518"/>
      <c r="E160" s="518"/>
      <c r="F160" s="518"/>
      <c r="G160" s="518"/>
      <c r="H160" s="518"/>
      <c r="I160" s="518"/>
      <c r="J160" s="518"/>
      <c r="K160" s="518"/>
      <c r="L160" s="518"/>
      <c r="M160" s="518"/>
      <c r="N160" s="518"/>
      <c r="O160" s="518"/>
      <c r="P160" s="518"/>
      <c r="Q160" s="518"/>
      <c r="R160" s="518"/>
      <c r="S160" s="518"/>
      <c r="T160" s="518"/>
      <c r="U160" s="518"/>
      <c r="V160" s="560"/>
      <c r="W160" s="411"/>
      <c r="X160" s="406"/>
    </row>
    <row r="161" spans="1:24" x14ac:dyDescent="0.3">
      <c r="A161" s="408"/>
      <c r="B161" s="557" t="s">
        <v>24</v>
      </c>
      <c r="C161" s="410"/>
      <c r="D161" s="410"/>
      <c r="E161" s="410"/>
      <c r="F161" s="410"/>
      <c r="G161" s="410"/>
      <c r="H161" s="410"/>
      <c r="I161" s="410"/>
      <c r="J161" s="410"/>
      <c r="K161" s="410"/>
      <c r="L161" s="410"/>
      <c r="M161" s="410"/>
      <c r="N161" s="410"/>
      <c r="O161" s="410"/>
      <c r="P161" s="410"/>
      <c r="Q161" s="410"/>
      <c r="R161" s="410"/>
      <c r="S161" s="410"/>
      <c r="T161" s="410"/>
      <c r="U161" s="410"/>
      <c r="V161" s="510"/>
      <c r="W161" s="411"/>
      <c r="X161" s="406"/>
    </row>
    <row r="162" spans="1:24" x14ac:dyDescent="0.3">
      <c r="A162" s="543"/>
      <c r="B162" s="444" t="s">
        <v>47</v>
      </c>
      <c r="C162" s="444"/>
      <c r="D162" s="444"/>
      <c r="E162" s="444"/>
      <c r="F162" s="444"/>
      <c r="G162" s="444"/>
      <c r="H162" s="444"/>
      <c r="I162" s="444"/>
      <c r="J162" s="444"/>
      <c r="K162" s="444"/>
      <c r="L162" s="444"/>
      <c r="M162" s="444"/>
      <c r="N162" s="444"/>
      <c r="O162" s="444"/>
      <c r="P162" s="444"/>
      <c r="Q162" s="444"/>
      <c r="R162" s="444"/>
      <c r="S162" s="444"/>
      <c r="T162" s="444"/>
      <c r="U162" s="444"/>
      <c r="V162" s="561" t="s">
        <v>121</v>
      </c>
      <c r="W162" s="558"/>
      <c r="X162" s="406"/>
    </row>
    <row r="163" spans="1:24" x14ac:dyDescent="0.3">
      <c r="A163" s="543"/>
      <c r="B163" s="444" t="s">
        <v>48</v>
      </c>
      <c r="C163" s="444"/>
      <c r="D163" s="444"/>
      <c r="E163" s="444"/>
      <c r="F163" s="444"/>
      <c r="G163" s="444"/>
      <c r="H163" s="444"/>
      <c r="I163" s="444"/>
      <c r="J163" s="444"/>
      <c r="K163" s="444"/>
      <c r="L163" s="444"/>
      <c r="M163" s="444"/>
      <c r="N163" s="444"/>
      <c r="O163" s="444"/>
      <c r="P163" s="444"/>
      <c r="Q163" s="444"/>
      <c r="R163" s="444"/>
      <c r="S163" s="444"/>
      <c r="T163" s="444"/>
      <c r="U163" s="444"/>
      <c r="V163" s="561" t="s">
        <v>121</v>
      </c>
      <c r="W163" s="558"/>
      <c r="X163" s="406"/>
    </row>
    <row r="164" spans="1:24" x14ac:dyDescent="0.3">
      <c r="A164" s="543"/>
      <c r="B164" s="444" t="s">
        <v>49</v>
      </c>
      <c r="C164" s="444"/>
      <c r="D164" s="444"/>
      <c r="E164" s="444"/>
      <c r="F164" s="444"/>
      <c r="G164" s="444"/>
      <c r="H164" s="444"/>
      <c r="I164" s="444"/>
      <c r="J164" s="444"/>
      <c r="K164" s="444"/>
      <c r="L164" s="444"/>
      <c r="M164" s="444"/>
      <c r="N164" s="444"/>
      <c r="O164" s="444"/>
      <c r="P164" s="444"/>
      <c r="Q164" s="444"/>
      <c r="R164" s="444"/>
      <c r="S164" s="444"/>
      <c r="T164" s="444"/>
      <c r="U164" s="444"/>
      <c r="V164" s="561" t="s">
        <v>121</v>
      </c>
      <c r="W164" s="558"/>
      <c r="X164" s="406"/>
    </row>
    <row r="165" spans="1:24" x14ac:dyDescent="0.3">
      <c r="A165" s="543"/>
      <c r="B165" s="444" t="s">
        <v>50</v>
      </c>
      <c r="C165" s="444"/>
      <c r="D165" s="444"/>
      <c r="E165" s="444"/>
      <c r="F165" s="444"/>
      <c r="G165" s="444"/>
      <c r="H165" s="444"/>
      <c r="I165" s="444"/>
      <c r="J165" s="444"/>
      <c r="K165" s="444"/>
      <c r="L165" s="444"/>
      <c r="M165" s="444"/>
      <c r="N165" s="444"/>
      <c r="O165" s="444"/>
      <c r="P165" s="444"/>
      <c r="Q165" s="444"/>
      <c r="R165" s="444"/>
      <c r="S165" s="444"/>
      <c r="T165" s="444"/>
      <c r="U165" s="444"/>
      <c r="V165" s="561" t="s">
        <v>121</v>
      </c>
      <c r="W165" s="558"/>
      <c r="X165" s="406"/>
    </row>
    <row r="166" spans="1:24" x14ac:dyDescent="0.3">
      <c r="A166" s="408"/>
      <c r="B166" s="518"/>
      <c r="C166" s="518"/>
      <c r="D166" s="518"/>
      <c r="E166" s="518"/>
      <c r="F166" s="518"/>
      <c r="G166" s="518"/>
      <c r="H166" s="518"/>
      <c r="I166" s="518"/>
      <c r="J166" s="518"/>
      <c r="K166" s="518"/>
      <c r="L166" s="518"/>
      <c r="M166" s="518"/>
      <c r="N166" s="518"/>
      <c r="O166" s="518"/>
      <c r="P166" s="518"/>
      <c r="Q166" s="518"/>
      <c r="R166" s="518"/>
      <c r="S166" s="518"/>
      <c r="T166" s="518"/>
      <c r="U166" s="518"/>
      <c r="V166" s="560"/>
      <c r="W166" s="411"/>
      <c r="X166" s="406"/>
    </row>
    <row r="167" spans="1:24" x14ac:dyDescent="0.3">
      <c r="A167" s="408"/>
      <c r="B167" s="557" t="s">
        <v>51</v>
      </c>
      <c r="C167" s="410"/>
      <c r="D167" s="410"/>
      <c r="E167" s="410"/>
      <c r="F167" s="410"/>
      <c r="G167" s="410"/>
      <c r="H167" s="410"/>
      <c r="I167" s="410"/>
      <c r="J167" s="410"/>
      <c r="K167" s="410"/>
      <c r="L167" s="410"/>
      <c r="M167" s="410"/>
      <c r="N167" s="410"/>
      <c r="O167" s="410"/>
      <c r="P167" s="410"/>
      <c r="Q167" s="410"/>
      <c r="R167" s="410"/>
      <c r="S167" s="410"/>
      <c r="T167" s="410"/>
      <c r="U167" s="410"/>
      <c r="V167" s="562"/>
      <c r="W167" s="411"/>
      <c r="X167" s="406"/>
    </row>
    <row r="168" spans="1:24" x14ac:dyDescent="0.3">
      <c r="A168" s="563"/>
      <c r="B168" s="548" t="s">
        <v>52</v>
      </c>
      <c r="C168" s="548"/>
      <c r="D168" s="548"/>
      <c r="E168" s="548"/>
      <c r="F168" s="548"/>
      <c r="G168" s="548"/>
      <c r="H168" s="548"/>
      <c r="I168" s="548"/>
      <c r="J168" s="548"/>
      <c r="K168" s="548"/>
      <c r="L168" s="548"/>
      <c r="M168" s="548"/>
      <c r="N168" s="548"/>
      <c r="O168" s="548"/>
      <c r="P168" s="548"/>
      <c r="Q168" s="548"/>
      <c r="R168" s="548"/>
      <c r="S168" s="548"/>
      <c r="T168" s="548"/>
      <c r="U168" s="548"/>
      <c r="V168" s="564">
        <v>0</v>
      </c>
      <c r="W168" s="565"/>
      <c r="X168" s="406"/>
    </row>
    <row r="169" spans="1:24" x14ac:dyDescent="0.3">
      <c r="A169" s="563"/>
      <c r="B169" s="548" t="s">
        <v>53</v>
      </c>
      <c r="C169" s="548"/>
      <c r="D169" s="548"/>
      <c r="E169" s="548"/>
      <c r="F169" s="548"/>
      <c r="G169" s="548"/>
      <c r="H169" s="548"/>
      <c r="I169" s="548"/>
      <c r="J169" s="548"/>
      <c r="K169" s="548"/>
      <c r="L169" s="548"/>
      <c r="M169" s="548"/>
      <c r="N169" s="548"/>
      <c r="O169" s="548"/>
      <c r="P169" s="548"/>
      <c r="Q169" s="548"/>
      <c r="R169" s="548"/>
      <c r="S169" s="548"/>
      <c r="T169" s="548"/>
      <c r="U169" s="548"/>
      <c r="V169" s="564">
        <v>524</v>
      </c>
      <c r="W169" s="565"/>
      <c r="X169" s="406"/>
    </row>
    <row r="170" spans="1:24" x14ac:dyDescent="0.3">
      <c r="A170" s="563"/>
      <c r="B170" s="548" t="s">
        <v>54</v>
      </c>
      <c r="C170" s="548"/>
      <c r="D170" s="548"/>
      <c r="E170" s="548"/>
      <c r="F170" s="548"/>
      <c r="G170" s="548"/>
      <c r="H170" s="548"/>
      <c r="I170" s="548"/>
      <c r="J170" s="548"/>
      <c r="K170" s="548"/>
      <c r="L170" s="548"/>
      <c r="M170" s="548"/>
      <c r="N170" s="548"/>
      <c r="O170" s="548"/>
      <c r="P170" s="548"/>
      <c r="Q170" s="548"/>
      <c r="R170" s="548"/>
      <c r="S170" s="548"/>
      <c r="T170" s="548"/>
      <c r="U170" s="548"/>
      <c r="V170" s="564">
        <f>V169+V168</f>
        <v>524</v>
      </c>
      <c r="W170" s="565"/>
      <c r="X170" s="406"/>
    </row>
    <row r="171" spans="1:24" x14ac:dyDescent="0.3">
      <c r="A171" s="563"/>
      <c r="B171" s="444" t="s">
        <v>318</v>
      </c>
      <c r="C171" s="548"/>
      <c r="D171" s="548"/>
      <c r="E171" s="548"/>
      <c r="F171" s="548"/>
      <c r="G171" s="548"/>
      <c r="H171" s="548"/>
      <c r="I171" s="548"/>
      <c r="J171" s="548"/>
      <c r="K171" s="548"/>
      <c r="L171" s="548"/>
      <c r="M171" s="548"/>
      <c r="N171" s="548"/>
      <c r="O171" s="548"/>
      <c r="P171" s="548"/>
      <c r="Q171" s="548"/>
      <c r="R171" s="548"/>
      <c r="S171" s="548"/>
      <c r="T171" s="548"/>
      <c r="U171" s="548"/>
      <c r="V171" s="564">
        <f>V114</f>
        <v>-524</v>
      </c>
      <c r="W171" s="565"/>
      <c r="X171" s="406"/>
    </row>
    <row r="172" spans="1:24" x14ac:dyDescent="0.3">
      <c r="A172" s="563"/>
      <c r="B172" s="548" t="s">
        <v>55</v>
      </c>
      <c r="C172" s="548"/>
      <c r="D172" s="548"/>
      <c r="E172" s="548"/>
      <c r="F172" s="548"/>
      <c r="G172" s="548"/>
      <c r="H172" s="548"/>
      <c r="I172" s="548"/>
      <c r="J172" s="548"/>
      <c r="K172" s="548"/>
      <c r="L172" s="548"/>
      <c r="M172" s="548"/>
      <c r="N172" s="548"/>
      <c r="O172" s="548"/>
      <c r="P172" s="548"/>
      <c r="Q172" s="548"/>
      <c r="R172" s="548"/>
      <c r="S172" s="548"/>
      <c r="T172" s="548"/>
      <c r="U172" s="548"/>
      <c r="V172" s="564">
        <f>V170+V171</f>
        <v>0</v>
      </c>
      <c r="W172" s="565"/>
      <c r="X172" s="406"/>
    </row>
    <row r="173" spans="1:24" x14ac:dyDescent="0.3">
      <c r="A173" s="563"/>
      <c r="B173" s="548" t="s">
        <v>288</v>
      </c>
      <c r="C173" s="548"/>
      <c r="D173" s="548"/>
      <c r="E173" s="548"/>
      <c r="F173" s="548"/>
      <c r="G173" s="548"/>
      <c r="H173" s="548"/>
      <c r="I173" s="548"/>
      <c r="J173" s="548"/>
      <c r="K173" s="548"/>
      <c r="L173" s="548"/>
      <c r="M173" s="548"/>
      <c r="N173" s="548"/>
      <c r="O173" s="548"/>
      <c r="P173" s="548"/>
      <c r="Q173" s="548"/>
      <c r="R173" s="548"/>
      <c r="S173" s="548"/>
      <c r="T173" s="548"/>
      <c r="U173" s="548"/>
      <c r="V173" s="564">
        <v>0</v>
      </c>
      <c r="W173" s="565"/>
      <c r="X173" s="406"/>
    </row>
    <row r="174" spans="1:24" ht="16.2" thickBot="1" x14ac:dyDescent="0.35">
      <c r="A174" s="408"/>
      <c r="B174" s="518"/>
      <c r="C174" s="518"/>
      <c r="D174" s="518"/>
      <c r="E174" s="518"/>
      <c r="F174" s="518"/>
      <c r="G174" s="518"/>
      <c r="H174" s="518"/>
      <c r="I174" s="518"/>
      <c r="J174" s="518"/>
      <c r="K174" s="518"/>
      <c r="L174" s="518"/>
      <c r="M174" s="518"/>
      <c r="N174" s="518"/>
      <c r="O174" s="518"/>
      <c r="P174" s="518"/>
      <c r="Q174" s="518"/>
      <c r="R174" s="518"/>
      <c r="S174" s="518"/>
      <c r="T174" s="518"/>
      <c r="U174" s="518"/>
      <c r="V174" s="560"/>
      <c r="W174" s="411"/>
      <c r="X174" s="406"/>
    </row>
    <row r="175" spans="1:24" x14ac:dyDescent="0.3">
      <c r="A175" s="402"/>
      <c r="B175" s="404"/>
      <c r="C175" s="404"/>
      <c r="D175" s="404"/>
      <c r="E175" s="404"/>
      <c r="F175" s="404"/>
      <c r="G175" s="404"/>
      <c r="H175" s="404"/>
      <c r="I175" s="404"/>
      <c r="J175" s="404"/>
      <c r="K175" s="404"/>
      <c r="L175" s="404"/>
      <c r="M175" s="404"/>
      <c r="N175" s="404"/>
      <c r="O175" s="404"/>
      <c r="P175" s="404"/>
      <c r="Q175" s="404"/>
      <c r="R175" s="404"/>
      <c r="S175" s="404"/>
      <c r="T175" s="404"/>
      <c r="U175" s="404"/>
      <c r="V175" s="566"/>
      <c r="W175" s="405"/>
      <c r="X175" s="406"/>
    </row>
    <row r="176" spans="1:24" x14ac:dyDescent="0.3">
      <c r="A176" s="408"/>
      <c r="B176" s="557" t="s">
        <v>56</v>
      </c>
      <c r="C176" s="410"/>
      <c r="D176" s="410"/>
      <c r="E176" s="410"/>
      <c r="F176" s="410"/>
      <c r="G176" s="410"/>
      <c r="H176" s="410"/>
      <c r="I176" s="410"/>
      <c r="J176" s="410"/>
      <c r="K176" s="410"/>
      <c r="L176" s="410"/>
      <c r="M176" s="410"/>
      <c r="N176" s="410"/>
      <c r="O176" s="410"/>
      <c r="P176" s="410"/>
      <c r="Q176" s="410"/>
      <c r="R176" s="410"/>
      <c r="S176" s="410"/>
      <c r="T176" s="410"/>
      <c r="U176" s="410"/>
      <c r="V176" s="510"/>
      <c r="W176" s="411"/>
      <c r="X176" s="406"/>
    </row>
    <row r="177" spans="1:24" x14ac:dyDescent="0.3">
      <c r="A177" s="408"/>
      <c r="B177" s="556"/>
      <c r="C177" s="410"/>
      <c r="D177" s="410"/>
      <c r="E177" s="410"/>
      <c r="F177" s="410"/>
      <c r="G177" s="410"/>
      <c r="H177" s="410"/>
      <c r="I177" s="410"/>
      <c r="J177" s="410"/>
      <c r="K177" s="410"/>
      <c r="L177" s="410"/>
      <c r="M177" s="410"/>
      <c r="N177" s="410"/>
      <c r="O177" s="410"/>
      <c r="P177" s="410"/>
      <c r="Q177" s="410"/>
      <c r="R177" s="410"/>
      <c r="S177" s="410"/>
      <c r="T177" s="410"/>
      <c r="U177" s="410"/>
      <c r="V177" s="510"/>
      <c r="W177" s="411"/>
      <c r="X177" s="406"/>
    </row>
    <row r="178" spans="1:24" x14ac:dyDescent="0.3">
      <c r="A178" s="543"/>
      <c r="B178" s="444" t="s">
        <v>57</v>
      </c>
      <c r="C178" s="444"/>
      <c r="D178" s="444"/>
      <c r="E178" s="444"/>
      <c r="F178" s="444"/>
      <c r="G178" s="444"/>
      <c r="H178" s="444"/>
      <c r="I178" s="444"/>
      <c r="J178" s="444"/>
      <c r="K178" s="444"/>
      <c r="L178" s="444"/>
      <c r="M178" s="444"/>
      <c r="N178" s="444"/>
      <c r="O178" s="444"/>
      <c r="P178" s="444"/>
      <c r="Q178" s="444"/>
      <c r="R178" s="444"/>
      <c r="S178" s="444"/>
      <c r="T178" s="444"/>
      <c r="U178" s="444"/>
      <c r="V178" s="517">
        <f>V70</f>
        <v>697773</v>
      </c>
      <c r="W178" s="558"/>
      <c r="X178" s="406"/>
    </row>
    <row r="179" spans="1:24" x14ac:dyDescent="0.3">
      <c r="A179" s="543"/>
      <c r="B179" s="444" t="s">
        <v>58</v>
      </c>
      <c r="C179" s="444"/>
      <c r="D179" s="444"/>
      <c r="E179" s="444"/>
      <c r="F179" s="444"/>
      <c r="G179" s="444"/>
      <c r="H179" s="444"/>
      <c r="I179" s="444"/>
      <c r="J179" s="444"/>
      <c r="K179" s="444"/>
      <c r="L179" s="444"/>
      <c r="M179" s="444"/>
      <c r="N179" s="444"/>
      <c r="O179" s="444"/>
      <c r="P179" s="444"/>
      <c r="Q179" s="444"/>
      <c r="R179" s="444"/>
      <c r="S179" s="444"/>
      <c r="T179" s="444"/>
      <c r="U179" s="444"/>
      <c r="V179" s="517">
        <f>V83</f>
        <v>697773</v>
      </c>
      <c r="W179" s="558"/>
      <c r="X179" s="406"/>
    </row>
    <row r="180" spans="1:24" ht="16.2" thickBot="1" x14ac:dyDescent="0.35">
      <c r="A180" s="408"/>
      <c r="B180" s="518"/>
      <c r="C180" s="518"/>
      <c r="D180" s="518"/>
      <c r="E180" s="518"/>
      <c r="F180" s="518"/>
      <c r="G180" s="518"/>
      <c r="H180" s="518"/>
      <c r="I180" s="518"/>
      <c r="J180" s="518"/>
      <c r="K180" s="518"/>
      <c r="L180" s="518"/>
      <c r="M180" s="518"/>
      <c r="N180" s="518"/>
      <c r="O180" s="518"/>
      <c r="P180" s="518"/>
      <c r="Q180" s="518"/>
      <c r="R180" s="518"/>
      <c r="S180" s="518"/>
      <c r="T180" s="518"/>
      <c r="U180" s="518"/>
      <c r="V180" s="560"/>
      <c r="W180" s="411"/>
      <c r="X180" s="406"/>
    </row>
    <row r="181" spans="1:24" x14ac:dyDescent="0.3">
      <c r="A181" s="402"/>
      <c r="B181" s="404"/>
      <c r="C181" s="404"/>
      <c r="D181" s="404"/>
      <c r="E181" s="404"/>
      <c r="F181" s="404"/>
      <c r="G181" s="404"/>
      <c r="H181" s="404"/>
      <c r="I181" s="404"/>
      <c r="J181" s="404"/>
      <c r="K181" s="404"/>
      <c r="L181" s="404"/>
      <c r="M181" s="404"/>
      <c r="N181" s="404"/>
      <c r="O181" s="404"/>
      <c r="P181" s="404"/>
      <c r="Q181" s="404"/>
      <c r="R181" s="404"/>
      <c r="S181" s="404"/>
      <c r="T181" s="404"/>
      <c r="U181" s="404"/>
      <c r="V181" s="566"/>
      <c r="W181" s="405"/>
      <c r="X181" s="406"/>
    </row>
    <row r="182" spans="1:24" s="473" customFormat="1" x14ac:dyDescent="0.3">
      <c r="A182" s="511"/>
      <c r="B182" s="557" t="s">
        <v>59</v>
      </c>
      <c r="C182" s="567"/>
      <c r="D182" s="567"/>
      <c r="E182" s="567"/>
      <c r="F182" s="567"/>
      <c r="G182" s="567"/>
      <c r="H182" s="568"/>
      <c r="I182" s="568"/>
      <c r="J182" s="568"/>
      <c r="K182" s="568"/>
      <c r="L182" s="568"/>
      <c r="M182" s="568"/>
      <c r="N182" s="568"/>
      <c r="O182" s="568"/>
      <c r="P182" s="568"/>
      <c r="Q182" s="568"/>
      <c r="R182" s="568"/>
      <c r="S182" s="568" t="s">
        <v>102</v>
      </c>
      <c r="T182" s="568" t="s">
        <v>179</v>
      </c>
      <c r="U182" s="413"/>
      <c r="V182" s="569" t="s">
        <v>117</v>
      </c>
      <c r="W182" s="570"/>
      <c r="X182" s="472"/>
    </row>
    <row r="183" spans="1:24" s="426" customFormat="1" x14ac:dyDescent="0.3">
      <c r="A183" s="443"/>
      <c r="B183" s="444" t="s">
        <v>60</v>
      </c>
      <c r="C183" s="444"/>
      <c r="D183" s="444"/>
      <c r="E183" s="444"/>
      <c r="F183" s="444"/>
      <c r="G183" s="444"/>
      <c r="H183" s="444"/>
      <c r="I183" s="444"/>
      <c r="J183" s="444"/>
      <c r="K183" s="444"/>
      <c r="L183" s="444"/>
      <c r="M183" s="444"/>
      <c r="N183" s="444"/>
      <c r="O183" s="444"/>
      <c r="P183" s="444"/>
      <c r="Q183" s="444"/>
      <c r="R183" s="444"/>
      <c r="S183" s="517">
        <f>+V34*0.16</f>
        <v>240030.4</v>
      </c>
      <c r="T183" s="482"/>
      <c r="U183" s="444"/>
      <c r="V183" s="517"/>
      <c r="W183" s="446"/>
      <c r="X183" s="425"/>
    </row>
    <row r="184" spans="1:24" s="426" customFormat="1" x14ac:dyDescent="0.3">
      <c r="A184" s="443"/>
      <c r="B184" s="444" t="s">
        <v>61</v>
      </c>
      <c r="C184" s="444"/>
      <c r="D184" s="444"/>
      <c r="E184" s="444"/>
      <c r="F184" s="444"/>
      <c r="G184" s="444"/>
      <c r="H184" s="444"/>
      <c r="I184" s="444"/>
      <c r="J184" s="444"/>
      <c r="K184" s="444"/>
      <c r="L184" s="444"/>
      <c r="M184" s="444"/>
      <c r="N184" s="444"/>
      <c r="O184" s="444"/>
      <c r="P184" s="444"/>
      <c r="Q184" s="444"/>
      <c r="R184" s="444"/>
      <c r="S184" s="517">
        <f>+'June 19'!S183</f>
        <v>55845</v>
      </c>
      <c r="T184" s="517">
        <f>+'June 19'!T183</f>
        <v>9760</v>
      </c>
      <c r="U184" s="444"/>
      <c r="V184" s="517">
        <f>S184+T184</f>
        <v>65605</v>
      </c>
      <c r="W184" s="446"/>
      <c r="X184" s="425"/>
    </row>
    <row r="185" spans="1:24" s="426" customFormat="1" x14ac:dyDescent="0.3">
      <c r="A185" s="443"/>
      <c r="B185" s="444" t="s">
        <v>62</v>
      </c>
      <c r="C185" s="444"/>
      <c r="D185" s="444"/>
      <c r="E185" s="444"/>
      <c r="F185" s="444"/>
      <c r="G185" s="444"/>
      <c r="H185" s="444"/>
      <c r="I185" s="444"/>
      <c r="J185" s="444"/>
      <c r="K185" s="444"/>
      <c r="L185" s="444"/>
      <c r="M185" s="444"/>
      <c r="N185" s="444"/>
      <c r="O185" s="444"/>
      <c r="P185" s="444"/>
      <c r="Q185" s="444"/>
      <c r="R185" s="444"/>
      <c r="S185" s="516">
        <v>0</v>
      </c>
      <c r="T185" s="516">
        <v>0</v>
      </c>
      <c r="U185" s="444"/>
      <c r="V185" s="517">
        <f>S185+T185</f>
        <v>0</v>
      </c>
      <c r="W185" s="446"/>
      <c r="X185" s="425"/>
    </row>
    <row r="186" spans="1:24" s="426" customFormat="1" x14ac:dyDescent="0.3">
      <c r="A186" s="443"/>
      <c r="B186" s="444" t="s">
        <v>63</v>
      </c>
      <c r="C186" s="444"/>
      <c r="D186" s="444"/>
      <c r="E186" s="444"/>
      <c r="F186" s="444"/>
      <c r="G186" s="444"/>
      <c r="H186" s="444"/>
      <c r="I186" s="444"/>
      <c r="J186" s="444"/>
      <c r="K186" s="444"/>
      <c r="L186" s="444"/>
      <c r="M186" s="444"/>
      <c r="N186" s="444"/>
      <c r="O186" s="444"/>
      <c r="P186" s="444"/>
      <c r="Q186" s="444"/>
      <c r="R186" s="444"/>
      <c r="S186" s="517">
        <f>+S184+S185</f>
        <v>55845</v>
      </c>
      <c r="T186" s="517">
        <f>T185+T184</f>
        <v>9760</v>
      </c>
      <c r="U186" s="444"/>
      <c r="V186" s="517">
        <f>S186+T186</f>
        <v>65605</v>
      </c>
      <c r="W186" s="446"/>
      <c r="X186" s="425"/>
    </row>
    <row r="187" spans="1:24" s="426" customFormat="1" x14ac:dyDescent="0.3">
      <c r="A187" s="443"/>
      <c r="B187" s="444" t="s">
        <v>64</v>
      </c>
      <c r="C187" s="444"/>
      <c r="D187" s="444"/>
      <c r="E187" s="444"/>
      <c r="F187" s="444"/>
      <c r="G187" s="444"/>
      <c r="H187" s="444"/>
      <c r="I187" s="444"/>
      <c r="J187" s="444"/>
      <c r="K187" s="444"/>
      <c r="L187" s="444"/>
      <c r="M187" s="444"/>
      <c r="N187" s="444"/>
      <c r="O187" s="444"/>
      <c r="P187" s="444"/>
      <c r="Q187" s="444"/>
      <c r="R187" s="444"/>
      <c r="S187" s="517">
        <f>S183-S186-T186</f>
        <v>174425.4</v>
      </c>
      <c r="T187" s="482"/>
      <c r="U187" s="444"/>
      <c r="V187" s="517"/>
      <c r="W187" s="446"/>
      <c r="X187" s="425"/>
    </row>
    <row r="188" spans="1:24" ht="16.2" thickBot="1" x14ac:dyDescent="0.35">
      <c r="A188" s="408"/>
      <c r="B188" s="518"/>
      <c r="C188" s="518"/>
      <c r="D188" s="518"/>
      <c r="E188" s="518"/>
      <c r="F188" s="518"/>
      <c r="G188" s="518"/>
      <c r="H188" s="518"/>
      <c r="I188" s="518"/>
      <c r="J188" s="518"/>
      <c r="K188" s="518"/>
      <c r="L188" s="518"/>
      <c r="M188" s="518"/>
      <c r="N188" s="518"/>
      <c r="O188" s="518"/>
      <c r="P188" s="518"/>
      <c r="Q188" s="518"/>
      <c r="R188" s="518"/>
      <c r="S188" s="518"/>
      <c r="T188" s="518"/>
      <c r="U188" s="518"/>
      <c r="V188" s="560"/>
      <c r="W188" s="411"/>
      <c r="X188" s="406"/>
    </row>
    <row r="189" spans="1:24" x14ac:dyDescent="0.3">
      <c r="A189" s="402"/>
      <c r="B189" s="404"/>
      <c r="C189" s="404"/>
      <c r="D189" s="404"/>
      <c r="E189" s="404"/>
      <c r="F189" s="404"/>
      <c r="G189" s="404"/>
      <c r="H189" s="404"/>
      <c r="I189" s="404"/>
      <c r="J189" s="404"/>
      <c r="K189" s="404"/>
      <c r="L189" s="404"/>
      <c r="M189" s="404"/>
      <c r="N189" s="404"/>
      <c r="O189" s="404"/>
      <c r="P189" s="404"/>
      <c r="Q189" s="404"/>
      <c r="R189" s="404"/>
      <c r="S189" s="404"/>
      <c r="T189" s="404"/>
      <c r="U189" s="404"/>
      <c r="V189" s="566"/>
      <c r="W189" s="405"/>
      <c r="X189" s="406"/>
    </row>
    <row r="190" spans="1:24" x14ac:dyDescent="0.3">
      <c r="A190" s="408"/>
      <c r="B190" s="557" t="s">
        <v>65</v>
      </c>
      <c r="C190" s="410"/>
      <c r="D190" s="410"/>
      <c r="E190" s="410"/>
      <c r="F190" s="410"/>
      <c r="G190" s="410"/>
      <c r="H190" s="410"/>
      <c r="I190" s="410"/>
      <c r="J190" s="410"/>
      <c r="K190" s="410"/>
      <c r="L190" s="410"/>
      <c r="M190" s="410"/>
      <c r="N190" s="410"/>
      <c r="O190" s="410"/>
      <c r="P190" s="410"/>
      <c r="Q190" s="410"/>
      <c r="R190" s="410"/>
      <c r="S190" s="410"/>
      <c r="T190" s="410"/>
      <c r="U190" s="410"/>
      <c r="V190" s="571"/>
      <c r="W190" s="411"/>
      <c r="X190" s="406"/>
    </row>
    <row r="191" spans="1:24" s="426" customFormat="1" x14ac:dyDescent="0.3">
      <c r="A191" s="443"/>
      <c r="B191" s="444" t="s">
        <v>66</v>
      </c>
      <c r="C191" s="444"/>
      <c r="D191" s="444"/>
      <c r="E191" s="444"/>
      <c r="F191" s="444"/>
      <c r="G191" s="444"/>
      <c r="H191" s="444"/>
      <c r="I191" s="444"/>
      <c r="J191" s="444"/>
      <c r="K191" s="444"/>
      <c r="L191" s="444"/>
      <c r="M191" s="444"/>
      <c r="N191" s="444"/>
      <c r="O191" s="444"/>
      <c r="P191" s="444"/>
      <c r="Q191" s="444"/>
      <c r="R191" s="444"/>
      <c r="S191" s="444"/>
      <c r="T191" s="444"/>
      <c r="U191" s="444"/>
      <c r="V191" s="561">
        <f>(V99+V101+V102+V103+V104)/-(V105+V106)</f>
        <v>3.2036231884057971</v>
      </c>
      <c r="W191" s="446" t="s">
        <v>118</v>
      </c>
      <c r="X191" s="425"/>
    </row>
    <row r="192" spans="1:24" s="426" customFormat="1" x14ac:dyDescent="0.3">
      <c r="A192" s="443"/>
      <c r="B192" s="444" t="s">
        <v>67</v>
      </c>
      <c r="C192" s="444"/>
      <c r="D192" s="444"/>
      <c r="E192" s="444"/>
      <c r="F192" s="444"/>
      <c r="G192" s="444"/>
      <c r="H192" s="444"/>
      <c r="I192" s="444"/>
      <c r="J192" s="444"/>
      <c r="K192" s="444"/>
      <c r="L192" s="444"/>
      <c r="M192" s="444"/>
      <c r="N192" s="444"/>
      <c r="O192" s="444"/>
      <c r="P192" s="444"/>
      <c r="Q192" s="444"/>
      <c r="R192" s="444"/>
      <c r="S192" s="444"/>
      <c r="T192" s="444"/>
      <c r="U192" s="444"/>
      <c r="V192" s="572">
        <v>1.97</v>
      </c>
      <c r="W192" s="446" t="s">
        <v>118</v>
      </c>
      <c r="X192" s="425"/>
    </row>
    <row r="193" spans="1:24" s="426" customFormat="1" x14ac:dyDescent="0.3">
      <c r="A193" s="443"/>
      <c r="B193" s="444" t="s">
        <v>68</v>
      </c>
      <c r="C193" s="444"/>
      <c r="D193" s="444"/>
      <c r="E193" s="444"/>
      <c r="F193" s="444"/>
      <c r="G193" s="444"/>
      <c r="H193" s="444"/>
      <c r="I193" s="444"/>
      <c r="J193" s="444"/>
      <c r="K193" s="444"/>
      <c r="L193" s="444"/>
      <c r="M193" s="444"/>
      <c r="N193" s="444"/>
      <c r="O193" s="444"/>
      <c r="P193" s="444"/>
      <c r="Q193" s="444"/>
      <c r="R193" s="444"/>
      <c r="S193" s="444"/>
      <c r="T193" s="444"/>
      <c r="U193" s="444"/>
      <c r="V193" s="561">
        <f>(V99+V101+V102+V103+V104+V105+V106)/-(V108+V109)</f>
        <v>9.5930599369085172</v>
      </c>
      <c r="W193" s="446" t="s">
        <v>118</v>
      </c>
      <c r="X193" s="425"/>
    </row>
    <row r="194" spans="1:24" s="426" customFormat="1" x14ac:dyDescent="0.3">
      <c r="A194" s="443"/>
      <c r="B194" s="444" t="s">
        <v>69</v>
      </c>
      <c r="C194" s="444"/>
      <c r="D194" s="444"/>
      <c r="E194" s="444"/>
      <c r="F194" s="444"/>
      <c r="G194" s="444"/>
      <c r="H194" s="444"/>
      <c r="I194" s="444"/>
      <c r="J194" s="444"/>
      <c r="K194" s="444"/>
      <c r="L194" s="444"/>
      <c r="M194" s="444"/>
      <c r="N194" s="444"/>
      <c r="O194" s="444"/>
      <c r="P194" s="444"/>
      <c r="Q194" s="444"/>
      <c r="R194" s="444"/>
      <c r="S194" s="444"/>
      <c r="T194" s="444"/>
      <c r="U194" s="444"/>
      <c r="V194" s="572">
        <v>8.0500000000000007</v>
      </c>
      <c r="W194" s="446" t="s">
        <v>118</v>
      </c>
      <c r="X194" s="425"/>
    </row>
    <row r="195" spans="1:24" s="426" customFormat="1" x14ac:dyDescent="0.3">
      <c r="A195" s="443"/>
      <c r="B195" s="444" t="s">
        <v>201</v>
      </c>
      <c r="C195" s="444"/>
      <c r="D195" s="444"/>
      <c r="E195" s="444"/>
      <c r="F195" s="444"/>
      <c r="G195" s="444"/>
      <c r="H195" s="444"/>
      <c r="I195" s="444"/>
      <c r="J195" s="444"/>
      <c r="K195" s="444"/>
      <c r="L195" s="444"/>
      <c r="M195" s="444"/>
      <c r="N195" s="444"/>
      <c r="O195" s="444"/>
      <c r="P195" s="444"/>
      <c r="Q195" s="444"/>
      <c r="R195" s="444"/>
      <c r="S195" s="444"/>
      <c r="T195" s="444"/>
      <c r="U195" s="444"/>
      <c r="V195" s="561">
        <f>(V99+V101+V102+V103+V104+V105+V106+V108+V109)/-(V110+V111)</f>
        <v>10.55813953488372</v>
      </c>
      <c r="W195" s="446" t="s">
        <v>118</v>
      </c>
      <c r="X195" s="425"/>
    </row>
    <row r="196" spans="1:24" s="426" customFormat="1" x14ac:dyDescent="0.3">
      <c r="A196" s="443"/>
      <c r="B196" s="444" t="s">
        <v>202</v>
      </c>
      <c r="C196" s="444"/>
      <c r="D196" s="444"/>
      <c r="E196" s="444"/>
      <c r="F196" s="444"/>
      <c r="G196" s="444"/>
      <c r="H196" s="444"/>
      <c r="I196" s="444"/>
      <c r="J196" s="444"/>
      <c r="K196" s="444"/>
      <c r="L196" s="444"/>
      <c r="M196" s="444"/>
      <c r="N196" s="444"/>
      <c r="O196" s="444"/>
      <c r="P196" s="444"/>
      <c r="Q196" s="444"/>
      <c r="R196" s="444"/>
      <c r="S196" s="444"/>
      <c r="T196" s="444"/>
      <c r="U196" s="444"/>
      <c r="V196" s="572">
        <v>9.99</v>
      </c>
      <c r="W196" s="446" t="s">
        <v>118</v>
      </c>
      <c r="X196" s="425"/>
    </row>
    <row r="197" spans="1:24" x14ac:dyDescent="0.3">
      <c r="A197" s="543"/>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547"/>
      <c r="X197" s="406"/>
    </row>
    <row r="198" spans="1:24" x14ac:dyDescent="0.3">
      <c r="A198" s="408"/>
      <c r="B198" s="518"/>
      <c r="C198" s="518"/>
      <c r="D198" s="518"/>
      <c r="E198" s="518"/>
      <c r="F198" s="518"/>
      <c r="G198" s="518"/>
      <c r="H198" s="518"/>
      <c r="I198" s="518"/>
      <c r="J198" s="518"/>
      <c r="K198" s="518"/>
      <c r="L198" s="518"/>
      <c r="M198" s="518"/>
      <c r="N198" s="518"/>
      <c r="O198" s="518"/>
      <c r="P198" s="518"/>
      <c r="Q198" s="518"/>
      <c r="R198" s="518"/>
      <c r="S198" s="518"/>
      <c r="T198" s="518"/>
      <c r="U198" s="518"/>
      <c r="V198" s="518"/>
      <c r="W198" s="411"/>
      <c r="X198" s="406"/>
    </row>
    <row r="199" spans="1:24" x14ac:dyDescent="0.3">
      <c r="A199" s="408"/>
      <c r="B199" s="410"/>
      <c r="C199" s="410"/>
      <c r="D199" s="410"/>
      <c r="E199" s="410"/>
      <c r="F199" s="410"/>
      <c r="G199" s="410"/>
      <c r="H199" s="410"/>
      <c r="I199" s="410"/>
      <c r="J199" s="410"/>
      <c r="K199" s="410"/>
      <c r="L199" s="410"/>
      <c r="M199" s="410"/>
      <c r="N199" s="410"/>
      <c r="O199" s="410"/>
      <c r="P199" s="410"/>
      <c r="Q199" s="410"/>
      <c r="R199" s="410"/>
      <c r="S199" s="410"/>
      <c r="T199" s="410"/>
      <c r="U199" s="410"/>
      <c r="V199" s="410"/>
      <c r="W199" s="411"/>
      <c r="X199" s="406"/>
    </row>
    <row r="200" spans="1:24" ht="18.600000000000001" thickBot="1" x14ac:dyDescent="0.4">
      <c r="A200" s="573"/>
      <c r="B200" s="501" t="str">
        <f>B140</f>
        <v>PM13 INVESTOR REPORT QUARTER ENDING SEPTEMBER 2019</v>
      </c>
      <c r="C200" s="574"/>
      <c r="D200" s="574"/>
      <c r="E200" s="574"/>
      <c r="F200" s="574"/>
      <c r="G200" s="574"/>
      <c r="H200" s="574"/>
      <c r="I200" s="574"/>
      <c r="J200" s="574"/>
      <c r="K200" s="574"/>
      <c r="L200" s="574"/>
      <c r="M200" s="574"/>
      <c r="N200" s="574"/>
      <c r="O200" s="574"/>
      <c r="P200" s="574"/>
      <c r="Q200" s="574"/>
      <c r="R200" s="574"/>
      <c r="S200" s="574"/>
      <c r="T200" s="574"/>
      <c r="U200" s="574"/>
      <c r="V200" s="574"/>
      <c r="W200" s="575"/>
      <c r="X200" s="406"/>
    </row>
    <row r="201" spans="1:24" x14ac:dyDescent="0.3">
      <c r="A201" s="505"/>
      <c r="B201" s="506" t="s">
        <v>70</v>
      </c>
      <c r="C201" s="576"/>
      <c r="D201" s="576"/>
      <c r="E201" s="576"/>
      <c r="F201" s="576"/>
      <c r="G201" s="577"/>
      <c r="H201" s="577"/>
      <c r="I201" s="577"/>
      <c r="J201" s="577"/>
      <c r="K201" s="577"/>
      <c r="L201" s="577"/>
      <c r="M201" s="577"/>
      <c r="N201" s="577"/>
      <c r="O201" s="577"/>
      <c r="P201" s="577"/>
      <c r="Q201" s="577"/>
      <c r="R201" s="577"/>
      <c r="S201" s="577"/>
      <c r="T201" s="577">
        <v>43738</v>
      </c>
      <c r="U201" s="507"/>
      <c r="V201" s="507"/>
      <c r="W201" s="509"/>
      <c r="X201" s="406"/>
    </row>
    <row r="202" spans="1:24" x14ac:dyDescent="0.3">
      <c r="A202" s="578"/>
      <c r="B202" s="579"/>
      <c r="C202" s="580"/>
      <c r="D202" s="580"/>
      <c r="E202" s="580"/>
      <c r="F202" s="580"/>
      <c r="G202" s="581"/>
      <c r="H202" s="581"/>
      <c r="I202" s="581"/>
      <c r="J202" s="581"/>
      <c r="K202" s="581"/>
      <c r="L202" s="581"/>
      <c r="M202" s="581"/>
      <c r="N202" s="581"/>
      <c r="O202" s="581"/>
      <c r="P202" s="581"/>
      <c r="Q202" s="581"/>
      <c r="R202" s="581"/>
      <c r="S202" s="581"/>
      <c r="T202" s="581"/>
      <c r="U202" s="410"/>
      <c r="V202" s="410"/>
      <c r="W202" s="411"/>
      <c r="X202" s="406"/>
    </row>
    <row r="203" spans="1:24" s="426" customFormat="1" x14ac:dyDescent="0.3">
      <c r="A203" s="443"/>
      <c r="B203" s="444" t="s">
        <v>71</v>
      </c>
      <c r="C203" s="582"/>
      <c r="D203" s="582"/>
      <c r="E203" s="582"/>
      <c r="F203" s="582"/>
      <c r="G203" s="488"/>
      <c r="H203" s="488"/>
      <c r="I203" s="488"/>
      <c r="J203" s="488"/>
      <c r="K203" s="488"/>
      <c r="L203" s="488"/>
      <c r="M203" s="488"/>
      <c r="N203" s="488"/>
      <c r="O203" s="488"/>
      <c r="P203" s="488"/>
      <c r="Q203" s="488"/>
      <c r="R203" s="488"/>
      <c r="S203" s="488"/>
      <c r="T203" s="479">
        <v>5.4539999999999998E-2</v>
      </c>
      <c r="U203" s="444"/>
      <c r="V203" s="444"/>
      <c r="W203" s="446"/>
      <c r="X203" s="425"/>
    </row>
    <row r="204" spans="1:24" s="426" customFormat="1" x14ac:dyDescent="0.3">
      <c r="A204" s="443"/>
      <c r="B204" s="444" t="s">
        <v>154</v>
      </c>
      <c r="C204" s="582"/>
      <c r="D204" s="582"/>
      <c r="E204" s="582"/>
      <c r="F204" s="582"/>
      <c r="G204" s="488"/>
      <c r="H204" s="488"/>
      <c r="I204" s="488"/>
      <c r="J204" s="488"/>
      <c r="K204" s="488"/>
      <c r="L204" s="488"/>
      <c r="M204" s="488"/>
      <c r="N204" s="488"/>
      <c r="O204" s="488"/>
      <c r="P204" s="488"/>
      <c r="Q204" s="488"/>
      <c r="R204" s="488"/>
      <c r="S204" s="488"/>
      <c r="T204" s="479">
        <f>'Dec 06'!T199</f>
        <v>5.238600504269459E-2</v>
      </c>
      <c r="U204" s="444"/>
      <c r="V204" s="444"/>
      <c r="W204" s="446"/>
      <c r="X204" s="425"/>
    </row>
    <row r="205" spans="1:24" s="426" customFormat="1" x14ac:dyDescent="0.3">
      <c r="A205" s="443"/>
      <c r="B205" s="444" t="s">
        <v>72</v>
      </c>
      <c r="C205" s="582"/>
      <c r="D205" s="582"/>
      <c r="E205" s="582"/>
      <c r="F205" s="582"/>
      <c r="G205" s="488"/>
      <c r="H205" s="488"/>
      <c r="I205" s="488"/>
      <c r="J205" s="488"/>
      <c r="K205" s="488"/>
      <c r="L205" s="488"/>
      <c r="M205" s="488"/>
      <c r="N205" s="488"/>
      <c r="O205" s="488"/>
      <c r="P205" s="488"/>
      <c r="Q205" s="488"/>
      <c r="R205" s="488"/>
      <c r="S205" s="488"/>
      <c r="T205" s="479">
        <f>+T203-T204</f>
        <v>2.1539949573054079E-3</v>
      </c>
      <c r="U205" s="444"/>
      <c r="V205" s="444"/>
      <c r="W205" s="446"/>
      <c r="X205" s="425"/>
    </row>
    <row r="206" spans="1:24" s="426" customFormat="1" x14ac:dyDescent="0.3">
      <c r="A206" s="443"/>
      <c r="B206" s="444" t="s">
        <v>73</v>
      </c>
      <c r="C206" s="582"/>
      <c r="D206" s="582"/>
      <c r="E206" s="582"/>
      <c r="F206" s="582"/>
      <c r="G206" s="488"/>
      <c r="H206" s="488"/>
      <c r="I206" s="488"/>
      <c r="J206" s="488"/>
      <c r="K206" s="488"/>
      <c r="L206" s="488"/>
      <c r="M206" s="488"/>
      <c r="N206" s="488"/>
      <c r="O206" s="488"/>
      <c r="P206" s="488"/>
      <c r="Q206" s="488"/>
      <c r="R206" s="488"/>
      <c r="S206" s="488"/>
      <c r="T206" s="479">
        <v>2.5329999999999998E-2</v>
      </c>
      <c r="U206" s="444"/>
      <c r="V206" s="444"/>
      <c r="W206" s="446"/>
      <c r="X206" s="425"/>
    </row>
    <row r="207" spans="1:24" s="426" customFormat="1" x14ac:dyDescent="0.3">
      <c r="A207" s="443"/>
      <c r="B207" s="444" t="s">
        <v>222</v>
      </c>
      <c r="C207" s="582"/>
      <c r="D207" s="582"/>
      <c r="E207" s="582"/>
      <c r="F207" s="582"/>
      <c r="G207" s="488"/>
      <c r="H207" s="488"/>
      <c r="I207" s="488"/>
      <c r="J207" s="488"/>
      <c r="K207" s="488"/>
      <c r="L207" s="488"/>
      <c r="M207" s="488"/>
      <c r="N207" s="488"/>
      <c r="O207" s="488"/>
      <c r="P207" s="488"/>
      <c r="Q207" s="488"/>
      <c r="R207" s="488"/>
      <c r="S207" s="488"/>
      <c r="T207" s="479">
        <f>V43</f>
        <v>1.0895927855929036E-2</v>
      </c>
      <c r="U207" s="444"/>
      <c r="V207" s="444"/>
      <c r="W207" s="446"/>
      <c r="X207" s="425"/>
    </row>
    <row r="208" spans="1:24" s="426" customFormat="1" x14ac:dyDescent="0.3">
      <c r="A208" s="443"/>
      <c r="B208" s="444" t="s">
        <v>74</v>
      </c>
      <c r="C208" s="582"/>
      <c r="D208" s="582"/>
      <c r="E208" s="582"/>
      <c r="F208" s="582"/>
      <c r="G208" s="488"/>
      <c r="H208" s="488"/>
      <c r="I208" s="488"/>
      <c r="J208" s="488"/>
      <c r="K208" s="488"/>
      <c r="L208" s="488"/>
      <c r="M208" s="488"/>
      <c r="N208" s="488"/>
      <c r="O208" s="488"/>
      <c r="P208" s="488"/>
      <c r="Q208" s="488"/>
      <c r="R208" s="488"/>
      <c r="S208" s="488"/>
      <c r="T208" s="479">
        <f>T206-T207</f>
        <v>1.4434072144070963E-2</v>
      </c>
      <c r="U208" s="444"/>
      <c r="V208" s="444"/>
      <c r="W208" s="446"/>
      <c r="X208" s="425"/>
    </row>
    <row r="209" spans="1:24" s="426" customFormat="1" x14ac:dyDescent="0.3">
      <c r="A209" s="443"/>
      <c r="B209" s="444" t="s">
        <v>274</v>
      </c>
      <c r="C209" s="582"/>
      <c r="D209" s="582"/>
      <c r="E209" s="582"/>
      <c r="F209" s="582"/>
      <c r="G209" s="488"/>
      <c r="H209" s="488"/>
      <c r="I209" s="488"/>
      <c r="J209" s="488"/>
      <c r="K209" s="488"/>
      <c r="L209" s="488"/>
      <c r="M209" s="488"/>
      <c r="N209" s="488"/>
      <c r="O209" s="488"/>
      <c r="P209" s="488"/>
      <c r="Q209" s="488"/>
      <c r="R209" s="488"/>
      <c r="S209" s="488"/>
      <c r="T209" s="479">
        <f>+V99/N70</f>
        <v>6.7532540513202356E-3</v>
      </c>
      <c r="U209" s="444"/>
      <c r="V209" s="444"/>
      <c r="W209" s="446"/>
      <c r="X209" s="425"/>
    </row>
    <row r="210" spans="1:24" s="426" customFormat="1" x14ac:dyDescent="0.3">
      <c r="A210" s="443"/>
      <c r="B210" s="444" t="s">
        <v>211</v>
      </c>
      <c r="C210" s="582"/>
      <c r="D210" s="582"/>
      <c r="E210" s="582"/>
      <c r="F210" s="582"/>
      <c r="G210" s="488"/>
      <c r="H210" s="488"/>
      <c r="I210" s="488"/>
      <c r="J210" s="488"/>
      <c r="K210" s="488"/>
      <c r="L210" s="488"/>
      <c r="M210" s="488"/>
      <c r="N210" s="488"/>
      <c r="O210" s="488"/>
      <c r="P210" s="488"/>
      <c r="Q210" s="488"/>
      <c r="R210" s="488"/>
      <c r="S210" s="488"/>
      <c r="T210" s="583">
        <v>50771</v>
      </c>
      <c r="U210" s="444"/>
      <c r="V210" s="444"/>
      <c r="W210" s="446"/>
      <c r="X210" s="425"/>
    </row>
    <row r="211" spans="1:24" s="426" customFormat="1" x14ac:dyDescent="0.3">
      <c r="A211" s="443"/>
      <c r="B211" s="444" t="s">
        <v>212</v>
      </c>
      <c r="C211" s="582"/>
      <c r="D211" s="582"/>
      <c r="E211" s="582"/>
      <c r="F211" s="582"/>
      <c r="G211" s="488"/>
      <c r="H211" s="488"/>
      <c r="I211" s="488"/>
      <c r="J211" s="488"/>
      <c r="K211" s="488"/>
      <c r="L211" s="488"/>
      <c r="M211" s="488"/>
      <c r="N211" s="488"/>
      <c r="O211" s="488"/>
      <c r="P211" s="488"/>
      <c r="Q211" s="488"/>
      <c r="R211" s="488"/>
      <c r="S211" s="488"/>
      <c r="T211" s="583">
        <v>50771</v>
      </c>
      <c r="U211" s="444"/>
      <c r="V211" s="444"/>
      <c r="W211" s="446"/>
      <c r="X211" s="425"/>
    </row>
    <row r="212" spans="1:24" s="426" customFormat="1" x14ac:dyDescent="0.3">
      <c r="A212" s="443"/>
      <c r="B212" s="444" t="s">
        <v>213</v>
      </c>
      <c r="C212" s="582"/>
      <c r="D212" s="582"/>
      <c r="E212" s="582"/>
      <c r="F212" s="582"/>
      <c r="G212" s="488"/>
      <c r="H212" s="488"/>
      <c r="I212" s="488"/>
      <c r="J212" s="488"/>
      <c r="K212" s="488"/>
      <c r="L212" s="488"/>
      <c r="M212" s="488"/>
      <c r="N212" s="488"/>
      <c r="O212" s="488"/>
      <c r="P212" s="488"/>
      <c r="Q212" s="488"/>
      <c r="R212" s="488"/>
      <c r="S212" s="488"/>
      <c r="T212" s="583">
        <v>50771</v>
      </c>
      <c r="U212" s="444"/>
      <c r="V212" s="444"/>
      <c r="W212" s="446"/>
      <c r="X212" s="425"/>
    </row>
    <row r="213" spans="1:24" s="426" customFormat="1" x14ac:dyDescent="0.3">
      <c r="A213" s="443"/>
      <c r="B213" s="444" t="s">
        <v>75</v>
      </c>
      <c r="C213" s="582"/>
      <c r="D213" s="582"/>
      <c r="E213" s="582"/>
      <c r="F213" s="582"/>
      <c r="G213" s="488"/>
      <c r="H213" s="488"/>
      <c r="I213" s="488"/>
      <c r="J213" s="488"/>
      <c r="K213" s="488"/>
      <c r="L213" s="488"/>
      <c r="M213" s="488"/>
      <c r="N213" s="488"/>
      <c r="O213" s="488"/>
      <c r="P213" s="488"/>
      <c r="Q213" s="488"/>
      <c r="R213" s="488"/>
      <c r="S213" s="488"/>
      <c r="T213" s="484">
        <v>20.66</v>
      </c>
      <c r="U213" s="444" t="s">
        <v>113</v>
      </c>
      <c r="V213" s="444"/>
      <c r="W213" s="446"/>
      <c r="X213" s="425"/>
    </row>
    <row r="214" spans="1:24" s="426" customFormat="1" x14ac:dyDescent="0.3">
      <c r="A214" s="443"/>
      <c r="B214" s="444" t="s">
        <v>76</v>
      </c>
      <c r="C214" s="582"/>
      <c r="D214" s="582"/>
      <c r="E214" s="582"/>
      <c r="F214" s="582"/>
      <c r="G214" s="488"/>
      <c r="H214" s="488"/>
      <c r="I214" s="488"/>
      <c r="J214" s="488"/>
      <c r="K214" s="488"/>
      <c r="L214" s="488"/>
      <c r="M214" s="488"/>
      <c r="N214" s="488"/>
      <c r="O214" s="488"/>
      <c r="P214" s="488"/>
      <c r="Q214" s="488"/>
      <c r="R214" s="488"/>
      <c r="S214" s="488"/>
      <c r="T214" s="484">
        <v>9.07</v>
      </c>
      <c r="U214" s="444" t="s">
        <v>113</v>
      </c>
      <c r="V214" s="444"/>
      <c r="W214" s="446"/>
      <c r="X214" s="425"/>
    </row>
    <row r="215" spans="1:24" s="426" customFormat="1" x14ac:dyDescent="0.3">
      <c r="A215" s="443"/>
      <c r="B215" s="444" t="s">
        <v>77</v>
      </c>
      <c r="C215" s="582"/>
      <c r="D215" s="582"/>
      <c r="E215" s="582"/>
      <c r="F215" s="582"/>
      <c r="G215" s="488"/>
      <c r="H215" s="488"/>
      <c r="I215" s="488"/>
      <c r="J215" s="488"/>
      <c r="K215" s="488"/>
      <c r="L215" s="488"/>
      <c r="M215" s="488"/>
      <c r="N215" s="488"/>
      <c r="O215" s="488"/>
      <c r="P215" s="488"/>
      <c r="Q215" s="488"/>
      <c r="R215" s="488"/>
      <c r="S215" s="488"/>
      <c r="T215" s="479">
        <f>P67/N67</f>
        <v>1.9713264166450081E-2</v>
      </c>
      <c r="U215" s="444"/>
      <c r="V215" s="444"/>
      <c r="W215" s="446"/>
      <c r="X215" s="425"/>
    </row>
    <row r="216" spans="1:24" s="426" customFormat="1" x14ac:dyDescent="0.3">
      <c r="A216" s="443"/>
      <c r="B216" s="444" t="s">
        <v>78</v>
      </c>
      <c r="C216" s="582"/>
      <c r="D216" s="582"/>
      <c r="E216" s="582"/>
      <c r="F216" s="582"/>
      <c r="G216" s="488"/>
      <c r="H216" s="488"/>
      <c r="I216" s="488"/>
      <c r="J216" s="488"/>
      <c r="K216" s="488"/>
      <c r="L216" s="488"/>
      <c r="M216" s="488"/>
      <c r="N216" s="488"/>
      <c r="O216" s="488"/>
      <c r="P216" s="488"/>
      <c r="Q216" s="488"/>
      <c r="R216" s="488"/>
      <c r="S216" s="488"/>
      <c r="T216" s="479">
        <v>6.3299999999999995E-2</v>
      </c>
      <c r="U216" s="444"/>
      <c r="V216" s="444"/>
      <c r="W216" s="446"/>
      <c r="X216" s="425"/>
    </row>
    <row r="217" spans="1:24" s="426" customFormat="1" x14ac:dyDescent="0.3">
      <c r="A217" s="421"/>
      <c r="B217" s="494"/>
      <c r="C217" s="494"/>
      <c r="D217" s="494"/>
      <c r="E217" s="494"/>
      <c r="F217" s="494"/>
      <c r="G217" s="494"/>
      <c r="H217" s="494"/>
      <c r="I217" s="494"/>
      <c r="J217" s="494"/>
      <c r="K217" s="494"/>
      <c r="L217" s="494"/>
      <c r="M217" s="494"/>
      <c r="N217" s="494"/>
      <c r="O217" s="494"/>
      <c r="P217" s="494"/>
      <c r="Q217" s="494"/>
      <c r="R217" s="494"/>
      <c r="S217" s="494"/>
      <c r="T217" s="584"/>
      <c r="U217" s="494"/>
      <c r="V217" s="585"/>
      <c r="W217" s="424"/>
      <c r="X217" s="425"/>
    </row>
    <row r="218" spans="1:24" s="426" customFormat="1" x14ac:dyDescent="0.3">
      <c r="A218" s="586"/>
      <c r="B218" s="420" t="s">
        <v>79</v>
      </c>
      <c r="C218" s="429"/>
      <c r="D218" s="429"/>
      <c r="E218" s="429"/>
      <c r="F218" s="587"/>
      <c r="G218" s="429"/>
      <c r="H218" s="429"/>
      <c r="I218" s="429"/>
      <c r="J218" s="429"/>
      <c r="K218" s="429"/>
      <c r="L218" s="429"/>
      <c r="M218" s="429"/>
      <c r="N218" s="429"/>
      <c r="O218" s="429"/>
      <c r="P218" s="429"/>
      <c r="Q218" s="429"/>
      <c r="R218" s="429"/>
      <c r="S218" s="429" t="s">
        <v>103</v>
      </c>
      <c r="T218" s="587" t="s">
        <v>110</v>
      </c>
      <c r="U218" s="422"/>
      <c r="V218" s="422"/>
      <c r="W218" s="424"/>
      <c r="X218" s="425"/>
    </row>
    <row r="219" spans="1:24" s="426" customFormat="1" x14ac:dyDescent="0.3">
      <c r="A219" s="588"/>
      <c r="B219" s="444" t="s">
        <v>80</v>
      </c>
      <c r="C219" s="516"/>
      <c r="D219" s="516"/>
      <c r="E219" s="516"/>
      <c r="F219" s="444"/>
      <c r="G219" s="444"/>
      <c r="H219" s="450"/>
      <c r="I219" s="450"/>
      <c r="J219" s="450"/>
      <c r="K219" s="450"/>
      <c r="L219" s="450"/>
      <c r="M219" s="450"/>
      <c r="N219" s="450"/>
      <c r="O219" s="450"/>
      <c r="P219" s="450"/>
      <c r="Q219" s="450"/>
      <c r="R219" s="450"/>
      <c r="S219" s="450">
        <v>2</v>
      </c>
      <c r="T219" s="589">
        <v>489</v>
      </c>
      <c r="U219" s="444"/>
      <c r="V219" s="590"/>
      <c r="W219" s="591"/>
      <c r="X219" s="425"/>
    </row>
    <row r="220" spans="1:24" s="426" customFormat="1" x14ac:dyDescent="0.3">
      <c r="A220" s="588"/>
      <c r="B220" s="444" t="s">
        <v>148</v>
      </c>
      <c r="C220" s="516"/>
      <c r="D220" s="516"/>
      <c r="E220" s="516"/>
      <c r="F220" s="444"/>
      <c r="G220" s="444"/>
      <c r="H220" s="450"/>
      <c r="I220" s="450"/>
      <c r="J220" s="450"/>
      <c r="K220" s="450"/>
      <c r="L220" s="450"/>
      <c r="M220" s="450"/>
      <c r="N220" s="450"/>
      <c r="O220" s="450"/>
      <c r="P220" s="450"/>
      <c r="Q220" s="450"/>
      <c r="R220" s="450"/>
      <c r="S220" s="592">
        <f>+R272</f>
        <v>89</v>
      </c>
      <c r="T220" s="589">
        <f>+T272</f>
        <v>16044</v>
      </c>
      <c r="U220" s="444"/>
      <c r="V220" s="590"/>
      <c r="W220" s="591"/>
      <c r="X220" s="425"/>
    </row>
    <row r="221" spans="1:24" s="426" customFormat="1" x14ac:dyDescent="0.3">
      <c r="A221" s="588"/>
      <c r="B221" s="444" t="s">
        <v>81</v>
      </c>
      <c r="C221" s="516"/>
      <c r="D221" s="516"/>
      <c r="E221" s="516"/>
      <c r="F221" s="444"/>
      <c r="G221" s="444"/>
      <c r="H221" s="450"/>
      <c r="I221" s="450"/>
      <c r="J221" s="450"/>
      <c r="K221" s="450"/>
      <c r="L221" s="450"/>
      <c r="M221" s="450"/>
      <c r="N221" s="450"/>
      <c r="O221" s="450"/>
      <c r="P221" s="450"/>
      <c r="Q221" s="450"/>
      <c r="R221" s="450"/>
      <c r="S221" s="592">
        <f>+R284</f>
        <v>0</v>
      </c>
      <c r="T221" s="589">
        <f>+T284</f>
        <v>0</v>
      </c>
      <c r="U221" s="444"/>
      <c r="V221" s="590"/>
      <c r="W221" s="591"/>
      <c r="X221" s="425"/>
    </row>
    <row r="222" spans="1:24" x14ac:dyDescent="0.3">
      <c r="A222" s="593"/>
      <c r="B222" s="594" t="s">
        <v>82</v>
      </c>
      <c r="C222" s="595"/>
      <c r="D222" s="595"/>
      <c r="E222" s="595"/>
      <c r="F222" s="465"/>
      <c r="G222" s="465"/>
      <c r="H222" s="465"/>
      <c r="I222" s="465"/>
      <c r="J222" s="465"/>
      <c r="K222" s="465"/>
      <c r="L222" s="465"/>
      <c r="M222" s="465"/>
      <c r="N222" s="465"/>
      <c r="O222" s="465"/>
      <c r="P222" s="465"/>
      <c r="Q222" s="465"/>
      <c r="R222" s="465"/>
      <c r="S222" s="465"/>
      <c r="T222" s="589">
        <v>0</v>
      </c>
      <c r="U222" s="465"/>
      <c r="V222" s="596"/>
      <c r="W222" s="597"/>
      <c r="X222" s="406"/>
    </row>
    <row r="223" spans="1:24" x14ac:dyDescent="0.3">
      <c r="A223" s="593"/>
      <c r="B223" s="594" t="s">
        <v>275</v>
      </c>
      <c r="C223" s="595"/>
      <c r="D223" s="595"/>
      <c r="E223" s="595"/>
      <c r="F223" s="465"/>
      <c r="G223" s="465"/>
      <c r="H223" s="465"/>
      <c r="I223" s="465"/>
      <c r="J223" s="465"/>
      <c r="K223" s="465"/>
      <c r="L223" s="465"/>
      <c r="M223" s="465"/>
      <c r="N223" s="465"/>
      <c r="O223" s="465"/>
      <c r="P223" s="465"/>
      <c r="Q223" s="465"/>
      <c r="R223" s="465"/>
      <c r="S223" s="465"/>
      <c r="T223" s="589">
        <f>+N80</f>
        <v>0</v>
      </c>
      <c r="U223" s="465"/>
      <c r="V223" s="596"/>
      <c r="W223" s="597"/>
      <c r="X223" s="406"/>
    </row>
    <row r="224" spans="1:24" x14ac:dyDescent="0.3">
      <c r="A224" s="598"/>
      <c r="B224" s="594" t="s">
        <v>83</v>
      </c>
      <c r="C224" s="599"/>
      <c r="D224" s="599"/>
      <c r="E224" s="599"/>
      <c r="F224" s="599"/>
      <c r="G224" s="465"/>
      <c r="H224" s="465"/>
      <c r="I224" s="465"/>
      <c r="J224" s="465"/>
      <c r="K224" s="465"/>
      <c r="L224" s="465"/>
      <c r="M224" s="465"/>
      <c r="N224" s="465"/>
      <c r="O224" s="465"/>
      <c r="P224" s="465"/>
      <c r="Q224" s="465"/>
      <c r="R224" s="465"/>
      <c r="S224" s="465"/>
      <c r="T224" s="600"/>
      <c r="U224" s="465"/>
      <c r="V224" s="596"/>
      <c r="W224" s="601"/>
      <c r="X224" s="406"/>
    </row>
    <row r="225" spans="1:25" s="426" customFormat="1" x14ac:dyDescent="0.3">
      <c r="A225" s="602"/>
      <c r="B225" s="444" t="s">
        <v>84</v>
      </c>
      <c r="C225" s="444"/>
      <c r="D225" s="444"/>
      <c r="E225" s="444"/>
      <c r="F225" s="444"/>
      <c r="G225" s="444"/>
      <c r="H225" s="444"/>
      <c r="I225" s="444"/>
      <c r="J225" s="444"/>
      <c r="K225" s="444"/>
      <c r="L225" s="444"/>
      <c r="M225" s="444"/>
      <c r="N225" s="444"/>
      <c r="O225" s="444"/>
      <c r="P225" s="444"/>
      <c r="Q225" s="444"/>
      <c r="R225" s="444"/>
      <c r="S225" s="450"/>
      <c r="T225" s="589">
        <f>V169</f>
        <v>524</v>
      </c>
      <c r="U225" s="444"/>
      <c r="V225" s="590"/>
      <c r="W225" s="603"/>
      <c r="X225" s="425"/>
    </row>
    <row r="226" spans="1:25" s="426" customFormat="1" x14ac:dyDescent="0.3">
      <c r="A226" s="588"/>
      <c r="B226" s="444" t="s">
        <v>85</v>
      </c>
      <c r="C226" s="516"/>
      <c r="D226" s="516"/>
      <c r="E226" s="516"/>
      <c r="F226" s="516"/>
      <c r="G226" s="444"/>
      <c r="H226" s="444"/>
      <c r="I226" s="444"/>
      <c r="J226" s="444"/>
      <c r="K226" s="444"/>
      <c r="L226" s="444"/>
      <c r="M226" s="444"/>
      <c r="N226" s="444"/>
      <c r="O226" s="444"/>
      <c r="P226" s="444"/>
      <c r="Q226" s="444"/>
      <c r="R226" s="444"/>
      <c r="S226" s="450"/>
      <c r="T226" s="589">
        <f>'June 19'!T223+T225</f>
        <v>12737</v>
      </c>
      <c r="U226" s="444"/>
      <c r="V226" s="590"/>
      <c r="W226" s="603"/>
      <c r="X226" s="425"/>
    </row>
    <row r="227" spans="1:25" x14ac:dyDescent="0.3">
      <c r="A227" s="598"/>
      <c r="B227" s="594" t="s">
        <v>297</v>
      </c>
      <c r="C227" s="599"/>
      <c r="D227" s="599"/>
      <c r="E227" s="599"/>
      <c r="F227" s="599"/>
      <c r="G227" s="465"/>
      <c r="H227" s="465"/>
      <c r="I227" s="465"/>
      <c r="J227" s="465"/>
      <c r="K227" s="465"/>
      <c r="L227" s="465"/>
      <c r="M227" s="465"/>
      <c r="N227" s="465"/>
      <c r="O227" s="465"/>
      <c r="P227" s="465"/>
      <c r="Q227" s="465"/>
      <c r="R227" s="465"/>
      <c r="S227" s="604"/>
      <c r="T227" s="600"/>
      <c r="U227" s="465"/>
      <c r="V227" s="596"/>
      <c r="W227" s="601"/>
      <c r="X227" s="406"/>
    </row>
    <row r="228" spans="1:25" s="426" customFormat="1" x14ac:dyDescent="0.3">
      <c r="A228" s="602"/>
      <c r="B228" s="444" t="s">
        <v>295</v>
      </c>
      <c r="C228" s="444"/>
      <c r="D228" s="444"/>
      <c r="E228" s="444"/>
      <c r="F228" s="444"/>
      <c r="G228" s="444"/>
      <c r="H228" s="444"/>
      <c r="I228" s="444"/>
      <c r="J228" s="444"/>
      <c r="K228" s="444"/>
      <c r="L228" s="444"/>
      <c r="M228" s="444"/>
      <c r="N228" s="444"/>
      <c r="O228" s="444"/>
      <c r="P228" s="444"/>
      <c r="Q228" s="444"/>
      <c r="R228" s="444"/>
      <c r="S228" s="450">
        <v>0</v>
      </c>
      <c r="T228" s="589">
        <v>0</v>
      </c>
      <c r="U228" s="444"/>
      <c r="V228" s="590"/>
      <c r="W228" s="603"/>
      <c r="X228" s="425"/>
    </row>
    <row r="229" spans="1:25" s="426" customFormat="1" x14ac:dyDescent="0.3">
      <c r="A229" s="588"/>
      <c r="B229" s="444" t="s">
        <v>87</v>
      </c>
      <c r="C229" s="482"/>
      <c r="D229" s="482"/>
      <c r="E229" s="482"/>
      <c r="F229" s="605"/>
      <c r="G229" s="444"/>
      <c r="H229" s="444"/>
      <c r="I229" s="444"/>
      <c r="J229" s="444"/>
      <c r="K229" s="444"/>
      <c r="L229" s="444"/>
      <c r="M229" s="444"/>
      <c r="N229" s="444"/>
      <c r="O229" s="444"/>
      <c r="P229" s="444"/>
      <c r="Q229" s="444"/>
      <c r="R229" s="444"/>
      <c r="S229" s="444"/>
      <c r="T229" s="606">
        <v>0</v>
      </c>
      <c r="U229" s="444"/>
      <c r="V229" s="590"/>
      <c r="W229" s="603"/>
      <c r="X229" s="425"/>
    </row>
    <row r="230" spans="1:25" s="426" customFormat="1" x14ac:dyDescent="0.3">
      <c r="A230" s="588"/>
      <c r="B230" s="444" t="s">
        <v>88</v>
      </c>
      <c r="C230" s="482"/>
      <c r="D230" s="482"/>
      <c r="E230" s="482"/>
      <c r="F230" s="605"/>
      <c r="G230" s="444"/>
      <c r="H230" s="444"/>
      <c r="I230" s="444"/>
      <c r="J230" s="444"/>
      <c r="K230" s="444"/>
      <c r="L230" s="444"/>
      <c r="M230" s="444"/>
      <c r="N230" s="444"/>
      <c r="O230" s="444"/>
      <c r="P230" s="444"/>
      <c r="Q230" s="444"/>
      <c r="R230" s="444"/>
      <c r="S230" s="444"/>
      <c r="T230" s="606">
        <v>0</v>
      </c>
      <c r="U230" s="444"/>
      <c r="V230" s="590"/>
      <c r="W230" s="603"/>
      <c r="X230" s="425"/>
    </row>
    <row r="231" spans="1:25" x14ac:dyDescent="0.3">
      <c r="A231" s="593"/>
      <c r="B231" s="594" t="s">
        <v>220</v>
      </c>
      <c r="C231" s="607"/>
      <c r="D231" s="607"/>
      <c r="E231" s="607"/>
      <c r="F231" s="608"/>
      <c r="G231" s="465"/>
      <c r="H231" s="465"/>
      <c r="I231" s="465"/>
      <c r="J231" s="465"/>
      <c r="K231" s="465"/>
      <c r="L231" s="465"/>
      <c r="M231" s="465"/>
      <c r="N231" s="465"/>
      <c r="O231" s="465"/>
      <c r="P231" s="465"/>
      <c r="Q231" s="465"/>
      <c r="R231" s="465"/>
      <c r="S231" s="609"/>
      <c r="T231" s="610"/>
      <c r="U231" s="465"/>
      <c r="V231" s="596"/>
      <c r="W231" s="601"/>
      <c r="X231" s="406"/>
    </row>
    <row r="232" spans="1:25" s="426" customFormat="1" x14ac:dyDescent="0.3">
      <c r="A232" s="588"/>
      <c r="B232" s="444" t="s">
        <v>295</v>
      </c>
      <c r="C232" s="482"/>
      <c r="D232" s="482"/>
      <c r="E232" s="482"/>
      <c r="F232" s="605"/>
      <c r="G232" s="444"/>
      <c r="H232" s="444"/>
      <c r="I232" s="444"/>
      <c r="J232" s="444"/>
      <c r="K232" s="444"/>
      <c r="L232" s="444"/>
      <c r="M232" s="444"/>
      <c r="N232" s="444"/>
      <c r="O232" s="444"/>
      <c r="P232" s="444"/>
      <c r="Q232" s="444"/>
      <c r="R232" s="444"/>
      <c r="S232" s="450">
        <v>4</v>
      </c>
      <c r="T232" s="589">
        <v>586</v>
      </c>
      <c r="U232" s="444"/>
      <c r="V232" s="590"/>
      <c r="W232" s="603"/>
      <c r="X232" s="425"/>
    </row>
    <row r="233" spans="1:25" s="426" customFormat="1" x14ac:dyDescent="0.3">
      <c r="A233" s="588"/>
      <c r="B233" s="444" t="s">
        <v>221</v>
      </c>
      <c r="C233" s="482"/>
      <c r="D233" s="482"/>
      <c r="E233" s="482"/>
      <c r="F233" s="605"/>
      <c r="G233" s="444"/>
      <c r="H233" s="444"/>
      <c r="I233" s="444"/>
      <c r="J233" s="444"/>
      <c r="K233" s="444"/>
      <c r="L233" s="444"/>
      <c r="M233" s="444"/>
      <c r="N233" s="444"/>
      <c r="O233" s="444"/>
      <c r="P233" s="444"/>
      <c r="Q233" s="444"/>
      <c r="R233" s="444"/>
      <c r="S233" s="444"/>
      <c r="T233" s="606">
        <v>37.409999999999997</v>
      </c>
      <c r="U233" s="444"/>
      <c r="V233" s="590"/>
      <c r="W233" s="603"/>
      <c r="X233" s="425"/>
    </row>
    <row r="234" spans="1:25" x14ac:dyDescent="0.3">
      <c r="A234" s="593"/>
      <c r="B234" s="599"/>
      <c r="C234" s="607"/>
      <c r="D234" s="607"/>
      <c r="E234" s="607"/>
      <c r="F234" s="608"/>
      <c r="G234" s="465"/>
      <c r="H234" s="465"/>
      <c r="I234" s="465"/>
      <c r="J234" s="465"/>
      <c r="K234" s="465"/>
      <c r="L234" s="465"/>
      <c r="M234" s="465"/>
      <c r="N234" s="465"/>
      <c r="O234" s="465"/>
      <c r="P234" s="465"/>
      <c r="Q234" s="465"/>
      <c r="R234" s="465"/>
      <c r="S234" s="465"/>
      <c r="T234" s="611"/>
      <c r="U234" s="465"/>
      <c r="V234" s="596"/>
      <c r="W234" s="601"/>
      <c r="X234" s="406"/>
    </row>
    <row r="235" spans="1:25" x14ac:dyDescent="0.3">
      <c r="A235" s="593"/>
      <c r="B235" s="599"/>
      <c r="C235" s="607"/>
      <c r="D235" s="607"/>
      <c r="E235" s="607"/>
      <c r="F235" s="608"/>
      <c r="G235" s="465"/>
      <c r="H235" s="465"/>
      <c r="I235" s="465"/>
      <c r="J235" s="465"/>
      <c r="K235" s="465"/>
      <c r="L235" s="465"/>
      <c r="M235" s="465"/>
      <c r="N235" s="465"/>
      <c r="O235" s="465"/>
      <c r="P235" s="465"/>
      <c r="Q235" s="465"/>
      <c r="R235" s="465"/>
      <c r="S235" s="465"/>
      <c r="T235" s="611"/>
      <c r="U235" s="465"/>
      <c r="V235" s="596"/>
      <c r="W235" s="601"/>
      <c r="X235" s="406"/>
    </row>
    <row r="236" spans="1:25" ht="18" x14ac:dyDescent="0.35">
      <c r="A236" s="593"/>
      <c r="B236" s="612" t="s">
        <v>171</v>
      </c>
      <c r="C236" s="607"/>
      <c r="D236" s="607"/>
      <c r="E236" s="607"/>
      <c r="F236" s="608"/>
      <c r="G236" s="465"/>
      <c r="H236" s="465"/>
      <c r="I236" s="465"/>
      <c r="J236" s="465"/>
      <c r="K236" s="465"/>
      <c r="L236" s="465"/>
      <c r="M236" s="465"/>
      <c r="N236" s="465"/>
      <c r="O236" s="465"/>
      <c r="P236" s="613" t="s">
        <v>370</v>
      </c>
      <c r="Q236" s="465"/>
      <c r="R236" s="465"/>
      <c r="S236" s="465"/>
      <c r="T236" s="611"/>
      <c r="U236" s="465"/>
      <c r="V236" s="596"/>
      <c r="W236" s="601"/>
      <c r="X236" s="406"/>
    </row>
    <row r="237" spans="1:25" x14ac:dyDescent="0.3">
      <c r="A237" s="614"/>
      <c r="B237" s="615"/>
      <c r="C237" s="616"/>
      <c r="D237" s="616"/>
      <c r="E237" s="616"/>
      <c r="F237" s="617"/>
      <c r="G237" s="518"/>
      <c r="H237" s="518"/>
      <c r="I237" s="518"/>
      <c r="J237" s="518"/>
      <c r="K237" s="518"/>
      <c r="L237" s="518"/>
      <c r="M237" s="518"/>
      <c r="N237" s="518"/>
      <c r="O237" s="518"/>
      <c r="P237" s="518"/>
      <c r="Q237" s="518"/>
      <c r="R237" s="518"/>
      <c r="S237" s="518"/>
      <c r="T237" s="618"/>
      <c r="U237" s="518"/>
      <c r="V237" s="619"/>
      <c r="W237" s="620"/>
      <c r="X237" s="406"/>
    </row>
    <row r="238" spans="1:25" x14ac:dyDescent="0.3">
      <c r="A238" s="533"/>
      <c r="B238" s="534" t="s">
        <v>310</v>
      </c>
      <c r="C238" s="535"/>
      <c r="D238" s="535"/>
      <c r="E238" s="535"/>
      <c r="F238" s="621"/>
      <c r="G238" s="535"/>
      <c r="H238" s="535"/>
      <c r="I238" s="535"/>
      <c r="J238" s="535"/>
      <c r="K238" s="535"/>
      <c r="L238" s="535"/>
      <c r="M238" s="535"/>
      <c r="N238" s="535"/>
      <c r="O238" s="535"/>
      <c r="P238" s="535"/>
      <c r="Q238" s="535"/>
      <c r="R238" s="621" t="s">
        <v>103</v>
      </c>
      <c r="S238" s="535" t="s">
        <v>104</v>
      </c>
      <c r="T238" s="621" t="s">
        <v>111</v>
      </c>
      <c r="U238" s="535" t="s">
        <v>104</v>
      </c>
      <c r="V238" s="622"/>
      <c r="W238" s="623"/>
      <c r="X238" s="406"/>
    </row>
    <row r="239" spans="1:25" s="426" customFormat="1" x14ac:dyDescent="0.3">
      <c r="A239" s="421"/>
      <c r="B239" s="552" t="s">
        <v>89</v>
      </c>
      <c r="C239" s="624"/>
      <c r="D239" s="624"/>
      <c r="E239" s="624"/>
      <c r="F239" s="494"/>
      <c r="G239" s="624"/>
      <c r="H239" s="624"/>
      <c r="I239" s="624"/>
      <c r="J239" s="624"/>
      <c r="K239" s="624"/>
      <c r="L239" s="624"/>
      <c r="M239" s="624"/>
      <c r="N239" s="624"/>
      <c r="O239" s="624"/>
      <c r="P239" s="624"/>
      <c r="Q239" s="624"/>
      <c r="R239" s="539">
        <f t="shared" ref="R239:R246" si="1">+R251+R263+R275</f>
        <v>5436</v>
      </c>
      <c r="S239" s="625">
        <f t="shared" ref="S239:S246" si="2">R239/$R$248</f>
        <v>0.99432961404792386</v>
      </c>
      <c r="T239" s="540">
        <f t="shared" ref="T239:T246" si="3">+T251+T263+T275</f>
        <v>693451</v>
      </c>
      <c r="U239" s="625">
        <f t="shared" ref="U239:U246" si="4">T239/$T$248</f>
        <v>0.99380600854432599</v>
      </c>
      <c r="V239" s="585"/>
      <c r="W239" s="626"/>
      <c r="X239" s="425"/>
    </row>
    <row r="240" spans="1:25" s="426" customFormat="1" x14ac:dyDescent="0.3">
      <c r="A240" s="443"/>
      <c r="B240" s="516" t="s">
        <v>90</v>
      </c>
      <c r="C240" s="627"/>
      <c r="D240" s="627"/>
      <c r="E240" s="627"/>
      <c r="F240" s="444"/>
      <c r="G240" s="628"/>
      <c r="H240" s="627"/>
      <c r="I240" s="627"/>
      <c r="J240" s="627"/>
      <c r="K240" s="627"/>
      <c r="L240" s="627"/>
      <c r="M240" s="627"/>
      <c r="N240" s="627"/>
      <c r="O240" s="627"/>
      <c r="P240" s="627"/>
      <c r="Q240" s="627"/>
      <c r="R240" s="516">
        <f t="shared" si="1"/>
        <v>12</v>
      </c>
      <c r="S240" s="628">
        <f t="shared" si="2"/>
        <v>2.194988110481068E-3</v>
      </c>
      <c r="T240" s="517">
        <f t="shared" si="3"/>
        <v>1534</v>
      </c>
      <c r="U240" s="628">
        <f t="shared" si="4"/>
        <v>2.1984226962063593E-3</v>
      </c>
      <c r="V240" s="590"/>
      <c r="W240" s="603"/>
      <c r="X240" s="425"/>
      <c r="Y240" s="549"/>
    </row>
    <row r="241" spans="1:25" s="426" customFormat="1" x14ac:dyDescent="0.3">
      <c r="A241" s="443"/>
      <c r="B241" s="516" t="s">
        <v>91</v>
      </c>
      <c r="C241" s="627"/>
      <c r="D241" s="627"/>
      <c r="E241" s="627"/>
      <c r="F241" s="444"/>
      <c r="G241" s="628"/>
      <c r="H241" s="627"/>
      <c r="I241" s="627"/>
      <c r="J241" s="627"/>
      <c r="K241" s="627"/>
      <c r="L241" s="627"/>
      <c r="M241" s="627"/>
      <c r="N241" s="627"/>
      <c r="O241" s="627"/>
      <c r="P241" s="627"/>
      <c r="Q241" s="627"/>
      <c r="R241" s="516">
        <f t="shared" si="1"/>
        <v>5</v>
      </c>
      <c r="S241" s="628">
        <f t="shared" si="2"/>
        <v>9.1457837936711171E-4</v>
      </c>
      <c r="T241" s="517">
        <f t="shared" si="3"/>
        <v>824</v>
      </c>
      <c r="U241" s="628">
        <f t="shared" si="4"/>
        <v>1.1808998055241461E-3</v>
      </c>
      <c r="V241" s="590"/>
      <c r="W241" s="603"/>
      <c r="X241" s="425"/>
    </row>
    <row r="242" spans="1:25" s="426" customFormat="1" x14ac:dyDescent="0.3">
      <c r="A242" s="443"/>
      <c r="B242" s="516" t="s">
        <v>159</v>
      </c>
      <c r="C242" s="627"/>
      <c r="D242" s="627"/>
      <c r="E242" s="627"/>
      <c r="F242" s="444"/>
      <c r="G242" s="628"/>
      <c r="H242" s="627"/>
      <c r="I242" s="627"/>
      <c r="J242" s="627"/>
      <c r="K242" s="627"/>
      <c r="L242" s="627"/>
      <c r="M242" s="627"/>
      <c r="N242" s="627"/>
      <c r="O242" s="627"/>
      <c r="P242" s="627"/>
      <c r="Q242" s="627"/>
      <c r="R242" s="516">
        <f t="shared" si="1"/>
        <v>4</v>
      </c>
      <c r="S242" s="628">
        <f t="shared" si="2"/>
        <v>7.3166270349368941E-4</v>
      </c>
      <c r="T242" s="517">
        <f t="shared" si="3"/>
        <v>820</v>
      </c>
      <c r="U242" s="628">
        <f t="shared" si="4"/>
        <v>1.1751672821963589E-3</v>
      </c>
      <c r="V242" s="590"/>
      <c r="W242" s="603"/>
      <c r="X242" s="425"/>
      <c r="Y242" s="549"/>
    </row>
    <row r="243" spans="1:25" s="426" customFormat="1" x14ac:dyDescent="0.3">
      <c r="A243" s="443"/>
      <c r="B243" s="516" t="s">
        <v>160</v>
      </c>
      <c r="C243" s="627"/>
      <c r="D243" s="627"/>
      <c r="E243" s="627"/>
      <c r="F243" s="444"/>
      <c r="G243" s="628"/>
      <c r="H243" s="627"/>
      <c r="I243" s="627"/>
      <c r="J243" s="627"/>
      <c r="K243" s="627"/>
      <c r="L243" s="627"/>
      <c r="M243" s="627"/>
      <c r="N243" s="627"/>
      <c r="O243" s="627"/>
      <c r="P243" s="627"/>
      <c r="Q243" s="627"/>
      <c r="R243" s="516">
        <f t="shared" si="1"/>
        <v>3</v>
      </c>
      <c r="S243" s="628">
        <f t="shared" si="2"/>
        <v>5.48747027620267E-4</v>
      </c>
      <c r="T243" s="517">
        <f t="shared" si="3"/>
        <v>243</v>
      </c>
      <c r="U243" s="628">
        <f t="shared" si="4"/>
        <v>3.4825079216306738E-4</v>
      </c>
      <c r="V243" s="590"/>
      <c r="W243" s="603"/>
      <c r="X243" s="425"/>
    </row>
    <row r="244" spans="1:25" s="426" customFormat="1" x14ac:dyDescent="0.3">
      <c r="A244" s="443"/>
      <c r="B244" s="516" t="s">
        <v>161</v>
      </c>
      <c r="C244" s="627"/>
      <c r="D244" s="627"/>
      <c r="E244" s="627"/>
      <c r="F244" s="444"/>
      <c r="G244" s="628"/>
      <c r="H244" s="627"/>
      <c r="I244" s="627"/>
      <c r="J244" s="627"/>
      <c r="K244" s="627"/>
      <c r="L244" s="627"/>
      <c r="M244" s="627"/>
      <c r="N244" s="627"/>
      <c r="O244" s="627"/>
      <c r="P244" s="627"/>
      <c r="Q244" s="627"/>
      <c r="R244" s="516">
        <f t="shared" si="1"/>
        <v>0</v>
      </c>
      <c r="S244" s="628">
        <f t="shared" si="2"/>
        <v>0</v>
      </c>
      <c r="T244" s="517">
        <f t="shared" si="3"/>
        <v>0</v>
      </c>
      <c r="U244" s="628">
        <f t="shared" si="4"/>
        <v>0</v>
      </c>
      <c r="V244" s="590"/>
      <c r="W244" s="603"/>
      <c r="X244" s="425"/>
      <c r="Y244" s="549"/>
    </row>
    <row r="245" spans="1:25" s="426" customFormat="1" x14ac:dyDescent="0.3">
      <c r="A245" s="443"/>
      <c r="B245" s="516" t="s">
        <v>162</v>
      </c>
      <c r="C245" s="627"/>
      <c r="D245" s="627"/>
      <c r="E245" s="627"/>
      <c r="F245" s="444"/>
      <c r="G245" s="628"/>
      <c r="H245" s="627"/>
      <c r="I245" s="627"/>
      <c r="J245" s="627"/>
      <c r="K245" s="627"/>
      <c r="L245" s="627"/>
      <c r="M245" s="627"/>
      <c r="N245" s="627"/>
      <c r="O245" s="627"/>
      <c r="P245" s="627"/>
      <c r="Q245" s="627"/>
      <c r="R245" s="516">
        <f t="shared" si="1"/>
        <v>1</v>
      </c>
      <c r="S245" s="628">
        <f t="shared" si="2"/>
        <v>1.8291567587342235E-4</v>
      </c>
      <c r="T245" s="517">
        <f t="shared" si="3"/>
        <v>48</v>
      </c>
      <c r="U245" s="628">
        <f t="shared" si="4"/>
        <v>6.8790279933445399E-5</v>
      </c>
      <c r="V245" s="590"/>
      <c r="W245" s="603"/>
      <c r="X245" s="425"/>
    </row>
    <row r="246" spans="1:25" s="426" customFormat="1" x14ac:dyDescent="0.3">
      <c r="A246" s="443"/>
      <c r="B246" s="516" t="s">
        <v>163</v>
      </c>
      <c r="C246" s="627"/>
      <c r="D246" s="627"/>
      <c r="E246" s="627"/>
      <c r="F246" s="444"/>
      <c r="G246" s="628"/>
      <c r="H246" s="627"/>
      <c r="I246" s="627"/>
      <c r="J246" s="627"/>
      <c r="K246" s="627"/>
      <c r="L246" s="627"/>
      <c r="M246" s="627"/>
      <c r="N246" s="627"/>
      <c r="O246" s="627"/>
      <c r="P246" s="627"/>
      <c r="Q246" s="627"/>
      <c r="R246" s="516">
        <f t="shared" si="1"/>
        <v>6</v>
      </c>
      <c r="S246" s="628">
        <f t="shared" si="2"/>
        <v>1.097494055240534E-3</v>
      </c>
      <c r="T246" s="517">
        <f t="shared" si="3"/>
        <v>853</v>
      </c>
      <c r="U246" s="628">
        <f t="shared" si="4"/>
        <v>1.2224605996506027E-3</v>
      </c>
      <c r="V246" s="590"/>
      <c r="W246" s="603"/>
      <c r="X246" s="425"/>
      <c r="Y246" s="549"/>
    </row>
    <row r="247" spans="1:25" s="426" customFormat="1" x14ac:dyDescent="0.3">
      <c r="A247" s="443"/>
      <c r="B247" s="516"/>
      <c r="C247" s="627"/>
      <c r="D247" s="627"/>
      <c r="E247" s="627"/>
      <c r="F247" s="444"/>
      <c r="G247" s="628"/>
      <c r="H247" s="627"/>
      <c r="I247" s="627"/>
      <c r="J247" s="627"/>
      <c r="K247" s="627"/>
      <c r="L247" s="627"/>
      <c r="M247" s="627"/>
      <c r="N247" s="627"/>
      <c r="O247" s="627"/>
      <c r="P247" s="627"/>
      <c r="Q247" s="627"/>
      <c r="R247" s="516"/>
      <c r="S247" s="628"/>
      <c r="T247" s="517"/>
      <c r="U247" s="628"/>
      <c r="V247" s="590"/>
      <c r="W247" s="603"/>
      <c r="X247" s="425"/>
    </row>
    <row r="248" spans="1:25" s="426" customFormat="1" x14ac:dyDescent="0.3">
      <c r="A248" s="443"/>
      <c r="B248" s="444" t="s">
        <v>117</v>
      </c>
      <c r="C248" s="444"/>
      <c r="D248" s="444"/>
      <c r="E248" s="444"/>
      <c r="F248" s="444"/>
      <c r="G248" s="444"/>
      <c r="H248" s="629"/>
      <c r="I248" s="629"/>
      <c r="J248" s="629"/>
      <c r="K248" s="629"/>
      <c r="L248" s="629"/>
      <c r="M248" s="629"/>
      <c r="N248" s="629"/>
      <c r="O248" s="629"/>
      <c r="P248" s="629"/>
      <c r="Q248" s="629"/>
      <c r="R248" s="516">
        <f>SUM(R239:R247)</f>
        <v>5467</v>
      </c>
      <c r="S248" s="628">
        <f>SUM(S239:S247)</f>
        <v>1</v>
      </c>
      <c r="T248" s="517">
        <f>SUM(T239:T247)</f>
        <v>697773</v>
      </c>
      <c r="U248" s="628">
        <f>SUM(U239:U247)</f>
        <v>1</v>
      </c>
      <c r="V248" s="444"/>
      <c r="W248" s="446"/>
      <c r="X248" s="425"/>
    </row>
    <row r="249" spans="1:25" x14ac:dyDescent="0.3">
      <c r="A249" s="614"/>
      <c r="B249" s="615"/>
      <c r="C249" s="616"/>
      <c r="D249" s="616"/>
      <c r="E249" s="616"/>
      <c r="F249" s="617"/>
      <c r="G249" s="518"/>
      <c r="H249" s="518"/>
      <c r="I249" s="518"/>
      <c r="J249" s="518"/>
      <c r="K249" s="518"/>
      <c r="L249" s="518"/>
      <c r="M249" s="518"/>
      <c r="N249" s="518"/>
      <c r="O249" s="518"/>
      <c r="P249" s="518"/>
      <c r="Q249" s="518"/>
      <c r="R249" s="518"/>
      <c r="S249" s="518"/>
      <c r="T249" s="618"/>
      <c r="U249" s="518"/>
      <c r="V249" s="619"/>
      <c r="W249" s="620"/>
      <c r="X249" s="406"/>
    </row>
    <row r="250" spans="1:25" x14ac:dyDescent="0.3">
      <c r="A250" s="533"/>
      <c r="B250" s="534" t="s">
        <v>165</v>
      </c>
      <c r="C250" s="535"/>
      <c r="D250" s="535"/>
      <c r="E250" s="535"/>
      <c r="F250" s="621"/>
      <c r="G250" s="535"/>
      <c r="H250" s="535"/>
      <c r="I250" s="535"/>
      <c r="J250" s="535"/>
      <c r="K250" s="535"/>
      <c r="L250" s="535"/>
      <c r="M250" s="535"/>
      <c r="N250" s="535"/>
      <c r="O250" s="535"/>
      <c r="P250" s="535"/>
      <c r="Q250" s="535"/>
      <c r="R250" s="621" t="s">
        <v>103</v>
      </c>
      <c r="S250" s="535" t="s">
        <v>104</v>
      </c>
      <c r="T250" s="621" t="s">
        <v>111</v>
      </c>
      <c r="U250" s="535" t="s">
        <v>104</v>
      </c>
      <c r="V250" s="622"/>
      <c r="W250" s="623"/>
      <c r="X250" s="406"/>
    </row>
    <row r="251" spans="1:25" s="426" customFormat="1" x14ac:dyDescent="0.3">
      <c r="A251" s="421"/>
      <c r="B251" s="552" t="s">
        <v>89</v>
      </c>
      <c r="C251" s="624"/>
      <c r="D251" s="624"/>
      <c r="E251" s="624"/>
      <c r="F251" s="494"/>
      <c r="G251" s="624"/>
      <c r="H251" s="624"/>
      <c r="I251" s="624"/>
      <c r="J251" s="624"/>
      <c r="K251" s="624"/>
      <c r="L251" s="624"/>
      <c r="M251" s="624"/>
      <c r="N251" s="624"/>
      <c r="O251" s="624"/>
      <c r="P251" s="624"/>
      <c r="Q251" s="624"/>
      <c r="R251" s="552">
        <v>5359</v>
      </c>
      <c r="S251" s="630">
        <f t="shared" ref="S251:S258" si="5">R251/$R$260</f>
        <v>0.99646708813685381</v>
      </c>
      <c r="T251" s="631">
        <v>679611</v>
      </c>
      <c r="U251" s="630">
        <f t="shared" ref="U251:U258" si="6">T251/$T$260</f>
        <v>0.99689319362972673</v>
      </c>
      <c r="V251" s="585"/>
      <c r="W251" s="626"/>
      <c r="X251" s="425"/>
    </row>
    <row r="252" spans="1:25" s="426" customFormat="1" x14ac:dyDescent="0.3">
      <c r="A252" s="443"/>
      <c r="B252" s="516" t="s">
        <v>90</v>
      </c>
      <c r="C252" s="627"/>
      <c r="D252" s="627"/>
      <c r="E252" s="627"/>
      <c r="F252" s="444"/>
      <c r="G252" s="628"/>
      <c r="H252" s="627"/>
      <c r="I252" s="627"/>
      <c r="J252" s="627"/>
      <c r="K252" s="627"/>
      <c r="L252" s="627"/>
      <c r="M252" s="627"/>
      <c r="N252" s="627"/>
      <c r="O252" s="627"/>
      <c r="P252" s="627"/>
      <c r="Q252" s="627"/>
      <c r="R252" s="516">
        <v>11</v>
      </c>
      <c r="S252" s="628">
        <f t="shared" si="5"/>
        <v>2.045370026031982E-3</v>
      </c>
      <c r="T252" s="517">
        <v>1058</v>
      </c>
      <c r="U252" s="628">
        <f t="shared" si="6"/>
        <v>1.5519363266048533E-3</v>
      </c>
      <c r="V252" s="590"/>
      <c r="W252" s="603"/>
      <c r="X252" s="425"/>
      <c r="Y252" s="549"/>
    </row>
    <row r="253" spans="1:25" s="426" customFormat="1" x14ac:dyDescent="0.3">
      <c r="A253" s="443"/>
      <c r="B253" s="516" t="s">
        <v>91</v>
      </c>
      <c r="C253" s="627"/>
      <c r="D253" s="627"/>
      <c r="E253" s="627"/>
      <c r="F253" s="444"/>
      <c r="G253" s="628"/>
      <c r="H253" s="627"/>
      <c r="I253" s="627"/>
      <c r="J253" s="627"/>
      <c r="K253" s="627"/>
      <c r="L253" s="627"/>
      <c r="M253" s="627"/>
      <c r="N253" s="627"/>
      <c r="O253" s="627"/>
      <c r="P253" s="627"/>
      <c r="Q253" s="627"/>
      <c r="R253" s="516">
        <v>3</v>
      </c>
      <c r="S253" s="628">
        <f t="shared" si="5"/>
        <v>5.5782818891781326E-4</v>
      </c>
      <c r="T253" s="517">
        <v>445</v>
      </c>
      <c r="U253" s="628">
        <f t="shared" si="6"/>
        <v>6.5275204663436644E-4</v>
      </c>
      <c r="V253" s="590"/>
      <c r="W253" s="603"/>
      <c r="X253" s="425"/>
    </row>
    <row r="254" spans="1:25" s="426" customFormat="1" x14ac:dyDescent="0.3">
      <c r="A254" s="443"/>
      <c r="B254" s="516" t="s">
        <v>159</v>
      </c>
      <c r="C254" s="627"/>
      <c r="D254" s="627"/>
      <c r="E254" s="627"/>
      <c r="F254" s="444"/>
      <c r="G254" s="628"/>
      <c r="H254" s="627"/>
      <c r="I254" s="627"/>
      <c r="J254" s="627"/>
      <c r="K254" s="627"/>
      <c r="L254" s="627"/>
      <c r="M254" s="627"/>
      <c r="N254" s="627"/>
      <c r="O254" s="627"/>
      <c r="P254" s="627"/>
      <c r="Q254" s="627"/>
      <c r="R254" s="516">
        <v>3</v>
      </c>
      <c r="S254" s="628">
        <f t="shared" si="5"/>
        <v>5.5782818891781326E-4</v>
      </c>
      <c r="T254" s="517">
        <v>344</v>
      </c>
      <c r="U254" s="628">
        <f t="shared" si="6"/>
        <v>5.0459933492634165E-4</v>
      </c>
      <c r="V254" s="590"/>
      <c r="W254" s="603"/>
      <c r="X254" s="425"/>
      <c r="Y254" s="549"/>
    </row>
    <row r="255" spans="1:25" s="426" customFormat="1" x14ac:dyDescent="0.3">
      <c r="A255" s="443"/>
      <c r="B255" s="516" t="s">
        <v>160</v>
      </c>
      <c r="C255" s="627"/>
      <c r="D255" s="627"/>
      <c r="E255" s="627"/>
      <c r="F255" s="444"/>
      <c r="G255" s="628"/>
      <c r="H255" s="627"/>
      <c r="I255" s="627"/>
      <c r="J255" s="627"/>
      <c r="K255" s="627"/>
      <c r="L255" s="627"/>
      <c r="M255" s="627"/>
      <c r="N255" s="627"/>
      <c r="O255" s="627"/>
      <c r="P255" s="627"/>
      <c r="Q255" s="627"/>
      <c r="R255" s="516">
        <v>1</v>
      </c>
      <c r="S255" s="628">
        <f t="shared" si="5"/>
        <v>1.859427296392711E-4</v>
      </c>
      <c r="T255" s="517">
        <v>72</v>
      </c>
      <c r="U255" s="628">
        <f t="shared" si="6"/>
        <v>1.0561381428690873E-4</v>
      </c>
      <c r="V255" s="590"/>
      <c r="W255" s="603"/>
      <c r="X255" s="425"/>
    </row>
    <row r="256" spans="1:25" s="426" customFormat="1" x14ac:dyDescent="0.3">
      <c r="A256" s="443"/>
      <c r="B256" s="516" t="s">
        <v>161</v>
      </c>
      <c r="C256" s="627"/>
      <c r="D256" s="627"/>
      <c r="E256" s="627"/>
      <c r="F256" s="444"/>
      <c r="G256" s="628"/>
      <c r="H256" s="627"/>
      <c r="I256" s="627"/>
      <c r="J256" s="627"/>
      <c r="K256" s="627"/>
      <c r="L256" s="627"/>
      <c r="M256" s="627"/>
      <c r="N256" s="627"/>
      <c r="O256" s="627"/>
      <c r="P256" s="627"/>
      <c r="Q256" s="627"/>
      <c r="R256" s="516">
        <v>0</v>
      </c>
      <c r="S256" s="628">
        <f t="shared" si="5"/>
        <v>0</v>
      </c>
      <c r="T256" s="517">
        <v>0</v>
      </c>
      <c r="U256" s="628">
        <f t="shared" si="6"/>
        <v>0</v>
      </c>
      <c r="V256" s="590"/>
      <c r="W256" s="603"/>
      <c r="X256" s="425"/>
      <c r="Y256" s="549"/>
    </row>
    <row r="257" spans="1:25" s="426" customFormat="1" x14ac:dyDescent="0.3">
      <c r="A257" s="443"/>
      <c r="B257" s="516" t="s">
        <v>162</v>
      </c>
      <c r="C257" s="627"/>
      <c r="D257" s="627"/>
      <c r="E257" s="627"/>
      <c r="F257" s="444"/>
      <c r="G257" s="628"/>
      <c r="H257" s="627"/>
      <c r="I257" s="627"/>
      <c r="J257" s="627"/>
      <c r="K257" s="627"/>
      <c r="L257" s="627"/>
      <c r="M257" s="627"/>
      <c r="N257" s="627"/>
      <c r="O257" s="627"/>
      <c r="P257" s="627"/>
      <c r="Q257" s="627"/>
      <c r="R257" s="516">
        <v>0</v>
      </c>
      <c r="S257" s="628">
        <f t="shared" si="5"/>
        <v>0</v>
      </c>
      <c r="T257" s="517">
        <v>0</v>
      </c>
      <c r="U257" s="628">
        <f t="shared" si="6"/>
        <v>0</v>
      </c>
      <c r="V257" s="590"/>
      <c r="W257" s="603"/>
      <c r="X257" s="425"/>
    </row>
    <row r="258" spans="1:25" s="426" customFormat="1" x14ac:dyDescent="0.3">
      <c r="A258" s="443"/>
      <c r="B258" s="516" t="s">
        <v>163</v>
      </c>
      <c r="C258" s="627"/>
      <c r="D258" s="627"/>
      <c r="E258" s="627"/>
      <c r="F258" s="444"/>
      <c r="G258" s="628"/>
      <c r="H258" s="627"/>
      <c r="I258" s="627"/>
      <c r="J258" s="627"/>
      <c r="K258" s="627"/>
      <c r="L258" s="627"/>
      <c r="M258" s="627"/>
      <c r="N258" s="627"/>
      <c r="O258" s="627"/>
      <c r="P258" s="627"/>
      <c r="Q258" s="627"/>
      <c r="R258" s="516">
        <v>1</v>
      </c>
      <c r="S258" s="628">
        <f t="shared" si="5"/>
        <v>1.859427296392711E-4</v>
      </c>
      <c r="T258" s="517">
        <v>199</v>
      </c>
      <c r="U258" s="628">
        <f t="shared" si="6"/>
        <v>2.9190484782076162E-4</v>
      </c>
      <c r="V258" s="590"/>
      <c r="W258" s="603"/>
      <c r="X258" s="425"/>
      <c r="Y258" s="549"/>
    </row>
    <row r="259" spans="1:25" s="426" customFormat="1" x14ac:dyDescent="0.3">
      <c r="A259" s="443"/>
      <c r="B259" s="516"/>
      <c r="C259" s="627"/>
      <c r="D259" s="627"/>
      <c r="E259" s="627"/>
      <c r="F259" s="444"/>
      <c r="G259" s="628"/>
      <c r="H259" s="627"/>
      <c r="I259" s="627"/>
      <c r="J259" s="627"/>
      <c r="K259" s="627"/>
      <c r="L259" s="627"/>
      <c r="M259" s="627"/>
      <c r="N259" s="627"/>
      <c r="O259" s="627"/>
      <c r="P259" s="627"/>
      <c r="Q259" s="627"/>
      <c r="R259" s="516"/>
      <c r="S259" s="628"/>
      <c r="T259" s="517"/>
      <c r="U259" s="628"/>
      <c r="V259" s="590"/>
      <c r="W259" s="603"/>
      <c r="X259" s="425"/>
    </row>
    <row r="260" spans="1:25" s="426" customFormat="1" x14ac:dyDescent="0.3">
      <c r="A260" s="443"/>
      <c r="B260" s="444" t="s">
        <v>117</v>
      </c>
      <c r="C260" s="444"/>
      <c r="D260" s="444"/>
      <c r="E260" s="444"/>
      <c r="F260" s="444"/>
      <c r="G260" s="444"/>
      <c r="H260" s="629"/>
      <c r="I260" s="629"/>
      <c r="J260" s="629"/>
      <c r="K260" s="629"/>
      <c r="L260" s="629"/>
      <c r="M260" s="629"/>
      <c r="N260" s="629"/>
      <c r="O260" s="629"/>
      <c r="P260" s="629"/>
      <c r="Q260" s="629"/>
      <c r="R260" s="516">
        <f>SUM(R251:R259)</f>
        <v>5378</v>
      </c>
      <c r="S260" s="628">
        <f>SUM(S251:S259)</f>
        <v>0.99999999999999989</v>
      </c>
      <c r="T260" s="517">
        <f>SUM(T251:T259)</f>
        <v>681729</v>
      </c>
      <c r="U260" s="628">
        <f>SUM(U251:U259)</f>
        <v>0.99999999999999989</v>
      </c>
      <c r="V260" s="444"/>
      <c r="W260" s="446"/>
      <c r="X260" s="425"/>
    </row>
    <row r="261" spans="1:25" x14ac:dyDescent="0.3">
      <c r="A261" s="408"/>
      <c r="B261" s="518"/>
      <c r="C261" s="518"/>
      <c r="D261" s="518"/>
      <c r="E261" s="518"/>
      <c r="F261" s="518"/>
      <c r="G261" s="518"/>
      <c r="H261" s="632"/>
      <c r="I261" s="632"/>
      <c r="J261" s="632"/>
      <c r="K261" s="632"/>
      <c r="L261" s="632"/>
      <c r="M261" s="632"/>
      <c r="N261" s="632"/>
      <c r="O261" s="632"/>
      <c r="P261" s="632"/>
      <c r="Q261" s="632"/>
      <c r="R261" s="519"/>
      <c r="S261" s="633"/>
      <c r="T261" s="634"/>
      <c r="U261" s="633"/>
      <c r="V261" s="518"/>
      <c r="W261" s="411"/>
      <c r="X261" s="406"/>
    </row>
    <row r="262" spans="1:25" x14ac:dyDescent="0.3">
      <c r="A262" s="533"/>
      <c r="B262" s="534" t="s">
        <v>279</v>
      </c>
      <c r="C262" s="535"/>
      <c r="D262" s="535"/>
      <c r="E262" s="535"/>
      <c r="F262" s="621"/>
      <c r="G262" s="535"/>
      <c r="H262" s="535"/>
      <c r="I262" s="535"/>
      <c r="J262" s="535"/>
      <c r="K262" s="535"/>
      <c r="L262" s="535"/>
      <c r="M262" s="535"/>
      <c r="N262" s="535"/>
      <c r="O262" s="535"/>
      <c r="P262" s="535"/>
      <c r="Q262" s="535"/>
      <c r="R262" s="621" t="s">
        <v>103</v>
      </c>
      <c r="S262" s="535" t="s">
        <v>104</v>
      </c>
      <c r="T262" s="621" t="s">
        <v>111</v>
      </c>
      <c r="U262" s="535" t="s">
        <v>104</v>
      </c>
      <c r="V262" s="622"/>
      <c r="W262" s="538"/>
      <c r="X262" s="406"/>
    </row>
    <row r="263" spans="1:25" s="426" customFormat="1" x14ac:dyDescent="0.3">
      <c r="A263" s="421"/>
      <c r="B263" s="552" t="s">
        <v>89</v>
      </c>
      <c r="C263" s="624"/>
      <c r="D263" s="624"/>
      <c r="E263" s="624"/>
      <c r="F263" s="494"/>
      <c r="G263" s="624"/>
      <c r="H263" s="624"/>
      <c r="I263" s="624"/>
      <c r="J263" s="624"/>
      <c r="K263" s="624"/>
      <c r="L263" s="624"/>
      <c r="M263" s="624"/>
      <c r="N263" s="624"/>
      <c r="O263" s="624"/>
      <c r="P263" s="624"/>
      <c r="Q263" s="624"/>
      <c r="R263" s="552">
        <v>77</v>
      </c>
      <c r="S263" s="630">
        <f>R263/$R$272</f>
        <v>0.8651685393258427</v>
      </c>
      <c r="T263" s="631">
        <v>13840</v>
      </c>
      <c r="U263" s="630">
        <f t="shared" ref="U263:U270" si="7">T263/$T$272</f>
        <v>0.86262777362253806</v>
      </c>
      <c r="V263" s="494"/>
      <c r="W263" s="424"/>
      <c r="X263" s="425"/>
    </row>
    <row r="264" spans="1:25" s="426" customFormat="1" x14ac:dyDescent="0.3">
      <c r="A264" s="443"/>
      <c r="B264" s="516" t="s">
        <v>90</v>
      </c>
      <c r="C264" s="627"/>
      <c r="D264" s="627"/>
      <c r="E264" s="627"/>
      <c r="F264" s="444"/>
      <c r="G264" s="628"/>
      <c r="H264" s="627"/>
      <c r="I264" s="627"/>
      <c r="J264" s="627"/>
      <c r="K264" s="627"/>
      <c r="L264" s="627"/>
      <c r="M264" s="627"/>
      <c r="N264" s="627"/>
      <c r="O264" s="627"/>
      <c r="P264" s="627"/>
      <c r="Q264" s="627"/>
      <c r="R264" s="516">
        <v>1</v>
      </c>
      <c r="S264" s="628">
        <f t="shared" ref="S264:S268" si="8">R264/$R$272</f>
        <v>1.1235955056179775E-2</v>
      </c>
      <c r="T264" s="517">
        <v>476</v>
      </c>
      <c r="U264" s="628">
        <f t="shared" si="7"/>
        <v>2.9668411867364748E-2</v>
      </c>
      <c r="V264" s="444"/>
      <c r="W264" s="446"/>
      <c r="X264" s="425"/>
    </row>
    <row r="265" spans="1:25" s="426" customFormat="1" x14ac:dyDescent="0.3">
      <c r="A265" s="443"/>
      <c r="B265" s="516" t="s">
        <v>91</v>
      </c>
      <c r="C265" s="627"/>
      <c r="D265" s="627"/>
      <c r="E265" s="627"/>
      <c r="F265" s="444"/>
      <c r="G265" s="628"/>
      <c r="H265" s="627"/>
      <c r="I265" s="627"/>
      <c r="J265" s="627"/>
      <c r="K265" s="627"/>
      <c r="L265" s="627"/>
      <c r="M265" s="627"/>
      <c r="N265" s="627"/>
      <c r="O265" s="627"/>
      <c r="P265" s="627"/>
      <c r="Q265" s="627"/>
      <c r="R265" s="516">
        <v>2</v>
      </c>
      <c r="S265" s="628">
        <f t="shared" si="8"/>
        <v>2.247191011235955E-2</v>
      </c>
      <c r="T265" s="517">
        <v>379</v>
      </c>
      <c r="U265" s="628">
        <f t="shared" si="7"/>
        <v>2.3622538020443781E-2</v>
      </c>
      <c r="V265" s="444"/>
      <c r="W265" s="446"/>
      <c r="X265" s="425"/>
    </row>
    <row r="266" spans="1:25" s="426" customFormat="1" x14ac:dyDescent="0.3">
      <c r="A266" s="443"/>
      <c r="B266" s="516" t="s">
        <v>159</v>
      </c>
      <c r="C266" s="627"/>
      <c r="D266" s="627"/>
      <c r="E266" s="627"/>
      <c r="F266" s="444"/>
      <c r="G266" s="628"/>
      <c r="H266" s="627"/>
      <c r="I266" s="627"/>
      <c r="J266" s="627"/>
      <c r="K266" s="627"/>
      <c r="L266" s="627"/>
      <c r="M266" s="627"/>
      <c r="N266" s="627"/>
      <c r="O266" s="627"/>
      <c r="P266" s="627"/>
      <c r="Q266" s="627"/>
      <c r="R266" s="516">
        <v>1</v>
      </c>
      <c r="S266" s="628">
        <f t="shared" si="8"/>
        <v>1.1235955056179775E-2</v>
      </c>
      <c r="T266" s="517">
        <v>476</v>
      </c>
      <c r="U266" s="628">
        <f t="shared" si="7"/>
        <v>2.9668411867364748E-2</v>
      </c>
      <c r="V266" s="444"/>
      <c r="W266" s="446"/>
      <c r="X266" s="425"/>
    </row>
    <row r="267" spans="1:25" s="426" customFormat="1" x14ac:dyDescent="0.3">
      <c r="A267" s="443"/>
      <c r="B267" s="516" t="s">
        <v>160</v>
      </c>
      <c r="C267" s="627"/>
      <c r="D267" s="627"/>
      <c r="E267" s="627"/>
      <c r="F267" s="444"/>
      <c r="G267" s="628"/>
      <c r="H267" s="627"/>
      <c r="I267" s="627"/>
      <c r="J267" s="627"/>
      <c r="K267" s="627"/>
      <c r="L267" s="627"/>
      <c r="M267" s="627"/>
      <c r="N267" s="627"/>
      <c r="O267" s="627"/>
      <c r="P267" s="627"/>
      <c r="Q267" s="627"/>
      <c r="R267" s="516">
        <v>2</v>
      </c>
      <c r="S267" s="628">
        <f t="shared" si="8"/>
        <v>2.247191011235955E-2</v>
      </c>
      <c r="T267" s="517">
        <v>171</v>
      </c>
      <c r="U267" s="628">
        <f t="shared" si="7"/>
        <v>1.0658189977561705E-2</v>
      </c>
      <c r="V267" s="444"/>
      <c r="W267" s="446"/>
      <c r="X267" s="425"/>
    </row>
    <row r="268" spans="1:25" s="426" customFormat="1" x14ac:dyDescent="0.3">
      <c r="A268" s="443"/>
      <c r="B268" s="516" t="s">
        <v>161</v>
      </c>
      <c r="C268" s="627"/>
      <c r="D268" s="627"/>
      <c r="E268" s="627"/>
      <c r="F268" s="444"/>
      <c r="G268" s="628"/>
      <c r="H268" s="627"/>
      <c r="I268" s="627"/>
      <c r="J268" s="627"/>
      <c r="K268" s="627"/>
      <c r="L268" s="627"/>
      <c r="M268" s="627"/>
      <c r="N268" s="627"/>
      <c r="O268" s="627"/>
      <c r="P268" s="627"/>
      <c r="Q268" s="627"/>
      <c r="R268" s="516">
        <v>0</v>
      </c>
      <c r="S268" s="628">
        <f t="shared" si="8"/>
        <v>0</v>
      </c>
      <c r="T268" s="517">
        <v>0</v>
      </c>
      <c r="U268" s="628">
        <f t="shared" si="7"/>
        <v>0</v>
      </c>
      <c r="V268" s="444"/>
      <c r="W268" s="446"/>
      <c r="X268" s="425"/>
    </row>
    <row r="269" spans="1:25" s="426" customFormat="1" x14ac:dyDescent="0.3">
      <c r="A269" s="443"/>
      <c r="B269" s="516" t="s">
        <v>162</v>
      </c>
      <c r="C269" s="627"/>
      <c r="D269" s="627"/>
      <c r="E269" s="627"/>
      <c r="F269" s="444"/>
      <c r="G269" s="628"/>
      <c r="H269" s="627"/>
      <c r="I269" s="627"/>
      <c r="J269" s="627"/>
      <c r="K269" s="627"/>
      <c r="L269" s="627"/>
      <c r="M269" s="627"/>
      <c r="N269" s="627"/>
      <c r="O269" s="627"/>
      <c r="P269" s="627"/>
      <c r="Q269" s="627"/>
      <c r="R269" s="516">
        <v>1</v>
      </c>
      <c r="S269" s="628">
        <f>R269/$R$272</f>
        <v>1.1235955056179775E-2</v>
      </c>
      <c r="T269" s="517">
        <v>48</v>
      </c>
      <c r="U269" s="628">
        <f t="shared" si="7"/>
        <v>2.9917726252804786E-3</v>
      </c>
      <c r="V269" s="444"/>
      <c r="W269" s="446"/>
      <c r="X269" s="425"/>
    </row>
    <row r="270" spans="1:25" s="426" customFormat="1" x14ac:dyDescent="0.3">
      <c r="A270" s="443"/>
      <c r="B270" s="516" t="s">
        <v>163</v>
      </c>
      <c r="C270" s="627"/>
      <c r="D270" s="627"/>
      <c r="E270" s="627"/>
      <c r="F270" s="444"/>
      <c r="G270" s="628"/>
      <c r="H270" s="627"/>
      <c r="I270" s="627"/>
      <c r="J270" s="627"/>
      <c r="K270" s="627"/>
      <c r="L270" s="627"/>
      <c r="M270" s="627"/>
      <c r="N270" s="627"/>
      <c r="O270" s="627"/>
      <c r="P270" s="627"/>
      <c r="Q270" s="627"/>
      <c r="R270" s="516">
        <v>5</v>
      </c>
      <c r="S270" s="628">
        <f>R270/$R$272</f>
        <v>5.6179775280898875E-2</v>
      </c>
      <c r="T270" s="517">
        <v>654</v>
      </c>
      <c r="U270" s="628">
        <f t="shared" si="7"/>
        <v>4.0762902019446524E-2</v>
      </c>
      <c r="V270" s="444"/>
      <c r="W270" s="446"/>
      <c r="X270" s="425"/>
    </row>
    <row r="271" spans="1:25" s="426" customFormat="1" x14ac:dyDescent="0.3">
      <c r="A271" s="443"/>
      <c r="B271" s="516"/>
      <c r="C271" s="627"/>
      <c r="D271" s="627"/>
      <c r="E271" s="627"/>
      <c r="F271" s="444"/>
      <c r="G271" s="628"/>
      <c r="H271" s="627"/>
      <c r="I271" s="627"/>
      <c r="J271" s="627"/>
      <c r="K271" s="627"/>
      <c r="L271" s="627"/>
      <c r="M271" s="627"/>
      <c r="N271" s="627"/>
      <c r="O271" s="627"/>
      <c r="P271" s="627"/>
      <c r="Q271" s="627"/>
      <c r="R271" s="516"/>
      <c r="S271" s="628"/>
      <c r="T271" s="517"/>
      <c r="U271" s="628"/>
      <c r="V271" s="444"/>
      <c r="W271" s="446"/>
      <c r="X271" s="425"/>
    </row>
    <row r="272" spans="1:25" s="426" customFormat="1" x14ac:dyDescent="0.3">
      <c r="A272" s="443"/>
      <c r="B272" s="444" t="s">
        <v>117</v>
      </c>
      <c r="C272" s="444"/>
      <c r="D272" s="444"/>
      <c r="E272" s="444"/>
      <c r="F272" s="444"/>
      <c r="G272" s="444"/>
      <c r="H272" s="629"/>
      <c r="I272" s="629"/>
      <c r="J272" s="629"/>
      <c r="K272" s="629"/>
      <c r="L272" s="629"/>
      <c r="M272" s="629"/>
      <c r="N272" s="629"/>
      <c r="O272" s="629"/>
      <c r="P272" s="629"/>
      <c r="Q272" s="629"/>
      <c r="R272" s="516">
        <f>SUM(R263:R271)</f>
        <v>89</v>
      </c>
      <c r="S272" s="628">
        <f>SUM(S263:S271)</f>
        <v>1</v>
      </c>
      <c r="T272" s="517">
        <f>SUM(T263:T271)</f>
        <v>16044</v>
      </c>
      <c r="U272" s="628">
        <f>SUM(U263:U271)</f>
        <v>1.0000000000000002</v>
      </c>
      <c r="V272" s="444"/>
      <c r="W272" s="446"/>
      <c r="X272" s="425"/>
    </row>
    <row r="273" spans="1:24" x14ac:dyDescent="0.3">
      <c r="A273" s="408"/>
      <c r="B273" s="518"/>
      <c r="C273" s="518"/>
      <c r="D273" s="518"/>
      <c r="E273" s="518"/>
      <c r="F273" s="518"/>
      <c r="G273" s="518"/>
      <c r="H273" s="632"/>
      <c r="I273" s="632"/>
      <c r="J273" s="632"/>
      <c r="K273" s="632"/>
      <c r="L273" s="632"/>
      <c r="M273" s="632"/>
      <c r="N273" s="632"/>
      <c r="O273" s="632"/>
      <c r="P273" s="632"/>
      <c r="Q273" s="632"/>
      <c r="R273" s="519"/>
      <c r="S273" s="633"/>
      <c r="T273" s="634"/>
      <c r="U273" s="633"/>
      <c r="V273" s="518"/>
      <c r="W273" s="411"/>
      <c r="X273" s="406"/>
    </row>
    <row r="274" spans="1:24" x14ac:dyDescent="0.3">
      <c r="A274" s="533"/>
      <c r="B274" s="534" t="s">
        <v>166</v>
      </c>
      <c r="C274" s="622"/>
      <c r="D274" s="622"/>
      <c r="E274" s="622"/>
      <c r="F274" s="622"/>
      <c r="G274" s="622"/>
      <c r="H274" s="635"/>
      <c r="I274" s="635"/>
      <c r="J274" s="635"/>
      <c r="K274" s="635"/>
      <c r="L274" s="635"/>
      <c r="M274" s="635"/>
      <c r="N274" s="635"/>
      <c r="O274" s="635"/>
      <c r="P274" s="635"/>
      <c r="Q274" s="635"/>
      <c r="R274" s="621" t="s">
        <v>103</v>
      </c>
      <c r="S274" s="535" t="s">
        <v>104</v>
      </c>
      <c r="T274" s="621" t="s">
        <v>111</v>
      </c>
      <c r="U274" s="535" t="s">
        <v>104</v>
      </c>
      <c r="V274" s="622"/>
      <c r="W274" s="538"/>
      <c r="X274" s="406"/>
    </row>
    <row r="275" spans="1:24" s="426" customFormat="1" x14ac:dyDescent="0.3">
      <c r="A275" s="421"/>
      <c r="B275" s="552" t="s">
        <v>89</v>
      </c>
      <c r="C275" s="494"/>
      <c r="D275" s="494"/>
      <c r="E275" s="494"/>
      <c r="F275" s="494"/>
      <c r="G275" s="494"/>
      <c r="H275" s="636"/>
      <c r="I275" s="636"/>
      <c r="J275" s="636"/>
      <c r="K275" s="636"/>
      <c r="L275" s="636"/>
      <c r="M275" s="636"/>
      <c r="N275" s="636"/>
      <c r="O275" s="636"/>
      <c r="P275" s="636"/>
      <c r="Q275" s="636"/>
      <c r="R275" s="552">
        <v>0</v>
      </c>
      <c r="S275" s="630">
        <v>0</v>
      </c>
      <c r="T275" s="631">
        <v>0</v>
      </c>
      <c r="U275" s="630">
        <v>0</v>
      </c>
      <c r="V275" s="494"/>
      <c r="W275" s="424"/>
      <c r="X275" s="425"/>
    </row>
    <row r="276" spans="1:24" s="426" customFormat="1" x14ac:dyDescent="0.3">
      <c r="A276" s="443"/>
      <c r="B276" s="516" t="s">
        <v>90</v>
      </c>
      <c r="C276" s="444"/>
      <c r="D276" s="444"/>
      <c r="E276" s="444"/>
      <c r="F276" s="444"/>
      <c r="G276" s="444"/>
      <c r="H276" s="629"/>
      <c r="I276" s="629"/>
      <c r="J276" s="629"/>
      <c r="K276" s="629"/>
      <c r="L276" s="629"/>
      <c r="M276" s="629"/>
      <c r="N276" s="629"/>
      <c r="O276" s="629"/>
      <c r="P276" s="629"/>
      <c r="Q276" s="629"/>
      <c r="R276" s="516">
        <v>0</v>
      </c>
      <c r="S276" s="628">
        <v>0</v>
      </c>
      <c r="T276" s="517">
        <v>0</v>
      </c>
      <c r="U276" s="628">
        <v>0</v>
      </c>
      <c r="V276" s="444"/>
      <c r="W276" s="446"/>
      <c r="X276" s="425"/>
    </row>
    <row r="277" spans="1:24" s="426" customFormat="1" x14ac:dyDescent="0.3">
      <c r="A277" s="443"/>
      <c r="B277" s="516" t="s">
        <v>91</v>
      </c>
      <c r="C277" s="444"/>
      <c r="D277" s="444"/>
      <c r="E277" s="444"/>
      <c r="F277" s="444"/>
      <c r="G277" s="444"/>
      <c r="H277" s="629"/>
      <c r="I277" s="629"/>
      <c r="J277" s="629"/>
      <c r="K277" s="629"/>
      <c r="L277" s="629"/>
      <c r="M277" s="629"/>
      <c r="N277" s="629"/>
      <c r="O277" s="629"/>
      <c r="P277" s="629"/>
      <c r="Q277" s="629"/>
      <c r="R277" s="516">
        <v>0</v>
      </c>
      <c r="S277" s="628">
        <v>0</v>
      </c>
      <c r="T277" s="517">
        <v>0</v>
      </c>
      <c r="U277" s="628">
        <v>0</v>
      </c>
      <c r="V277" s="444"/>
      <c r="W277" s="446"/>
      <c r="X277" s="425"/>
    </row>
    <row r="278" spans="1:24" s="426" customFormat="1" x14ac:dyDescent="0.3">
      <c r="A278" s="443"/>
      <c r="B278" s="516" t="s">
        <v>159</v>
      </c>
      <c r="C278" s="444"/>
      <c r="D278" s="444"/>
      <c r="E278" s="444"/>
      <c r="F278" s="444"/>
      <c r="G278" s="444"/>
      <c r="H278" s="629"/>
      <c r="I278" s="629"/>
      <c r="J278" s="629"/>
      <c r="K278" s="629"/>
      <c r="L278" s="629"/>
      <c r="M278" s="629"/>
      <c r="N278" s="629"/>
      <c r="O278" s="629"/>
      <c r="P278" s="629"/>
      <c r="Q278" s="629"/>
      <c r="R278" s="516">
        <v>0</v>
      </c>
      <c r="S278" s="628">
        <v>0</v>
      </c>
      <c r="T278" s="517">
        <v>0</v>
      </c>
      <c r="U278" s="628">
        <v>0</v>
      </c>
      <c r="V278" s="444"/>
      <c r="W278" s="446"/>
      <c r="X278" s="425"/>
    </row>
    <row r="279" spans="1:24" s="426" customFormat="1" x14ac:dyDescent="0.3">
      <c r="A279" s="443"/>
      <c r="B279" s="516" t="s">
        <v>160</v>
      </c>
      <c r="C279" s="444"/>
      <c r="D279" s="444"/>
      <c r="E279" s="444"/>
      <c r="F279" s="444"/>
      <c r="G279" s="444"/>
      <c r="H279" s="629"/>
      <c r="I279" s="629"/>
      <c r="J279" s="629"/>
      <c r="K279" s="629"/>
      <c r="L279" s="629"/>
      <c r="M279" s="629"/>
      <c r="N279" s="629"/>
      <c r="O279" s="629"/>
      <c r="P279" s="629"/>
      <c r="Q279" s="629"/>
      <c r="R279" s="516">
        <v>0</v>
      </c>
      <c r="S279" s="628">
        <v>0</v>
      </c>
      <c r="T279" s="517">
        <v>0</v>
      </c>
      <c r="U279" s="628">
        <v>0</v>
      </c>
      <c r="V279" s="444"/>
      <c r="W279" s="446"/>
      <c r="X279" s="425"/>
    </row>
    <row r="280" spans="1:24" s="426" customFormat="1" x14ac:dyDescent="0.3">
      <c r="A280" s="443"/>
      <c r="B280" s="516" t="s">
        <v>161</v>
      </c>
      <c r="C280" s="444"/>
      <c r="D280" s="444"/>
      <c r="E280" s="444"/>
      <c r="F280" s="444"/>
      <c r="G280" s="444"/>
      <c r="H280" s="629"/>
      <c r="I280" s="629"/>
      <c r="J280" s="629"/>
      <c r="K280" s="629"/>
      <c r="L280" s="629"/>
      <c r="M280" s="629"/>
      <c r="N280" s="629"/>
      <c r="O280" s="629"/>
      <c r="P280" s="629"/>
      <c r="Q280" s="629"/>
      <c r="R280" s="516">
        <v>0</v>
      </c>
      <c r="S280" s="628">
        <v>0</v>
      </c>
      <c r="T280" s="517">
        <v>0</v>
      </c>
      <c r="U280" s="628">
        <v>0</v>
      </c>
      <c r="V280" s="444"/>
      <c r="W280" s="446"/>
      <c r="X280" s="425"/>
    </row>
    <row r="281" spans="1:24" s="426" customFormat="1" x14ac:dyDescent="0.3">
      <c r="A281" s="443"/>
      <c r="B281" s="516" t="s">
        <v>162</v>
      </c>
      <c r="C281" s="444"/>
      <c r="D281" s="444"/>
      <c r="E281" s="444"/>
      <c r="F281" s="444"/>
      <c r="G281" s="444"/>
      <c r="H281" s="629"/>
      <c r="I281" s="629"/>
      <c r="J281" s="629"/>
      <c r="K281" s="629"/>
      <c r="L281" s="629"/>
      <c r="M281" s="629"/>
      <c r="N281" s="629"/>
      <c r="O281" s="629"/>
      <c r="P281" s="629"/>
      <c r="Q281" s="629"/>
      <c r="R281" s="516">
        <v>0</v>
      </c>
      <c r="S281" s="628">
        <v>0</v>
      </c>
      <c r="T281" s="517">
        <v>0</v>
      </c>
      <c r="U281" s="628">
        <v>0</v>
      </c>
      <c r="V281" s="444"/>
      <c r="W281" s="446"/>
      <c r="X281" s="425"/>
    </row>
    <row r="282" spans="1:24" s="426" customFormat="1" x14ac:dyDescent="0.3">
      <c r="A282" s="443"/>
      <c r="B282" s="516" t="s">
        <v>163</v>
      </c>
      <c r="C282" s="444"/>
      <c r="D282" s="444"/>
      <c r="E282" s="444"/>
      <c r="F282" s="444"/>
      <c r="G282" s="444"/>
      <c r="H282" s="629"/>
      <c r="I282" s="629"/>
      <c r="J282" s="629"/>
      <c r="K282" s="629"/>
      <c r="L282" s="629"/>
      <c r="M282" s="629"/>
      <c r="N282" s="629"/>
      <c r="O282" s="629"/>
      <c r="P282" s="629"/>
      <c r="Q282" s="629"/>
      <c r="R282" s="516">
        <v>0</v>
      </c>
      <c r="S282" s="628">
        <v>0</v>
      </c>
      <c r="T282" s="517">
        <v>0</v>
      </c>
      <c r="U282" s="628">
        <v>0</v>
      </c>
      <c r="V282" s="444"/>
      <c r="W282" s="446"/>
      <c r="X282" s="425"/>
    </row>
    <row r="283" spans="1:24" s="426" customFormat="1" x14ac:dyDescent="0.3">
      <c r="A283" s="443"/>
      <c r="B283" s="516"/>
      <c r="C283" s="444"/>
      <c r="D283" s="444"/>
      <c r="E283" s="444"/>
      <c r="F283" s="444"/>
      <c r="G283" s="444"/>
      <c r="H283" s="629"/>
      <c r="I283" s="629"/>
      <c r="J283" s="629"/>
      <c r="K283" s="629"/>
      <c r="L283" s="629"/>
      <c r="M283" s="629"/>
      <c r="N283" s="629"/>
      <c r="O283" s="629"/>
      <c r="P283" s="629"/>
      <c r="Q283" s="629"/>
      <c r="R283" s="516"/>
      <c r="S283" s="628"/>
      <c r="T283" s="517"/>
      <c r="U283" s="628"/>
      <c r="V283" s="444"/>
      <c r="W283" s="446"/>
      <c r="X283" s="425"/>
    </row>
    <row r="284" spans="1:24" s="426" customFormat="1" x14ac:dyDescent="0.3">
      <c r="A284" s="443"/>
      <c r="B284" s="444" t="s">
        <v>117</v>
      </c>
      <c r="C284" s="444"/>
      <c r="D284" s="444"/>
      <c r="E284" s="444"/>
      <c r="F284" s="444"/>
      <c r="G284" s="444"/>
      <c r="H284" s="629"/>
      <c r="I284" s="629"/>
      <c r="J284" s="629"/>
      <c r="K284" s="629"/>
      <c r="L284" s="629"/>
      <c r="M284" s="629"/>
      <c r="N284" s="629"/>
      <c r="O284" s="629"/>
      <c r="P284" s="629"/>
      <c r="Q284" s="629"/>
      <c r="R284" s="516">
        <f>SUM(R275:R282)</f>
        <v>0</v>
      </c>
      <c r="S284" s="628">
        <f>SUM(S275:S282)</f>
        <v>0</v>
      </c>
      <c r="T284" s="517">
        <f>SUM(T275:T282)</f>
        <v>0</v>
      </c>
      <c r="U284" s="628">
        <f>SUM(U275:U282)</f>
        <v>0</v>
      </c>
      <c r="V284" s="444"/>
      <c r="W284" s="446"/>
      <c r="X284" s="425"/>
    </row>
    <row r="285" spans="1:24" s="426" customFormat="1" x14ac:dyDescent="0.3">
      <c r="A285" s="443"/>
      <c r="B285" s="444"/>
      <c r="C285" s="444"/>
      <c r="D285" s="444"/>
      <c r="E285" s="444"/>
      <c r="F285" s="444"/>
      <c r="G285" s="444"/>
      <c r="H285" s="629"/>
      <c r="I285" s="629"/>
      <c r="J285" s="629"/>
      <c r="K285" s="629"/>
      <c r="L285" s="629"/>
      <c r="M285" s="629"/>
      <c r="N285" s="629"/>
      <c r="O285" s="629"/>
      <c r="P285" s="629"/>
      <c r="Q285" s="629"/>
      <c r="R285" s="516"/>
      <c r="S285" s="628"/>
      <c r="T285" s="517"/>
      <c r="U285" s="628"/>
      <c r="V285" s="444"/>
      <c r="W285" s="446"/>
      <c r="X285" s="425"/>
    </row>
    <row r="286" spans="1:24" s="426" customFormat="1" x14ac:dyDescent="0.3">
      <c r="A286" s="443"/>
      <c r="B286" s="449" t="s">
        <v>167</v>
      </c>
      <c r="C286" s="444"/>
      <c r="D286" s="444"/>
      <c r="E286" s="444"/>
      <c r="F286" s="444"/>
      <c r="G286" s="444"/>
      <c r="H286" s="629"/>
      <c r="I286" s="629"/>
      <c r="J286" s="629"/>
      <c r="K286" s="629"/>
      <c r="L286" s="629"/>
      <c r="M286" s="629"/>
      <c r="N286" s="629"/>
      <c r="O286" s="629"/>
      <c r="P286" s="629"/>
      <c r="Q286" s="629"/>
      <c r="R286" s="637">
        <f>R284+R272+R260</f>
        <v>5467</v>
      </c>
      <c r="S286" s="628"/>
      <c r="T286" s="638">
        <f>+T284+T272+T260</f>
        <v>697773</v>
      </c>
      <c r="U286" s="628"/>
      <c r="V286" s="444"/>
      <c r="W286" s="446"/>
      <c r="X286" s="425"/>
    </row>
    <row r="287" spans="1:24" s="426" customFormat="1" x14ac:dyDescent="0.3">
      <c r="A287" s="421"/>
      <c r="B287" s="494"/>
      <c r="C287" s="494"/>
      <c r="D287" s="494"/>
      <c r="E287" s="494"/>
      <c r="F287" s="494"/>
      <c r="G287" s="494"/>
      <c r="H287" s="636"/>
      <c r="I287" s="636"/>
      <c r="J287" s="636"/>
      <c r="K287" s="636"/>
      <c r="L287" s="636"/>
      <c r="M287" s="636"/>
      <c r="N287" s="636"/>
      <c r="O287" s="636"/>
      <c r="P287" s="636"/>
      <c r="Q287" s="636"/>
      <c r="R287" s="636"/>
      <c r="S287" s="636"/>
      <c r="T287" s="631"/>
      <c r="U287" s="636"/>
      <c r="V287" s="494"/>
      <c r="W287" s="424"/>
      <c r="X287" s="425"/>
    </row>
    <row r="288" spans="1:24" s="426" customFormat="1" x14ac:dyDescent="0.3">
      <c r="A288" s="421"/>
      <c r="B288" s="422"/>
      <c r="C288" s="422"/>
      <c r="D288" s="422"/>
      <c r="E288" s="422"/>
      <c r="F288" s="422"/>
      <c r="G288" s="422"/>
      <c r="H288" s="639"/>
      <c r="I288" s="639"/>
      <c r="J288" s="639"/>
      <c r="K288" s="639"/>
      <c r="L288" s="639"/>
      <c r="M288" s="639"/>
      <c r="N288" s="639"/>
      <c r="O288" s="639"/>
      <c r="P288" s="639"/>
      <c r="Q288" s="639"/>
      <c r="R288" s="639"/>
      <c r="S288" s="639"/>
      <c r="T288" s="640"/>
      <c r="U288" s="639"/>
      <c r="V288" s="422"/>
      <c r="W288" s="424"/>
      <c r="X288" s="425"/>
    </row>
    <row r="289" spans="1:24" s="426" customFormat="1" x14ac:dyDescent="0.3">
      <c r="A289" s="421"/>
      <c r="B289" s="420" t="s">
        <v>92</v>
      </c>
      <c r="C289" s="422"/>
      <c r="D289" s="422"/>
      <c r="E289" s="422"/>
      <c r="F289" s="429" t="s">
        <v>98</v>
      </c>
      <c r="G289" s="422"/>
      <c r="H289" s="420" t="s">
        <v>100</v>
      </c>
      <c r="I289" s="420"/>
      <c r="J289" s="420"/>
      <c r="K289" s="422"/>
      <c r="L289" s="422"/>
      <c r="M289" s="422"/>
      <c r="N289" s="422"/>
      <c r="O289" s="422"/>
      <c r="P289" s="422"/>
      <c r="Q289" s="422"/>
      <c r="R289" s="422"/>
      <c r="S289" s="422"/>
      <c r="T289" s="422"/>
      <c r="U289" s="422"/>
      <c r="V289" s="422"/>
      <c r="W289" s="424"/>
      <c r="X289" s="425"/>
    </row>
    <row r="290" spans="1:24" s="426" customFormat="1" x14ac:dyDescent="0.3">
      <c r="A290" s="421"/>
      <c r="B290" s="420" t="s">
        <v>336</v>
      </c>
      <c r="C290" s="420"/>
      <c r="D290" s="420"/>
      <c r="E290" s="420"/>
      <c r="F290" s="641" t="s">
        <v>282</v>
      </c>
      <c r="G290" s="420"/>
      <c r="H290" s="420" t="s">
        <v>371</v>
      </c>
      <c r="I290" s="422"/>
      <c r="J290" s="420"/>
      <c r="K290" s="422"/>
      <c r="L290" s="422"/>
      <c r="M290" s="422"/>
      <c r="N290" s="422"/>
      <c r="O290" s="422"/>
      <c r="P290" s="422"/>
      <c r="Q290" s="422"/>
      <c r="R290" s="422"/>
      <c r="S290" s="422"/>
      <c r="T290" s="422"/>
      <c r="U290" s="422"/>
      <c r="V290" s="422"/>
      <c r="W290" s="424"/>
      <c r="X290" s="425"/>
    </row>
    <row r="291" spans="1:24" s="426" customFormat="1" x14ac:dyDescent="0.3">
      <c r="A291" s="421"/>
      <c r="B291" s="420" t="s">
        <v>337</v>
      </c>
      <c r="C291" s="420"/>
      <c r="D291" s="420"/>
      <c r="E291" s="420"/>
      <c r="F291" s="641" t="s">
        <v>150</v>
      </c>
      <c r="G291" s="420"/>
      <c r="H291" s="420" t="s">
        <v>372</v>
      </c>
      <c r="I291" s="420"/>
      <c r="J291" s="420"/>
      <c r="K291" s="422"/>
      <c r="L291" s="422"/>
      <c r="M291" s="422"/>
      <c r="N291" s="422"/>
      <c r="O291" s="422"/>
      <c r="P291" s="422"/>
      <c r="Q291" s="422"/>
      <c r="R291" s="422"/>
      <c r="S291" s="422"/>
      <c r="T291" s="422"/>
      <c r="U291" s="422"/>
      <c r="V291" s="422"/>
      <c r="W291" s="424"/>
      <c r="X291" s="425"/>
    </row>
    <row r="292" spans="1:24" s="426" customFormat="1" x14ac:dyDescent="0.3">
      <c r="A292" s="421"/>
      <c r="B292" s="420"/>
      <c r="C292" s="420"/>
      <c r="D292" s="420"/>
      <c r="E292" s="420"/>
      <c r="F292" s="641"/>
      <c r="G292" s="420"/>
      <c r="H292" s="420"/>
      <c r="I292" s="420"/>
      <c r="J292" s="420"/>
      <c r="K292" s="422"/>
      <c r="L292" s="422"/>
      <c r="M292" s="422"/>
      <c r="N292" s="422"/>
      <c r="O292" s="422"/>
      <c r="P292" s="422"/>
      <c r="Q292" s="422"/>
      <c r="R292" s="422"/>
      <c r="S292" s="422"/>
      <c r="T292" s="422"/>
      <c r="U292" s="422"/>
      <c r="V292" s="422"/>
      <c r="W292" s="424"/>
      <c r="X292" s="425"/>
    </row>
    <row r="293" spans="1:24" s="426" customFormat="1" x14ac:dyDescent="0.3">
      <c r="A293" s="421"/>
      <c r="B293" s="494" t="s">
        <v>367</v>
      </c>
      <c r="C293" s="420"/>
      <c r="D293" s="420"/>
      <c r="E293" s="420"/>
      <c r="F293" s="641"/>
      <c r="G293" s="420"/>
      <c r="H293" s="420"/>
      <c r="I293" s="420"/>
      <c r="J293" s="420"/>
      <c r="K293" s="422"/>
      <c r="L293" s="422"/>
      <c r="M293" s="422"/>
      <c r="N293" s="422"/>
      <c r="O293" s="422"/>
      <c r="P293" s="422"/>
      <c r="Q293" s="422"/>
      <c r="R293" s="422"/>
      <c r="S293" s="422"/>
      <c r="T293" s="422"/>
      <c r="U293" s="422"/>
      <c r="V293" s="422"/>
      <c r="W293" s="424"/>
      <c r="X293" s="425"/>
    </row>
    <row r="294" spans="1:24" s="426" customFormat="1" x14ac:dyDescent="0.3">
      <c r="A294" s="421"/>
      <c r="B294" s="494" t="s">
        <v>373</v>
      </c>
      <c r="C294" s="420"/>
      <c r="D294" s="420"/>
      <c r="E294" s="420"/>
      <c r="F294" s="641"/>
      <c r="G294" s="420"/>
      <c r="H294" s="420"/>
      <c r="I294" s="420"/>
      <c r="J294" s="420"/>
      <c r="K294" s="422"/>
      <c r="L294" s="422"/>
      <c r="M294" s="422"/>
      <c r="N294" s="422"/>
      <c r="O294" s="422"/>
      <c r="P294" s="422"/>
      <c r="Q294" s="422"/>
      <c r="R294" s="422"/>
      <c r="S294" s="422"/>
      <c r="T294" s="422"/>
      <c r="U294" s="422"/>
      <c r="V294" s="422"/>
      <c r="W294" s="424"/>
      <c r="X294" s="425"/>
    </row>
    <row r="295" spans="1:24" s="426" customFormat="1" x14ac:dyDescent="0.3">
      <c r="A295" s="421"/>
      <c r="B295" s="494" t="s">
        <v>365</v>
      </c>
      <c r="C295" s="420"/>
      <c r="D295" s="420"/>
      <c r="E295" s="420"/>
      <c r="F295" s="641"/>
      <c r="G295" s="420"/>
      <c r="H295" s="420"/>
      <c r="I295" s="420"/>
      <c r="J295" s="420"/>
      <c r="K295" s="422"/>
      <c r="L295" s="422"/>
      <c r="M295" s="422"/>
      <c r="N295" s="422"/>
      <c r="O295" s="422"/>
      <c r="P295" s="422"/>
      <c r="Q295" s="422"/>
      <c r="R295" s="422"/>
      <c r="S295" s="422"/>
      <c r="T295" s="422"/>
      <c r="U295" s="422"/>
      <c r="V295" s="422"/>
      <c r="W295" s="424"/>
      <c r="X295" s="425"/>
    </row>
    <row r="296" spans="1:24" s="426" customFormat="1" x14ac:dyDescent="0.3">
      <c r="A296" s="421"/>
      <c r="B296" s="494" t="s">
        <v>366</v>
      </c>
      <c r="C296" s="420"/>
      <c r="D296" s="420"/>
      <c r="E296" s="420"/>
      <c r="F296" s="641"/>
      <c r="G296" s="420"/>
      <c r="H296" s="420"/>
      <c r="I296" s="420"/>
      <c r="J296" s="420"/>
      <c r="K296" s="422"/>
      <c r="L296" s="422"/>
      <c r="M296" s="422"/>
      <c r="N296" s="422"/>
      <c r="O296" s="422"/>
      <c r="P296" s="422"/>
      <c r="Q296" s="422"/>
      <c r="R296" s="422"/>
      <c r="S296" s="422"/>
      <c r="T296" s="422"/>
      <c r="U296" s="422"/>
      <c r="V296" s="422"/>
      <c r="W296" s="424"/>
      <c r="X296" s="425"/>
    </row>
    <row r="297" spans="1:24" x14ac:dyDescent="0.3">
      <c r="A297" s="408"/>
      <c r="B297" s="642"/>
      <c r="C297" s="642"/>
      <c r="D297" s="642"/>
      <c r="E297" s="642"/>
      <c r="F297" s="643"/>
      <c r="G297" s="642"/>
      <c r="H297" s="642"/>
      <c r="I297" s="642"/>
      <c r="J297" s="642"/>
      <c r="K297" s="531"/>
      <c r="L297" s="531"/>
      <c r="M297" s="531"/>
      <c r="N297" s="531"/>
      <c r="O297" s="531"/>
      <c r="P297" s="531"/>
      <c r="Q297" s="531"/>
      <c r="R297" s="531"/>
      <c r="S297" s="531"/>
      <c r="T297" s="531"/>
      <c r="U297" s="531"/>
      <c r="V297" s="531"/>
      <c r="W297" s="532"/>
      <c r="X297" s="406"/>
    </row>
    <row r="298" spans="1:24" ht="18" x14ac:dyDescent="0.35">
      <c r="A298" s="408"/>
      <c r="B298" s="644" t="s">
        <v>368</v>
      </c>
      <c r="C298" s="642"/>
      <c r="D298" s="642"/>
      <c r="E298" s="642"/>
      <c r="F298" s="642"/>
      <c r="G298" s="642"/>
      <c r="H298" s="531"/>
      <c r="I298" s="531"/>
      <c r="J298" s="531"/>
      <c r="K298" s="531"/>
      <c r="L298" s="410"/>
      <c r="M298" s="410"/>
      <c r="N298" s="645"/>
      <c r="O298" s="410"/>
      <c r="P298" s="646" t="s">
        <v>370</v>
      </c>
      <c r="Q298" s="531"/>
      <c r="R298" s="531"/>
      <c r="S298" s="531"/>
      <c r="T298" s="531"/>
      <c r="U298" s="531"/>
      <c r="V298" s="531"/>
      <c r="W298" s="532"/>
      <c r="X298" s="406"/>
    </row>
    <row r="299" spans="1:24" x14ac:dyDescent="0.3">
      <c r="A299" s="408"/>
      <c r="B299" s="642"/>
      <c r="C299" s="642"/>
      <c r="D299" s="642"/>
      <c r="E299" s="642"/>
      <c r="F299" s="642"/>
      <c r="G299" s="642"/>
      <c r="H299" s="531"/>
      <c r="I299" s="531"/>
      <c r="J299" s="531"/>
      <c r="K299" s="531"/>
      <c r="L299" s="531"/>
      <c r="M299" s="531"/>
      <c r="N299" s="531"/>
      <c r="O299" s="531"/>
      <c r="P299" s="531"/>
      <c r="Q299" s="531"/>
      <c r="R299" s="531"/>
      <c r="S299" s="531"/>
      <c r="T299" s="531"/>
      <c r="U299" s="531"/>
      <c r="V299" s="531"/>
      <c r="W299" s="532"/>
      <c r="X299" s="406"/>
    </row>
    <row r="300" spans="1:24" ht="18.600000000000001" thickBot="1" x14ac:dyDescent="0.4">
      <c r="A300" s="408"/>
      <c r="B300" s="647" t="str">
        <f>B200</f>
        <v>PM13 INVESTOR REPORT QUARTER ENDING SEPTEMBER 2019</v>
      </c>
      <c r="C300" s="642"/>
      <c r="D300" s="642"/>
      <c r="E300" s="642"/>
      <c r="F300" s="642"/>
      <c r="G300" s="642"/>
      <c r="H300" s="531"/>
      <c r="I300" s="531"/>
      <c r="J300" s="531"/>
      <c r="K300" s="531"/>
      <c r="L300" s="531"/>
      <c r="M300" s="531"/>
      <c r="N300" s="531"/>
      <c r="O300" s="531"/>
      <c r="P300" s="531"/>
      <c r="Q300" s="531"/>
      <c r="R300" s="531"/>
      <c r="S300" s="531"/>
      <c r="T300" s="531"/>
      <c r="U300" s="531"/>
      <c r="V300" s="531"/>
      <c r="W300" s="648"/>
      <c r="X300" s="406"/>
    </row>
    <row r="301" spans="1:24" x14ac:dyDescent="0.3">
      <c r="A301" s="649"/>
      <c r="B301" s="649"/>
      <c r="C301" s="649"/>
      <c r="D301" s="649"/>
      <c r="E301" s="649"/>
      <c r="F301" s="649"/>
      <c r="G301" s="649"/>
      <c r="H301" s="649"/>
      <c r="I301" s="649"/>
      <c r="J301" s="649"/>
      <c r="K301" s="649"/>
      <c r="L301" s="649"/>
      <c r="M301" s="649"/>
      <c r="N301" s="649"/>
      <c r="O301" s="649"/>
      <c r="P301" s="649"/>
      <c r="Q301" s="649"/>
      <c r="R301" s="649"/>
      <c r="S301" s="649"/>
      <c r="T301" s="649"/>
      <c r="U301" s="649"/>
      <c r="V301" s="649"/>
      <c r="W301" s="649"/>
    </row>
  </sheetData>
  <hyperlinks>
    <hyperlink ref="P236" r:id="rId1" display="http://www.paragon-group.co.uk" xr:uid="{D4D6E2DC-6610-4034-BA82-EC7142D4ABF9}"/>
    <hyperlink ref="I9" r:id="rId2" display="http://www.paragon-group.co.uk" xr:uid="{6F34C5BD-667C-48EF-B197-2CA2E2073B83}"/>
    <hyperlink ref="P298" r:id="rId3" display="http://www.paragon-group.co.uk" xr:uid="{0584B6BE-355D-403C-9C62-518CB28ADCC5}"/>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40" max="22" man="1"/>
    <brk id="200" max="22" man="1"/>
  </rowBreaks>
  <drawing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E5D9-FA3E-4D59-B5FF-C38078DC5E68}">
  <sheetPr>
    <tabColor rgb="FF89CB31"/>
  </sheetPr>
  <dimension ref="A1:Z301"/>
  <sheetViews>
    <sheetView showGridLines="0" showOutlineSymbols="0" zoomScale="70" zoomScaleNormal="70" workbookViewId="0"/>
  </sheetViews>
  <sheetFormatPr defaultColWidth="9.81640625" defaultRowHeight="15.6" x14ac:dyDescent="0.3"/>
  <cols>
    <col min="1" max="1" width="4" style="407" customWidth="1"/>
    <col min="2" max="2" width="71.08984375" style="407" customWidth="1"/>
    <col min="3" max="3" width="2.08984375" style="407" customWidth="1"/>
    <col min="4" max="4" width="19.1796875" style="407" customWidth="1"/>
    <col min="5" max="5" width="2.08984375" style="407" customWidth="1"/>
    <col min="6" max="6" width="25.08984375" style="407" customWidth="1"/>
    <col min="7" max="7" width="2.08984375" style="407" customWidth="1"/>
    <col min="8" max="8" width="16.08984375" style="407" customWidth="1"/>
    <col min="9" max="9" width="2.81640625" style="407" customWidth="1"/>
    <col min="10" max="10" width="16.08984375" style="407" customWidth="1"/>
    <col min="11" max="11" width="2.08984375" style="407" customWidth="1"/>
    <col min="12" max="12" width="17.81640625" style="407" customWidth="1"/>
    <col min="13" max="13" width="2.1796875" style="407" customWidth="1"/>
    <col min="14" max="14" width="14.81640625" style="407" customWidth="1"/>
    <col min="15" max="15" width="2.1796875" style="407" customWidth="1"/>
    <col min="16" max="16" width="15.54296875" style="407" customWidth="1"/>
    <col min="17" max="17" width="2.08984375" style="407" customWidth="1"/>
    <col min="18" max="18" width="15.54296875" style="407" customWidth="1"/>
    <col min="19" max="20" width="12.81640625" style="407" customWidth="1"/>
    <col min="21" max="21" width="7.81640625" style="407" customWidth="1"/>
    <col min="22" max="22" width="14.81640625" style="407" customWidth="1"/>
    <col min="23" max="23" width="11.81640625" style="407" customWidth="1"/>
    <col min="24" max="16384" width="9.81640625" style="407"/>
  </cols>
  <sheetData>
    <row r="1" spans="1:24" ht="21" x14ac:dyDescent="0.4">
      <c r="A1" s="402"/>
      <c r="B1" s="403" t="s">
        <v>238</v>
      </c>
      <c r="C1" s="404"/>
      <c r="D1" s="404"/>
      <c r="E1" s="404"/>
      <c r="F1" s="404"/>
      <c r="G1" s="404"/>
      <c r="H1" s="404"/>
      <c r="I1" s="404"/>
      <c r="J1" s="404"/>
      <c r="K1" s="404"/>
      <c r="L1" s="404"/>
      <c r="M1" s="404"/>
      <c r="N1" s="404"/>
      <c r="O1" s="404"/>
      <c r="P1" s="404"/>
      <c r="Q1" s="404"/>
      <c r="R1" s="404"/>
      <c r="S1" s="404"/>
      <c r="T1" s="404"/>
      <c r="U1" s="404"/>
      <c r="V1" s="404"/>
      <c r="W1" s="405"/>
      <c r="X1" s="406"/>
    </row>
    <row r="2" spans="1:24" x14ac:dyDescent="0.3">
      <c r="A2" s="408"/>
      <c r="B2" s="409"/>
      <c r="C2" s="410"/>
      <c r="D2" s="410"/>
      <c r="E2" s="410"/>
      <c r="F2" s="410"/>
      <c r="G2" s="410"/>
      <c r="H2" s="410"/>
      <c r="I2" s="410"/>
      <c r="J2" s="410"/>
      <c r="K2" s="410"/>
      <c r="L2" s="410"/>
      <c r="M2" s="410"/>
      <c r="N2" s="410"/>
      <c r="O2" s="410"/>
      <c r="P2" s="410"/>
      <c r="Q2" s="410"/>
      <c r="R2" s="410"/>
      <c r="S2" s="410"/>
      <c r="T2" s="410"/>
      <c r="U2" s="410"/>
      <c r="V2" s="410"/>
      <c r="W2" s="411"/>
      <c r="X2" s="406"/>
    </row>
    <row r="3" spans="1:24" x14ac:dyDescent="0.3">
      <c r="A3" s="412"/>
      <c r="B3" s="413" t="s">
        <v>239</v>
      </c>
      <c r="C3" s="410"/>
      <c r="D3" s="410"/>
      <c r="E3" s="410"/>
      <c r="F3" s="410"/>
      <c r="G3" s="410"/>
      <c r="H3" s="410"/>
      <c r="I3" s="410"/>
      <c r="J3" s="410"/>
      <c r="K3" s="410"/>
      <c r="L3" s="410"/>
      <c r="M3" s="410"/>
      <c r="N3" s="410"/>
      <c r="O3" s="410"/>
      <c r="P3" s="410"/>
      <c r="Q3" s="410"/>
      <c r="R3" s="410"/>
      <c r="S3" s="410"/>
      <c r="T3" s="410"/>
      <c r="U3" s="410"/>
      <c r="V3" s="410"/>
      <c r="W3" s="411"/>
      <c r="X3" s="406"/>
    </row>
    <row r="4" spans="1:24" x14ac:dyDescent="0.3">
      <c r="A4" s="408"/>
      <c r="B4" s="409"/>
      <c r="C4" s="410"/>
      <c r="D4" s="410"/>
      <c r="E4" s="410"/>
      <c r="F4" s="410"/>
      <c r="G4" s="410"/>
      <c r="H4" s="410"/>
      <c r="I4" s="410"/>
      <c r="J4" s="410"/>
      <c r="K4" s="410"/>
      <c r="L4" s="410"/>
      <c r="M4" s="410"/>
      <c r="N4" s="410"/>
      <c r="O4" s="410"/>
      <c r="P4" s="410"/>
      <c r="Q4" s="410"/>
      <c r="R4" s="410"/>
      <c r="S4" s="410"/>
      <c r="T4" s="410"/>
      <c r="U4" s="410"/>
      <c r="V4" s="410"/>
      <c r="W4" s="411"/>
      <c r="X4" s="406"/>
    </row>
    <row r="5" spans="1:24" x14ac:dyDescent="0.3">
      <c r="A5" s="408"/>
      <c r="B5" s="414" t="s">
        <v>140</v>
      </c>
      <c r="C5" s="410"/>
      <c r="D5" s="410"/>
      <c r="E5" s="410"/>
      <c r="F5" s="410"/>
      <c r="G5" s="410"/>
      <c r="H5" s="410"/>
      <c r="I5" s="410"/>
      <c r="J5" s="410"/>
      <c r="K5" s="410"/>
      <c r="L5" s="410"/>
      <c r="M5" s="410"/>
      <c r="N5" s="410"/>
      <c r="O5" s="410"/>
      <c r="P5" s="410"/>
      <c r="Q5" s="410"/>
      <c r="R5" s="410"/>
      <c r="S5" s="410"/>
      <c r="T5" s="410"/>
      <c r="U5" s="410"/>
      <c r="V5" s="410"/>
      <c r="W5" s="411"/>
      <c r="X5" s="406"/>
    </row>
    <row r="6" spans="1:24" x14ac:dyDescent="0.3">
      <c r="A6" s="408"/>
      <c r="B6" s="414" t="s">
        <v>142</v>
      </c>
      <c r="C6" s="410"/>
      <c r="D6" s="410"/>
      <c r="E6" s="410"/>
      <c r="F6" s="410"/>
      <c r="G6" s="410"/>
      <c r="H6" s="410"/>
      <c r="I6" s="410"/>
      <c r="J6" s="410"/>
      <c r="K6" s="410"/>
      <c r="L6" s="410"/>
      <c r="M6" s="410"/>
      <c r="N6" s="410"/>
      <c r="O6" s="410"/>
      <c r="P6" s="410"/>
      <c r="Q6" s="410"/>
      <c r="R6" s="410"/>
      <c r="S6" s="410"/>
      <c r="T6" s="410"/>
      <c r="U6" s="410"/>
      <c r="V6" s="410"/>
      <c r="W6" s="411"/>
      <c r="X6" s="406"/>
    </row>
    <row r="7" spans="1:24" x14ac:dyDescent="0.3">
      <c r="A7" s="408"/>
      <c r="B7" s="414" t="s">
        <v>141</v>
      </c>
      <c r="C7" s="410"/>
      <c r="D7" s="410"/>
      <c r="E7" s="410"/>
      <c r="F7" s="410"/>
      <c r="G7" s="410"/>
      <c r="H7" s="410"/>
      <c r="I7" s="410"/>
      <c r="J7" s="410"/>
      <c r="K7" s="410"/>
      <c r="L7" s="410"/>
      <c r="M7" s="410"/>
      <c r="N7" s="410"/>
      <c r="O7" s="410"/>
      <c r="P7" s="410"/>
      <c r="Q7" s="410"/>
      <c r="R7" s="410"/>
      <c r="S7" s="410"/>
      <c r="T7" s="410"/>
      <c r="U7" s="410"/>
      <c r="V7" s="410"/>
      <c r="W7" s="411"/>
      <c r="X7" s="406"/>
    </row>
    <row r="8" spans="1:24" x14ac:dyDescent="0.3">
      <c r="A8" s="408"/>
      <c r="B8" s="415"/>
      <c r="C8" s="410"/>
      <c r="D8" s="410"/>
      <c r="E8" s="410"/>
      <c r="F8" s="410"/>
      <c r="G8" s="410"/>
      <c r="H8" s="410"/>
      <c r="I8" s="410"/>
      <c r="J8" s="410"/>
      <c r="K8" s="410"/>
      <c r="L8" s="410"/>
      <c r="M8" s="410"/>
      <c r="N8" s="410"/>
      <c r="O8" s="410"/>
      <c r="P8" s="410"/>
      <c r="Q8" s="410"/>
      <c r="R8" s="410"/>
      <c r="S8" s="410"/>
      <c r="T8" s="410"/>
      <c r="U8" s="410"/>
      <c r="V8" s="410"/>
      <c r="W8" s="411"/>
      <c r="X8" s="406"/>
    </row>
    <row r="9" spans="1:24" ht="18" x14ac:dyDescent="0.35">
      <c r="A9" s="408"/>
      <c r="B9" s="413" t="s">
        <v>169</v>
      </c>
      <c r="C9" s="410"/>
      <c r="D9" s="410"/>
      <c r="E9" s="410"/>
      <c r="F9" s="410"/>
      <c r="G9" s="410"/>
      <c r="H9" s="410"/>
      <c r="I9" s="416" t="s">
        <v>370</v>
      </c>
      <c r="J9" s="410"/>
      <c r="K9" s="410"/>
      <c r="L9" s="417"/>
      <c r="M9" s="410"/>
      <c r="N9" s="418"/>
      <c r="O9" s="410"/>
      <c r="P9" s="410"/>
      <c r="Q9" s="410"/>
      <c r="R9" s="410"/>
      <c r="S9" s="410"/>
      <c r="T9" s="410"/>
      <c r="U9" s="410"/>
      <c r="V9" s="410"/>
      <c r="W9" s="411"/>
      <c r="X9" s="406"/>
    </row>
    <row r="10" spans="1:24" x14ac:dyDescent="0.3">
      <c r="A10" s="408"/>
      <c r="B10" s="415"/>
      <c r="C10" s="419"/>
      <c r="D10" s="419"/>
      <c r="E10" s="419"/>
      <c r="F10" s="410"/>
      <c r="G10" s="410"/>
      <c r="H10" s="410"/>
      <c r="I10" s="410"/>
      <c r="J10" s="410"/>
      <c r="K10" s="410"/>
      <c r="L10" s="410"/>
      <c r="M10" s="410"/>
      <c r="N10" s="410"/>
      <c r="O10" s="410"/>
      <c r="P10" s="410"/>
      <c r="Q10" s="410"/>
      <c r="R10" s="410"/>
      <c r="S10" s="410"/>
      <c r="T10" s="410"/>
      <c r="U10" s="410"/>
      <c r="V10" s="410"/>
      <c r="W10" s="411"/>
      <c r="X10" s="406"/>
    </row>
    <row r="11" spans="1:24" x14ac:dyDescent="0.3">
      <c r="A11" s="408"/>
      <c r="B11" s="420" t="s">
        <v>0</v>
      </c>
      <c r="C11" s="410"/>
      <c r="D11" s="410"/>
      <c r="E11" s="410"/>
      <c r="F11" s="410"/>
      <c r="G11" s="410"/>
      <c r="H11" s="410"/>
      <c r="I11" s="410"/>
      <c r="J11" s="410"/>
      <c r="K11" s="410"/>
      <c r="L11" s="410"/>
      <c r="M11" s="410"/>
      <c r="N11" s="410"/>
      <c r="O11" s="410"/>
      <c r="P11" s="410"/>
      <c r="Q11" s="410"/>
      <c r="R11" s="410"/>
      <c r="S11" s="410"/>
      <c r="T11" s="410"/>
      <c r="U11" s="410"/>
      <c r="V11" s="410"/>
      <c r="W11" s="411"/>
      <c r="X11" s="406"/>
    </row>
    <row r="12" spans="1:24" ht="16.2" thickBot="1" x14ac:dyDescent="0.35">
      <c r="A12" s="408"/>
      <c r="B12" s="419"/>
      <c r="C12" s="410"/>
      <c r="D12" s="410"/>
      <c r="E12" s="410"/>
      <c r="F12" s="410"/>
      <c r="G12" s="410"/>
      <c r="H12" s="410"/>
      <c r="I12" s="410"/>
      <c r="J12" s="410"/>
      <c r="K12" s="410"/>
      <c r="L12" s="410"/>
      <c r="M12" s="410"/>
      <c r="N12" s="410"/>
      <c r="O12" s="410"/>
      <c r="P12" s="410"/>
      <c r="Q12" s="410"/>
      <c r="R12" s="410"/>
      <c r="S12" s="410"/>
      <c r="T12" s="410"/>
      <c r="U12" s="410"/>
      <c r="V12" s="410"/>
      <c r="W12" s="411"/>
      <c r="X12" s="406"/>
    </row>
    <row r="13" spans="1:24" x14ac:dyDescent="0.3">
      <c r="A13" s="402"/>
      <c r="B13" s="404"/>
      <c r="C13" s="404"/>
      <c r="D13" s="404"/>
      <c r="E13" s="404"/>
      <c r="F13" s="404"/>
      <c r="G13" s="404"/>
      <c r="H13" s="404"/>
      <c r="I13" s="404"/>
      <c r="J13" s="404"/>
      <c r="K13" s="404"/>
      <c r="L13" s="404"/>
      <c r="M13" s="404"/>
      <c r="N13" s="404"/>
      <c r="O13" s="404"/>
      <c r="P13" s="404"/>
      <c r="Q13" s="404"/>
      <c r="R13" s="404"/>
      <c r="S13" s="404"/>
      <c r="T13" s="404"/>
      <c r="U13" s="404"/>
      <c r="V13" s="404"/>
      <c r="W13" s="405"/>
      <c r="X13" s="406"/>
    </row>
    <row r="14" spans="1:24" s="426" customFormat="1" x14ac:dyDescent="0.3">
      <c r="A14" s="421"/>
      <c r="B14" s="420" t="s">
        <v>1</v>
      </c>
      <c r="C14" s="422"/>
      <c r="D14" s="422"/>
      <c r="E14" s="422"/>
      <c r="F14" s="422"/>
      <c r="G14" s="422"/>
      <c r="H14" s="422"/>
      <c r="I14" s="422"/>
      <c r="J14" s="422"/>
      <c r="K14" s="422"/>
      <c r="L14" s="422"/>
      <c r="M14" s="422"/>
      <c r="N14" s="422"/>
      <c r="O14" s="422"/>
      <c r="P14" s="422"/>
      <c r="Q14" s="422"/>
      <c r="R14" s="422"/>
      <c r="S14" s="422"/>
      <c r="T14" s="422"/>
      <c r="U14" s="422"/>
      <c r="V14" s="423" t="s">
        <v>240</v>
      </c>
      <c r="W14" s="424"/>
      <c r="X14" s="425"/>
    </row>
    <row r="15" spans="1:24" s="426" customFormat="1" x14ac:dyDescent="0.3">
      <c r="A15" s="421"/>
      <c r="B15" s="420" t="s">
        <v>2</v>
      </c>
      <c r="C15" s="422"/>
      <c r="D15" s="422"/>
      <c r="E15" s="422"/>
      <c r="F15" s="422"/>
      <c r="G15" s="422"/>
      <c r="H15" s="427"/>
      <c r="I15" s="427"/>
      <c r="J15" s="427"/>
      <c r="K15" s="427"/>
      <c r="L15" s="427"/>
      <c r="M15" s="427"/>
      <c r="N15" s="427"/>
      <c r="O15" s="427"/>
      <c r="P15" s="427"/>
      <c r="Q15" s="427"/>
      <c r="R15" s="427" t="s">
        <v>105</v>
      </c>
      <c r="S15" s="428">
        <v>0.57609999999999995</v>
      </c>
      <c r="T15" s="429" t="s">
        <v>143</v>
      </c>
      <c r="U15" s="428">
        <v>0.4239</v>
      </c>
      <c r="V15" s="423"/>
      <c r="W15" s="424"/>
      <c r="X15" s="425"/>
    </row>
    <row r="16" spans="1:24" s="426" customFormat="1" x14ac:dyDescent="0.3">
      <c r="A16" s="421"/>
      <c r="B16" s="420" t="s">
        <v>3</v>
      </c>
      <c r="C16" s="422"/>
      <c r="D16" s="422"/>
      <c r="E16" s="422"/>
      <c r="F16" s="422"/>
      <c r="G16" s="422"/>
      <c r="H16" s="427"/>
      <c r="I16" s="427"/>
      <c r="J16" s="427"/>
      <c r="K16" s="427"/>
      <c r="L16" s="427"/>
      <c r="M16" s="427"/>
      <c r="N16" s="427"/>
      <c r="O16" s="427"/>
      <c r="P16" s="427"/>
      <c r="Q16" s="427"/>
      <c r="R16" s="427" t="s">
        <v>105</v>
      </c>
      <c r="S16" s="428">
        <v>0.68799999999999994</v>
      </c>
      <c r="T16" s="429" t="s">
        <v>143</v>
      </c>
      <c r="U16" s="428">
        <v>0.312</v>
      </c>
      <c r="V16" s="423"/>
      <c r="W16" s="424"/>
      <c r="X16" s="425"/>
    </row>
    <row r="17" spans="1:24" s="426" customFormat="1" x14ac:dyDescent="0.3">
      <c r="A17" s="421"/>
      <c r="B17" s="420" t="s">
        <v>4</v>
      </c>
      <c r="C17" s="422"/>
      <c r="D17" s="422"/>
      <c r="E17" s="422"/>
      <c r="F17" s="422"/>
      <c r="G17" s="422"/>
      <c r="H17" s="422"/>
      <c r="I17" s="422"/>
      <c r="J17" s="422"/>
      <c r="K17" s="422"/>
      <c r="L17" s="422"/>
      <c r="M17" s="422"/>
      <c r="N17" s="422"/>
      <c r="O17" s="422"/>
      <c r="P17" s="422"/>
      <c r="Q17" s="422"/>
      <c r="R17" s="422"/>
      <c r="S17" s="422"/>
      <c r="T17" s="422"/>
      <c r="U17" s="422"/>
      <c r="V17" s="430">
        <v>39016</v>
      </c>
      <c r="W17" s="424"/>
      <c r="X17" s="425"/>
    </row>
    <row r="18" spans="1:24" s="426" customFormat="1" x14ac:dyDescent="0.3">
      <c r="A18" s="421"/>
      <c r="B18" s="420" t="s">
        <v>5</v>
      </c>
      <c r="C18" s="422"/>
      <c r="D18" s="422"/>
      <c r="E18" s="422"/>
      <c r="F18" s="422"/>
      <c r="G18" s="422"/>
      <c r="H18" s="422"/>
      <c r="I18" s="422"/>
      <c r="J18" s="422"/>
      <c r="K18" s="422"/>
      <c r="L18" s="422"/>
      <c r="M18" s="422"/>
      <c r="N18" s="422"/>
      <c r="O18" s="422"/>
      <c r="P18" s="422"/>
      <c r="Q18" s="422"/>
      <c r="R18" s="422"/>
      <c r="S18" s="422"/>
      <c r="T18" s="422"/>
      <c r="U18" s="422"/>
      <c r="V18" s="430">
        <v>43852</v>
      </c>
      <c r="W18" s="424"/>
      <c r="X18" s="425"/>
    </row>
    <row r="19" spans="1:24" s="426" customFormat="1" x14ac:dyDescent="0.3">
      <c r="A19" s="421"/>
      <c r="B19" s="422"/>
      <c r="C19" s="422"/>
      <c r="D19" s="422"/>
      <c r="E19" s="422"/>
      <c r="F19" s="422"/>
      <c r="G19" s="422"/>
      <c r="H19" s="422"/>
      <c r="I19" s="422"/>
      <c r="J19" s="422"/>
      <c r="K19" s="422"/>
      <c r="L19" s="422"/>
      <c r="M19" s="422"/>
      <c r="N19" s="422"/>
      <c r="O19" s="422"/>
      <c r="P19" s="422"/>
      <c r="Q19" s="422"/>
      <c r="R19" s="422"/>
      <c r="S19" s="422"/>
      <c r="T19" s="422"/>
      <c r="U19" s="422"/>
      <c r="V19" s="431"/>
      <c r="W19" s="424"/>
      <c r="X19" s="425"/>
    </row>
    <row r="20" spans="1:24" s="426" customFormat="1" x14ac:dyDescent="0.3">
      <c r="A20" s="421"/>
      <c r="B20" s="432" t="s">
        <v>6</v>
      </c>
      <c r="C20" s="422"/>
      <c r="D20" s="422"/>
      <c r="E20" s="422"/>
      <c r="F20" s="422"/>
      <c r="G20" s="422"/>
      <c r="H20" s="422"/>
      <c r="I20" s="422"/>
      <c r="J20" s="422"/>
      <c r="K20" s="422"/>
      <c r="L20" s="422"/>
      <c r="M20" s="422"/>
      <c r="N20" s="422"/>
      <c r="O20" s="422"/>
      <c r="P20" s="422"/>
      <c r="Q20" s="422"/>
      <c r="R20" s="422"/>
      <c r="S20" s="422"/>
      <c r="T20" s="431" t="s">
        <v>106</v>
      </c>
      <c r="U20" s="422"/>
      <c r="V20" s="422"/>
      <c r="W20" s="424"/>
      <c r="X20" s="425"/>
    </row>
    <row r="21" spans="1:24" x14ac:dyDescent="0.3">
      <c r="A21" s="408"/>
      <c r="B21" s="410"/>
      <c r="C21" s="410"/>
      <c r="D21" s="410"/>
      <c r="E21" s="410"/>
      <c r="F21" s="410"/>
      <c r="G21" s="410"/>
      <c r="H21" s="410"/>
      <c r="I21" s="410"/>
      <c r="J21" s="410"/>
      <c r="K21" s="410"/>
      <c r="L21" s="410"/>
      <c r="M21" s="410"/>
      <c r="N21" s="410"/>
      <c r="O21" s="410"/>
      <c r="P21" s="410"/>
      <c r="Q21" s="410"/>
      <c r="R21" s="410"/>
      <c r="S21" s="410"/>
      <c r="T21" s="410"/>
      <c r="U21" s="410"/>
      <c r="V21" s="433"/>
      <c r="W21" s="411"/>
      <c r="X21" s="406"/>
    </row>
    <row r="22" spans="1:24" x14ac:dyDescent="0.3">
      <c r="A22" s="434"/>
      <c r="B22" s="435"/>
      <c r="C22" s="436"/>
      <c r="D22" s="436" t="s">
        <v>180</v>
      </c>
      <c r="E22" s="436"/>
      <c r="F22" s="436" t="s">
        <v>181</v>
      </c>
      <c r="G22" s="436"/>
      <c r="H22" s="436" t="s">
        <v>182</v>
      </c>
      <c r="I22" s="436"/>
      <c r="J22" s="436" t="s">
        <v>223</v>
      </c>
      <c r="K22" s="436"/>
      <c r="L22" s="436" t="s">
        <v>183</v>
      </c>
      <c r="M22" s="436"/>
      <c r="N22" s="436" t="s">
        <v>184</v>
      </c>
      <c r="O22" s="436"/>
      <c r="P22" s="436" t="s">
        <v>224</v>
      </c>
      <c r="Q22" s="436"/>
      <c r="R22" s="436" t="s">
        <v>185</v>
      </c>
      <c r="S22" s="437"/>
      <c r="T22" s="437"/>
      <c r="U22" s="435"/>
      <c r="V22" s="435"/>
      <c r="W22" s="438"/>
      <c r="X22" s="406"/>
    </row>
    <row r="23" spans="1:24" s="426" customFormat="1" x14ac:dyDescent="0.3">
      <c r="A23" s="439"/>
      <c r="B23" s="440" t="s">
        <v>7</v>
      </c>
      <c r="C23" s="441"/>
      <c r="D23" s="441" t="s">
        <v>216</v>
      </c>
      <c r="E23" s="441"/>
      <c r="F23" s="441" t="s">
        <v>144</v>
      </c>
      <c r="G23" s="441"/>
      <c r="H23" s="441" t="s">
        <v>144</v>
      </c>
      <c r="I23" s="441"/>
      <c r="J23" s="441" t="s">
        <v>144</v>
      </c>
      <c r="K23" s="441"/>
      <c r="L23" s="441" t="s">
        <v>186</v>
      </c>
      <c r="M23" s="441"/>
      <c r="N23" s="441" t="s">
        <v>186</v>
      </c>
      <c r="O23" s="441"/>
      <c r="P23" s="441" t="s">
        <v>145</v>
      </c>
      <c r="Q23" s="441"/>
      <c r="R23" s="441" t="s">
        <v>145</v>
      </c>
      <c r="S23" s="441"/>
      <c r="T23" s="441"/>
      <c r="U23" s="440"/>
      <c r="V23" s="440"/>
      <c r="W23" s="442"/>
      <c r="X23" s="425"/>
    </row>
    <row r="24" spans="1:24" s="426" customFormat="1" x14ac:dyDescent="0.3">
      <c r="A24" s="443"/>
      <c r="B24" s="444" t="s">
        <v>8</v>
      </c>
      <c r="C24" s="445"/>
      <c r="D24" s="445" t="s">
        <v>217</v>
      </c>
      <c r="E24" s="445"/>
      <c r="F24" s="445" t="s">
        <v>146</v>
      </c>
      <c r="G24" s="445"/>
      <c r="H24" s="445" t="s">
        <v>146</v>
      </c>
      <c r="I24" s="445"/>
      <c r="J24" s="445" t="s">
        <v>146</v>
      </c>
      <c r="K24" s="445"/>
      <c r="L24" s="445" t="s">
        <v>168</v>
      </c>
      <c r="M24" s="445"/>
      <c r="N24" s="445" t="s">
        <v>168</v>
      </c>
      <c r="O24" s="445"/>
      <c r="P24" s="445" t="s">
        <v>147</v>
      </c>
      <c r="Q24" s="445"/>
      <c r="R24" s="445" t="s">
        <v>147</v>
      </c>
      <c r="S24" s="445"/>
      <c r="T24" s="445"/>
      <c r="U24" s="444"/>
      <c r="V24" s="444"/>
      <c r="W24" s="446"/>
      <c r="X24" s="425"/>
    </row>
    <row r="25" spans="1:24" s="426" customFormat="1" x14ac:dyDescent="0.3">
      <c r="A25" s="447"/>
      <c r="B25" s="444" t="s">
        <v>193</v>
      </c>
      <c r="C25" s="448"/>
      <c r="D25" s="445" t="s">
        <v>218</v>
      </c>
      <c r="E25" s="445"/>
      <c r="F25" s="445" t="s">
        <v>146</v>
      </c>
      <c r="G25" s="445"/>
      <c r="H25" s="445" t="s">
        <v>146</v>
      </c>
      <c r="I25" s="445"/>
      <c r="J25" s="445" t="s">
        <v>146</v>
      </c>
      <c r="K25" s="445"/>
      <c r="L25" s="445" t="s">
        <v>168</v>
      </c>
      <c r="M25" s="445"/>
      <c r="N25" s="445" t="s">
        <v>168</v>
      </c>
      <c r="O25" s="445"/>
      <c r="P25" s="445" t="s">
        <v>147</v>
      </c>
      <c r="Q25" s="445"/>
      <c r="R25" s="445" t="s">
        <v>147</v>
      </c>
      <c r="S25" s="448"/>
      <c r="T25" s="445"/>
      <c r="U25" s="444"/>
      <c r="V25" s="444"/>
      <c r="W25" s="446"/>
      <c r="X25" s="425"/>
    </row>
    <row r="26" spans="1:24" s="426" customFormat="1" x14ac:dyDescent="0.3">
      <c r="A26" s="447"/>
      <c r="B26" s="449" t="s">
        <v>9</v>
      </c>
      <c r="C26" s="448"/>
      <c r="D26" s="448" t="s">
        <v>144</v>
      </c>
      <c r="E26" s="448"/>
      <c r="F26" s="448" t="s">
        <v>144</v>
      </c>
      <c r="G26" s="448"/>
      <c r="H26" s="448" t="s">
        <v>144</v>
      </c>
      <c r="I26" s="448"/>
      <c r="J26" s="448" t="s">
        <v>144</v>
      </c>
      <c r="K26" s="448"/>
      <c r="L26" s="448" t="s">
        <v>186</v>
      </c>
      <c r="M26" s="448"/>
      <c r="N26" s="448" t="s">
        <v>186</v>
      </c>
      <c r="O26" s="448"/>
      <c r="P26" s="448" t="s">
        <v>145</v>
      </c>
      <c r="Q26" s="448"/>
      <c r="R26" s="448" t="s">
        <v>145</v>
      </c>
      <c r="S26" s="448"/>
      <c r="T26" s="445"/>
      <c r="U26" s="444"/>
      <c r="V26" s="444"/>
      <c r="W26" s="446"/>
      <c r="X26" s="425"/>
    </row>
    <row r="27" spans="1:24" s="426" customFormat="1" x14ac:dyDescent="0.3">
      <c r="A27" s="443"/>
      <c r="B27" s="449" t="s">
        <v>194</v>
      </c>
      <c r="C27" s="445"/>
      <c r="D27" s="448" t="s">
        <v>168</v>
      </c>
      <c r="E27" s="448"/>
      <c r="F27" s="448" t="s">
        <v>168</v>
      </c>
      <c r="G27" s="448"/>
      <c r="H27" s="448" t="s">
        <v>168</v>
      </c>
      <c r="I27" s="448"/>
      <c r="J27" s="448" t="s">
        <v>168</v>
      </c>
      <c r="K27" s="448"/>
      <c r="L27" s="448" t="s">
        <v>168</v>
      </c>
      <c r="M27" s="448"/>
      <c r="N27" s="448" t="s">
        <v>168</v>
      </c>
      <c r="O27" s="448"/>
      <c r="P27" s="448" t="s">
        <v>360</v>
      </c>
      <c r="Q27" s="448"/>
      <c r="R27" s="448" t="s">
        <v>360</v>
      </c>
      <c r="S27" s="445"/>
      <c r="T27" s="450"/>
      <c r="U27" s="444"/>
      <c r="V27" s="444"/>
      <c r="W27" s="446"/>
      <c r="X27" s="425"/>
    </row>
    <row r="28" spans="1:24" s="426" customFormat="1" x14ac:dyDescent="0.3">
      <c r="A28" s="443"/>
      <c r="B28" s="449" t="s">
        <v>195</v>
      </c>
      <c r="C28" s="445"/>
      <c r="D28" s="448" t="s">
        <v>146</v>
      </c>
      <c r="E28" s="448"/>
      <c r="F28" s="448" t="s">
        <v>146</v>
      </c>
      <c r="G28" s="448"/>
      <c r="H28" s="448" t="s">
        <v>146</v>
      </c>
      <c r="I28" s="448"/>
      <c r="J28" s="448" t="s">
        <v>146</v>
      </c>
      <c r="K28" s="448"/>
      <c r="L28" s="448" t="s">
        <v>146</v>
      </c>
      <c r="M28" s="448"/>
      <c r="N28" s="448" t="s">
        <v>146</v>
      </c>
      <c r="O28" s="448"/>
      <c r="P28" s="448" t="s">
        <v>147</v>
      </c>
      <c r="Q28" s="448"/>
      <c r="R28" s="448" t="s">
        <v>147</v>
      </c>
      <c r="S28" s="445"/>
      <c r="T28" s="450"/>
      <c r="U28" s="444"/>
      <c r="V28" s="444"/>
      <c r="W28" s="446"/>
      <c r="X28" s="425"/>
    </row>
    <row r="29" spans="1:24" s="426" customFormat="1" x14ac:dyDescent="0.3">
      <c r="A29" s="443"/>
      <c r="B29" s="444" t="s">
        <v>10</v>
      </c>
      <c r="C29" s="451"/>
      <c r="D29" s="445" t="s">
        <v>348</v>
      </c>
      <c r="E29" s="445"/>
      <c r="F29" s="450" t="s">
        <v>242</v>
      </c>
      <c r="G29" s="445"/>
      <c r="H29" s="445" t="s">
        <v>243</v>
      </c>
      <c r="I29" s="445"/>
      <c r="J29" s="445" t="s">
        <v>245</v>
      </c>
      <c r="K29" s="445"/>
      <c r="L29" s="445" t="s">
        <v>246</v>
      </c>
      <c r="M29" s="445"/>
      <c r="N29" s="445" t="s">
        <v>247</v>
      </c>
      <c r="O29" s="445"/>
      <c r="P29" s="445" t="s">
        <v>248</v>
      </c>
      <c r="Q29" s="445"/>
      <c r="R29" s="445" t="s">
        <v>249</v>
      </c>
      <c r="S29" s="452"/>
      <c r="T29" s="452"/>
      <c r="U29" s="451"/>
      <c r="V29" s="452"/>
      <c r="W29" s="453"/>
      <c r="X29" s="425"/>
    </row>
    <row r="30" spans="1:24" s="426" customFormat="1" x14ac:dyDescent="0.3">
      <c r="A30" s="443"/>
      <c r="B30" s="444" t="s">
        <v>10</v>
      </c>
      <c r="C30" s="451"/>
      <c r="D30" s="445" t="s">
        <v>241</v>
      </c>
      <c r="E30" s="445"/>
      <c r="F30" s="450" t="s">
        <v>121</v>
      </c>
      <c r="G30" s="445"/>
      <c r="H30" s="445" t="s">
        <v>121</v>
      </c>
      <c r="I30" s="445"/>
      <c r="J30" s="445" t="s">
        <v>244</v>
      </c>
      <c r="K30" s="445"/>
      <c r="L30" s="445" t="s">
        <v>121</v>
      </c>
      <c r="M30" s="445"/>
      <c r="N30" s="445" t="s">
        <v>121</v>
      </c>
      <c r="O30" s="445"/>
      <c r="P30" s="445" t="s">
        <v>121</v>
      </c>
      <c r="Q30" s="445"/>
      <c r="R30" s="445" t="s">
        <v>121</v>
      </c>
      <c r="S30" s="452"/>
      <c r="T30" s="452"/>
      <c r="U30" s="451"/>
      <c r="V30" s="452"/>
      <c r="W30" s="453"/>
      <c r="X30" s="425"/>
    </row>
    <row r="31" spans="1:24" s="426" customFormat="1" x14ac:dyDescent="0.3">
      <c r="A31" s="447"/>
      <c r="B31" s="444" t="s">
        <v>136</v>
      </c>
      <c r="C31" s="454"/>
      <c r="D31" s="455">
        <v>1500000</v>
      </c>
      <c r="E31" s="451"/>
      <c r="F31" s="452">
        <v>125000</v>
      </c>
      <c r="G31" s="452"/>
      <c r="H31" s="456">
        <v>315000</v>
      </c>
      <c r="I31" s="456"/>
      <c r="J31" s="455">
        <v>350000</v>
      </c>
      <c r="K31" s="452"/>
      <c r="L31" s="452">
        <v>56000</v>
      </c>
      <c r="M31" s="452"/>
      <c r="N31" s="456">
        <v>84000</v>
      </c>
      <c r="O31" s="452"/>
      <c r="P31" s="452">
        <v>13000</v>
      </c>
      <c r="Q31" s="452"/>
      <c r="R31" s="456">
        <v>81000</v>
      </c>
      <c r="S31" s="457"/>
      <c r="T31" s="457"/>
      <c r="U31" s="454"/>
      <c r="V31" s="457"/>
      <c r="W31" s="453"/>
      <c r="X31" s="425"/>
    </row>
    <row r="32" spans="1:24" s="426" customFormat="1" x14ac:dyDescent="0.3">
      <c r="A32" s="443"/>
      <c r="B32" s="444" t="s">
        <v>135</v>
      </c>
      <c r="C32" s="451"/>
      <c r="D32" s="458">
        <f>D34*D38</f>
        <v>320432.8951968</v>
      </c>
      <c r="E32" s="451"/>
      <c r="F32" s="452">
        <f>F31*F38</f>
        <v>50201.375</v>
      </c>
      <c r="G32" s="452"/>
      <c r="H32" s="456">
        <f>H31*H38</f>
        <v>126507.465</v>
      </c>
      <c r="I32" s="456"/>
      <c r="J32" s="455">
        <f>J31*J38</f>
        <v>140562.94</v>
      </c>
      <c r="K32" s="452"/>
      <c r="L32" s="452">
        <f>L31*L38</f>
        <v>52176.297599999998</v>
      </c>
      <c r="M32" s="452"/>
      <c r="N32" s="456">
        <f>N31*N38</f>
        <v>78264.446400000001</v>
      </c>
      <c r="O32" s="452"/>
      <c r="P32" s="452">
        <f>P31*P38</f>
        <v>12112.354799999999</v>
      </c>
      <c r="Q32" s="452"/>
      <c r="R32" s="456">
        <f>R31*R38</f>
        <v>75469.287599999996</v>
      </c>
      <c r="S32" s="452"/>
      <c r="T32" s="452"/>
      <c r="U32" s="451"/>
      <c r="V32" s="452"/>
      <c r="W32" s="453"/>
      <c r="X32" s="425"/>
    </row>
    <row r="33" spans="1:24" s="426" customFormat="1" x14ac:dyDescent="0.3">
      <c r="A33" s="443"/>
      <c r="B33" s="449" t="s">
        <v>137</v>
      </c>
      <c r="C33" s="451"/>
      <c r="D33" s="459">
        <f>D34*D37</f>
        <v>314999.86559999996</v>
      </c>
      <c r="E33" s="454"/>
      <c r="F33" s="457">
        <f>F37*F31</f>
        <v>49350.2</v>
      </c>
      <c r="G33" s="457"/>
      <c r="H33" s="460">
        <f>H31*H37</f>
        <v>124362.50399999999</v>
      </c>
      <c r="I33" s="460"/>
      <c r="J33" s="461">
        <f>J37*J31</f>
        <v>138179.61499999999</v>
      </c>
      <c r="K33" s="457"/>
      <c r="L33" s="457">
        <f>L31*L37</f>
        <v>51291.620799999997</v>
      </c>
      <c r="M33" s="457"/>
      <c r="N33" s="460">
        <f>N31*N37</f>
        <v>76937.431200000006</v>
      </c>
      <c r="O33" s="457"/>
      <c r="P33" s="457">
        <f>P31*P37</f>
        <v>11906.983400000001</v>
      </c>
      <c r="Q33" s="457"/>
      <c r="R33" s="460">
        <f>R31*R37</f>
        <v>74189.665800000002</v>
      </c>
      <c r="S33" s="452"/>
      <c r="T33" s="452"/>
      <c r="U33" s="451"/>
      <c r="V33" s="452"/>
      <c r="W33" s="453"/>
      <c r="X33" s="425"/>
    </row>
    <row r="34" spans="1:24" s="426" customFormat="1" x14ac:dyDescent="0.3">
      <c r="A34" s="447"/>
      <c r="B34" s="444" t="s">
        <v>298</v>
      </c>
      <c r="C34" s="454"/>
      <c r="D34" s="452">
        <v>797872</v>
      </c>
      <c r="E34" s="451"/>
      <c r="F34" s="452">
        <v>125000</v>
      </c>
      <c r="G34" s="452"/>
      <c r="H34" s="452">
        <v>211409</v>
      </c>
      <c r="I34" s="452"/>
      <c r="J34" s="452">
        <v>186170</v>
      </c>
      <c r="K34" s="452"/>
      <c r="L34" s="452">
        <v>56000</v>
      </c>
      <c r="M34" s="452"/>
      <c r="N34" s="452">
        <v>56376</v>
      </c>
      <c r="O34" s="452"/>
      <c r="P34" s="452">
        <v>13000</v>
      </c>
      <c r="Q34" s="452"/>
      <c r="R34" s="452">
        <v>54363</v>
      </c>
      <c r="S34" s="457"/>
      <c r="T34" s="457"/>
      <c r="U34" s="454"/>
      <c r="V34" s="452">
        <f>SUM(C34:R34)</f>
        <v>1500190</v>
      </c>
      <c r="W34" s="453"/>
      <c r="X34" s="425"/>
    </row>
    <row r="35" spans="1:24" s="426" customFormat="1" x14ac:dyDescent="0.3">
      <c r="A35" s="447"/>
      <c r="B35" s="444" t="s">
        <v>299</v>
      </c>
      <c r="C35" s="454"/>
      <c r="D35" s="452">
        <f>D34*D38</f>
        <v>320432.8951968</v>
      </c>
      <c r="E35" s="451"/>
      <c r="F35" s="452">
        <f>F34*F38</f>
        <v>50201.375</v>
      </c>
      <c r="G35" s="452"/>
      <c r="H35" s="452">
        <f>H34*H38</f>
        <v>84904.179898999995</v>
      </c>
      <c r="I35" s="452"/>
      <c r="J35" s="452">
        <f>J34*J38</f>
        <v>74767.435828000001</v>
      </c>
      <c r="K35" s="452"/>
      <c r="L35" s="452">
        <f>L34*L38</f>
        <v>52176.297599999998</v>
      </c>
      <c r="M35" s="452"/>
      <c r="N35" s="452">
        <f>N34*N38</f>
        <v>52526.6241696</v>
      </c>
      <c r="O35" s="452"/>
      <c r="P35" s="452">
        <f>P34*P38</f>
        <v>12112.354799999999</v>
      </c>
      <c r="Q35" s="452"/>
      <c r="R35" s="452">
        <f>R34*R38</f>
        <v>50651.072614799996</v>
      </c>
      <c r="S35" s="452"/>
      <c r="T35" s="452"/>
      <c r="U35" s="451"/>
      <c r="V35" s="452">
        <f>SUM(C35:R35)+1</f>
        <v>697773.23510819988</v>
      </c>
      <c r="W35" s="453"/>
      <c r="X35" s="425"/>
    </row>
    <row r="36" spans="1:24" s="426" customFormat="1" x14ac:dyDescent="0.3">
      <c r="A36" s="447"/>
      <c r="B36" s="449" t="s">
        <v>304</v>
      </c>
      <c r="C36" s="454"/>
      <c r="D36" s="457">
        <f>D34*D37</f>
        <v>314999.86559999996</v>
      </c>
      <c r="E36" s="454"/>
      <c r="F36" s="457">
        <f>F34*F37</f>
        <v>49350.2</v>
      </c>
      <c r="G36" s="457"/>
      <c r="H36" s="457">
        <f>H34*H37</f>
        <v>83464.611454400001</v>
      </c>
      <c r="I36" s="457"/>
      <c r="J36" s="457">
        <f>J34*J37</f>
        <v>73499.711213000002</v>
      </c>
      <c r="K36" s="457"/>
      <c r="L36" s="457">
        <f>L34*L37</f>
        <v>51291.620799999997</v>
      </c>
      <c r="M36" s="457"/>
      <c r="N36" s="457">
        <f>N34*N37</f>
        <v>51636.0073968</v>
      </c>
      <c r="O36" s="457"/>
      <c r="P36" s="457">
        <f>P34*P37</f>
        <v>11906.983400000001</v>
      </c>
      <c r="Q36" s="457"/>
      <c r="R36" s="457">
        <f>R34*R37</f>
        <v>49792.256813400003</v>
      </c>
      <c r="S36" s="462"/>
      <c r="T36" s="462"/>
      <c r="U36" s="451"/>
      <c r="V36" s="457">
        <f>SUM(C36:R36)+1</f>
        <v>685942.25667759997</v>
      </c>
      <c r="W36" s="453"/>
      <c r="X36" s="425"/>
    </row>
    <row r="37" spans="1:24" s="473" customFormat="1" x14ac:dyDescent="0.3">
      <c r="A37" s="463"/>
      <c r="B37" s="464" t="s">
        <v>133</v>
      </c>
      <c r="C37" s="465"/>
      <c r="D37" s="466">
        <v>0.39479999999999998</v>
      </c>
      <c r="E37" s="467"/>
      <c r="F37" s="466">
        <v>0.39480159999999997</v>
      </c>
      <c r="G37" s="468"/>
      <c r="H37" s="466">
        <v>0.39480159999999997</v>
      </c>
      <c r="I37" s="468"/>
      <c r="J37" s="466">
        <v>0.39479890000000001</v>
      </c>
      <c r="K37" s="468"/>
      <c r="L37" s="466">
        <v>0.91592180000000001</v>
      </c>
      <c r="M37" s="468"/>
      <c r="N37" s="466">
        <v>0.91592180000000001</v>
      </c>
      <c r="O37" s="468"/>
      <c r="P37" s="466">
        <v>0.91592180000000001</v>
      </c>
      <c r="Q37" s="468"/>
      <c r="R37" s="466">
        <v>0.91592180000000001</v>
      </c>
      <c r="S37" s="469"/>
      <c r="T37" s="469"/>
      <c r="U37" s="470"/>
      <c r="V37" s="470"/>
      <c r="W37" s="471"/>
      <c r="X37" s="472"/>
    </row>
    <row r="38" spans="1:24" s="473" customFormat="1" x14ac:dyDescent="0.3">
      <c r="A38" s="463"/>
      <c r="B38" s="465" t="s">
        <v>134</v>
      </c>
      <c r="C38" s="465"/>
      <c r="D38" s="474">
        <v>0.40160940000000001</v>
      </c>
      <c r="E38" s="475"/>
      <c r="F38" s="474">
        <v>0.401611</v>
      </c>
      <c r="G38" s="476"/>
      <c r="H38" s="474">
        <v>0.401611</v>
      </c>
      <c r="I38" s="476"/>
      <c r="J38" s="474">
        <v>0.40160839999999998</v>
      </c>
      <c r="K38" s="476"/>
      <c r="L38" s="474">
        <v>0.93171959999999998</v>
      </c>
      <c r="M38" s="476"/>
      <c r="N38" s="474">
        <v>0.93171959999999998</v>
      </c>
      <c r="O38" s="476"/>
      <c r="P38" s="474">
        <v>0.93171959999999998</v>
      </c>
      <c r="Q38" s="476"/>
      <c r="R38" s="474">
        <v>0.93171959999999998</v>
      </c>
      <c r="S38" s="477"/>
      <c r="T38" s="478"/>
      <c r="U38" s="470"/>
      <c r="V38" s="477"/>
      <c r="W38" s="471"/>
      <c r="X38" s="472"/>
    </row>
    <row r="39" spans="1:24" s="426" customFormat="1" x14ac:dyDescent="0.3">
      <c r="A39" s="443"/>
      <c r="B39" s="444" t="s">
        <v>11</v>
      </c>
      <c r="C39" s="444"/>
      <c r="D39" s="450" t="s">
        <v>226</v>
      </c>
      <c r="E39" s="444"/>
      <c r="F39" s="450" t="s">
        <v>226</v>
      </c>
      <c r="G39" s="450"/>
      <c r="H39" s="450" t="s">
        <v>226</v>
      </c>
      <c r="I39" s="450"/>
      <c r="J39" s="450" t="s">
        <v>256</v>
      </c>
      <c r="K39" s="450"/>
      <c r="L39" s="450" t="s">
        <v>254</v>
      </c>
      <c r="M39" s="450"/>
      <c r="N39" s="450" t="s">
        <v>257</v>
      </c>
      <c r="O39" s="450"/>
      <c r="P39" s="450" t="s">
        <v>258</v>
      </c>
      <c r="Q39" s="450"/>
      <c r="R39" s="450" t="s">
        <v>259</v>
      </c>
      <c r="S39" s="479"/>
      <c r="T39" s="480"/>
      <c r="U39" s="444"/>
      <c r="V39" s="444"/>
      <c r="W39" s="446"/>
      <c r="X39" s="425"/>
    </row>
    <row r="40" spans="1:24" s="426" customFormat="1" x14ac:dyDescent="0.3">
      <c r="A40" s="443"/>
      <c r="B40" s="444" t="s">
        <v>12</v>
      </c>
      <c r="C40" s="444"/>
      <c r="D40" s="480">
        <v>1.025E-2</v>
      </c>
      <c r="E40" s="444"/>
      <c r="F40" s="480">
        <v>1.025E-2</v>
      </c>
      <c r="G40" s="479"/>
      <c r="H40" s="480">
        <v>0</v>
      </c>
      <c r="I40" s="480"/>
      <c r="J40" s="480">
        <v>2.18088E-2</v>
      </c>
      <c r="K40" s="479"/>
      <c r="L40" s="480">
        <v>1.1849999999999999E-2</v>
      </c>
      <c r="M40" s="479"/>
      <c r="N40" s="480">
        <v>0</v>
      </c>
      <c r="O40" s="479"/>
      <c r="P40" s="480">
        <v>1.585E-2</v>
      </c>
      <c r="Q40" s="479"/>
      <c r="R40" s="480">
        <v>3.62E-3</v>
      </c>
      <c r="S40" s="479"/>
      <c r="T40" s="480"/>
      <c r="U40" s="444"/>
      <c r="V40" s="450"/>
      <c r="W40" s="446"/>
      <c r="X40" s="425"/>
    </row>
    <row r="41" spans="1:24" s="426" customFormat="1" x14ac:dyDescent="0.3">
      <c r="A41" s="443"/>
      <c r="B41" s="444" t="s">
        <v>13</v>
      </c>
      <c r="C41" s="444"/>
      <c r="D41" s="480">
        <v>1.00713E-2</v>
      </c>
      <c r="E41" s="444"/>
      <c r="F41" s="480">
        <v>1.00713E-2</v>
      </c>
      <c r="G41" s="479"/>
      <c r="H41" s="480">
        <v>0</v>
      </c>
      <c r="I41" s="480"/>
      <c r="J41" s="480">
        <v>2.48338E-2</v>
      </c>
      <c r="K41" s="479"/>
      <c r="L41" s="480">
        <v>1.1671300000000001E-2</v>
      </c>
      <c r="M41" s="479"/>
      <c r="N41" s="480">
        <v>1.6000000000000001E-4</v>
      </c>
      <c r="O41" s="479"/>
      <c r="P41" s="480">
        <v>1.5671299999999999E-2</v>
      </c>
      <c r="Q41" s="479"/>
      <c r="R41" s="480">
        <v>4.1599999999999996E-3</v>
      </c>
      <c r="S41" s="479"/>
      <c r="T41" s="480"/>
      <c r="U41" s="444"/>
      <c r="V41" s="479" t="s">
        <v>196</v>
      </c>
      <c r="W41" s="446"/>
      <c r="X41" s="425"/>
    </row>
    <row r="42" spans="1:24" s="426" customFormat="1" x14ac:dyDescent="0.3">
      <c r="A42" s="443"/>
      <c r="B42" s="444" t="s">
        <v>300</v>
      </c>
      <c r="C42" s="444"/>
      <c r="D42" s="450" t="s">
        <v>226</v>
      </c>
      <c r="E42" s="444"/>
      <c r="F42" s="450" t="s">
        <v>226</v>
      </c>
      <c r="G42" s="450"/>
      <c r="H42" s="450" t="s">
        <v>227</v>
      </c>
      <c r="I42" s="450"/>
      <c r="J42" s="450" t="s">
        <v>237</v>
      </c>
      <c r="K42" s="450"/>
      <c r="L42" s="450" t="s">
        <v>254</v>
      </c>
      <c r="M42" s="450"/>
      <c r="N42" s="450" t="s">
        <v>260</v>
      </c>
      <c r="O42" s="450"/>
      <c r="P42" s="450" t="s">
        <v>258</v>
      </c>
      <c r="Q42" s="450"/>
      <c r="R42" s="450" t="s">
        <v>261</v>
      </c>
      <c r="S42" s="479"/>
      <c r="T42" s="480"/>
      <c r="U42" s="444"/>
      <c r="V42" s="444"/>
      <c r="W42" s="446"/>
      <c r="X42" s="425"/>
    </row>
    <row r="43" spans="1:24" s="426" customFormat="1" x14ac:dyDescent="0.3">
      <c r="A43" s="443"/>
      <c r="B43" s="444" t="s">
        <v>301</v>
      </c>
      <c r="C43" s="481"/>
      <c r="D43" s="480">
        <f>+D40</f>
        <v>1.025E-2</v>
      </c>
      <c r="E43" s="480"/>
      <c r="F43" s="480">
        <f>+F40</f>
        <v>1.025E-2</v>
      </c>
      <c r="G43" s="480"/>
      <c r="H43" s="480">
        <v>1.0494E-2</v>
      </c>
      <c r="I43" s="480"/>
      <c r="J43" s="480">
        <v>1.0330000000000001E-2</v>
      </c>
      <c r="K43" s="480"/>
      <c r="L43" s="480">
        <f>+L40</f>
        <v>1.1849999999999999E-2</v>
      </c>
      <c r="M43" s="480"/>
      <c r="N43" s="480">
        <v>1.2030000000000001E-2</v>
      </c>
      <c r="O43" s="480"/>
      <c r="P43" s="480">
        <f>+P40</f>
        <v>1.585E-2</v>
      </c>
      <c r="Q43" s="479"/>
      <c r="R43" s="480">
        <v>1.6250000000000001E-2</v>
      </c>
      <c r="S43" s="450"/>
      <c r="T43" s="450"/>
      <c r="U43" s="444"/>
      <c r="V43" s="479">
        <f>SUMPRODUCT(D43:R43,D35:R35)/V35</f>
        <v>1.1074627293741155E-2</v>
      </c>
      <c r="W43" s="446"/>
      <c r="X43" s="425"/>
    </row>
    <row r="44" spans="1:24" s="426" customFormat="1" x14ac:dyDescent="0.3">
      <c r="A44" s="443"/>
      <c r="B44" s="444" t="s">
        <v>302</v>
      </c>
      <c r="C44" s="481"/>
      <c r="D44" s="480">
        <f>+D41</f>
        <v>1.00713E-2</v>
      </c>
      <c r="E44" s="480"/>
      <c r="F44" s="480">
        <f>+F41</f>
        <v>1.00713E-2</v>
      </c>
      <c r="G44" s="480"/>
      <c r="H44" s="480">
        <v>1.0315299999999999E-2</v>
      </c>
      <c r="I44" s="480"/>
      <c r="J44" s="480">
        <v>1.01513E-2</v>
      </c>
      <c r="K44" s="480"/>
      <c r="L44" s="480">
        <f>+L41</f>
        <v>1.1671300000000001E-2</v>
      </c>
      <c r="M44" s="480"/>
      <c r="N44" s="480">
        <v>1.18513E-2</v>
      </c>
      <c r="O44" s="480"/>
      <c r="P44" s="480">
        <f>+P41</f>
        <v>1.5671299999999999E-2</v>
      </c>
      <c r="Q44" s="479"/>
      <c r="R44" s="480">
        <v>1.60713E-2</v>
      </c>
      <c r="S44" s="450"/>
      <c r="T44" s="450"/>
      <c r="U44" s="444"/>
      <c r="V44" s="444"/>
      <c r="W44" s="446"/>
      <c r="X44" s="425"/>
    </row>
    <row r="45" spans="1:24" s="426" customFormat="1" x14ac:dyDescent="0.3">
      <c r="A45" s="443"/>
      <c r="B45" s="444" t="s">
        <v>14</v>
      </c>
      <c r="C45" s="444"/>
      <c r="D45" s="481">
        <v>40466</v>
      </c>
      <c r="E45" s="481"/>
      <c r="F45" s="481">
        <v>40466</v>
      </c>
      <c r="G45" s="481"/>
      <c r="H45" s="481">
        <v>40466</v>
      </c>
      <c r="I45" s="481"/>
      <c r="J45" s="481">
        <v>40466</v>
      </c>
      <c r="K45" s="481"/>
      <c r="L45" s="481">
        <v>40466</v>
      </c>
      <c r="M45" s="481"/>
      <c r="N45" s="481">
        <v>40466</v>
      </c>
      <c r="O45" s="481"/>
      <c r="P45" s="481">
        <v>40466</v>
      </c>
      <c r="Q45" s="481"/>
      <c r="R45" s="481">
        <v>40466</v>
      </c>
      <c r="S45" s="450"/>
      <c r="T45" s="450"/>
      <c r="U45" s="444"/>
      <c r="V45" s="444"/>
      <c r="W45" s="446"/>
      <c r="X45" s="425"/>
    </row>
    <row r="46" spans="1:24" s="426" customFormat="1" x14ac:dyDescent="0.3">
      <c r="A46" s="443"/>
      <c r="B46" s="444" t="s">
        <v>15</v>
      </c>
      <c r="C46" s="444"/>
      <c r="D46" s="481">
        <v>41105</v>
      </c>
      <c r="E46" s="481"/>
      <c r="F46" s="481">
        <v>40831</v>
      </c>
      <c r="G46" s="481"/>
      <c r="H46" s="481">
        <v>40831</v>
      </c>
      <c r="I46" s="481"/>
      <c r="J46" s="481">
        <v>40831</v>
      </c>
      <c r="K46" s="450"/>
      <c r="L46" s="481">
        <v>40831</v>
      </c>
      <c r="M46" s="450"/>
      <c r="N46" s="481">
        <v>40831</v>
      </c>
      <c r="O46" s="450"/>
      <c r="P46" s="481">
        <v>40831</v>
      </c>
      <c r="Q46" s="450"/>
      <c r="R46" s="481">
        <v>40831</v>
      </c>
      <c r="S46" s="450"/>
      <c r="T46" s="450"/>
      <c r="U46" s="444"/>
      <c r="V46" s="444"/>
      <c r="W46" s="446"/>
      <c r="X46" s="425"/>
    </row>
    <row r="47" spans="1:24" s="426" customFormat="1" x14ac:dyDescent="0.3">
      <c r="A47" s="443"/>
      <c r="B47" s="444" t="s">
        <v>122</v>
      </c>
      <c r="C47" s="444"/>
      <c r="D47" s="450" t="s">
        <v>226</v>
      </c>
      <c r="E47" s="444"/>
      <c r="F47" s="450" t="s">
        <v>226</v>
      </c>
      <c r="G47" s="450"/>
      <c r="H47" s="450" t="s">
        <v>226</v>
      </c>
      <c r="I47" s="450"/>
      <c r="J47" s="450" t="s">
        <v>256</v>
      </c>
      <c r="K47" s="450"/>
      <c r="L47" s="450" t="s">
        <v>254</v>
      </c>
      <c r="M47" s="450"/>
      <c r="N47" s="450" t="s">
        <v>257</v>
      </c>
      <c r="O47" s="450"/>
      <c r="P47" s="450" t="s">
        <v>258</v>
      </c>
      <c r="Q47" s="450"/>
      <c r="R47" s="450" t="s">
        <v>259</v>
      </c>
      <c r="S47" s="482"/>
      <c r="T47" s="482"/>
      <c r="U47" s="482"/>
      <c r="V47" s="482"/>
      <c r="W47" s="446"/>
      <c r="X47" s="425"/>
    </row>
    <row r="48" spans="1:24" s="426" customFormat="1" x14ac:dyDescent="0.3">
      <c r="A48" s="443"/>
      <c r="B48" s="444" t="s">
        <v>303</v>
      </c>
      <c r="C48" s="444"/>
      <c r="D48" s="450" t="s">
        <v>226</v>
      </c>
      <c r="E48" s="444"/>
      <c r="F48" s="450" t="s">
        <v>226</v>
      </c>
      <c r="G48" s="450"/>
      <c r="H48" s="450" t="s">
        <v>227</v>
      </c>
      <c r="I48" s="450"/>
      <c r="J48" s="450" t="s">
        <v>237</v>
      </c>
      <c r="K48" s="450"/>
      <c r="L48" s="450" t="s">
        <v>254</v>
      </c>
      <c r="M48" s="450"/>
      <c r="N48" s="450" t="s">
        <v>260</v>
      </c>
      <c r="O48" s="450"/>
      <c r="P48" s="450" t="s">
        <v>258</v>
      </c>
      <c r="Q48" s="450"/>
      <c r="R48" s="450" t="s">
        <v>261</v>
      </c>
      <c r="S48" s="444"/>
      <c r="T48" s="444"/>
      <c r="U48" s="444"/>
      <c r="V48" s="479"/>
      <c r="W48" s="446"/>
      <c r="X48" s="425"/>
    </row>
    <row r="49" spans="1:25" s="426" customFormat="1" x14ac:dyDescent="0.3">
      <c r="A49" s="443"/>
      <c r="B49" s="444"/>
      <c r="C49" s="444"/>
      <c r="D49" s="450"/>
      <c r="E49" s="444"/>
      <c r="F49" s="450"/>
      <c r="G49" s="450"/>
      <c r="H49" s="450"/>
      <c r="I49" s="450"/>
      <c r="J49" s="450"/>
      <c r="K49" s="450"/>
      <c r="L49" s="450"/>
      <c r="M49" s="450"/>
      <c r="N49" s="450"/>
      <c r="O49" s="450"/>
      <c r="P49" s="450"/>
      <c r="Q49" s="450"/>
      <c r="R49" s="450"/>
      <c r="S49" s="444"/>
      <c r="T49" s="444"/>
      <c r="U49" s="444"/>
      <c r="V49" s="479" t="s">
        <v>196</v>
      </c>
      <c r="W49" s="446"/>
      <c r="X49" s="425"/>
    </row>
    <row r="50" spans="1:25" s="426" customFormat="1" x14ac:dyDescent="0.3">
      <c r="A50" s="443"/>
      <c r="B50" s="444" t="s">
        <v>172</v>
      </c>
      <c r="C50" s="444"/>
      <c r="D50" s="450"/>
      <c r="E50" s="444"/>
      <c r="F50" s="450"/>
      <c r="G50" s="450"/>
      <c r="H50" s="450"/>
      <c r="I50" s="450"/>
      <c r="J50" s="450"/>
      <c r="K50" s="450"/>
      <c r="L50" s="450"/>
      <c r="M50" s="450"/>
      <c r="N50" s="450"/>
      <c r="O50" s="450"/>
      <c r="P50" s="450"/>
      <c r="Q50" s="450"/>
      <c r="R50" s="450"/>
      <c r="S50" s="444"/>
      <c r="T50" s="444"/>
      <c r="U50" s="444"/>
      <c r="V50" s="479">
        <f>SUM(L34:R34)/SUM(D34:J34)</f>
        <v>0.13611940162868597</v>
      </c>
      <c r="W50" s="446"/>
      <c r="X50" s="425"/>
    </row>
    <row r="51" spans="1:25" s="426" customFormat="1" x14ac:dyDescent="0.3">
      <c r="A51" s="443"/>
      <c r="B51" s="444" t="s">
        <v>173</v>
      </c>
      <c r="C51" s="444"/>
      <c r="D51" s="444"/>
      <c r="E51" s="444"/>
      <c r="F51" s="483"/>
      <c r="G51" s="444"/>
      <c r="H51" s="444"/>
      <c r="I51" s="444"/>
      <c r="J51" s="444"/>
      <c r="K51" s="444"/>
      <c r="L51" s="444"/>
      <c r="M51" s="444"/>
      <c r="N51" s="444"/>
      <c r="O51" s="444"/>
      <c r="P51" s="444"/>
      <c r="Q51" s="444"/>
      <c r="R51" s="444"/>
      <c r="S51" s="444"/>
      <c r="T51" s="444"/>
      <c r="U51" s="444"/>
      <c r="V51" s="479">
        <f>SUM(L36:R36)/SUM(D36:J36)</f>
        <v>0.31579191389161743</v>
      </c>
      <c r="W51" s="446"/>
      <c r="X51" s="425"/>
    </row>
    <row r="52" spans="1:25" s="426" customFormat="1" x14ac:dyDescent="0.3">
      <c r="A52" s="443"/>
      <c r="B52" s="444" t="s">
        <v>174</v>
      </c>
      <c r="C52" s="444"/>
      <c r="D52" s="444"/>
      <c r="E52" s="444"/>
      <c r="F52" s="444"/>
      <c r="G52" s="444"/>
      <c r="H52" s="444"/>
      <c r="I52" s="444"/>
      <c r="J52" s="444"/>
      <c r="K52" s="444"/>
      <c r="L52" s="444"/>
      <c r="M52" s="444"/>
      <c r="N52" s="444"/>
      <c r="O52" s="444"/>
      <c r="P52" s="444"/>
      <c r="Q52" s="444"/>
      <c r="R52" s="444"/>
      <c r="S52" s="444"/>
      <c r="T52" s="450" t="s">
        <v>107</v>
      </c>
      <c r="U52" s="450" t="s">
        <v>112</v>
      </c>
      <c r="V52" s="452">
        <f>+V34/2-SUM(L34:R34)</f>
        <v>570356</v>
      </c>
      <c r="W52" s="446"/>
      <c r="X52" s="425"/>
    </row>
    <row r="53" spans="1:25" s="426" customFormat="1" x14ac:dyDescent="0.3">
      <c r="A53" s="443"/>
      <c r="B53" s="444"/>
      <c r="C53" s="444"/>
      <c r="D53" s="444"/>
      <c r="E53" s="444"/>
      <c r="F53" s="444"/>
      <c r="G53" s="444"/>
      <c r="H53" s="444"/>
      <c r="I53" s="444"/>
      <c r="J53" s="444"/>
      <c r="K53" s="444"/>
      <c r="L53" s="444"/>
      <c r="M53" s="444"/>
      <c r="N53" s="444"/>
      <c r="O53" s="444"/>
      <c r="P53" s="444"/>
      <c r="Q53" s="444"/>
      <c r="R53" s="444"/>
      <c r="S53" s="444"/>
      <c r="T53" s="444"/>
      <c r="U53" s="444"/>
      <c r="V53" s="484"/>
      <c r="W53" s="446"/>
      <c r="X53" s="425"/>
    </row>
    <row r="54" spans="1:25" s="426" customFormat="1" x14ac:dyDescent="0.3">
      <c r="A54" s="443"/>
      <c r="B54" s="444" t="s">
        <v>358</v>
      </c>
      <c r="C54" s="444"/>
      <c r="D54" s="444"/>
      <c r="E54" s="444"/>
      <c r="F54" s="444"/>
      <c r="G54" s="444"/>
      <c r="H54" s="444"/>
      <c r="I54" s="444"/>
      <c r="J54" s="444"/>
      <c r="K54" s="444"/>
      <c r="L54" s="444"/>
      <c r="M54" s="444"/>
      <c r="N54" s="444"/>
      <c r="O54" s="444"/>
      <c r="P54" s="444"/>
      <c r="Q54" s="444"/>
      <c r="R54" s="444"/>
      <c r="S54" s="444"/>
      <c r="T54" s="450"/>
      <c r="U54" s="450"/>
      <c r="V54" s="485" t="s">
        <v>114</v>
      </c>
      <c r="W54" s="486"/>
      <c r="X54" s="487"/>
    </row>
    <row r="55" spans="1:25" s="426" customFormat="1" x14ac:dyDescent="0.3">
      <c r="A55" s="443"/>
      <c r="B55" s="449" t="s">
        <v>204</v>
      </c>
      <c r="C55" s="449"/>
      <c r="D55" s="449"/>
      <c r="E55" s="449"/>
      <c r="F55" s="449"/>
      <c r="G55" s="449"/>
      <c r="H55" s="449"/>
      <c r="I55" s="449"/>
      <c r="J55" s="449"/>
      <c r="K55" s="449"/>
      <c r="L55" s="449"/>
      <c r="M55" s="449"/>
      <c r="N55" s="449"/>
      <c r="O55" s="449"/>
      <c r="P55" s="449"/>
      <c r="Q55" s="449"/>
      <c r="R55" s="449"/>
      <c r="S55" s="449"/>
      <c r="T55" s="488"/>
      <c r="U55" s="488"/>
      <c r="V55" s="489">
        <v>43845</v>
      </c>
      <c r="W55" s="486"/>
      <c r="X55" s="487"/>
    </row>
    <row r="56" spans="1:25" s="426" customFormat="1" x14ac:dyDescent="0.3">
      <c r="A56" s="443"/>
      <c r="B56" s="444" t="s">
        <v>124</v>
      </c>
      <c r="C56" s="444"/>
      <c r="D56" s="444"/>
      <c r="E56" s="444"/>
      <c r="F56" s="444"/>
      <c r="G56" s="444"/>
      <c r="H56" s="490"/>
      <c r="I56" s="490"/>
      <c r="J56" s="490"/>
      <c r="K56" s="490"/>
      <c r="L56" s="490"/>
      <c r="M56" s="490"/>
      <c r="N56" s="490"/>
      <c r="O56" s="490"/>
      <c r="P56" s="490"/>
      <c r="Q56" s="490"/>
      <c r="R56" s="444">
        <f>+V56-T56+1</f>
        <v>92</v>
      </c>
      <c r="S56" s="490"/>
      <c r="T56" s="491">
        <v>43661</v>
      </c>
      <c r="U56" s="492"/>
      <c r="V56" s="491">
        <v>43752</v>
      </c>
      <c r="W56" s="486"/>
      <c r="X56" s="487"/>
    </row>
    <row r="57" spans="1:25" s="426" customFormat="1" x14ac:dyDescent="0.3">
      <c r="A57" s="443"/>
      <c r="B57" s="444" t="s">
        <v>125</v>
      </c>
      <c r="C57" s="444"/>
      <c r="D57" s="444"/>
      <c r="E57" s="444"/>
      <c r="F57" s="444"/>
      <c r="G57" s="444"/>
      <c r="H57" s="444"/>
      <c r="I57" s="444"/>
      <c r="J57" s="444"/>
      <c r="K57" s="444"/>
      <c r="L57" s="444"/>
      <c r="M57" s="444"/>
      <c r="N57" s="444"/>
      <c r="O57" s="444"/>
      <c r="P57" s="444"/>
      <c r="Q57" s="444"/>
      <c r="R57" s="444">
        <f>+V57-T57+1</f>
        <v>92</v>
      </c>
      <c r="S57" s="444"/>
      <c r="T57" s="491">
        <v>43753</v>
      </c>
      <c r="U57" s="492"/>
      <c r="V57" s="491">
        <v>43844</v>
      </c>
      <c r="W57" s="486"/>
      <c r="X57" s="487"/>
    </row>
    <row r="58" spans="1:25" s="426" customFormat="1" x14ac:dyDescent="0.3">
      <c r="A58" s="443"/>
      <c r="B58" s="444" t="s">
        <v>357</v>
      </c>
      <c r="C58" s="444"/>
      <c r="D58" s="444"/>
      <c r="E58" s="444"/>
      <c r="F58" s="444"/>
      <c r="G58" s="444"/>
      <c r="H58" s="444"/>
      <c r="I58" s="444"/>
      <c r="J58" s="444"/>
      <c r="K58" s="444"/>
      <c r="L58" s="444"/>
      <c r="M58" s="444"/>
      <c r="N58" s="444"/>
      <c r="O58" s="444"/>
      <c r="P58" s="444"/>
      <c r="Q58" s="444"/>
      <c r="R58" s="444"/>
      <c r="S58" s="444"/>
      <c r="T58" s="491"/>
      <c r="U58" s="492"/>
      <c r="V58" s="491" t="s">
        <v>123</v>
      </c>
      <c r="W58" s="486"/>
      <c r="X58" s="487"/>
    </row>
    <row r="59" spans="1:25" s="426" customFormat="1" x14ac:dyDescent="0.3">
      <c r="A59" s="443"/>
      <c r="B59" s="444" t="s">
        <v>356</v>
      </c>
      <c r="C59" s="444"/>
      <c r="D59" s="444"/>
      <c r="E59" s="444"/>
      <c r="F59" s="444"/>
      <c r="G59" s="444"/>
      <c r="H59" s="444"/>
      <c r="I59" s="444"/>
      <c r="J59" s="444"/>
      <c r="K59" s="444"/>
      <c r="L59" s="444"/>
      <c r="M59" s="444"/>
      <c r="N59" s="444"/>
      <c r="O59" s="444"/>
      <c r="P59" s="444"/>
      <c r="Q59" s="444"/>
      <c r="R59" s="444"/>
      <c r="S59" s="444"/>
      <c r="T59" s="491"/>
      <c r="U59" s="492"/>
      <c r="V59" s="491" t="s">
        <v>157</v>
      </c>
      <c r="W59" s="486"/>
      <c r="X59" s="487"/>
      <c r="Y59" s="493"/>
    </row>
    <row r="60" spans="1:25" s="426" customFormat="1" x14ac:dyDescent="0.3">
      <c r="A60" s="443"/>
      <c r="B60" s="444" t="s">
        <v>16</v>
      </c>
      <c r="C60" s="444"/>
      <c r="D60" s="444"/>
      <c r="E60" s="444"/>
      <c r="F60" s="444"/>
      <c r="G60" s="444"/>
      <c r="H60" s="444"/>
      <c r="I60" s="444"/>
      <c r="J60" s="444"/>
      <c r="K60" s="444"/>
      <c r="L60" s="444"/>
      <c r="M60" s="444"/>
      <c r="N60" s="444"/>
      <c r="O60" s="444"/>
      <c r="P60" s="444"/>
      <c r="Q60" s="444"/>
      <c r="R60" s="444"/>
      <c r="S60" s="444"/>
      <c r="T60" s="491"/>
      <c r="U60" s="492"/>
      <c r="V60" s="491">
        <v>43832</v>
      </c>
      <c r="W60" s="486"/>
      <c r="X60" s="487"/>
    </row>
    <row r="61" spans="1:25" s="426" customFormat="1" x14ac:dyDescent="0.3">
      <c r="A61" s="421"/>
      <c r="B61" s="494"/>
      <c r="C61" s="494"/>
      <c r="D61" s="494"/>
      <c r="E61" s="494"/>
      <c r="F61" s="494"/>
      <c r="G61" s="494"/>
      <c r="H61" s="494"/>
      <c r="I61" s="494"/>
      <c r="J61" s="494"/>
      <c r="K61" s="494"/>
      <c r="L61" s="494"/>
      <c r="M61" s="494"/>
      <c r="N61" s="494"/>
      <c r="O61" s="494"/>
      <c r="P61" s="494"/>
      <c r="Q61" s="494"/>
      <c r="R61" s="494"/>
      <c r="S61" s="494"/>
      <c r="T61" s="495"/>
      <c r="U61" s="496"/>
      <c r="V61" s="495"/>
      <c r="W61" s="497"/>
      <c r="X61" s="487"/>
    </row>
    <row r="62" spans="1:25" s="426" customFormat="1" x14ac:dyDescent="0.3">
      <c r="A62" s="421"/>
      <c r="B62" s="422"/>
      <c r="C62" s="422"/>
      <c r="D62" s="422"/>
      <c r="E62" s="422"/>
      <c r="F62" s="422"/>
      <c r="G62" s="422"/>
      <c r="H62" s="422"/>
      <c r="I62" s="422"/>
      <c r="J62" s="422"/>
      <c r="K62" s="422"/>
      <c r="L62" s="422"/>
      <c r="M62" s="422"/>
      <c r="N62" s="422"/>
      <c r="O62" s="422"/>
      <c r="P62" s="422"/>
      <c r="Q62" s="422"/>
      <c r="R62" s="422"/>
      <c r="S62" s="422"/>
      <c r="T62" s="498"/>
      <c r="U62" s="499"/>
      <c r="V62" s="498"/>
      <c r="W62" s="497"/>
      <c r="X62" s="487"/>
    </row>
    <row r="63" spans="1:25" s="426" customFormat="1" ht="18.600000000000001" thickBot="1" x14ac:dyDescent="0.4">
      <c r="A63" s="500"/>
      <c r="B63" s="501" t="s">
        <v>387</v>
      </c>
      <c r="C63" s="502"/>
      <c r="D63" s="502"/>
      <c r="E63" s="502"/>
      <c r="F63" s="502"/>
      <c r="G63" s="502"/>
      <c r="H63" s="502"/>
      <c r="I63" s="502"/>
      <c r="J63" s="502"/>
      <c r="K63" s="502"/>
      <c r="L63" s="502"/>
      <c r="M63" s="502"/>
      <c r="N63" s="502"/>
      <c r="O63" s="502"/>
      <c r="P63" s="502"/>
      <c r="Q63" s="502"/>
      <c r="R63" s="502"/>
      <c r="S63" s="502"/>
      <c r="T63" s="502"/>
      <c r="U63" s="502"/>
      <c r="V63" s="503"/>
      <c r="W63" s="504"/>
      <c r="X63" s="487"/>
    </row>
    <row r="64" spans="1:25" x14ac:dyDescent="0.3">
      <c r="A64" s="505"/>
      <c r="B64" s="506" t="s">
        <v>17</v>
      </c>
      <c r="C64" s="507"/>
      <c r="D64" s="507"/>
      <c r="E64" s="507"/>
      <c r="F64" s="507"/>
      <c r="G64" s="507"/>
      <c r="H64" s="507"/>
      <c r="I64" s="507"/>
      <c r="J64" s="507"/>
      <c r="K64" s="507"/>
      <c r="L64" s="507"/>
      <c r="M64" s="507"/>
      <c r="N64" s="507"/>
      <c r="O64" s="507"/>
      <c r="P64" s="507"/>
      <c r="Q64" s="507"/>
      <c r="R64" s="507"/>
      <c r="S64" s="507"/>
      <c r="T64" s="507"/>
      <c r="U64" s="507"/>
      <c r="V64" s="508"/>
      <c r="W64" s="509"/>
      <c r="X64" s="406"/>
    </row>
    <row r="65" spans="1:24" x14ac:dyDescent="0.3">
      <c r="A65" s="408"/>
      <c r="B65" s="419"/>
      <c r="C65" s="410"/>
      <c r="D65" s="410"/>
      <c r="E65" s="410"/>
      <c r="F65" s="410"/>
      <c r="G65" s="410"/>
      <c r="H65" s="410"/>
      <c r="I65" s="410"/>
      <c r="J65" s="410"/>
      <c r="K65" s="410"/>
      <c r="L65" s="410"/>
      <c r="M65" s="410"/>
      <c r="N65" s="410"/>
      <c r="O65" s="410"/>
      <c r="P65" s="410"/>
      <c r="Q65" s="410"/>
      <c r="R65" s="410"/>
      <c r="S65" s="410"/>
      <c r="T65" s="410"/>
      <c r="U65" s="410"/>
      <c r="V65" s="510"/>
      <c r="W65" s="411"/>
      <c r="X65" s="406"/>
    </row>
    <row r="66" spans="1:24" s="473" customFormat="1" ht="46.8" x14ac:dyDescent="0.3">
      <c r="A66" s="511"/>
      <c r="B66" s="512" t="s">
        <v>18</v>
      </c>
      <c r="C66" s="513"/>
      <c r="D66" s="513"/>
      <c r="E66" s="513"/>
      <c r="F66" s="513"/>
      <c r="G66" s="513"/>
      <c r="H66" s="513"/>
      <c r="I66" s="513"/>
      <c r="J66" s="513"/>
      <c r="K66" s="513"/>
      <c r="L66" s="513" t="s">
        <v>95</v>
      </c>
      <c r="M66" s="513"/>
      <c r="N66" s="513" t="s">
        <v>97</v>
      </c>
      <c r="O66" s="513"/>
      <c r="P66" s="513" t="s">
        <v>99</v>
      </c>
      <c r="Q66" s="513"/>
      <c r="R66" s="513" t="s">
        <v>101</v>
      </c>
      <c r="S66" s="513"/>
      <c r="T66" s="513" t="s">
        <v>108</v>
      </c>
      <c r="U66" s="513"/>
      <c r="V66" s="514" t="s">
        <v>115</v>
      </c>
      <c r="W66" s="515"/>
      <c r="X66" s="472"/>
    </row>
    <row r="67" spans="1:24" s="426" customFormat="1" x14ac:dyDescent="0.3">
      <c r="A67" s="443"/>
      <c r="B67" s="444" t="s">
        <v>19</v>
      </c>
      <c r="C67" s="516"/>
      <c r="D67" s="516"/>
      <c r="E67" s="516"/>
      <c r="F67" s="516"/>
      <c r="G67" s="516"/>
      <c r="H67" s="516"/>
      <c r="I67" s="516"/>
      <c r="J67" s="516"/>
      <c r="K67" s="516"/>
      <c r="L67" s="516">
        <f>1085286</f>
        <v>1085286</v>
      </c>
      <c r="M67" s="516"/>
      <c r="N67" s="517">
        <v>697773</v>
      </c>
      <c r="O67" s="516"/>
      <c r="P67" s="516">
        <v>11831</v>
      </c>
      <c r="Q67" s="516"/>
      <c r="R67" s="516">
        <v>0</v>
      </c>
      <c r="S67" s="516"/>
      <c r="T67" s="516">
        <v>0</v>
      </c>
      <c r="U67" s="516"/>
      <c r="V67" s="517">
        <f>+N67-P67+R67-T67</f>
        <v>685942</v>
      </c>
      <c r="W67" s="446"/>
      <c r="X67" s="425"/>
    </row>
    <row r="68" spans="1:24" s="426" customFormat="1" x14ac:dyDescent="0.3">
      <c r="A68" s="443"/>
      <c r="B68" s="444" t="s">
        <v>20</v>
      </c>
      <c r="C68" s="516"/>
      <c r="D68" s="516"/>
      <c r="E68" s="516"/>
      <c r="F68" s="516"/>
      <c r="G68" s="516"/>
      <c r="H68" s="516"/>
      <c r="I68" s="516"/>
      <c r="J68" s="516"/>
      <c r="K68" s="516"/>
      <c r="L68" s="516">
        <v>35</v>
      </c>
      <c r="M68" s="516"/>
      <c r="N68" s="517">
        <v>0</v>
      </c>
      <c r="O68" s="516"/>
      <c r="P68" s="516">
        <v>0</v>
      </c>
      <c r="Q68" s="516"/>
      <c r="R68" s="516">
        <v>0</v>
      </c>
      <c r="S68" s="516"/>
      <c r="T68" s="516">
        <v>0</v>
      </c>
      <c r="U68" s="516"/>
      <c r="V68" s="517">
        <f>+N68-P68</f>
        <v>0</v>
      </c>
      <c r="W68" s="446"/>
      <c r="X68" s="425"/>
    </row>
    <row r="69" spans="1:24" s="426" customFormat="1" x14ac:dyDescent="0.3">
      <c r="A69" s="443"/>
      <c r="B69" s="444"/>
      <c r="C69" s="516"/>
      <c r="D69" s="516"/>
      <c r="E69" s="516"/>
      <c r="F69" s="516"/>
      <c r="G69" s="516"/>
      <c r="H69" s="516"/>
      <c r="I69" s="516"/>
      <c r="J69" s="516"/>
      <c r="K69" s="516"/>
      <c r="L69" s="516"/>
      <c r="M69" s="516"/>
      <c r="N69" s="517"/>
      <c r="O69" s="516"/>
      <c r="P69" s="516"/>
      <c r="Q69" s="516"/>
      <c r="R69" s="516"/>
      <c r="S69" s="516"/>
      <c r="T69" s="516"/>
      <c r="U69" s="516"/>
      <c r="V69" s="517"/>
      <c r="W69" s="446"/>
      <c r="X69" s="425"/>
    </row>
    <row r="70" spans="1:24" s="426" customFormat="1" x14ac:dyDescent="0.3">
      <c r="A70" s="443"/>
      <c r="B70" s="444" t="s">
        <v>21</v>
      </c>
      <c r="C70" s="516"/>
      <c r="D70" s="516"/>
      <c r="E70" s="516"/>
      <c r="F70" s="516"/>
      <c r="G70" s="516"/>
      <c r="H70" s="516"/>
      <c r="I70" s="516"/>
      <c r="J70" s="516"/>
      <c r="K70" s="516"/>
      <c r="L70" s="516">
        <f>SUM(L67:L69)</f>
        <v>1085321</v>
      </c>
      <c r="M70" s="516"/>
      <c r="N70" s="516">
        <f>N67+N68</f>
        <v>697773</v>
      </c>
      <c r="O70" s="516"/>
      <c r="P70" s="516">
        <f>SUM(P67:P69)</f>
        <v>11831</v>
      </c>
      <c r="Q70" s="516"/>
      <c r="R70" s="516">
        <f>SUM(R67:R69)</f>
        <v>0</v>
      </c>
      <c r="S70" s="516"/>
      <c r="T70" s="516">
        <f>SUM(T67:T69)</f>
        <v>0</v>
      </c>
      <c r="U70" s="516"/>
      <c r="V70" s="516">
        <f>SUM(V67:V69)</f>
        <v>685942</v>
      </c>
      <c r="W70" s="446"/>
      <c r="X70" s="425"/>
    </row>
    <row r="71" spans="1:24" x14ac:dyDescent="0.3">
      <c r="A71" s="408"/>
      <c r="B71" s="518"/>
      <c r="C71" s="519"/>
      <c r="D71" s="519"/>
      <c r="E71" s="519"/>
      <c r="F71" s="519"/>
      <c r="G71" s="519"/>
      <c r="H71" s="519"/>
      <c r="I71" s="519"/>
      <c r="J71" s="519"/>
      <c r="K71" s="519"/>
      <c r="L71" s="519"/>
      <c r="M71" s="519"/>
      <c r="N71" s="519"/>
      <c r="O71" s="519"/>
      <c r="P71" s="519"/>
      <c r="Q71" s="519"/>
      <c r="R71" s="519"/>
      <c r="S71" s="519"/>
      <c r="T71" s="519"/>
      <c r="U71" s="519"/>
      <c r="V71" s="520"/>
      <c r="W71" s="411"/>
      <c r="X71" s="406"/>
    </row>
    <row r="72" spans="1:24" x14ac:dyDescent="0.3">
      <c r="A72" s="408"/>
      <c r="B72" s="413" t="s">
        <v>22</v>
      </c>
      <c r="C72" s="521"/>
      <c r="D72" s="521"/>
      <c r="E72" s="521"/>
      <c r="F72" s="521"/>
      <c r="G72" s="521"/>
      <c r="H72" s="521"/>
      <c r="I72" s="521"/>
      <c r="J72" s="521"/>
      <c r="K72" s="521"/>
      <c r="L72" s="521"/>
      <c r="M72" s="521"/>
      <c r="N72" s="521"/>
      <c r="O72" s="521"/>
      <c r="P72" s="521"/>
      <c r="Q72" s="521"/>
      <c r="R72" s="521"/>
      <c r="S72" s="521"/>
      <c r="T72" s="521"/>
      <c r="U72" s="521"/>
      <c r="V72" s="522"/>
      <c r="W72" s="411"/>
      <c r="X72" s="406"/>
    </row>
    <row r="73" spans="1:24" x14ac:dyDescent="0.3">
      <c r="A73" s="408"/>
      <c r="B73" s="410"/>
      <c r="C73" s="521"/>
      <c r="D73" s="521"/>
      <c r="E73" s="521"/>
      <c r="F73" s="521"/>
      <c r="G73" s="521"/>
      <c r="H73" s="521"/>
      <c r="I73" s="521"/>
      <c r="J73" s="521"/>
      <c r="K73" s="521"/>
      <c r="L73" s="521"/>
      <c r="M73" s="521"/>
      <c r="N73" s="521"/>
      <c r="O73" s="521"/>
      <c r="P73" s="521"/>
      <c r="Q73" s="521"/>
      <c r="R73" s="521"/>
      <c r="S73" s="521"/>
      <c r="T73" s="521"/>
      <c r="U73" s="521"/>
      <c r="V73" s="522"/>
      <c r="W73" s="411"/>
      <c r="X73" s="406"/>
    </row>
    <row r="74" spans="1:24" s="426" customFormat="1" x14ac:dyDescent="0.3">
      <c r="A74" s="443"/>
      <c r="B74" s="444" t="s">
        <v>19</v>
      </c>
      <c r="C74" s="516"/>
      <c r="D74" s="516"/>
      <c r="E74" s="516"/>
      <c r="F74" s="516"/>
      <c r="G74" s="516"/>
      <c r="H74" s="516"/>
      <c r="I74" s="516"/>
      <c r="J74" s="516"/>
      <c r="K74" s="516"/>
      <c r="L74" s="516"/>
      <c r="M74" s="516"/>
      <c r="N74" s="516"/>
      <c r="O74" s="516"/>
      <c r="P74" s="516"/>
      <c r="Q74" s="516"/>
      <c r="R74" s="516"/>
      <c r="S74" s="516"/>
      <c r="T74" s="516"/>
      <c r="U74" s="516"/>
      <c r="V74" s="516"/>
      <c r="W74" s="446"/>
      <c r="X74" s="425"/>
    </row>
    <row r="75" spans="1:24" s="426" customFormat="1" x14ac:dyDescent="0.3">
      <c r="A75" s="443"/>
      <c r="B75" s="444" t="s">
        <v>20</v>
      </c>
      <c r="C75" s="516"/>
      <c r="D75" s="516"/>
      <c r="E75" s="516"/>
      <c r="F75" s="516"/>
      <c r="G75" s="516"/>
      <c r="H75" s="516"/>
      <c r="I75" s="516"/>
      <c r="J75" s="516"/>
      <c r="K75" s="516"/>
      <c r="L75" s="516"/>
      <c r="M75" s="516"/>
      <c r="N75" s="516"/>
      <c r="O75" s="516"/>
      <c r="P75" s="516"/>
      <c r="Q75" s="516"/>
      <c r="R75" s="516"/>
      <c r="S75" s="516"/>
      <c r="T75" s="516"/>
      <c r="U75" s="516"/>
      <c r="V75" s="516"/>
      <c r="W75" s="446"/>
      <c r="X75" s="425"/>
    </row>
    <row r="76" spans="1:24" s="426" customFormat="1" x14ac:dyDescent="0.3">
      <c r="A76" s="443"/>
      <c r="B76" s="444"/>
      <c r="C76" s="516"/>
      <c r="D76" s="516"/>
      <c r="E76" s="516"/>
      <c r="F76" s="516"/>
      <c r="G76" s="516"/>
      <c r="H76" s="516"/>
      <c r="I76" s="516"/>
      <c r="J76" s="516"/>
      <c r="K76" s="516"/>
      <c r="L76" s="516"/>
      <c r="M76" s="516"/>
      <c r="N76" s="516"/>
      <c r="O76" s="516"/>
      <c r="P76" s="516"/>
      <c r="Q76" s="516"/>
      <c r="R76" s="516"/>
      <c r="S76" s="516"/>
      <c r="T76" s="516"/>
      <c r="U76" s="516"/>
      <c r="V76" s="516"/>
      <c r="W76" s="446"/>
      <c r="X76" s="425"/>
    </row>
    <row r="77" spans="1:24" s="426" customFormat="1" x14ac:dyDescent="0.3">
      <c r="A77" s="443"/>
      <c r="B77" s="444" t="s">
        <v>21</v>
      </c>
      <c r="C77" s="516"/>
      <c r="D77" s="516"/>
      <c r="E77" s="516"/>
      <c r="F77" s="516"/>
      <c r="G77" s="516"/>
      <c r="H77" s="516"/>
      <c r="I77" s="516"/>
      <c r="J77" s="516"/>
      <c r="K77" s="516"/>
      <c r="L77" s="516"/>
      <c r="M77" s="516"/>
      <c r="N77" s="516"/>
      <c r="O77" s="516"/>
      <c r="P77" s="516"/>
      <c r="Q77" s="516"/>
      <c r="R77" s="516"/>
      <c r="S77" s="516"/>
      <c r="T77" s="516"/>
      <c r="U77" s="516"/>
      <c r="V77" s="516"/>
      <c r="W77" s="446"/>
      <c r="X77" s="425"/>
    </row>
    <row r="78" spans="1:24" s="426" customFormat="1" x14ac:dyDescent="0.3">
      <c r="A78" s="443"/>
      <c r="B78" s="444"/>
      <c r="C78" s="516"/>
      <c r="D78" s="516"/>
      <c r="E78" s="516"/>
      <c r="F78" s="516"/>
      <c r="G78" s="516"/>
      <c r="H78" s="516"/>
      <c r="I78" s="516"/>
      <c r="J78" s="516"/>
      <c r="K78" s="516"/>
      <c r="L78" s="516"/>
      <c r="M78" s="516"/>
      <c r="N78" s="516"/>
      <c r="O78" s="516"/>
      <c r="P78" s="516"/>
      <c r="Q78" s="516"/>
      <c r="R78" s="516"/>
      <c r="S78" s="516"/>
      <c r="T78" s="516"/>
      <c r="U78" s="516"/>
      <c r="V78" s="516"/>
      <c r="W78" s="446"/>
      <c r="X78" s="425"/>
    </row>
    <row r="79" spans="1:24" s="426" customFormat="1" x14ac:dyDescent="0.3">
      <c r="A79" s="443"/>
      <c r="B79" s="444" t="s">
        <v>23</v>
      </c>
      <c r="C79" s="516"/>
      <c r="D79" s="516"/>
      <c r="E79" s="516"/>
      <c r="F79" s="516"/>
      <c r="G79" s="516"/>
      <c r="H79" s="516"/>
      <c r="I79" s="516"/>
      <c r="J79" s="516"/>
      <c r="K79" s="516"/>
      <c r="L79" s="516">
        <v>0</v>
      </c>
      <c r="M79" s="516"/>
      <c r="N79" s="516">
        <v>0</v>
      </c>
      <c r="O79" s="516"/>
      <c r="P79" s="516"/>
      <c r="Q79" s="516"/>
      <c r="R79" s="516"/>
      <c r="S79" s="516"/>
      <c r="T79" s="516"/>
      <c r="U79" s="516"/>
      <c r="V79" s="517">
        <v>0</v>
      </c>
      <c r="W79" s="446"/>
      <c r="X79" s="425"/>
    </row>
    <row r="80" spans="1:24" s="426" customFormat="1" x14ac:dyDescent="0.3">
      <c r="A80" s="443"/>
      <c r="B80" s="444" t="s">
        <v>120</v>
      </c>
      <c r="C80" s="516"/>
      <c r="D80" s="516"/>
      <c r="E80" s="516"/>
      <c r="F80" s="516"/>
      <c r="G80" s="516"/>
      <c r="H80" s="516"/>
      <c r="I80" s="516"/>
      <c r="J80" s="516"/>
      <c r="K80" s="516"/>
      <c r="L80" s="516">
        <f>414862+7</f>
        <v>414869</v>
      </c>
      <c r="M80" s="516"/>
      <c r="N80" s="516">
        <v>0</v>
      </c>
      <c r="O80" s="516"/>
      <c r="P80" s="516">
        <v>0</v>
      </c>
      <c r="Q80" s="516"/>
      <c r="R80" s="516"/>
      <c r="S80" s="516"/>
      <c r="T80" s="516"/>
      <c r="U80" s="516"/>
      <c r="V80" s="516">
        <f>SUM(N80:R80)</f>
        <v>0</v>
      </c>
      <c r="W80" s="446"/>
      <c r="X80" s="425"/>
    </row>
    <row r="81" spans="1:24" s="426" customFormat="1" x14ac:dyDescent="0.3">
      <c r="A81" s="443"/>
      <c r="B81" s="444" t="s">
        <v>149</v>
      </c>
      <c r="C81" s="516"/>
      <c r="D81" s="516"/>
      <c r="E81" s="516"/>
      <c r="F81" s="516"/>
      <c r="G81" s="516"/>
      <c r="H81" s="516"/>
      <c r="I81" s="516"/>
      <c r="J81" s="516"/>
      <c r="K81" s="516"/>
      <c r="L81" s="516">
        <v>0</v>
      </c>
      <c r="M81" s="516"/>
      <c r="N81" s="516">
        <v>0</v>
      </c>
      <c r="O81" s="516"/>
      <c r="P81" s="516">
        <v>0</v>
      </c>
      <c r="Q81" s="516"/>
      <c r="R81" s="516"/>
      <c r="S81" s="516"/>
      <c r="T81" s="516"/>
      <c r="U81" s="516"/>
      <c r="V81" s="516">
        <f>+N81+P81</f>
        <v>0</v>
      </c>
      <c r="W81" s="446"/>
      <c r="X81" s="425"/>
    </row>
    <row r="82" spans="1:24" s="426" customFormat="1" x14ac:dyDescent="0.3">
      <c r="A82" s="443"/>
      <c r="B82" s="444" t="s">
        <v>25</v>
      </c>
      <c r="C82" s="516"/>
      <c r="D82" s="516"/>
      <c r="E82" s="516"/>
      <c r="F82" s="516"/>
      <c r="G82" s="516"/>
      <c r="H82" s="516"/>
      <c r="I82" s="516"/>
      <c r="J82" s="516"/>
      <c r="K82" s="516"/>
      <c r="L82" s="516">
        <v>0</v>
      </c>
      <c r="M82" s="516"/>
      <c r="N82" s="516">
        <v>0</v>
      </c>
      <c r="O82" s="516"/>
      <c r="P82" s="516"/>
      <c r="Q82" s="516"/>
      <c r="R82" s="516"/>
      <c r="S82" s="516"/>
      <c r="T82" s="516"/>
      <c r="U82" s="516"/>
      <c r="V82" s="516">
        <v>0</v>
      </c>
      <c r="W82" s="446"/>
      <c r="X82" s="425"/>
    </row>
    <row r="83" spans="1:24" s="426" customFormat="1" x14ac:dyDescent="0.3">
      <c r="A83" s="523"/>
      <c r="B83" s="524" t="s">
        <v>26</v>
      </c>
      <c r="C83" s="525"/>
      <c r="D83" s="525"/>
      <c r="E83" s="525"/>
      <c r="F83" s="525"/>
      <c r="G83" s="525"/>
      <c r="H83" s="525"/>
      <c r="I83" s="525"/>
      <c r="J83" s="525"/>
      <c r="K83" s="525"/>
      <c r="L83" s="525">
        <f>SUM(L70:L82)</f>
        <v>1500190</v>
      </c>
      <c r="M83" s="525"/>
      <c r="N83" s="525">
        <f>SUM(N70:N82)</f>
        <v>697773</v>
      </c>
      <c r="O83" s="525"/>
      <c r="P83" s="525"/>
      <c r="Q83" s="525"/>
      <c r="R83" s="525"/>
      <c r="S83" s="525"/>
      <c r="T83" s="525"/>
      <c r="U83" s="525"/>
      <c r="V83" s="525">
        <f>SUM(V70:V82)</f>
        <v>685942</v>
      </c>
      <c r="W83" s="526"/>
      <c r="X83" s="425"/>
    </row>
    <row r="84" spans="1:24" x14ac:dyDescent="0.3">
      <c r="A84" s="527"/>
      <c r="B84" s="528"/>
      <c r="C84" s="529"/>
      <c r="D84" s="529"/>
      <c r="E84" s="529"/>
      <c r="F84" s="529"/>
      <c r="G84" s="529"/>
      <c r="H84" s="529"/>
      <c r="I84" s="529"/>
      <c r="J84" s="529"/>
      <c r="K84" s="529"/>
      <c r="L84" s="529"/>
      <c r="M84" s="529"/>
      <c r="N84" s="529"/>
      <c r="O84" s="529"/>
      <c r="P84" s="529"/>
      <c r="Q84" s="529"/>
      <c r="R84" s="529"/>
      <c r="S84" s="529"/>
      <c r="T84" s="529"/>
      <c r="U84" s="529"/>
      <c r="V84" s="529"/>
      <c r="W84" s="530"/>
      <c r="X84" s="406"/>
    </row>
    <row r="85" spans="1:24" x14ac:dyDescent="0.3">
      <c r="A85" s="408"/>
      <c r="B85" s="531"/>
      <c r="C85" s="531"/>
      <c r="D85" s="531"/>
      <c r="E85" s="531"/>
      <c r="F85" s="531"/>
      <c r="G85" s="531"/>
      <c r="H85" s="531"/>
      <c r="I85" s="531"/>
      <c r="J85" s="531"/>
      <c r="K85" s="531"/>
      <c r="L85" s="531"/>
      <c r="M85" s="531"/>
      <c r="N85" s="531"/>
      <c r="O85" s="531"/>
      <c r="P85" s="531"/>
      <c r="Q85" s="531"/>
      <c r="R85" s="531"/>
      <c r="S85" s="531"/>
      <c r="T85" s="531"/>
      <c r="U85" s="531"/>
      <c r="V85" s="531"/>
      <c r="W85" s="532"/>
      <c r="X85" s="406"/>
    </row>
    <row r="86" spans="1:24" x14ac:dyDescent="0.3">
      <c r="A86" s="533"/>
      <c r="B86" s="534" t="s">
        <v>27</v>
      </c>
      <c r="C86" s="534"/>
      <c r="D86" s="534"/>
      <c r="E86" s="534"/>
      <c r="F86" s="534"/>
      <c r="G86" s="534"/>
      <c r="H86" s="535"/>
      <c r="I86" s="535"/>
      <c r="J86" s="535"/>
      <c r="K86" s="535"/>
      <c r="L86" s="536" t="s">
        <v>96</v>
      </c>
      <c r="M86" s="535"/>
      <c r="N86" s="537">
        <f>+T201</f>
        <v>43830</v>
      </c>
      <c r="O86" s="535"/>
      <c r="P86" s="535"/>
      <c r="Q86" s="535"/>
      <c r="R86" s="535"/>
      <c r="S86" s="535"/>
      <c r="T86" s="535" t="s">
        <v>109</v>
      </c>
      <c r="U86" s="535"/>
      <c r="V86" s="535" t="s">
        <v>116</v>
      </c>
      <c r="W86" s="538"/>
      <c r="X86" s="406"/>
    </row>
    <row r="87" spans="1:24" s="426" customFormat="1" x14ac:dyDescent="0.3">
      <c r="A87" s="439"/>
      <c r="B87" s="440" t="s">
        <v>28</v>
      </c>
      <c r="C87" s="440"/>
      <c r="D87" s="440"/>
      <c r="E87" s="440"/>
      <c r="F87" s="440"/>
      <c r="G87" s="440"/>
      <c r="H87" s="440"/>
      <c r="I87" s="440"/>
      <c r="J87" s="440"/>
      <c r="K87" s="440"/>
      <c r="L87" s="440"/>
      <c r="M87" s="440"/>
      <c r="N87" s="440"/>
      <c r="O87" s="440"/>
      <c r="P87" s="440"/>
      <c r="Q87" s="440"/>
      <c r="R87" s="440"/>
      <c r="S87" s="440"/>
      <c r="T87" s="539">
        <v>0</v>
      </c>
      <c r="U87" s="440"/>
      <c r="V87" s="540">
        <v>0</v>
      </c>
      <c r="W87" s="442"/>
      <c r="X87" s="425"/>
    </row>
    <row r="88" spans="1:24" s="426" customFormat="1" x14ac:dyDescent="0.3">
      <c r="A88" s="443"/>
      <c r="B88" s="444" t="s">
        <v>29</v>
      </c>
      <c r="C88" s="444"/>
      <c r="D88" s="444"/>
      <c r="E88" s="444"/>
      <c r="F88" s="444"/>
      <c r="G88" s="444"/>
      <c r="H88" s="482"/>
      <c r="I88" s="482"/>
      <c r="J88" s="482"/>
      <c r="K88" s="541"/>
      <c r="L88" s="482"/>
      <c r="M88" s="444"/>
      <c r="N88" s="542"/>
      <c r="O88" s="444"/>
      <c r="P88" s="444"/>
      <c r="Q88" s="444"/>
      <c r="R88" s="444"/>
      <c r="S88" s="444"/>
      <c r="T88" s="516">
        <f>11831+17</f>
        <v>11848</v>
      </c>
      <c r="U88" s="444"/>
      <c r="V88" s="517"/>
      <c r="W88" s="446"/>
      <c r="X88" s="425"/>
    </row>
    <row r="89" spans="1:24" s="426" customFormat="1" x14ac:dyDescent="0.3">
      <c r="A89" s="443"/>
      <c r="B89" s="444" t="s">
        <v>219</v>
      </c>
      <c r="C89" s="444"/>
      <c r="D89" s="444"/>
      <c r="E89" s="444"/>
      <c r="F89" s="444"/>
      <c r="G89" s="444"/>
      <c r="H89" s="482"/>
      <c r="I89" s="482"/>
      <c r="J89" s="482"/>
      <c r="K89" s="541"/>
      <c r="L89" s="482"/>
      <c r="M89" s="444"/>
      <c r="N89" s="542"/>
      <c r="O89" s="444"/>
      <c r="P89" s="444"/>
      <c r="Q89" s="444"/>
      <c r="R89" s="444"/>
      <c r="S89" s="444"/>
      <c r="T89" s="516"/>
      <c r="U89" s="444"/>
      <c r="V89" s="517">
        <f>4011+1993-672-545</f>
        <v>4787</v>
      </c>
      <c r="W89" s="446"/>
      <c r="X89" s="425"/>
    </row>
    <row r="90" spans="1:24" s="426" customFormat="1" x14ac:dyDescent="0.3">
      <c r="A90" s="443"/>
      <c r="B90" s="444" t="s">
        <v>214</v>
      </c>
      <c r="C90" s="444"/>
      <c r="D90" s="444"/>
      <c r="E90" s="444"/>
      <c r="F90" s="444"/>
      <c r="G90" s="444"/>
      <c r="H90" s="482"/>
      <c r="I90" s="482"/>
      <c r="J90" s="482"/>
      <c r="K90" s="541"/>
      <c r="L90" s="482"/>
      <c r="M90" s="444"/>
      <c r="N90" s="542"/>
      <c r="O90" s="444"/>
      <c r="P90" s="444"/>
      <c r="Q90" s="444"/>
      <c r="R90" s="444"/>
      <c r="S90" s="444"/>
      <c r="T90" s="516"/>
      <c r="U90" s="444"/>
      <c r="V90" s="517">
        <f>22+41</f>
        <v>63</v>
      </c>
      <c r="W90" s="446"/>
      <c r="X90" s="425"/>
    </row>
    <row r="91" spans="1:24" s="426" customFormat="1" x14ac:dyDescent="0.3">
      <c r="A91" s="443"/>
      <c r="B91" s="444" t="s">
        <v>215</v>
      </c>
      <c r="C91" s="444"/>
      <c r="D91" s="444"/>
      <c r="E91" s="444"/>
      <c r="F91" s="444"/>
      <c r="G91" s="444"/>
      <c r="H91" s="482"/>
      <c r="I91" s="482"/>
      <c r="J91" s="482"/>
      <c r="K91" s="541"/>
      <c r="L91" s="482"/>
      <c r="M91" s="444"/>
      <c r="N91" s="542"/>
      <c r="O91" s="444"/>
      <c r="P91" s="444"/>
      <c r="Q91" s="444"/>
      <c r="R91" s="444"/>
      <c r="S91" s="444"/>
      <c r="T91" s="516"/>
      <c r="U91" s="444"/>
      <c r="V91" s="517">
        <v>68</v>
      </c>
      <c r="W91" s="446"/>
      <c r="X91" s="425"/>
    </row>
    <row r="92" spans="1:24" s="426" customFormat="1" x14ac:dyDescent="0.3">
      <c r="A92" s="443"/>
      <c r="B92" s="444" t="s">
        <v>277</v>
      </c>
      <c r="C92" s="444"/>
      <c r="D92" s="444"/>
      <c r="E92" s="444"/>
      <c r="F92" s="444"/>
      <c r="G92" s="444"/>
      <c r="H92" s="482"/>
      <c r="I92" s="482"/>
      <c r="J92" s="482"/>
      <c r="K92" s="541"/>
      <c r="L92" s="482"/>
      <c r="M92" s="444"/>
      <c r="N92" s="542"/>
      <c r="O92" s="444"/>
      <c r="P92" s="444"/>
      <c r="Q92" s="444"/>
      <c r="R92" s="444"/>
      <c r="S92" s="444"/>
      <c r="T92" s="516"/>
      <c r="U92" s="444"/>
      <c r="V92" s="517">
        <v>0</v>
      </c>
      <c r="W92" s="446"/>
      <c r="X92" s="425"/>
    </row>
    <row r="93" spans="1:24" s="426" customFormat="1" x14ac:dyDescent="0.3">
      <c r="A93" s="443"/>
      <c r="B93" s="444" t="s">
        <v>138</v>
      </c>
      <c r="C93" s="444"/>
      <c r="D93" s="444"/>
      <c r="E93" s="444"/>
      <c r="F93" s="444"/>
      <c r="G93" s="444"/>
      <c r="H93" s="444"/>
      <c r="I93" s="444"/>
      <c r="J93" s="444"/>
      <c r="K93" s="444"/>
      <c r="L93" s="444"/>
      <c r="M93" s="444"/>
      <c r="N93" s="444"/>
      <c r="O93" s="444"/>
      <c r="P93" s="444"/>
      <c r="Q93" s="444"/>
      <c r="R93" s="444"/>
      <c r="S93" s="444"/>
      <c r="T93" s="516"/>
      <c r="U93" s="444"/>
      <c r="V93" s="517">
        <v>0</v>
      </c>
      <c r="W93" s="446"/>
      <c r="X93" s="425"/>
    </row>
    <row r="94" spans="1:24" s="426" customFormat="1" x14ac:dyDescent="0.3">
      <c r="A94" s="443"/>
      <c r="B94" s="444" t="s">
        <v>265</v>
      </c>
      <c r="C94" s="444"/>
      <c r="D94" s="444"/>
      <c r="E94" s="444"/>
      <c r="F94" s="444"/>
      <c r="G94" s="444"/>
      <c r="H94" s="444"/>
      <c r="I94" s="444"/>
      <c r="J94" s="444"/>
      <c r="K94" s="444"/>
      <c r="L94" s="444"/>
      <c r="M94" s="444"/>
      <c r="N94" s="444"/>
      <c r="O94" s="444"/>
      <c r="P94" s="444"/>
      <c r="Q94" s="444"/>
      <c r="R94" s="444"/>
      <c r="S94" s="444"/>
      <c r="T94" s="516"/>
      <c r="U94" s="444"/>
      <c r="V94" s="517">
        <v>303</v>
      </c>
      <c r="W94" s="446"/>
      <c r="X94" s="425"/>
    </row>
    <row r="95" spans="1:24" s="426" customFormat="1" x14ac:dyDescent="0.3">
      <c r="A95" s="443"/>
      <c r="B95" s="444" t="s">
        <v>30</v>
      </c>
      <c r="C95" s="444"/>
      <c r="D95" s="444"/>
      <c r="E95" s="444"/>
      <c r="F95" s="444"/>
      <c r="G95" s="444"/>
      <c r="H95" s="444"/>
      <c r="I95" s="444"/>
      <c r="J95" s="444"/>
      <c r="K95" s="444"/>
      <c r="L95" s="444"/>
      <c r="M95" s="444"/>
      <c r="N95" s="444"/>
      <c r="O95" s="444"/>
      <c r="P95" s="444"/>
      <c r="Q95" s="444"/>
      <c r="R95" s="444"/>
      <c r="S95" s="444"/>
      <c r="T95" s="516">
        <f>SUM(T87:T94)</f>
        <v>11848</v>
      </c>
      <c r="U95" s="444"/>
      <c r="V95" s="516">
        <f>SUM(V87:V94)</f>
        <v>5221</v>
      </c>
      <c r="W95" s="446"/>
      <c r="X95" s="425"/>
    </row>
    <row r="96" spans="1:24" s="426" customFormat="1" x14ac:dyDescent="0.3">
      <c r="A96" s="443"/>
      <c r="B96" s="444" t="s">
        <v>164</v>
      </c>
      <c r="C96" s="444"/>
      <c r="D96" s="444"/>
      <c r="E96" s="444"/>
      <c r="F96" s="444"/>
      <c r="G96" s="444"/>
      <c r="H96" s="444"/>
      <c r="I96" s="444"/>
      <c r="J96" s="444"/>
      <c r="K96" s="444"/>
      <c r="L96" s="444"/>
      <c r="M96" s="444"/>
      <c r="N96" s="444"/>
      <c r="O96" s="444"/>
      <c r="P96" s="444"/>
      <c r="Q96" s="444"/>
      <c r="R96" s="444"/>
      <c r="S96" s="444"/>
      <c r="T96" s="516">
        <f>-V96</f>
        <v>0</v>
      </c>
      <c r="U96" s="444"/>
      <c r="V96" s="516">
        <v>0</v>
      </c>
      <c r="W96" s="446"/>
      <c r="X96" s="425"/>
    </row>
    <row r="97" spans="1:26" s="426" customFormat="1" x14ac:dyDescent="0.3">
      <c r="A97" s="443"/>
      <c r="B97" s="444" t="s">
        <v>31</v>
      </c>
      <c r="C97" s="444"/>
      <c r="D97" s="444"/>
      <c r="E97" s="444"/>
      <c r="F97" s="444"/>
      <c r="G97" s="444"/>
      <c r="H97" s="444"/>
      <c r="I97" s="444"/>
      <c r="J97" s="444"/>
      <c r="K97" s="444"/>
      <c r="L97" s="444"/>
      <c r="M97" s="444"/>
      <c r="N97" s="444"/>
      <c r="O97" s="444"/>
      <c r="P97" s="444"/>
      <c r="Q97" s="444"/>
      <c r="R97" s="444"/>
      <c r="S97" s="444"/>
      <c r="T97" s="516">
        <f>-V97</f>
        <v>0</v>
      </c>
      <c r="U97" s="444"/>
      <c r="V97" s="517">
        <v>0</v>
      </c>
      <c r="W97" s="446"/>
      <c r="X97" s="425"/>
    </row>
    <row r="98" spans="1:26" s="426" customFormat="1" x14ac:dyDescent="0.3">
      <c r="A98" s="443"/>
      <c r="B98" s="444" t="s">
        <v>288</v>
      </c>
      <c r="C98" s="444"/>
      <c r="D98" s="444"/>
      <c r="E98" s="444"/>
      <c r="F98" s="444"/>
      <c r="G98" s="444"/>
      <c r="H98" s="444"/>
      <c r="I98" s="444"/>
      <c r="J98" s="444"/>
      <c r="K98" s="444"/>
      <c r="L98" s="444"/>
      <c r="M98" s="444"/>
      <c r="N98" s="444"/>
      <c r="O98" s="444"/>
      <c r="P98" s="444"/>
      <c r="Q98" s="444"/>
      <c r="R98" s="444"/>
      <c r="S98" s="444"/>
      <c r="T98" s="516"/>
      <c r="U98" s="444"/>
      <c r="V98" s="517">
        <v>-128</v>
      </c>
      <c r="W98" s="446"/>
      <c r="X98" s="425"/>
    </row>
    <row r="99" spans="1:26" s="426" customFormat="1" x14ac:dyDescent="0.3">
      <c r="A99" s="443"/>
      <c r="B99" s="444" t="s">
        <v>32</v>
      </c>
      <c r="C99" s="444"/>
      <c r="D99" s="444"/>
      <c r="E99" s="444"/>
      <c r="F99" s="444"/>
      <c r="G99" s="444"/>
      <c r="H99" s="444"/>
      <c r="I99" s="444"/>
      <c r="J99" s="444"/>
      <c r="K99" s="444"/>
      <c r="L99" s="444"/>
      <c r="M99" s="444"/>
      <c r="N99" s="444"/>
      <c r="O99" s="444"/>
      <c r="P99" s="444"/>
      <c r="Q99" s="444"/>
      <c r="R99" s="444"/>
      <c r="S99" s="444"/>
      <c r="T99" s="516">
        <f>T95+T97+T96</f>
        <v>11848</v>
      </c>
      <c r="U99" s="444"/>
      <c r="V99" s="516">
        <f>V95+V97+V96+V98</f>
        <v>5093</v>
      </c>
      <c r="W99" s="446"/>
      <c r="X99" s="425"/>
    </row>
    <row r="100" spans="1:26" x14ac:dyDescent="0.3">
      <c r="A100" s="543"/>
      <c r="B100" s="544" t="s">
        <v>33</v>
      </c>
      <c r="C100" s="465"/>
      <c r="D100" s="465"/>
      <c r="E100" s="465"/>
      <c r="F100" s="465"/>
      <c r="G100" s="465"/>
      <c r="H100" s="465"/>
      <c r="I100" s="465"/>
      <c r="J100" s="465"/>
      <c r="K100" s="465"/>
      <c r="L100" s="465"/>
      <c r="M100" s="465"/>
      <c r="N100" s="465"/>
      <c r="O100" s="465"/>
      <c r="P100" s="465"/>
      <c r="Q100" s="465"/>
      <c r="R100" s="465"/>
      <c r="S100" s="465"/>
      <c r="T100" s="545"/>
      <c r="U100" s="465"/>
      <c r="V100" s="546"/>
      <c r="W100" s="547"/>
      <c r="X100" s="406"/>
    </row>
    <row r="101" spans="1:26" s="426" customFormat="1" x14ac:dyDescent="0.3">
      <c r="A101" s="443">
        <v>1</v>
      </c>
      <c r="B101" s="444" t="s">
        <v>34</v>
      </c>
      <c r="C101" s="444"/>
      <c r="D101" s="444"/>
      <c r="E101" s="444"/>
      <c r="F101" s="444"/>
      <c r="G101" s="444"/>
      <c r="H101" s="444"/>
      <c r="I101" s="444"/>
      <c r="J101" s="444"/>
      <c r="K101" s="444"/>
      <c r="L101" s="444"/>
      <c r="M101" s="444"/>
      <c r="N101" s="444"/>
      <c r="O101" s="444"/>
      <c r="P101" s="444"/>
      <c r="Q101" s="444"/>
      <c r="R101" s="444"/>
      <c r="S101" s="444"/>
      <c r="T101" s="444"/>
      <c r="U101" s="444"/>
      <c r="V101" s="517">
        <v>0</v>
      </c>
      <c r="W101" s="446"/>
      <c r="X101" s="425"/>
    </row>
    <row r="102" spans="1:26" s="426" customFormat="1" x14ac:dyDescent="0.3">
      <c r="A102" s="443">
        <f>+A101+1</f>
        <v>2</v>
      </c>
      <c r="B102" s="444" t="s">
        <v>331</v>
      </c>
      <c r="C102" s="444"/>
      <c r="D102" s="444"/>
      <c r="E102" s="444"/>
      <c r="F102" s="444"/>
      <c r="G102" s="444"/>
      <c r="H102" s="444"/>
      <c r="I102" s="444"/>
      <c r="J102" s="444"/>
      <c r="K102" s="444"/>
      <c r="L102" s="444"/>
      <c r="M102" s="444"/>
      <c r="N102" s="444"/>
      <c r="O102" s="444"/>
      <c r="P102" s="444"/>
      <c r="Q102" s="444"/>
      <c r="R102" s="444"/>
      <c r="S102" s="444"/>
      <c r="T102" s="444"/>
      <c r="U102" s="444"/>
      <c r="V102" s="517">
        <f>-2</f>
        <v>-2</v>
      </c>
      <c r="W102" s="446"/>
      <c r="X102" s="425"/>
    </row>
    <row r="103" spans="1:26" s="426" customFormat="1" x14ac:dyDescent="0.3">
      <c r="A103" s="443">
        <f>+A102+1</f>
        <v>3</v>
      </c>
      <c r="B103" s="548" t="s">
        <v>332</v>
      </c>
      <c r="C103" s="444"/>
      <c r="D103" s="444"/>
      <c r="E103" s="444"/>
      <c r="F103" s="444"/>
      <c r="G103" s="444"/>
      <c r="H103" s="444"/>
      <c r="I103" s="444"/>
      <c r="J103" s="444"/>
      <c r="K103" s="444"/>
      <c r="L103" s="444"/>
      <c r="M103" s="444"/>
      <c r="N103" s="444"/>
      <c r="O103" s="444"/>
      <c r="P103" s="444"/>
      <c r="Q103" s="444"/>
      <c r="R103" s="444"/>
      <c r="S103" s="444"/>
      <c r="T103" s="444"/>
      <c r="U103" s="444"/>
      <c r="V103" s="517">
        <f>-269-120-9</f>
        <v>-398</v>
      </c>
      <c r="W103" s="446"/>
      <c r="X103" s="425"/>
    </row>
    <row r="104" spans="1:26" s="426" customFormat="1" x14ac:dyDescent="0.3">
      <c r="A104" s="443" t="s">
        <v>130</v>
      </c>
      <c r="B104" s="444" t="s">
        <v>119</v>
      </c>
      <c r="C104" s="444"/>
      <c r="D104" s="444"/>
      <c r="E104" s="444"/>
      <c r="F104" s="444"/>
      <c r="G104" s="444"/>
      <c r="H104" s="444"/>
      <c r="I104" s="444"/>
      <c r="J104" s="444"/>
      <c r="K104" s="444"/>
      <c r="L104" s="444"/>
      <c r="M104" s="444"/>
      <c r="N104" s="444"/>
      <c r="O104" s="444"/>
      <c r="P104" s="444"/>
      <c r="Q104" s="444"/>
      <c r="R104" s="444"/>
      <c r="S104" s="444"/>
      <c r="T104" s="444"/>
      <c r="U104" s="444"/>
      <c r="V104" s="517">
        <v>0</v>
      </c>
      <c r="W104" s="446"/>
      <c r="X104" s="425"/>
    </row>
    <row r="105" spans="1:26" s="426" customFormat="1" x14ac:dyDescent="0.3">
      <c r="A105" s="443" t="s">
        <v>131</v>
      </c>
      <c r="B105" s="444" t="s">
        <v>362</v>
      </c>
      <c r="C105" s="444"/>
      <c r="D105" s="444"/>
      <c r="E105" s="444"/>
      <c r="F105" s="444"/>
      <c r="G105" s="444"/>
      <c r="H105" s="444"/>
      <c r="I105" s="444"/>
      <c r="J105" s="444"/>
      <c r="K105" s="444"/>
      <c r="L105" s="444"/>
      <c r="M105" s="444"/>
      <c r="N105" s="444"/>
      <c r="O105" s="444"/>
      <c r="P105" s="444"/>
      <c r="Q105" s="444"/>
      <c r="R105" s="444"/>
      <c r="S105" s="444"/>
      <c r="T105" s="444"/>
      <c r="U105" s="444"/>
      <c r="V105" s="517">
        <f>-828-130</f>
        <v>-958</v>
      </c>
      <c r="W105" s="446"/>
      <c r="X105" s="425"/>
      <c r="Y105" s="549"/>
      <c r="Z105" s="549"/>
    </row>
    <row r="106" spans="1:26" s="426" customFormat="1" x14ac:dyDescent="0.3">
      <c r="A106" s="443" t="s">
        <v>153</v>
      </c>
      <c r="B106" s="444" t="s">
        <v>363</v>
      </c>
      <c r="C106" s="444"/>
      <c r="D106" s="444"/>
      <c r="E106" s="444"/>
      <c r="F106" s="444"/>
      <c r="G106" s="444"/>
      <c r="H106" s="444"/>
      <c r="I106" s="444"/>
      <c r="J106" s="444"/>
      <c r="K106" s="444"/>
      <c r="L106" s="444"/>
      <c r="M106" s="444"/>
      <c r="N106" s="444"/>
      <c r="O106" s="444"/>
      <c r="P106" s="444"/>
      <c r="Q106" s="444"/>
      <c r="R106" s="444"/>
      <c r="S106" s="444"/>
      <c r="T106" s="444"/>
      <c r="U106" s="444"/>
      <c r="V106" s="517">
        <f>-225-194</f>
        <v>-419</v>
      </c>
      <c r="W106" s="446"/>
      <c r="X106" s="425"/>
      <c r="Y106" s="549"/>
    </row>
    <row r="107" spans="1:26" s="426" customFormat="1" x14ac:dyDescent="0.3">
      <c r="A107" s="443" t="s">
        <v>266</v>
      </c>
      <c r="B107" s="444" t="s">
        <v>269</v>
      </c>
      <c r="C107" s="444"/>
      <c r="D107" s="444"/>
      <c r="E107" s="444"/>
      <c r="F107" s="444"/>
      <c r="G107" s="444"/>
      <c r="H107" s="444"/>
      <c r="I107" s="444"/>
      <c r="J107" s="444"/>
      <c r="K107" s="444"/>
      <c r="L107" s="444"/>
      <c r="M107" s="444"/>
      <c r="N107" s="444"/>
      <c r="O107" s="444"/>
      <c r="P107" s="444"/>
      <c r="Q107" s="444"/>
      <c r="R107" s="444"/>
      <c r="S107" s="444"/>
      <c r="T107" s="444"/>
      <c r="U107" s="444"/>
      <c r="V107" s="517">
        <v>0</v>
      </c>
      <c r="W107" s="446"/>
      <c r="X107" s="425"/>
    </row>
    <row r="108" spans="1:26" s="426" customFormat="1" x14ac:dyDescent="0.3">
      <c r="A108" s="443" t="s">
        <v>208</v>
      </c>
      <c r="B108" s="444" t="s">
        <v>188</v>
      </c>
      <c r="C108" s="444"/>
      <c r="D108" s="444"/>
      <c r="E108" s="444"/>
      <c r="F108" s="444"/>
      <c r="G108" s="444"/>
      <c r="H108" s="444"/>
      <c r="I108" s="444"/>
      <c r="J108" s="444"/>
      <c r="K108" s="444"/>
      <c r="L108" s="444"/>
      <c r="M108" s="444"/>
      <c r="N108" s="444"/>
      <c r="O108" s="444"/>
      <c r="P108" s="444"/>
      <c r="Q108" s="444"/>
      <c r="R108" s="444"/>
      <c r="S108" s="444"/>
      <c r="T108" s="444"/>
      <c r="U108" s="444"/>
      <c r="V108" s="517">
        <v>-159</v>
      </c>
      <c r="W108" s="446"/>
      <c r="X108" s="425"/>
      <c r="Y108" s="549"/>
    </row>
    <row r="109" spans="1:26" s="426" customFormat="1" x14ac:dyDescent="0.3">
      <c r="A109" s="443" t="s">
        <v>209</v>
      </c>
      <c r="B109" s="444" t="s">
        <v>189</v>
      </c>
      <c r="C109" s="444"/>
      <c r="D109" s="444"/>
      <c r="E109" s="444"/>
      <c r="F109" s="444"/>
      <c r="G109" s="444"/>
      <c r="H109" s="444"/>
      <c r="I109" s="444"/>
      <c r="J109" s="444"/>
      <c r="K109" s="444"/>
      <c r="L109" s="444"/>
      <c r="M109" s="444"/>
      <c r="N109" s="444"/>
      <c r="O109" s="444"/>
      <c r="P109" s="444"/>
      <c r="Q109" s="444"/>
      <c r="R109" s="444"/>
      <c r="S109" s="444"/>
      <c r="T109" s="444"/>
      <c r="U109" s="444"/>
      <c r="V109" s="517">
        <v>-156</v>
      </c>
      <c r="W109" s="446"/>
      <c r="X109" s="425"/>
      <c r="Y109" s="549"/>
    </row>
    <row r="110" spans="1:26" s="426" customFormat="1" x14ac:dyDescent="0.3">
      <c r="A110" s="443" t="s">
        <v>210</v>
      </c>
      <c r="B110" s="444" t="s">
        <v>199</v>
      </c>
      <c r="C110" s="444"/>
      <c r="D110" s="444"/>
      <c r="E110" s="444"/>
      <c r="F110" s="444"/>
      <c r="G110" s="444"/>
      <c r="H110" s="444"/>
      <c r="I110" s="444"/>
      <c r="J110" s="444"/>
      <c r="K110" s="444"/>
      <c r="L110" s="444"/>
      <c r="M110" s="444"/>
      <c r="N110" s="444"/>
      <c r="O110" s="444"/>
      <c r="P110" s="444"/>
      <c r="Q110" s="444"/>
      <c r="R110" s="444"/>
      <c r="S110" s="444"/>
      <c r="T110" s="444"/>
      <c r="U110" s="444"/>
      <c r="V110" s="517">
        <v>-208</v>
      </c>
      <c r="W110" s="446"/>
      <c r="X110" s="425"/>
      <c r="Y110" s="549"/>
    </row>
    <row r="111" spans="1:26" s="426" customFormat="1" x14ac:dyDescent="0.3">
      <c r="A111" s="443" t="s">
        <v>230</v>
      </c>
      <c r="B111" s="444" t="s">
        <v>229</v>
      </c>
      <c r="C111" s="444"/>
      <c r="D111" s="444"/>
      <c r="E111" s="444"/>
      <c r="F111" s="444"/>
      <c r="G111" s="444"/>
      <c r="H111" s="444"/>
      <c r="I111" s="444"/>
      <c r="J111" s="444"/>
      <c r="K111" s="444"/>
      <c r="L111" s="444"/>
      <c r="M111" s="444"/>
      <c r="N111" s="444"/>
      <c r="O111" s="444"/>
      <c r="P111" s="444"/>
      <c r="Q111" s="444"/>
      <c r="R111" s="444"/>
      <c r="S111" s="444"/>
      <c r="T111" s="444"/>
      <c r="U111" s="444"/>
      <c r="V111" s="517">
        <v>-48</v>
      </c>
      <c r="W111" s="446"/>
      <c r="X111" s="425"/>
      <c r="Y111" s="549"/>
    </row>
    <row r="112" spans="1:26" s="426" customFormat="1" x14ac:dyDescent="0.3">
      <c r="A112" s="550">
        <v>7</v>
      </c>
      <c r="B112" s="548" t="s">
        <v>333</v>
      </c>
      <c r="C112" s="548"/>
      <c r="D112" s="548"/>
      <c r="E112" s="548"/>
      <c r="F112" s="548"/>
      <c r="G112" s="444"/>
      <c r="H112" s="444"/>
      <c r="I112" s="444"/>
      <c r="J112" s="444"/>
      <c r="K112" s="444"/>
      <c r="L112" s="444"/>
      <c r="M112" s="444"/>
      <c r="N112" s="444"/>
      <c r="O112" s="444"/>
      <c r="P112" s="444"/>
      <c r="Q112" s="444"/>
      <c r="R112" s="444"/>
      <c r="S112" s="444"/>
      <c r="T112" s="444"/>
      <c r="U112" s="444"/>
      <c r="V112" s="517">
        <v>0</v>
      </c>
      <c r="W112" s="446"/>
      <c r="X112" s="425"/>
      <c r="Y112" s="549"/>
    </row>
    <row r="113" spans="1:24" s="426" customFormat="1" x14ac:dyDescent="0.3">
      <c r="A113" s="443">
        <f t="shared" ref="A113:A123" si="0">+A112+1</f>
        <v>8</v>
      </c>
      <c r="B113" s="444" t="s">
        <v>35</v>
      </c>
      <c r="C113" s="444"/>
      <c r="D113" s="444"/>
      <c r="E113" s="444"/>
      <c r="F113" s="444"/>
      <c r="G113" s="444"/>
      <c r="H113" s="444"/>
      <c r="I113" s="444"/>
      <c r="J113" s="444"/>
      <c r="K113" s="444"/>
      <c r="L113" s="444"/>
      <c r="M113" s="444"/>
      <c r="N113" s="444"/>
      <c r="O113" s="444"/>
      <c r="P113" s="444"/>
      <c r="Q113" s="444"/>
      <c r="R113" s="444"/>
      <c r="S113" s="444"/>
      <c r="T113" s="444"/>
      <c r="U113" s="444"/>
      <c r="V113" s="517">
        <v>-10</v>
      </c>
      <c r="W113" s="446"/>
      <c r="X113" s="425"/>
    </row>
    <row r="114" spans="1:24" s="426" customFormat="1" x14ac:dyDescent="0.3">
      <c r="A114" s="443">
        <f t="shared" si="0"/>
        <v>9</v>
      </c>
      <c r="B114" s="444" t="s">
        <v>45</v>
      </c>
      <c r="C114" s="444"/>
      <c r="D114" s="444"/>
      <c r="E114" s="444"/>
      <c r="F114" s="444"/>
      <c r="G114" s="444"/>
      <c r="H114" s="444"/>
      <c r="I114" s="444"/>
      <c r="J114" s="444"/>
      <c r="K114" s="444"/>
      <c r="L114" s="444"/>
      <c r="M114" s="444"/>
      <c r="N114" s="444"/>
      <c r="O114" s="444"/>
      <c r="P114" s="444"/>
      <c r="Q114" s="444"/>
      <c r="R114" s="444"/>
      <c r="S114" s="444"/>
      <c r="T114" s="516">
        <f>-V114</f>
        <v>-17</v>
      </c>
      <c r="U114" s="444"/>
      <c r="V114" s="517">
        <v>17</v>
      </c>
      <c r="W114" s="446"/>
      <c r="X114" s="425"/>
    </row>
    <row r="115" spans="1:24" s="426" customFormat="1" x14ac:dyDescent="0.3">
      <c r="A115" s="443">
        <f t="shared" si="0"/>
        <v>10</v>
      </c>
      <c r="B115" s="444" t="s">
        <v>128</v>
      </c>
      <c r="C115" s="444"/>
      <c r="D115" s="444"/>
      <c r="E115" s="444"/>
      <c r="F115" s="444"/>
      <c r="G115" s="444"/>
      <c r="H115" s="444"/>
      <c r="I115" s="444"/>
      <c r="J115" s="444"/>
      <c r="K115" s="444"/>
      <c r="L115" s="444"/>
      <c r="M115" s="444"/>
      <c r="N115" s="444"/>
      <c r="O115" s="444"/>
      <c r="P115" s="444"/>
      <c r="Q115" s="444"/>
      <c r="R115" s="444"/>
      <c r="S115" s="444"/>
      <c r="T115" s="444"/>
      <c r="U115" s="444"/>
      <c r="V115" s="517">
        <v>0</v>
      </c>
      <c r="W115" s="446"/>
      <c r="X115" s="425"/>
    </row>
    <row r="116" spans="1:24" s="426" customFormat="1" x14ac:dyDescent="0.3">
      <c r="A116" s="443">
        <f t="shared" si="0"/>
        <v>11</v>
      </c>
      <c r="B116" s="444" t="s">
        <v>271</v>
      </c>
      <c r="C116" s="444"/>
      <c r="D116" s="444"/>
      <c r="E116" s="444"/>
      <c r="F116" s="444"/>
      <c r="G116" s="444"/>
      <c r="H116" s="444"/>
      <c r="I116" s="444"/>
      <c r="J116" s="444"/>
      <c r="K116" s="444"/>
      <c r="L116" s="444"/>
      <c r="M116" s="444"/>
      <c r="N116" s="444"/>
      <c r="O116" s="444"/>
      <c r="P116" s="444"/>
      <c r="Q116" s="444"/>
      <c r="R116" s="444"/>
      <c r="S116" s="444"/>
      <c r="T116" s="444"/>
      <c r="U116" s="444"/>
      <c r="V116" s="517">
        <v>0</v>
      </c>
      <c r="W116" s="446"/>
      <c r="X116" s="425"/>
    </row>
    <row r="117" spans="1:24" s="426" customFormat="1" x14ac:dyDescent="0.3">
      <c r="A117" s="443">
        <f t="shared" si="0"/>
        <v>12</v>
      </c>
      <c r="B117" s="444" t="s">
        <v>36</v>
      </c>
      <c r="C117" s="444"/>
      <c r="D117" s="444"/>
      <c r="E117" s="444"/>
      <c r="F117" s="444"/>
      <c r="G117" s="444"/>
      <c r="H117" s="444"/>
      <c r="I117" s="444"/>
      <c r="J117" s="444"/>
      <c r="K117" s="444"/>
      <c r="L117" s="444"/>
      <c r="M117" s="444"/>
      <c r="N117" s="444"/>
      <c r="O117" s="444"/>
      <c r="P117" s="444"/>
      <c r="Q117" s="444"/>
      <c r="R117" s="444"/>
      <c r="S117" s="444"/>
      <c r="T117" s="444"/>
      <c r="U117" s="444"/>
      <c r="V117" s="517">
        <v>0</v>
      </c>
      <c r="W117" s="446"/>
      <c r="X117" s="425"/>
    </row>
    <row r="118" spans="1:24" s="426" customFormat="1" x14ac:dyDescent="0.3">
      <c r="A118" s="443">
        <f t="shared" si="0"/>
        <v>13</v>
      </c>
      <c r="B118" s="444" t="s">
        <v>270</v>
      </c>
      <c r="C118" s="444"/>
      <c r="D118" s="444"/>
      <c r="E118" s="444"/>
      <c r="F118" s="444"/>
      <c r="G118" s="444"/>
      <c r="H118" s="444"/>
      <c r="I118" s="444"/>
      <c r="J118" s="444"/>
      <c r="K118" s="444"/>
      <c r="L118" s="444"/>
      <c r="M118" s="444"/>
      <c r="N118" s="444"/>
      <c r="O118" s="444"/>
      <c r="P118" s="444"/>
      <c r="Q118" s="444"/>
      <c r="R118" s="444"/>
      <c r="S118" s="444"/>
      <c r="T118" s="444"/>
      <c r="U118" s="444"/>
      <c r="V118" s="517">
        <v>0</v>
      </c>
      <c r="W118" s="446"/>
      <c r="X118" s="425"/>
    </row>
    <row r="119" spans="1:24" s="426" customFormat="1" x14ac:dyDescent="0.3">
      <c r="A119" s="443">
        <f t="shared" si="0"/>
        <v>14</v>
      </c>
      <c r="B119" s="444" t="s">
        <v>152</v>
      </c>
      <c r="C119" s="444"/>
      <c r="D119" s="444"/>
      <c r="E119" s="444"/>
      <c r="F119" s="444"/>
      <c r="G119" s="444"/>
      <c r="H119" s="444"/>
      <c r="I119" s="444"/>
      <c r="J119" s="444"/>
      <c r="K119" s="444"/>
      <c r="L119" s="444"/>
      <c r="M119" s="444"/>
      <c r="N119" s="444"/>
      <c r="O119" s="444"/>
      <c r="P119" s="444"/>
      <c r="Q119" s="444"/>
      <c r="R119" s="444"/>
      <c r="S119" s="444"/>
      <c r="T119" s="444"/>
      <c r="U119" s="444"/>
      <c r="V119" s="517">
        <v>-269</v>
      </c>
      <c r="W119" s="446"/>
      <c r="X119" s="425"/>
    </row>
    <row r="120" spans="1:24" s="426" customFormat="1" x14ac:dyDescent="0.3">
      <c r="A120" s="443">
        <f t="shared" si="0"/>
        <v>15</v>
      </c>
      <c r="B120" s="548" t="s">
        <v>382</v>
      </c>
      <c r="C120" s="444"/>
      <c r="D120" s="444"/>
      <c r="E120" s="444"/>
      <c r="F120" s="444"/>
      <c r="G120" s="444"/>
      <c r="H120" s="444"/>
      <c r="I120" s="444"/>
      <c r="J120" s="444"/>
      <c r="K120" s="444"/>
      <c r="L120" s="444"/>
      <c r="M120" s="444"/>
      <c r="N120" s="444"/>
      <c r="O120" s="444"/>
      <c r="P120" s="444"/>
      <c r="Q120" s="444"/>
      <c r="R120" s="444"/>
      <c r="S120" s="444"/>
      <c r="T120" s="444"/>
      <c r="U120" s="444"/>
      <c r="V120" s="517">
        <v>-344</v>
      </c>
      <c r="W120" s="446"/>
      <c r="X120" s="425"/>
    </row>
    <row r="121" spans="1:24" s="426" customFormat="1" x14ac:dyDescent="0.3">
      <c r="A121" s="443">
        <f t="shared" si="0"/>
        <v>16</v>
      </c>
      <c r="B121" s="444" t="s">
        <v>383</v>
      </c>
      <c r="C121" s="444"/>
      <c r="D121" s="444"/>
      <c r="E121" s="444"/>
      <c r="F121" s="444"/>
      <c r="G121" s="444"/>
      <c r="H121" s="444"/>
      <c r="I121" s="444"/>
      <c r="J121" s="444"/>
      <c r="K121" s="444"/>
      <c r="L121" s="444"/>
      <c r="M121" s="444"/>
      <c r="N121" s="444"/>
      <c r="O121" s="444"/>
      <c r="P121" s="444"/>
      <c r="Q121" s="444"/>
      <c r="R121" s="444"/>
      <c r="S121" s="444"/>
      <c r="T121" s="444"/>
      <c r="U121" s="444"/>
      <c r="V121" s="517">
        <v>-303</v>
      </c>
      <c r="W121" s="446"/>
      <c r="X121" s="425"/>
    </row>
    <row r="122" spans="1:24" s="426" customFormat="1" x14ac:dyDescent="0.3">
      <c r="A122" s="443">
        <f t="shared" si="0"/>
        <v>17</v>
      </c>
      <c r="B122" s="444" t="s">
        <v>384</v>
      </c>
      <c r="C122" s="444"/>
      <c r="D122" s="444"/>
      <c r="E122" s="444"/>
      <c r="F122" s="444"/>
      <c r="G122" s="444"/>
      <c r="H122" s="444"/>
      <c r="I122" s="444"/>
      <c r="J122" s="444"/>
      <c r="K122" s="444"/>
      <c r="L122" s="444"/>
      <c r="M122" s="444"/>
      <c r="N122" s="444"/>
      <c r="O122" s="444"/>
      <c r="P122" s="444"/>
      <c r="Q122" s="444"/>
      <c r="R122" s="444"/>
      <c r="S122" s="444"/>
      <c r="T122" s="444"/>
      <c r="U122" s="444"/>
      <c r="V122" s="517">
        <v>0</v>
      </c>
      <c r="W122" s="446"/>
      <c r="X122" s="425"/>
    </row>
    <row r="123" spans="1:24" s="426" customFormat="1" x14ac:dyDescent="0.3">
      <c r="A123" s="443">
        <f t="shared" si="0"/>
        <v>18</v>
      </c>
      <c r="B123" s="444" t="s">
        <v>385</v>
      </c>
      <c r="C123" s="444"/>
      <c r="D123" s="444"/>
      <c r="E123" s="444"/>
      <c r="F123" s="444"/>
      <c r="G123" s="444"/>
      <c r="H123" s="444"/>
      <c r="I123" s="444"/>
      <c r="J123" s="444"/>
      <c r="K123" s="444"/>
      <c r="L123" s="444"/>
      <c r="M123" s="444"/>
      <c r="N123" s="444"/>
      <c r="O123" s="444"/>
      <c r="P123" s="444"/>
      <c r="Q123" s="444"/>
      <c r="R123" s="444"/>
      <c r="S123" s="444"/>
      <c r="T123" s="444"/>
      <c r="U123" s="444"/>
      <c r="V123" s="517">
        <f>-V99-SUM(V101:V122)</f>
        <v>-1836</v>
      </c>
      <c r="W123" s="446"/>
      <c r="X123" s="425"/>
    </row>
    <row r="124" spans="1:24" x14ac:dyDescent="0.3">
      <c r="A124" s="543"/>
      <c r="B124" s="544" t="s">
        <v>37</v>
      </c>
      <c r="C124" s="465"/>
      <c r="D124" s="465"/>
      <c r="E124" s="465"/>
      <c r="F124" s="465"/>
      <c r="G124" s="465"/>
      <c r="H124" s="465"/>
      <c r="I124" s="465"/>
      <c r="J124" s="465"/>
      <c r="K124" s="465"/>
      <c r="L124" s="465"/>
      <c r="M124" s="465"/>
      <c r="N124" s="465"/>
      <c r="O124" s="465"/>
      <c r="P124" s="465"/>
      <c r="Q124" s="465"/>
      <c r="R124" s="465"/>
      <c r="S124" s="465"/>
      <c r="T124" s="465"/>
      <c r="U124" s="465"/>
      <c r="V124" s="551"/>
      <c r="W124" s="547"/>
      <c r="X124" s="406"/>
    </row>
    <row r="125" spans="1:24" s="426" customFormat="1" x14ac:dyDescent="0.3">
      <c r="A125" s="443"/>
      <c r="B125" s="444" t="s">
        <v>176</v>
      </c>
      <c r="C125" s="444"/>
      <c r="D125" s="444"/>
      <c r="E125" s="444"/>
      <c r="F125" s="444"/>
      <c r="G125" s="444"/>
      <c r="H125" s="444"/>
      <c r="I125" s="444"/>
      <c r="J125" s="444"/>
      <c r="K125" s="444"/>
      <c r="L125" s="444"/>
      <c r="M125" s="444"/>
      <c r="N125" s="444"/>
      <c r="O125" s="444"/>
      <c r="P125" s="444"/>
      <c r="Q125" s="444"/>
      <c r="R125" s="444"/>
      <c r="S125" s="444"/>
      <c r="T125" s="516">
        <f>-T185</f>
        <v>0</v>
      </c>
      <c r="U125" s="516"/>
      <c r="V125" s="517"/>
      <c r="W125" s="446"/>
      <c r="X125" s="425"/>
    </row>
    <row r="126" spans="1:24" s="426" customFormat="1" x14ac:dyDescent="0.3">
      <c r="A126" s="443"/>
      <c r="B126" s="444" t="s">
        <v>177</v>
      </c>
      <c r="C126" s="444"/>
      <c r="D126" s="444"/>
      <c r="E126" s="444"/>
      <c r="F126" s="444"/>
      <c r="G126" s="444"/>
      <c r="H126" s="444"/>
      <c r="I126" s="444"/>
      <c r="J126" s="444"/>
      <c r="K126" s="444"/>
      <c r="L126" s="444"/>
      <c r="M126" s="444"/>
      <c r="N126" s="444"/>
      <c r="O126" s="444"/>
      <c r="P126" s="444"/>
      <c r="Q126" s="444"/>
      <c r="R126" s="444"/>
      <c r="S126" s="444"/>
      <c r="T126" s="516">
        <v>0</v>
      </c>
      <c r="U126" s="516"/>
      <c r="V126" s="517"/>
      <c r="W126" s="446"/>
      <c r="X126" s="425"/>
    </row>
    <row r="127" spans="1:24" s="426" customFormat="1" x14ac:dyDescent="0.3">
      <c r="A127" s="443"/>
      <c r="B127" s="444" t="s">
        <v>38</v>
      </c>
      <c r="C127" s="444"/>
      <c r="D127" s="444"/>
      <c r="E127" s="444"/>
      <c r="F127" s="444"/>
      <c r="G127" s="444"/>
      <c r="H127" s="444"/>
      <c r="I127" s="444"/>
      <c r="J127" s="444"/>
      <c r="K127" s="444"/>
      <c r="L127" s="444"/>
      <c r="M127" s="444"/>
      <c r="N127" s="444"/>
      <c r="O127" s="444"/>
      <c r="P127" s="444"/>
      <c r="Q127" s="444"/>
      <c r="R127" s="444"/>
      <c r="S127" s="444"/>
      <c r="T127" s="516">
        <f>-S185</f>
        <v>0</v>
      </c>
      <c r="U127" s="516"/>
      <c r="V127" s="517"/>
      <c r="W127" s="446"/>
      <c r="X127" s="425"/>
    </row>
    <row r="128" spans="1:24" s="426" customFormat="1" x14ac:dyDescent="0.3">
      <c r="A128" s="443"/>
      <c r="B128" s="444" t="s">
        <v>386</v>
      </c>
      <c r="C128" s="444"/>
      <c r="D128" s="444"/>
      <c r="E128" s="444"/>
      <c r="F128" s="444"/>
      <c r="G128" s="444"/>
      <c r="H128" s="444"/>
      <c r="I128" s="444"/>
      <c r="J128" s="444"/>
      <c r="K128" s="444"/>
      <c r="L128" s="444"/>
      <c r="M128" s="444"/>
      <c r="N128" s="444"/>
      <c r="O128" s="444"/>
      <c r="P128" s="444"/>
      <c r="Q128" s="444"/>
      <c r="R128" s="444"/>
      <c r="S128" s="444"/>
      <c r="T128" s="516">
        <v>-5433</v>
      </c>
      <c r="U128" s="516"/>
      <c r="V128" s="517"/>
      <c r="W128" s="446"/>
      <c r="X128" s="425"/>
    </row>
    <row r="129" spans="1:24" s="426" customFormat="1" x14ac:dyDescent="0.3">
      <c r="A129" s="443"/>
      <c r="B129" s="444" t="s">
        <v>198</v>
      </c>
      <c r="C129" s="444"/>
      <c r="D129" s="444"/>
      <c r="E129" s="444"/>
      <c r="F129" s="444"/>
      <c r="G129" s="444"/>
      <c r="H129" s="444"/>
      <c r="I129" s="444"/>
      <c r="J129" s="444"/>
      <c r="K129" s="444"/>
      <c r="L129" s="444"/>
      <c r="M129" s="444"/>
      <c r="N129" s="444"/>
      <c r="O129" s="444"/>
      <c r="P129" s="444"/>
      <c r="Q129" s="444"/>
      <c r="R129" s="444"/>
      <c r="S129" s="444"/>
      <c r="T129" s="516">
        <v>-851</v>
      </c>
      <c r="U129" s="516"/>
      <c r="V129" s="517"/>
      <c r="W129" s="446"/>
      <c r="X129" s="425"/>
    </row>
    <row r="130" spans="1:24" s="426" customFormat="1" x14ac:dyDescent="0.3">
      <c r="A130" s="443"/>
      <c r="B130" s="444" t="s">
        <v>197</v>
      </c>
      <c r="C130" s="444"/>
      <c r="D130" s="444"/>
      <c r="E130" s="444"/>
      <c r="F130" s="444"/>
      <c r="G130" s="444"/>
      <c r="H130" s="444"/>
      <c r="I130" s="444"/>
      <c r="J130" s="444"/>
      <c r="K130" s="444"/>
      <c r="L130" s="444"/>
      <c r="M130" s="444"/>
      <c r="N130" s="444"/>
      <c r="O130" s="444"/>
      <c r="P130" s="444"/>
      <c r="Q130" s="444"/>
      <c r="R130" s="444"/>
      <c r="S130" s="444"/>
      <c r="T130" s="516">
        <v>-1440</v>
      </c>
      <c r="U130" s="516"/>
      <c r="V130" s="517"/>
      <c r="W130" s="446"/>
      <c r="X130" s="425"/>
    </row>
    <row r="131" spans="1:24" s="426" customFormat="1" x14ac:dyDescent="0.3">
      <c r="A131" s="443"/>
      <c r="B131" s="444" t="s">
        <v>232</v>
      </c>
      <c r="C131" s="444"/>
      <c r="D131" s="444"/>
      <c r="E131" s="444"/>
      <c r="F131" s="444"/>
      <c r="G131" s="444"/>
      <c r="H131" s="444"/>
      <c r="I131" s="444"/>
      <c r="J131" s="444"/>
      <c r="K131" s="444"/>
      <c r="L131" s="444"/>
      <c r="M131" s="444"/>
      <c r="N131" s="444"/>
      <c r="O131" s="444"/>
      <c r="P131" s="444"/>
      <c r="Q131" s="444"/>
      <c r="R131" s="444"/>
      <c r="S131" s="444"/>
      <c r="T131" s="516">
        <v>-1268</v>
      </c>
      <c r="U131" s="516"/>
      <c r="V131" s="517"/>
      <c r="W131" s="446"/>
      <c r="X131" s="425"/>
    </row>
    <row r="132" spans="1:24" s="426" customFormat="1" x14ac:dyDescent="0.3">
      <c r="A132" s="443"/>
      <c r="B132" s="444" t="s">
        <v>192</v>
      </c>
      <c r="C132" s="444"/>
      <c r="D132" s="444"/>
      <c r="E132" s="444"/>
      <c r="F132" s="444"/>
      <c r="G132" s="444"/>
      <c r="H132" s="444"/>
      <c r="I132" s="444"/>
      <c r="J132" s="444"/>
      <c r="K132" s="444"/>
      <c r="L132" s="444"/>
      <c r="M132" s="444"/>
      <c r="N132" s="444"/>
      <c r="O132" s="444"/>
      <c r="P132" s="444"/>
      <c r="Q132" s="444"/>
      <c r="R132" s="444"/>
      <c r="S132" s="444"/>
      <c r="T132" s="516">
        <v>-885</v>
      </c>
      <c r="U132" s="516"/>
      <c r="V132" s="517"/>
      <c r="W132" s="446"/>
      <c r="X132" s="425"/>
    </row>
    <row r="133" spans="1:24" s="426" customFormat="1" x14ac:dyDescent="0.3">
      <c r="A133" s="443"/>
      <c r="B133" s="444" t="s">
        <v>191</v>
      </c>
      <c r="C133" s="444"/>
      <c r="D133" s="444"/>
      <c r="E133" s="444"/>
      <c r="F133" s="444"/>
      <c r="G133" s="444"/>
      <c r="H133" s="444"/>
      <c r="I133" s="444"/>
      <c r="J133" s="444"/>
      <c r="K133" s="444"/>
      <c r="L133" s="444"/>
      <c r="M133" s="444"/>
      <c r="N133" s="444"/>
      <c r="O133" s="444"/>
      <c r="P133" s="444"/>
      <c r="Q133" s="444"/>
      <c r="R133" s="444"/>
      <c r="S133" s="444"/>
      <c r="T133" s="516">
        <v>-890</v>
      </c>
      <c r="U133" s="516"/>
      <c r="V133" s="517"/>
      <c r="W133" s="446"/>
      <c r="X133" s="425"/>
    </row>
    <row r="134" spans="1:24" s="426" customFormat="1" x14ac:dyDescent="0.3">
      <c r="A134" s="443"/>
      <c r="B134" s="444" t="s">
        <v>233</v>
      </c>
      <c r="C134" s="444"/>
      <c r="D134" s="444"/>
      <c r="E134" s="444"/>
      <c r="F134" s="444"/>
      <c r="G134" s="444"/>
      <c r="H134" s="444"/>
      <c r="I134" s="444"/>
      <c r="J134" s="444"/>
      <c r="K134" s="444"/>
      <c r="L134" s="444"/>
      <c r="M134" s="444"/>
      <c r="N134" s="444"/>
      <c r="O134" s="444"/>
      <c r="P134" s="444"/>
      <c r="Q134" s="444"/>
      <c r="R134" s="444"/>
      <c r="S134" s="444"/>
      <c r="T134" s="516">
        <v>-205</v>
      </c>
      <c r="U134" s="516"/>
      <c r="V134" s="517"/>
      <c r="W134" s="446"/>
      <c r="X134" s="425"/>
    </row>
    <row r="135" spans="1:24" s="426" customFormat="1" x14ac:dyDescent="0.3">
      <c r="A135" s="443"/>
      <c r="B135" s="444" t="s">
        <v>190</v>
      </c>
      <c r="C135" s="444"/>
      <c r="D135" s="444"/>
      <c r="E135" s="444"/>
      <c r="F135" s="444"/>
      <c r="G135" s="444"/>
      <c r="H135" s="444"/>
      <c r="I135" s="444"/>
      <c r="J135" s="444"/>
      <c r="K135" s="444"/>
      <c r="L135" s="444"/>
      <c r="M135" s="444"/>
      <c r="N135" s="444"/>
      <c r="O135" s="444"/>
      <c r="P135" s="444"/>
      <c r="Q135" s="444"/>
      <c r="R135" s="444"/>
      <c r="S135" s="444"/>
      <c r="T135" s="516">
        <v>-859</v>
      </c>
      <c r="U135" s="516"/>
      <c r="V135" s="517"/>
      <c r="W135" s="446"/>
      <c r="X135" s="425"/>
    </row>
    <row r="136" spans="1:24" s="426" customFormat="1" x14ac:dyDescent="0.3">
      <c r="A136" s="443"/>
      <c r="B136" s="444" t="s">
        <v>39</v>
      </c>
      <c r="C136" s="444"/>
      <c r="D136" s="444"/>
      <c r="E136" s="444"/>
      <c r="F136" s="444"/>
      <c r="G136" s="444"/>
      <c r="H136" s="444"/>
      <c r="I136" s="444"/>
      <c r="J136" s="444"/>
      <c r="K136" s="444"/>
      <c r="L136" s="444"/>
      <c r="M136" s="444"/>
      <c r="N136" s="444"/>
      <c r="O136" s="444"/>
      <c r="P136" s="444"/>
      <c r="Q136" s="444"/>
      <c r="R136" s="444"/>
      <c r="S136" s="444"/>
      <c r="T136" s="516">
        <f>SUM(T125:T135)</f>
        <v>-11831</v>
      </c>
      <c r="U136" s="516"/>
      <c r="V136" s="516">
        <f>SUM(V100:V133)</f>
        <v>-5093</v>
      </c>
      <c r="W136" s="446"/>
      <c r="X136" s="425"/>
    </row>
    <row r="137" spans="1:24" s="426" customFormat="1" x14ac:dyDescent="0.3">
      <c r="A137" s="443"/>
      <c r="B137" s="444" t="s">
        <v>40</v>
      </c>
      <c r="C137" s="444"/>
      <c r="D137" s="444"/>
      <c r="E137" s="444"/>
      <c r="F137" s="444"/>
      <c r="G137" s="444"/>
      <c r="H137" s="444"/>
      <c r="I137" s="444"/>
      <c r="J137" s="444"/>
      <c r="K137" s="444"/>
      <c r="L137" s="444"/>
      <c r="M137" s="444"/>
      <c r="N137" s="444"/>
      <c r="O137" s="444"/>
      <c r="P137" s="444"/>
      <c r="Q137" s="444"/>
      <c r="R137" s="444"/>
      <c r="S137" s="444"/>
      <c r="T137" s="516">
        <f>T99+T136+T114</f>
        <v>0</v>
      </c>
      <c r="U137" s="516"/>
      <c r="V137" s="516">
        <f>V99+V136</f>
        <v>0</v>
      </c>
      <c r="W137" s="446"/>
      <c r="X137" s="425"/>
    </row>
    <row r="138" spans="1:24" s="426" customFormat="1" x14ac:dyDescent="0.3">
      <c r="A138" s="421"/>
      <c r="B138" s="494"/>
      <c r="C138" s="494"/>
      <c r="D138" s="494"/>
      <c r="E138" s="494"/>
      <c r="F138" s="494"/>
      <c r="G138" s="494"/>
      <c r="H138" s="494"/>
      <c r="I138" s="494"/>
      <c r="J138" s="494"/>
      <c r="K138" s="494"/>
      <c r="L138" s="494"/>
      <c r="M138" s="494"/>
      <c r="N138" s="494"/>
      <c r="O138" s="494"/>
      <c r="P138" s="494"/>
      <c r="Q138" s="494"/>
      <c r="R138" s="494"/>
      <c r="S138" s="494"/>
      <c r="T138" s="552"/>
      <c r="U138" s="552"/>
      <c r="V138" s="552"/>
      <c r="W138" s="424"/>
      <c r="X138" s="425"/>
    </row>
    <row r="139" spans="1:24" s="426" customFormat="1" x14ac:dyDescent="0.3">
      <c r="A139" s="421"/>
      <c r="B139" s="422"/>
      <c r="C139" s="422"/>
      <c r="D139" s="422"/>
      <c r="E139" s="422"/>
      <c r="F139" s="422"/>
      <c r="G139" s="422"/>
      <c r="H139" s="422"/>
      <c r="I139" s="422"/>
      <c r="J139" s="422"/>
      <c r="K139" s="422"/>
      <c r="L139" s="422"/>
      <c r="M139" s="422"/>
      <c r="N139" s="422"/>
      <c r="O139" s="422"/>
      <c r="P139" s="422"/>
      <c r="Q139" s="422"/>
      <c r="R139" s="422"/>
      <c r="S139" s="422"/>
      <c r="T139" s="422"/>
      <c r="U139" s="422"/>
      <c r="V139" s="553"/>
      <c r="W139" s="424"/>
      <c r="X139" s="425"/>
    </row>
    <row r="140" spans="1:24" s="426" customFormat="1" ht="18.600000000000001" thickBot="1" x14ac:dyDescent="0.4">
      <c r="A140" s="500"/>
      <c r="B140" s="501" t="str">
        <f>B63</f>
        <v>PM13 INVESTOR REPORT QUARTER ENDING DECEMBER 2019</v>
      </c>
      <c r="C140" s="502"/>
      <c r="D140" s="502"/>
      <c r="E140" s="502"/>
      <c r="F140" s="502"/>
      <c r="G140" s="502"/>
      <c r="H140" s="502"/>
      <c r="I140" s="502"/>
      <c r="J140" s="502"/>
      <c r="K140" s="502"/>
      <c r="L140" s="502"/>
      <c r="M140" s="502"/>
      <c r="N140" s="502"/>
      <c r="O140" s="502"/>
      <c r="P140" s="502"/>
      <c r="Q140" s="502"/>
      <c r="R140" s="502"/>
      <c r="S140" s="502"/>
      <c r="T140" s="502"/>
      <c r="U140" s="502"/>
      <c r="V140" s="554"/>
      <c r="W140" s="555"/>
      <c r="X140" s="425"/>
    </row>
    <row r="141" spans="1:24" x14ac:dyDescent="0.3">
      <c r="A141" s="505"/>
      <c r="B141" s="506" t="s">
        <v>41</v>
      </c>
      <c r="C141" s="507"/>
      <c r="D141" s="507"/>
      <c r="E141" s="507"/>
      <c r="F141" s="507"/>
      <c r="G141" s="507"/>
      <c r="H141" s="507"/>
      <c r="I141" s="507"/>
      <c r="J141" s="507"/>
      <c r="K141" s="507"/>
      <c r="L141" s="507"/>
      <c r="M141" s="507"/>
      <c r="N141" s="507"/>
      <c r="O141" s="507"/>
      <c r="P141" s="507"/>
      <c r="Q141" s="507"/>
      <c r="R141" s="507"/>
      <c r="S141" s="507"/>
      <c r="T141" s="507"/>
      <c r="U141" s="507"/>
      <c r="V141" s="508"/>
      <c r="W141" s="509"/>
      <c r="X141" s="406"/>
    </row>
    <row r="142" spans="1:24" x14ac:dyDescent="0.3">
      <c r="A142" s="408"/>
      <c r="B142" s="556"/>
      <c r="C142" s="410"/>
      <c r="D142" s="410"/>
      <c r="E142" s="410"/>
      <c r="F142" s="410"/>
      <c r="G142" s="410"/>
      <c r="H142" s="410"/>
      <c r="I142" s="410"/>
      <c r="J142" s="410"/>
      <c r="K142" s="410"/>
      <c r="L142" s="410"/>
      <c r="M142" s="410"/>
      <c r="N142" s="410"/>
      <c r="O142" s="410"/>
      <c r="P142" s="410"/>
      <c r="Q142" s="410"/>
      <c r="R142" s="410"/>
      <c r="S142" s="410"/>
      <c r="T142" s="410"/>
      <c r="U142" s="410"/>
      <c r="V142" s="510"/>
      <c r="W142" s="411"/>
      <c r="X142" s="406"/>
    </row>
    <row r="143" spans="1:24" x14ac:dyDescent="0.3">
      <c r="A143" s="408"/>
      <c r="B143" s="557" t="s">
        <v>42</v>
      </c>
      <c r="C143" s="410"/>
      <c r="D143" s="410"/>
      <c r="E143" s="410"/>
      <c r="F143" s="410"/>
      <c r="G143" s="410"/>
      <c r="H143" s="410"/>
      <c r="I143" s="410"/>
      <c r="J143" s="410"/>
      <c r="K143" s="410"/>
      <c r="L143" s="410"/>
      <c r="M143" s="410"/>
      <c r="N143" s="410"/>
      <c r="O143" s="410"/>
      <c r="P143" s="410"/>
      <c r="Q143" s="410"/>
      <c r="R143" s="410"/>
      <c r="S143" s="410"/>
      <c r="T143" s="410"/>
      <c r="U143" s="410"/>
      <c r="V143" s="510"/>
      <c r="W143" s="411"/>
      <c r="X143" s="406"/>
    </row>
    <row r="144" spans="1:24" x14ac:dyDescent="0.3">
      <c r="A144" s="543"/>
      <c r="B144" s="444" t="s">
        <v>43</v>
      </c>
      <c r="C144" s="444"/>
      <c r="D144" s="444"/>
      <c r="E144" s="444"/>
      <c r="F144" s="444"/>
      <c r="G144" s="444"/>
      <c r="H144" s="444"/>
      <c r="I144" s="444"/>
      <c r="J144" s="444"/>
      <c r="K144" s="444"/>
      <c r="L144" s="444"/>
      <c r="M144" s="444"/>
      <c r="N144" s="444"/>
      <c r="O144" s="444"/>
      <c r="P144" s="444"/>
      <c r="Q144" s="444"/>
      <c r="R144" s="444"/>
      <c r="S144" s="444"/>
      <c r="T144" s="444"/>
      <c r="U144" s="444"/>
      <c r="V144" s="517">
        <f>+V34*0.019</f>
        <v>28503.61</v>
      </c>
      <c r="W144" s="558"/>
      <c r="X144" s="406"/>
    </row>
    <row r="145" spans="1:25" x14ac:dyDescent="0.3">
      <c r="A145" s="543"/>
      <c r="B145" s="444" t="s">
        <v>44</v>
      </c>
      <c r="C145" s="444"/>
      <c r="D145" s="444"/>
      <c r="E145" s="444"/>
      <c r="F145" s="444"/>
      <c r="G145" s="444"/>
      <c r="H145" s="444"/>
      <c r="I145" s="444"/>
      <c r="J145" s="444"/>
      <c r="K145" s="444"/>
      <c r="L145" s="444"/>
      <c r="M145" s="444"/>
      <c r="N145" s="444"/>
      <c r="O145" s="444"/>
      <c r="P145" s="444"/>
      <c r="Q145" s="444"/>
      <c r="R145" s="444"/>
      <c r="S145" s="444"/>
      <c r="T145" s="444"/>
      <c r="U145" s="444"/>
      <c r="V145" s="517">
        <v>28504</v>
      </c>
      <c r="W145" s="558"/>
      <c r="X145" s="406"/>
    </row>
    <row r="146" spans="1:25" x14ac:dyDescent="0.3">
      <c r="A146" s="543"/>
      <c r="B146" s="444" t="s">
        <v>139</v>
      </c>
      <c r="C146" s="444"/>
      <c r="D146" s="444"/>
      <c r="E146" s="444"/>
      <c r="F146" s="444"/>
      <c r="G146" s="444"/>
      <c r="H146" s="444"/>
      <c r="I146" s="444"/>
      <c r="J146" s="444"/>
      <c r="K146" s="444"/>
      <c r="L146" s="444"/>
      <c r="M146" s="444"/>
      <c r="N146" s="444"/>
      <c r="O146" s="444"/>
      <c r="P146" s="444"/>
      <c r="Q146" s="444"/>
      <c r="R146" s="444"/>
      <c r="S146" s="444"/>
      <c r="T146" s="444"/>
      <c r="U146" s="444"/>
      <c r="V146" s="517"/>
      <c r="W146" s="558"/>
      <c r="X146" s="406"/>
    </row>
    <row r="147" spans="1:25" x14ac:dyDescent="0.3">
      <c r="A147" s="543"/>
      <c r="B147" s="444" t="s">
        <v>126</v>
      </c>
      <c r="C147" s="444"/>
      <c r="D147" s="444"/>
      <c r="E147" s="444"/>
      <c r="F147" s="444"/>
      <c r="G147" s="444"/>
      <c r="H147" s="444"/>
      <c r="I147" s="444"/>
      <c r="J147" s="444"/>
      <c r="K147" s="444"/>
      <c r="L147" s="444"/>
      <c r="M147" s="444"/>
      <c r="N147" s="444"/>
      <c r="O147" s="444"/>
      <c r="P147" s="444"/>
      <c r="Q147" s="444"/>
      <c r="R147" s="444"/>
      <c r="S147" s="444"/>
      <c r="T147" s="444"/>
      <c r="U147" s="444"/>
      <c r="V147" s="517">
        <v>0</v>
      </c>
      <c r="W147" s="558"/>
      <c r="X147" s="406"/>
    </row>
    <row r="148" spans="1:25" x14ac:dyDescent="0.3">
      <c r="A148" s="543"/>
      <c r="B148" s="444" t="s">
        <v>127</v>
      </c>
      <c r="C148" s="444"/>
      <c r="D148" s="444"/>
      <c r="E148" s="444"/>
      <c r="F148" s="444"/>
      <c r="G148" s="444"/>
      <c r="H148" s="444"/>
      <c r="I148" s="444"/>
      <c r="J148" s="444"/>
      <c r="K148" s="444"/>
      <c r="L148" s="444"/>
      <c r="M148" s="444"/>
      <c r="N148" s="444"/>
      <c r="O148" s="444"/>
      <c r="P148" s="444"/>
      <c r="Q148" s="444"/>
      <c r="R148" s="444"/>
      <c r="S148" s="444"/>
      <c r="T148" s="444"/>
      <c r="U148" s="444"/>
      <c r="V148" s="517">
        <v>0</v>
      </c>
      <c r="W148" s="558"/>
      <c r="X148" s="406"/>
    </row>
    <row r="149" spans="1:25" x14ac:dyDescent="0.3">
      <c r="A149" s="543"/>
      <c r="B149" s="444" t="s">
        <v>178</v>
      </c>
      <c r="C149" s="444"/>
      <c r="D149" s="444"/>
      <c r="E149" s="444"/>
      <c r="F149" s="444"/>
      <c r="G149" s="444"/>
      <c r="H149" s="444"/>
      <c r="I149" s="444"/>
      <c r="J149" s="444"/>
      <c r="K149" s="444"/>
      <c r="L149" s="444"/>
      <c r="M149" s="444"/>
      <c r="N149" s="444"/>
      <c r="O149" s="444"/>
      <c r="P149" s="444"/>
      <c r="Q149" s="444"/>
      <c r="R149" s="444"/>
      <c r="S149" s="444"/>
      <c r="T149" s="444"/>
      <c r="U149" s="444"/>
      <c r="V149" s="517">
        <v>0</v>
      </c>
      <c r="W149" s="558"/>
      <c r="X149" s="406"/>
    </row>
    <row r="150" spans="1:25" x14ac:dyDescent="0.3">
      <c r="A150" s="543"/>
      <c r="B150" s="444" t="s">
        <v>45</v>
      </c>
      <c r="C150" s="444"/>
      <c r="D150" s="444"/>
      <c r="E150" s="444"/>
      <c r="F150" s="444"/>
      <c r="G150" s="444"/>
      <c r="H150" s="444"/>
      <c r="I150" s="444"/>
      <c r="J150" s="444"/>
      <c r="K150" s="444"/>
      <c r="L150" s="444"/>
      <c r="M150" s="444"/>
      <c r="N150" s="444"/>
      <c r="O150" s="444"/>
      <c r="P150" s="444"/>
      <c r="Q150" s="444"/>
      <c r="R150" s="444"/>
      <c r="S150" s="444"/>
      <c r="T150" s="444"/>
      <c r="U150" s="444"/>
      <c r="V150" s="517">
        <v>0</v>
      </c>
      <c r="W150" s="558"/>
      <c r="X150" s="406"/>
    </row>
    <row r="151" spans="1:25" x14ac:dyDescent="0.3">
      <c r="A151" s="543"/>
      <c r="B151" s="444" t="s">
        <v>132</v>
      </c>
      <c r="C151" s="444"/>
      <c r="D151" s="444"/>
      <c r="E151" s="444"/>
      <c r="F151" s="444"/>
      <c r="G151" s="444"/>
      <c r="H151" s="444"/>
      <c r="I151" s="444"/>
      <c r="J151" s="444"/>
      <c r="K151" s="444"/>
      <c r="L151" s="444"/>
      <c r="M151" s="444"/>
      <c r="N151" s="444"/>
      <c r="O151" s="444"/>
      <c r="P151" s="444"/>
      <c r="Q151" s="444"/>
      <c r="R151" s="444"/>
      <c r="S151" s="444"/>
      <c r="T151" s="444"/>
      <c r="U151" s="444"/>
      <c r="V151" s="517">
        <v>0</v>
      </c>
      <c r="W151" s="558"/>
      <c r="X151" s="406"/>
    </row>
    <row r="152" spans="1:25" x14ac:dyDescent="0.3">
      <c r="A152" s="543"/>
      <c r="B152" s="444" t="s">
        <v>267</v>
      </c>
      <c r="C152" s="444"/>
      <c r="D152" s="444"/>
      <c r="E152" s="444"/>
      <c r="F152" s="444"/>
      <c r="G152" s="444"/>
      <c r="H152" s="444"/>
      <c r="I152" s="444"/>
      <c r="J152" s="444"/>
      <c r="K152" s="444"/>
      <c r="L152" s="444"/>
      <c r="M152" s="444"/>
      <c r="N152" s="444"/>
      <c r="O152" s="444"/>
      <c r="P152" s="444"/>
      <c r="Q152" s="444"/>
      <c r="R152" s="444"/>
      <c r="S152" s="444"/>
      <c r="T152" s="444"/>
      <c r="U152" s="444"/>
      <c r="V152" s="517">
        <v>0</v>
      </c>
      <c r="W152" s="558"/>
      <c r="X152" s="406"/>
      <c r="Y152" s="559"/>
    </row>
    <row r="153" spans="1:25" x14ac:dyDescent="0.3">
      <c r="A153" s="543"/>
      <c r="B153" s="444" t="s">
        <v>46</v>
      </c>
      <c r="C153" s="444"/>
      <c r="D153" s="444"/>
      <c r="E153" s="444"/>
      <c r="F153" s="444"/>
      <c r="G153" s="444"/>
      <c r="H153" s="444"/>
      <c r="I153" s="444"/>
      <c r="J153" s="444"/>
      <c r="K153" s="444"/>
      <c r="L153" s="444"/>
      <c r="M153" s="444"/>
      <c r="N153" s="444"/>
      <c r="O153" s="444"/>
      <c r="P153" s="444"/>
      <c r="Q153" s="444"/>
      <c r="R153" s="444"/>
      <c r="S153" s="444"/>
      <c r="T153" s="444"/>
      <c r="U153" s="444"/>
      <c r="V153" s="517">
        <f>SUM(V145:V152)</f>
        <v>28504</v>
      </c>
      <c r="W153" s="558"/>
      <c r="X153" s="406"/>
    </row>
    <row r="154" spans="1:25" x14ac:dyDescent="0.3">
      <c r="A154" s="543"/>
      <c r="B154" s="465"/>
      <c r="C154" s="465"/>
      <c r="D154" s="465"/>
      <c r="E154" s="465"/>
      <c r="F154" s="465"/>
      <c r="G154" s="465"/>
      <c r="H154" s="465"/>
      <c r="I154" s="465"/>
      <c r="J154" s="465"/>
      <c r="K154" s="465"/>
      <c r="L154" s="465"/>
      <c r="M154" s="465"/>
      <c r="N154" s="465"/>
      <c r="O154" s="465"/>
      <c r="P154" s="465"/>
      <c r="Q154" s="465"/>
      <c r="R154" s="465"/>
      <c r="S154" s="465"/>
      <c r="T154" s="465"/>
      <c r="U154" s="465"/>
      <c r="V154" s="546"/>
      <c r="W154" s="547"/>
      <c r="X154" s="406"/>
    </row>
    <row r="155" spans="1:25" x14ac:dyDescent="0.3">
      <c r="A155" s="543"/>
      <c r="B155" s="544" t="s">
        <v>268</v>
      </c>
      <c r="C155" s="465"/>
      <c r="D155" s="465"/>
      <c r="E155" s="465"/>
      <c r="F155" s="465"/>
      <c r="G155" s="465"/>
      <c r="H155" s="465"/>
      <c r="I155" s="465"/>
      <c r="J155" s="465"/>
      <c r="K155" s="465"/>
      <c r="L155" s="465"/>
      <c r="M155" s="465"/>
      <c r="N155" s="465"/>
      <c r="O155" s="465"/>
      <c r="P155" s="465"/>
      <c r="Q155" s="465"/>
      <c r="R155" s="465"/>
      <c r="S155" s="465"/>
      <c r="T155" s="465"/>
      <c r="U155" s="465"/>
      <c r="V155" s="546"/>
      <c r="W155" s="547"/>
      <c r="X155" s="406"/>
    </row>
    <row r="156" spans="1:25" x14ac:dyDescent="0.3">
      <c r="A156" s="543"/>
      <c r="B156" s="444" t="s">
        <v>158</v>
      </c>
      <c r="C156" s="444"/>
      <c r="D156" s="444"/>
      <c r="E156" s="444"/>
      <c r="F156" s="444"/>
      <c r="G156" s="444"/>
      <c r="H156" s="444"/>
      <c r="I156" s="444"/>
      <c r="J156" s="444"/>
      <c r="K156" s="444"/>
      <c r="L156" s="444"/>
      <c r="M156" s="444"/>
      <c r="N156" s="444"/>
      <c r="O156" s="444"/>
      <c r="P156" s="444"/>
      <c r="Q156" s="444"/>
      <c r="R156" s="444"/>
      <c r="S156" s="444"/>
      <c r="T156" s="444"/>
      <c r="U156" s="444"/>
      <c r="V156" s="517">
        <v>15000</v>
      </c>
      <c r="W156" s="558"/>
      <c r="X156" s="406"/>
    </row>
    <row r="157" spans="1:25" x14ac:dyDescent="0.3">
      <c r="A157" s="543"/>
      <c r="B157" s="444" t="s">
        <v>175</v>
      </c>
      <c r="C157" s="444"/>
      <c r="D157" s="444"/>
      <c r="E157" s="444"/>
      <c r="F157" s="444"/>
      <c r="G157" s="444"/>
      <c r="H157" s="444"/>
      <c r="I157" s="444"/>
      <c r="J157" s="444"/>
      <c r="K157" s="444"/>
      <c r="L157" s="444"/>
      <c r="M157" s="444"/>
      <c r="N157" s="444"/>
      <c r="O157" s="444"/>
      <c r="P157" s="444"/>
      <c r="Q157" s="444"/>
      <c r="R157" s="444"/>
      <c r="S157" s="444"/>
      <c r="T157" s="444"/>
      <c r="U157" s="444"/>
      <c r="V157" s="517">
        <v>0</v>
      </c>
      <c r="W157" s="558"/>
      <c r="X157" s="406"/>
    </row>
    <row r="158" spans="1:25" x14ac:dyDescent="0.3">
      <c r="A158" s="543"/>
      <c r="B158" s="444" t="s">
        <v>341</v>
      </c>
      <c r="C158" s="444"/>
      <c r="D158" s="444"/>
      <c r="E158" s="444"/>
      <c r="F158" s="444"/>
      <c r="G158" s="444"/>
      <c r="H158" s="444"/>
      <c r="I158" s="444"/>
      <c r="J158" s="444"/>
      <c r="K158" s="444"/>
      <c r="L158" s="444"/>
      <c r="M158" s="444"/>
      <c r="N158" s="444"/>
      <c r="O158" s="444"/>
      <c r="P158" s="444"/>
      <c r="Q158" s="444"/>
      <c r="R158" s="444"/>
      <c r="S158" s="444"/>
      <c r="T158" s="444"/>
      <c r="U158" s="444"/>
      <c r="V158" s="517">
        <v>0</v>
      </c>
      <c r="W158" s="558"/>
      <c r="X158" s="406"/>
    </row>
    <row r="159" spans="1:25" x14ac:dyDescent="0.3">
      <c r="A159" s="543"/>
      <c r="B159" s="465"/>
      <c r="C159" s="465"/>
      <c r="D159" s="465"/>
      <c r="E159" s="465"/>
      <c r="F159" s="465"/>
      <c r="G159" s="465"/>
      <c r="H159" s="465"/>
      <c r="I159" s="465"/>
      <c r="J159" s="465"/>
      <c r="K159" s="465"/>
      <c r="L159" s="465"/>
      <c r="M159" s="465"/>
      <c r="N159" s="465"/>
      <c r="O159" s="465"/>
      <c r="P159" s="465"/>
      <c r="Q159" s="465"/>
      <c r="R159" s="465"/>
      <c r="S159" s="465"/>
      <c r="T159" s="465"/>
      <c r="U159" s="465"/>
      <c r="V159" s="546"/>
      <c r="W159" s="547"/>
      <c r="X159" s="406"/>
    </row>
    <row r="160" spans="1:25" x14ac:dyDescent="0.3">
      <c r="A160" s="408"/>
      <c r="B160" s="518"/>
      <c r="C160" s="518"/>
      <c r="D160" s="518"/>
      <c r="E160" s="518"/>
      <c r="F160" s="518"/>
      <c r="G160" s="518"/>
      <c r="H160" s="518"/>
      <c r="I160" s="518"/>
      <c r="J160" s="518"/>
      <c r="K160" s="518"/>
      <c r="L160" s="518"/>
      <c r="M160" s="518"/>
      <c r="N160" s="518"/>
      <c r="O160" s="518"/>
      <c r="P160" s="518"/>
      <c r="Q160" s="518"/>
      <c r="R160" s="518"/>
      <c r="S160" s="518"/>
      <c r="T160" s="518"/>
      <c r="U160" s="518"/>
      <c r="V160" s="560"/>
      <c r="W160" s="411"/>
      <c r="X160" s="406"/>
    </row>
    <row r="161" spans="1:24" x14ac:dyDescent="0.3">
      <c r="A161" s="408"/>
      <c r="B161" s="557" t="s">
        <v>24</v>
      </c>
      <c r="C161" s="410"/>
      <c r="D161" s="410"/>
      <c r="E161" s="410"/>
      <c r="F161" s="410"/>
      <c r="G161" s="410"/>
      <c r="H161" s="410"/>
      <c r="I161" s="410"/>
      <c r="J161" s="410"/>
      <c r="K161" s="410"/>
      <c r="L161" s="410"/>
      <c r="M161" s="410"/>
      <c r="N161" s="410"/>
      <c r="O161" s="410"/>
      <c r="P161" s="410"/>
      <c r="Q161" s="410"/>
      <c r="R161" s="410"/>
      <c r="S161" s="410"/>
      <c r="T161" s="410"/>
      <c r="U161" s="410"/>
      <c r="V161" s="510"/>
      <c r="W161" s="411"/>
      <c r="X161" s="406"/>
    </row>
    <row r="162" spans="1:24" x14ac:dyDescent="0.3">
      <c r="A162" s="543"/>
      <c r="B162" s="444" t="s">
        <v>47</v>
      </c>
      <c r="C162" s="444"/>
      <c r="D162" s="444"/>
      <c r="E162" s="444"/>
      <c r="F162" s="444"/>
      <c r="G162" s="444"/>
      <c r="H162" s="444"/>
      <c r="I162" s="444"/>
      <c r="J162" s="444"/>
      <c r="K162" s="444"/>
      <c r="L162" s="444"/>
      <c r="M162" s="444"/>
      <c r="N162" s="444"/>
      <c r="O162" s="444"/>
      <c r="P162" s="444"/>
      <c r="Q162" s="444"/>
      <c r="R162" s="444"/>
      <c r="S162" s="444"/>
      <c r="T162" s="444"/>
      <c r="U162" s="444"/>
      <c r="V162" s="561" t="s">
        <v>121</v>
      </c>
      <c r="W162" s="558"/>
      <c r="X162" s="406"/>
    </row>
    <row r="163" spans="1:24" x14ac:dyDescent="0.3">
      <c r="A163" s="543"/>
      <c r="B163" s="444" t="s">
        <v>48</v>
      </c>
      <c r="C163" s="444"/>
      <c r="D163" s="444"/>
      <c r="E163" s="444"/>
      <c r="F163" s="444"/>
      <c r="G163" s="444"/>
      <c r="H163" s="444"/>
      <c r="I163" s="444"/>
      <c r="J163" s="444"/>
      <c r="K163" s="444"/>
      <c r="L163" s="444"/>
      <c r="M163" s="444"/>
      <c r="N163" s="444"/>
      <c r="O163" s="444"/>
      <c r="P163" s="444"/>
      <c r="Q163" s="444"/>
      <c r="R163" s="444"/>
      <c r="S163" s="444"/>
      <c r="T163" s="444"/>
      <c r="U163" s="444"/>
      <c r="V163" s="561" t="s">
        <v>121</v>
      </c>
      <c r="W163" s="558"/>
      <c r="X163" s="406"/>
    </row>
    <row r="164" spans="1:24" x14ac:dyDescent="0.3">
      <c r="A164" s="543"/>
      <c r="B164" s="444" t="s">
        <v>49</v>
      </c>
      <c r="C164" s="444"/>
      <c r="D164" s="444"/>
      <c r="E164" s="444"/>
      <c r="F164" s="444"/>
      <c r="G164" s="444"/>
      <c r="H164" s="444"/>
      <c r="I164" s="444"/>
      <c r="J164" s="444"/>
      <c r="K164" s="444"/>
      <c r="L164" s="444"/>
      <c r="M164" s="444"/>
      <c r="N164" s="444"/>
      <c r="O164" s="444"/>
      <c r="P164" s="444"/>
      <c r="Q164" s="444"/>
      <c r="R164" s="444"/>
      <c r="S164" s="444"/>
      <c r="T164" s="444"/>
      <c r="U164" s="444"/>
      <c r="V164" s="561" t="s">
        <v>121</v>
      </c>
      <c r="W164" s="558"/>
      <c r="X164" s="406"/>
    </row>
    <row r="165" spans="1:24" x14ac:dyDescent="0.3">
      <c r="A165" s="543"/>
      <c r="B165" s="444" t="s">
        <v>50</v>
      </c>
      <c r="C165" s="444"/>
      <c r="D165" s="444"/>
      <c r="E165" s="444"/>
      <c r="F165" s="444"/>
      <c r="G165" s="444"/>
      <c r="H165" s="444"/>
      <c r="I165" s="444"/>
      <c r="J165" s="444"/>
      <c r="K165" s="444"/>
      <c r="L165" s="444"/>
      <c r="M165" s="444"/>
      <c r="N165" s="444"/>
      <c r="O165" s="444"/>
      <c r="P165" s="444"/>
      <c r="Q165" s="444"/>
      <c r="R165" s="444"/>
      <c r="S165" s="444"/>
      <c r="T165" s="444"/>
      <c r="U165" s="444"/>
      <c r="V165" s="561" t="s">
        <v>121</v>
      </c>
      <c r="W165" s="558"/>
      <c r="X165" s="406"/>
    </row>
    <row r="166" spans="1:24" x14ac:dyDescent="0.3">
      <c r="A166" s="408"/>
      <c r="B166" s="518"/>
      <c r="C166" s="518"/>
      <c r="D166" s="518"/>
      <c r="E166" s="518"/>
      <c r="F166" s="518"/>
      <c r="G166" s="518"/>
      <c r="H166" s="518"/>
      <c r="I166" s="518"/>
      <c r="J166" s="518"/>
      <c r="K166" s="518"/>
      <c r="L166" s="518"/>
      <c r="M166" s="518"/>
      <c r="N166" s="518"/>
      <c r="O166" s="518"/>
      <c r="P166" s="518"/>
      <c r="Q166" s="518"/>
      <c r="R166" s="518"/>
      <c r="S166" s="518"/>
      <c r="T166" s="518"/>
      <c r="U166" s="518"/>
      <c r="V166" s="560"/>
      <c r="W166" s="411"/>
      <c r="X166" s="406"/>
    </row>
    <row r="167" spans="1:24" x14ac:dyDescent="0.3">
      <c r="A167" s="408"/>
      <c r="B167" s="557" t="s">
        <v>51</v>
      </c>
      <c r="C167" s="410"/>
      <c r="D167" s="410"/>
      <c r="E167" s="410"/>
      <c r="F167" s="410"/>
      <c r="G167" s="410"/>
      <c r="H167" s="410"/>
      <c r="I167" s="410"/>
      <c r="J167" s="410"/>
      <c r="K167" s="410"/>
      <c r="L167" s="410"/>
      <c r="M167" s="410"/>
      <c r="N167" s="410"/>
      <c r="O167" s="410"/>
      <c r="P167" s="410"/>
      <c r="Q167" s="410"/>
      <c r="R167" s="410"/>
      <c r="S167" s="410"/>
      <c r="T167" s="410"/>
      <c r="U167" s="410"/>
      <c r="V167" s="562"/>
      <c r="W167" s="411"/>
      <c r="X167" s="406"/>
    </row>
    <row r="168" spans="1:24" x14ac:dyDescent="0.3">
      <c r="A168" s="563"/>
      <c r="B168" s="548" t="s">
        <v>52</v>
      </c>
      <c r="C168" s="548"/>
      <c r="D168" s="548"/>
      <c r="E168" s="548"/>
      <c r="F168" s="548"/>
      <c r="G168" s="548"/>
      <c r="H168" s="548"/>
      <c r="I168" s="548"/>
      <c r="J168" s="548"/>
      <c r="K168" s="548"/>
      <c r="L168" s="548"/>
      <c r="M168" s="548"/>
      <c r="N168" s="548"/>
      <c r="O168" s="548"/>
      <c r="P168" s="548"/>
      <c r="Q168" s="548"/>
      <c r="R168" s="548"/>
      <c r="S168" s="548"/>
      <c r="T168" s="548"/>
      <c r="U168" s="548"/>
      <c r="V168" s="564">
        <v>0</v>
      </c>
      <c r="W168" s="565"/>
      <c r="X168" s="406"/>
    </row>
    <row r="169" spans="1:24" x14ac:dyDescent="0.3">
      <c r="A169" s="563"/>
      <c r="B169" s="548" t="s">
        <v>53</v>
      </c>
      <c r="C169" s="548"/>
      <c r="D169" s="548"/>
      <c r="E169" s="548"/>
      <c r="F169" s="548"/>
      <c r="G169" s="548"/>
      <c r="H169" s="548"/>
      <c r="I169" s="548"/>
      <c r="J169" s="548"/>
      <c r="K169" s="548"/>
      <c r="L169" s="548"/>
      <c r="M169" s="548"/>
      <c r="N169" s="548"/>
      <c r="O169" s="548"/>
      <c r="P169" s="548"/>
      <c r="Q169" s="548"/>
      <c r="R169" s="548"/>
      <c r="S169" s="548"/>
      <c r="T169" s="548"/>
      <c r="U169" s="548"/>
      <c r="V169" s="564">
        <v>-17</v>
      </c>
      <c r="W169" s="565"/>
      <c r="X169" s="406"/>
    </row>
    <row r="170" spans="1:24" x14ac:dyDescent="0.3">
      <c r="A170" s="563"/>
      <c r="B170" s="548" t="s">
        <v>54</v>
      </c>
      <c r="C170" s="548"/>
      <c r="D170" s="548"/>
      <c r="E170" s="548"/>
      <c r="F170" s="548"/>
      <c r="G170" s="548"/>
      <c r="H170" s="548"/>
      <c r="I170" s="548"/>
      <c r="J170" s="548"/>
      <c r="K170" s="548"/>
      <c r="L170" s="548"/>
      <c r="M170" s="548"/>
      <c r="N170" s="548"/>
      <c r="O170" s="548"/>
      <c r="P170" s="548"/>
      <c r="Q170" s="548"/>
      <c r="R170" s="548"/>
      <c r="S170" s="548"/>
      <c r="T170" s="548"/>
      <c r="U170" s="548"/>
      <c r="V170" s="564">
        <f>V169+V168</f>
        <v>-17</v>
      </c>
      <c r="W170" s="565"/>
      <c r="X170" s="406"/>
    </row>
    <row r="171" spans="1:24" x14ac:dyDescent="0.3">
      <c r="A171" s="563"/>
      <c r="B171" s="444" t="s">
        <v>318</v>
      </c>
      <c r="C171" s="548"/>
      <c r="D171" s="548"/>
      <c r="E171" s="548"/>
      <c r="F171" s="548"/>
      <c r="G171" s="548"/>
      <c r="H171" s="548"/>
      <c r="I171" s="548"/>
      <c r="J171" s="548"/>
      <c r="K171" s="548"/>
      <c r="L171" s="548"/>
      <c r="M171" s="548"/>
      <c r="N171" s="548"/>
      <c r="O171" s="548"/>
      <c r="P171" s="548"/>
      <c r="Q171" s="548"/>
      <c r="R171" s="548"/>
      <c r="S171" s="548"/>
      <c r="T171" s="548"/>
      <c r="U171" s="548"/>
      <c r="V171" s="564">
        <f>V114</f>
        <v>17</v>
      </c>
      <c r="W171" s="565"/>
      <c r="X171" s="406"/>
    </row>
    <row r="172" spans="1:24" x14ac:dyDescent="0.3">
      <c r="A172" s="563"/>
      <c r="B172" s="548" t="s">
        <v>55</v>
      </c>
      <c r="C172" s="548"/>
      <c r="D172" s="548"/>
      <c r="E172" s="548"/>
      <c r="F172" s="548"/>
      <c r="G172" s="548"/>
      <c r="H172" s="548"/>
      <c r="I172" s="548"/>
      <c r="J172" s="548"/>
      <c r="K172" s="548"/>
      <c r="L172" s="548"/>
      <c r="M172" s="548"/>
      <c r="N172" s="548"/>
      <c r="O172" s="548"/>
      <c r="P172" s="548"/>
      <c r="Q172" s="548"/>
      <c r="R172" s="548"/>
      <c r="S172" s="548"/>
      <c r="T172" s="548"/>
      <c r="U172" s="548"/>
      <c r="V172" s="564">
        <f>V170+V171</f>
        <v>0</v>
      </c>
      <c r="W172" s="565"/>
      <c r="X172" s="406"/>
    </row>
    <row r="173" spans="1:24" x14ac:dyDescent="0.3">
      <c r="A173" s="563"/>
      <c r="B173" s="548" t="s">
        <v>288</v>
      </c>
      <c r="C173" s="548"/>
      <c r="D173" s="548"/>
      <c r="E173" s="548"/>
      <c r="F173" s="548"/>
      <c r="G173" s="548"/>
      <c r="H173" s="548"/>
      <c r="I173" s="548"/>
      <c r="J173" s="548"/>
      <c r="K173" s="548"/>
      <c r="L173" s="548"/>
      <c r="M173" s="548"/>
      <c r="N173" s="548"/>
      <c r="O173" s="548"/>
      <c r="P173" s="548"/>
      <c r="Q173" s="548"/>
      <c r="R173" s="548"/>
      <c r="S173" s="548"/>
      <c r="T173" s="548"/>
      <c r="U173" s="548"/>
      <c r="V173" s="564">
        <f>-V98</f>
        <v>128</v>
      </c>
      <c r="W173" s="565"/>
      <c r="X173" s="406"/>
    </row>
    <row r="174" spans="1:24" ht="16.2" thickBot="1" x14ac:dyDescent="0.35">
      <c r="A174" s="408"/>
      <c r="B174" s="518"/>
      <c r="C174" s="518"/>
      <c r="D174" s="518"/>
      <c r="E174" s="518"/>
      <c r="F174" s="518"/>
      <c r="G174" s="518"/>
      <c r="H174" s="518"/>
      <c r="I174" s="518"/>
      <c r="J174" s="518"/>
      <c r="K174" s="518"/>
      <c r="L174" s="518"/>
      <c r="M174" s="518"/>
      <c r="N174" s="518"/>
      <c r="O174" s="518"/>
      <c r="P174" s="518"/>
      <c r="Q174" s="518"/>
      <c r="R174" s="518"/>
      <c r="S174" s="518"/>
      <c r="T174" s="518"/>
      <c r="U174" s="518"/>
      <c r="V174" s="560"/>
      <c r="W174" s="411"/>
      <c r="X174" s="406"/>
    </row>
    <row r="175" spans="1:24" x14ac:dyDescent="0.3">
      <c r="A175" s="402"/>
      <c r="B175" s="404"/>
      <c r="C175" s="404"/>
      <c r="D175" s="404"/>
      <c r="E175" s="404"/>
      <c r="F175" s="404"/>
      <c r="G175" s="404"/>
      <c r="H175" s="404"/>
      <c r="I175" s="404"/>
      <c r="J175" s="404"/>
      <c r="K175" s="404"/>
      <c r="L175" s="404"/>
      <c r="M175" s="404"/>
      <c r="N175" s="404"/>
      <c r="O175" s="404"/>
      <c r="P175" s="404"/>
      <c r="Q175" s="404"/>
      <c r="R175" s="404"/>
      <c r="S175" s="404"/>
      <c r="T175" s="404"/>
      <c r="U175" s="404"/>
      <c r="V175" s="566"/>
      <c r="W175" s="405"/>
      <c r="X175" s="406"/>
    </row>
    <row r="176" spans="1:24" x14ac:dyDescent="0.3">
      <c r="A176" s="408"/>
      <c r="B176" s="557" t="s">
        <v>56</v>
      </c>
      <c r="C176" s="410"/>
      <c r="D176" s="410"/>
      <c r="E176" s="410"/>
      <c r="F176" s="410"/>
      <c r="G176" s="410"/>
      <c r="H176" s="410"/>
      <c r="I176" s="410"/>
      <c r="J176" s="410"/>
      <c r="K176" s="410"/>
      <c r="L176" s="410"/>
      <c r="M176" s="410"/>
      <c r="N176" s="410"/>
      <c r="O176" s="410"/>
      <c r="P176" s="410"/>
      <c r="Q176" s="410"/>
      <c r="R176" s="410"/>
      <c r="S176" s="410"/>
      <c r="T176" s="410"/>
      <c r="U176" s="410"/>
      <c r="V176" s="510"/>
      <c r="W176" s="411"/>
      <c r="X176" s="406"/>
    </row>
    <row r="177" spans="1:24" x14ac:dyDescent="0.3">
      <c r="A177" s="408"/>
      <c r="B177" s="556"/>
      <c r="C177" s="410"/>
      <c r="D177" s="410"/>
      <c r="E177" s="410"/>
      <c r="F177" s="410"/>
      <c r="G177" s="410"/>
      <c r="H177" s="410"/>
      <c r="I177" s="410"/>
      <c r="J177" s="410"/>
      <c r="K177" s="410"/>
      <c r="L177" s="410"/>
      <c r="M177" s="410"/>
      <c r="N177" s="410"/>
      <c r="O177" s="410"/>
      <c r="P177" s="410"/>
      <c r="Q177" s="410"/>
      <c r="R177" s="410"/>
      <c r="S177" s="410"/>
      <c r="T177" s="410"/>
      <c r="U177" s="410"/>
      <c r="V177" s="510"/>
      <c r="W177" s="411"/>
      <c r="X177" s="406"/>
    </row>
    <row r="178" spans="1:24" x14ac:dyDescent="0.3">
      <c r="A178" s="543"/>
      <c r="B178" s="444" t="s">
        <v>57</v>
      </c>
      <c r="C178" s="444"/>
      <c r="D178" s="444"/>
      <c r="E178" s="444"/>
      <c r="F178" s="444"/>
      <c r="G178" s="444"/>
      <c r="H178" s="444"/>
      <c r="I178" s="444"/>
      <c r="J178" s="444"/>
      <c r="K178" s="444"/>
      <c r="L178" s="444"/>
      <c r="M178" s="444"/>
      <c r="N178" s="444"/>
      <c r="O178" s="444"/>
      <c r="P178" s="444"/>
      <c r="Q178" s="444"/>
      <c r="R178" s="444"/>
      <c r="S178" s="444"/>
      <c r="T178" s="444"/>
      <c r="U178" s="444"/>
      <c r="V178" s="517">
        <f>V70</f>
        <v>685942</v>
      </c>
      <c r="W178" s="558"/>
      <c r="X178" s="406"/>
    </row>
    <row r="179" spans="1:24" x14ac:dyDescent="0.3">
      <c r="A179" s="543"/>
      <c r="B179" s="444" t="s">
        <v>58</v>
      </c>
      <c r="C179" s="444"/>
      <c r="D179" s="444"/>
      <c r="E179" s="444"/>
      <c r="F179" s="444"/>
      <c r="G179" s="444"/>
      <c r="H179" s="444"/>
      <c r="I179" s="444"/>
      <c r="J179" s="444"/>
      <c r="K179" s="444"/>
      <c r="L179" s="444"/>
      <c r="M179" s="444"/>
      <c r="N179" s="444"/>
      <c r="O179" s="444"/>
      <c r="P179" s="444"/>
      <c r="Q179" s="444"/>
      <c r="R179" s="444"/>
      <c r="S179" s="444"/>
      <c r="T179" s="444"/>
      <c r="U179" s="444"/>
      <c r="V179" s="517">
        <f>V83</f>
        <v>685942</v>
      </c>
      <c r="W179" s="558"/>
      <c r="X179" s="406"/>
    </row>
    <row r="180" spans="1:24" ht="16.2" thickBot="1" x14ac:dyDescent="0.35">
      <c r="A180" s="408"/>
      <c r="B180" s="518"/>
      <c r="C180" s="518"/>
      <c r="D180" s="518"/>
      <c r="E180" s="518"/>
      <c r="F180" s="518"/>
      <c r="G180" s="518"/>
      <c r="H180" s="518"/>
      <c r="I180" s="518"/>
      <c r="J180" s="518"/>
      <c r="K180" s="518"/>
      <c r="L180" s="518"/>
      <c r="M180" s="518"/>
      <c r="N180" s="518"/>
      <c r="O180" s="518"/>
      <c r="P180" s="518"/>
      <c r="Q180" s="518"/>
      <c r="R180" s="518"/>
      <c r="S180" s="518"/>
      <c r="T180" s="518"/>
      <c r="U180" s="518"/>
      <c r="V180" s="560"/>
      <c r="W180" s="411"/>
      <c r="X180" s="406"/>
    </row>
    <row r="181" spans="1:24" x14ac:dyDescent="0.3">
      <c r="A181" s="402"/>
      <c r="B181" s="404"/>
      <c r="C181" s="404"/>
      <c r="D181" s="404"/>
      <c r="E181" s="404"/>
      <c r="F181" s="404"/>
      <c r="G181" s="404"/>
      <c r="H181" s="404"/>
      <c r="I181" s="404"/>
      <c r="J181" s="404"/>
      <c r="K181" s="404"/>
      <c r="L181" s="404"/>
      <c r="M181" s="404"/>
      <c r="N181" s="404"/>
      <c r="O181" s="404"/>
      <c r="P181" s="404"/>
      <c r="Q181" s="404"/>
      <c r="R181" s="404"/>
      <c r="S181" s="404"/>
      <c r="T181" s="404"/>
      <c r="U181" s="404"/>
      <c r="V181" s="566"/>
      <c r="W181" s="405"/>
      <c r="X181" s="406"/>
    </row>
    <row r="182" spans="1:24" s="473" customFormat="1" x14ac:dyDescent="0.3">
      <c r="A182" s="511"/>
      <c r="B182" s="557" t="s">
        <v>59</v>
      </c>
      <c r="C182" s="567"/>
      <c r="D182" s="567"/>
      <c r="E182" s="567"/>
      <c r="F182" s="567"/>
      <c r="G182" s="567"/>
      <c r="H182" s="568"/>
      <c r="I182" s="568"/>
      <c r="J182" s="568"/>
      <c r="K182" s="568"/>
      <c r="L182" s="568"/>
      <c r="M182" s="568"/>
      <c r="N182" s="568"/>
      <c r="O182" s="568"/>
      <c r="P182" s="568"/>
      <c r="Q182" s="568"/>
      <c r="R182" s="568"/>
      <c r="S182" s="568" t="s">
        <v>102</v>
      </c>
      <c r="T182" s="568" t="s">
        <v>179</v>
      </c>
      <c r="U182" s="413"/>
      <c r="V182" s="569" t="s">
        <v>117</v>
      </c>
      <c r="W182" s="570"/>
      <c r="X182" s="472"/>
    </row>
    <row r="183" spans="1:24" s="426" customFormat="1" x14ac:dyDescent="0.3">
      <c r="A183" s="443"/>
      <c r="B183" s="444" t="s">
        <v>60</v>
      </c>
      <c r="C183" s="444"/>
      <c r="D183" s="444"/>
      <c r="E183" s="444"/>
      <c r="F183" s="444"/>
      <c r="G183" s="444"/>
      <c r="H183" s="444"/>
      <c r="I183" s="444"/>
      <c r="J183" s="444"/>
      <c r="K183" s="444"/>
      <c r="L183" s="444"/>
      <c r="M183" s="444"/>
      <c r="N183" s="444"/>
      <c r="O183" s="444"/>
      <c r="P183" s="444"/>
      <c r="Q183" s="444"/>
      <c r="R183" s="444"/>
      <c r="S183" s="517">
        <f>+V34*0.16</f>
        <v>240030.4</v>
      </c>
      <c r="T183" s="482"/>
      <c r="U183" s="444"/>
      <c r="V183" s="517"/>
      <c r="W183" s="446"/>
      <c r="X183" s="425"/>
    </row>
    <row r="184" spans="1:24" s="426" customFormat="1" x14ac:dyDescent="0.3">
      <c r="A184" s="443"/>
      <c r="B184" s="444" t="s">
        <v>61</v>
      </c>
      <c r="C184" s="444"/>
      <c r="D184" s="444"/>
      <c r="E184" s="444"/>
      <c r="F184" s="444"/>
      <c r="G184" s="444"/>
      <c r="H184" s="444"/>
      <c r="I184" s="444"/>
      <c r="J184" s="444"/>
      <c r="K184" s="444"/>
      <c r="L184" s="444"/>
      <c r="M184" s="444"/>
      <c r="N184" s="444"/>
      <c r="O184" s="444"/>
      <c r="P184" s="444"/>
      <c r="Q184" s="444"/>
      <c r="R184" s="444"/>
      <c r="S184" s="517">
        <f>+'Sept 19'!S186</f>
        <v>55845</v>
      </c>
      <c r="T184" s="517">
        <f>+'Sept 19'!T186</f>
        <v>9760</v>
      </c>
      <c r="U184" s="444"/>
      <c r="V184" s="517">
        <f>S184+T184</f>
        <v>65605</v>
      </c>
      <c r="W184" s="446"/>
      <c r="X184" s="425"/>
    </row>
    <row r="185" spans="1:24" s="426" customFormat="1" x14ac:dyDescent="0.3">
      <c r="A185" s="443"/>
      <c r="B185" s="444" t="s">
        <v>62</v>
      </c>
      <c r="C185" s="444"/>
      <c r="D185" s="444"/>
      <c r="E185" s="444"/>
      <c r="F185" s="444"/>
      <c r="G185" s="444"/>
      <c r="H185" s="444"/>
      <c r="I185" s="444"/>
      <c r="J185" s="444"/>
      <c r="K185" s="444"/>
      <c r="L185" s="444"/>
      <c r="M185" s="444"/>
      <c r="N185" s="444"/>
      <c r="O185" s="444"/>
      <c r="P185" s="444"/>
      <c r="Q185" s="444"/>
      <c r="R185" s="444"/>
      <c r="S185" s="516">
        <v>0</v>
      </c>
      <c r="T185" s="516">
        <v>0</v>
      </c>
      <c r="U185" s="444"/>
      <c r="V185" s="517">
        <f>S185+T185</f>
        <v>0</v>
      </c>
      <c r="W185" s="446"/>
      <c r="X185" s="425"/>
    </row>
    <row r="186" spans="1:24" s="426" customFormat="1" x14ac:dyDescent="0.3">
      <c r="A186" s="443"/>
      <c r="B186" s="444" t="s">
        <v>63</v>
      </c>
      <c r="C186" s="444"/>
      <c r="D186" s="444"/>
      <c r="E186" s="444"/>
      <c r="F186" s="444"/>
      <c r="G186" s="444"/>
      <c r="H186" s="444"/>
      <c r="I186" s="444"/>
      <c r="J186" s="444"/>
      <c r="K186" s="444"/>
      <c r="L186" s="444"/>
      <c r="M186" s="444"/>
      <c r="N186" s="444"/>
      <c r="O186" s="444"/>
      <c r="P186" s="444"/>
      <c r="Q186" s="444"/>
      <c r="R186" s="444"/>
      <c r="S186" s="517">
        <f>+S184+S185</f>
        <v>55845</v>
      </c>
      <c r="T186" s="517">
        <f>T185+T184</f>
        <v>9760</v>
      </c>
      <c r="U186" s="444"/>
      <c r="V186" s="517">
        <f>S186+T186</f>
        <v>65605</v>
      </c>
      <c r="W186" s="446"/>
      <c r="X186" s="425"/>
    </row>
    <row r="187" spans="1:24" s="426" customFormat="1" x14ac:dyDescent="0.3">
      <c r="A187" s="443"/>
      <c r="B187" s="444" t="s">
        <v>64</v>
      </c>
      <c r="C187" s="444"/>
      <c r="D187" s="444"/>
      <c r="E187" s="444"/>
      <c r="F187" s="444"/>
      <c r="G187" s="444"/>
      <c r="H187" s="444"/>
      <c r="I187" s="444"/>
      <c r="J187" s="444"/>
      <c r="K187" s="444"/>
      <c r="L187" s="444"/>
      <c r="M187" s="444"/>
      <c r="N187" s="444"/>
      <c r="O187" s="444"/>
      <c r="P187" s="444"/>
      <c r="Q187" s="444"/>
      <c r="R187" s="444"/>
      <c r="S187" s="517">
        <f>S183-S186-T186</f>
        <v>174425.4</v>
      </c>
      <c r="T187" s="482"/>
      <c r="U187" s="444"/>
      <c r="V187" s="517"/>
      <c r="W187" s="446"/>
      <c r="X187" s="425"/>
    </row>
    <row r="188" spans="1:24" ht="16.2" thickBot="1" x14ac:dyDescent="0.35">
      <c r="A188" s="408"/>
      <c r="B188" s="518"/>
      <c r="C188" s="518"/>
      <c r="D188" s="518"/>
      <c r="E188" s="518"/>
      <c r="F188" s="518"/>
      <c r="G188" s="518"/>
      <c r="H188" s="518"/>
      <c r="I188" s="518"/>
      <c r="J188" s="518"/>
      <c r="K188" s="518"/>
      <c r="L188" s="518"/>
      <c r="M188" s="518"/>
      <c r="N188" s="518"/>
      <c r="O188" s="518"/>
      <c r="P188" s="518"/>
      <c r="Q188" s="518"/>
      <c r="R188" s="518"/>
      <c r="S188" s="518"/>
      <c r="T188" s="518"/>
      <c r="U188" s="518"/>
      <c r="V188" s="560"/>
      <c r="W188" s="411"/>
      <c r="X188" s="406"/>
    </row>
    <row r="189" spans="1:24" x14ac:dyDescent="0.3">
      <c r="A189" s="402"/>
      <c r="B189" s="404"/>
      <c r="C189" s="404"/>
      <c r="D189" s="404"/>
      <c r="E189" s="404"/>
      <c r="F189" s="404"/>
      <c r="G189" s="404"/>
      <c r="H189" s="404"/>
      <c r="I189" s="404"/>
      <c r="J189" s="404"/>
      <c r="K189" s="404"/>
      <c r="L189" s="404"/>
      <c r="M189" s="404"/>
      <c r="N189" s="404"/>
      <c r="O189" s="404"/>
      <c r="P189" s="404"/>
      <c r="Q189" s="404"/>
      <c r="R189" s="404"/>
      <c r="S189" s="404"/>
      <c r="T189" s="404"/>
      <c r="U189" s="404"/>
      <c r="V189" s="566"/>
      <c r="W189" s="405"/>
      <c r="X189" s="406"/>
    </row>
    <row r="190" spans="1:24" x14ac:dyDescent="0.3">
      <c r="A190" s="408"/>
      <c r="B190" s="557" t="s">
        <v>65</v>
      </c>
      <c r="C190" s="410"/>
      <c r="D190" s="410"/>
      <c r="E190" s="410"/>
      <c r="F190" s="410"/>
      <c r="G190" s="410"/>
      <c r="H190" s="410"/>
      <c r="I190" s="410"/>
      <c r="J190" s="410"/>
      <c r="K190" s="410"/>
      <c r="L190" s="410"/>
      <c r="M190" s="410"/>
      <c r="N190" s="410"/>
      <c r="O190" s="410"/>
      <c r="P190" s="410"/>
      <c r="Q190" s="410"/>
      <c r="R190" s="410"/>
      <c r="S190" s="410"/>
      <c r="T190" s="410"/>
      <c r="U190" s="410"/>
      <c r="V190" s="571"/>
      <c r="W190" s="411"/>
      <c r="X190" s="406"/>
    </row>
    <row r="191" spans="1:24" s="426" customFormat="1" x14ac:dyDescent="0.3">
      <c r="A191" s="443"/>
      <c r="B191" s="444" t="s">
        <v>66</v>
      </c>
      <c r="C191" s="444"/>
      <c r="D191" s="444"/>
      <c r="E191" s="444"/>
      <c r="F191" s="444"/>
      <c r="G191" s="444"/>
      <c r="H191" s="444"/>
      <c r="I191" s="444"/>
      <c r="J191" s="444"/>
      <c r="K191" s="444"/>
      <c r="L191" s="444"/>
      <c r="M191" s="444"/>
      <c r="N191" s="444"/>
      <c r="O191" s="444"/>
      <c r="P191" s="444"/>
      <c r="Q191" s="444"/>
      <c r="R191" s="444"/>
      <c r="S191" s="444"/>
      <c r="T191" s="444"/>
      <c r="U191" s="444"/>
      <c r="V191" s="561">
        <f>(V99+V101+V102+V103+V104)/-(V105+V106)</f>
        <v>3.4081336238198983</v>
      </c>
      <c r="W191" s="446" t="s">
        <v>118</v>
      </c>
      <c r="X191" s="425"/>
    </row>
    <row r="192" spans="1:24" s="426" customFormat="1" x14ac:dyDescent="0.3">
      <c r="A192" s="443"/>
      <c r="B192" s="444" t="s">
        <v>67</v>
      </c>
      <c r="C192" s="444"/>
      <c r="D192" s="444"/>
      <c r="E192" s="444"/>
      <c r="F192" s="444"/>
      <c r="G192" s="444"/>
      <c r="H192" s="444"/>
      <c r="I192" s="444"/>
      <c r="J192" s="444"/>
      <c r="K192" s="444"/>
      <c r="L192" s="444"/>
      <c r="M192" s="444"/>
      <c r="N192" s="444"/>
      <c r="O192" s="444"/>
      <c r="P192" s="444"/>
      <c r="Q192" s="444"/>
      <c r="R192" s="444"/>
      <c r="S192" s="444"/>
      <c r="T192" s="444"/>
      <c r="U192" s="444"/>
      <c r="V192" s="572">
        <v>1.98</v>
      </c>
      <c r="W192" s="446" t="s">
        <v>118</v>
      </c>
      <c r="X192" s="425"/>
    </row>
    <row r="193" spans="1:24" s="426" customFormat="1" x14ac:dyDescent="0.3">
      <c r="A193" s="443"/>
      <c r="B193" s="444" t="s">
        <v>68</v>
      </c>
      <c r="C193" s="444"/>
      <c r="D193" s="444"/>
      <c r="E193" s="444"/>
      <c r="F193" s="444"/>
      <c r="G193" s="444"/>
      <c r="H193" s="444"/>
      <c r="I193" s="444"/>
      <c r="J193" s="444"/>
      <c r="K193" s="444"/>
      <c r="L193" s="444"/>
      <c r="M193" s="444"/>
      <c r="N193" s="444"/>
      <c r="O193" s="444"/>
      <c r="P193" s="444"/>
      <c r="Q193" s="444"/>
      <c r="R193" s="444"/>
      <c r="S193" s="444"/>
      <c r="T193" s="444"/>
      <c r="U193" s="444"/>
      <c r="V193" s="561">
        <f>(V99+V101+V102+V103+V104+V105+V106)/-(V108+V109)</f>
        <v>10.526984126984127</v>
      </c>
      <c r="W193" s="446" t="s">
        <v>118</v>
      </c>
      <c r="X193" s="425"/>
    </row>
    <row r="194" spans="1:24" s="426" customFormat="1" x14ac:dyDescent="0.3">
      <c r="A194" s="443"/>
      <c r="B194" s="444" t="s">
        <v>69</v>
      </c>
      <c r="C194" s="444"/>
      <c r="D194" s="444"/>
      <c r="E194" s="444"/>
      <c r="F194" s="444"/>
      <c r="G194" s="444"/>
      <c r="H194" s="444"/>
      <c r="I194" s="444"/>
      <c r="J194" s="444"/>
      <c r="K194" s="444"/>
      <c r="L194" s="444"/>
      <c r="M194" s="444"/>
      <c r="N194" s="444"/>
      <c r="O194" s="444"/>
      <c r="P194" s="444"/>
      <c r="Q194" s="444"/>
      <c r="R194" s="444"/>
      <c r="S194" s="444"/>
      <c r="T194" s="444"/>
      <c r="U194" s="444"/>
      <c r="V194" s="572">
        <v>8.08</v>
      </c>
      <c r="W194" s="446" t="s">
        <v>118</v>
      </c>
      <c r="X194" s="425"/>
    </row>
    <row r="195" spans="1:24" s="426" customFormat="1" x14ac:dyDescent="0.3">
      <c r="A195" s="443"/>
      <c r="B195" s="444" t="s">
        <v>201</v>
      </c>
      <c r="C195" s="444"/>
      <c r="D195" s="444"/>
      <c r="E195" s="444"/>
      <c r="F195" s="444"/>
      <c r="G195" s="444"/>
      <c r="H195" s="444"/>
      <c r="I195" s="444"/>
      <c r="J195" s="444"/>
      <c r="K195" s="444"/>
      <c r="L195" s="444"/>
      <c r="M195" s="444"/>
      <c r="N195" s="444"/>
      <c r="O195" s="444"/>
      <c r="P195" s="444"/>
      <c r="Q195" s="444"/>
      <c r="R195" s="444"/>
      <c r="S195" s="444"/>
      <c r="T195" s="444"/>
      <c r="U195" s="444"/>
      <c r="V195" s="561">
        <f>(V99+V101+V102+V103+V104+V105+V106+V108+V109)/-(V110+V111)</f>
        <v>11.72265625</v>
      </c>
      <c r="W195" s="446" t="s">
        <v>118</v>
      </c>
      <c r="X195" s="425"/>
    </row>
    <row r="196" spans="1:24" s="426" customFormat="1" x14ac:dyDescent="0.3">
      <c r="A196" s="443"/>
      <c r="B196" s="444" t="s">
        <v>202</v>
      </c>
      <c r="C196" s="444"/>
      <c r="D196" s="444"/>
      <c r="E196" s="444"/>
      <c r="F196" s="444"/>
      <c r="G196" s="444"/>
      <c r="H196" s="444"/>
      <c r="I196" s="444"/>
      <c r="J196" s="444"/>
      <c r="K196" s="444"/>
      <c r="L196" s="444"/>
      <c r="M196" s="444"/>
      <c r="N196" s="444"/>
      <c r="O196" s="444"/>
      <c r="P196" s="444"/>
      <c r="Q196" s="444"/>
      <c r="R196" s="444"/>
      <c r="S196" s="444"/>
      <c r="T196" s="444"/>
      <c r="U196" s="444"/>
      <c r="V196" s="572">
        <v>10.01</v>
      </c>
      <c r="W196" s="446" t="s">
        <v>118</v>
      </c>
      <c r="X196" s="425"/>
    </row>
    <row r="197" spans="1:24" x14ac:dyDescent="0.3">
      <c r="A197" s="543"/>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547"/>
      <c r="X197" s="406"/>
    </row>
    <row r="198" spans="1:24" x14ac:dyDescent="0.3">
      <c r="A198" s="408"/>
      <c r="B198" s="518"/>
      <c r="C198" s="518"/>
      <c r="D198" s="518"/>
      <c r="E198" s="518"/>
      <c r="F198" s="518"/>
      <c r="G198" s="518"/>
      <c r="H198" s="518"/>
      <c r="I198" s="518"/>
      <c r="J198" s="518"/>
      <c r="K198" s="518"/>
      <c r="L198" s="518"/>
      <c r="M198" s="518"/>
      <c r="N198" s="518"/>
      <c r="O198" s="518"/>
      <c r="P198" s="518"/>
      <c r="Q198" s="518"/>
      <c r="R198" s="518"/>
      <c r="S198" s="518"/>
      <c r="T198" s="518"/>
      <c r="U198" s="518"/>
      <c r="V198" s="518"/>
      <c r="W198" s="411"/>
      <c r="X198" s="406"/>
    </row>
    <row r="199" spans="1:24" x14ac:dyDescent="0.3">
      <c r="A199" s="408"/>
      <c r="B199" s="410"/>
      <c r="C199" s="410"/>
      <c r="D199" s="410"/>
      <c r="E199" s="410"/>
      <c r="F199" s="410"/>
      <c r="G199" s="410"/>
      <c r="H199" s="410"/>
      <c r="I199" s="410"/>
      <c r="J199" s="410"/>
      <c r="K199" s="410"/>
      <c r="L199" s="410"/>
      <c r="M199" s="410"/>
      <c r="N199" s="410"/>
      <c r="O199" s="410"/>
      <c r="P199" s="410"/>
      <c r="Q199" s="410"/>
      <c r="R199" s="410"/>
      <c r="S199" s="410"/>
      <c r="T199" s="410"/>
      <c r="U199" s="410"/>
      <c r="V199" s="410"/>
      <c r="W199" s="411"/>
      <c r="X199" s="406"/>
    </row>
    <row r="200" spans="1:24" ht="18.600000000000001" thickBot="1" x14ac:dyDescent="0.4">
      <c r="A200" s="573"/>
      <c r="B200" s="501" t="str">
        <f>B140</f>
        <v>PM13 INVESTOR REPORT QUARTER ENDING DECEMBER 2019</v>
      </c>
      <c r="C200" s="574"/>
      <c r="D200" s="574"/>
      <c r="E200" s="574"/>
      <c r="F200" s="574"/>
      <c r="G200" s="574"/>
      <c r="H200" s="574"/>
      <c r="I200" s="574"/>
      <c r="J200" s="574"/>
      <c r="K200" s="574"/>
      <c r="L200" s="574"/>
      <c r="M200" s="574"/>
      <c r="N200" s="574"/>
      <c r="O200" s="574"/>
      <c r="P200" s="574"/>
      <c r="Q200" s="574"/>
      <c r="R200" s="574"/>
      <c r="S200" s="574"/>
      <c r="T200" s="574"/>
      <c r="U200" s="574"/>
      <c r="V200" s="574"/>
      <c r="W200" s="575"/>
      <c r="X200" s="406"/>
    </row>
    <row r="201" spans="1:24" x14ac:dyDescent="0.3">
      <c r="A201" s="505"/>
      <c r="B201" s="506" t="s">
        <v>70</v>
      </c>
      <c r="C201" s="576"/>
      <c r="D201" s="576"/>
      <c r="E201" s="576"/>
      <c r="F201" s="576"/>
      <c r="G201" s="577"/>
      <c r="H201" s="577"/>
      <c r="I201" s="577"/>
      <c r="J201" s="577"/>
      <c r="K201" s="577"/>
      <c r="L201" s="577"/>
      <c r="M201" s="577"/>
      <c r="N201" s="577"/>
      <c r="O201" s="577"/>
      <c r="P201" s="577"/>
      <c r="Q201" s="577"/>
      <c r="R201" s="577"/>
      <c r="S201" s="577"/>
      <c r="T201" s="577">
        <v>43830</v>
      </c>
      <c r="U201" s="507"/>
      <c r="V201" s="507"/>
      <c r="W201" s="509"/>
      <c r="X201" s="406"/>
    </row>
    <row r="202" spans="1:24" x14ac:dyDescent="0.3">
      <c r="A202" s="578"/>
      <c r="B202" s="579"/>
      <c r="C202" s="580"/>
      <c r="D202" s="580"/>
      <c r="E202" s="580"/>
      <c r="F202" s="580"/>
      <c r="G202" s="581"/>
      <c r="H202" s="581"/>
      <c r="I202" s="581"/>
      <c r="J202" s="581"/>
      <c r="K202" s="581"/>
      <c r="L202" s="581"/>
      <c r="M202" s="581"/>
      <c r="N202" s="581"/>
      <c r="O202" s="581"/>
      <c r="P202" s="581"/>
      <c r="Q202" s="581"/>
      <c r="R202" s="581"/>
      <c r="S202" s="581"/>
      <c r="T202" s="581"/>
      <c r="U202" s="410"/>
      <c r="V202" s="410"/>
      <c r="W202" s="411"/>
      <c r="X202" s="406"/>
    </row>
    <row r="203" spans="1:24" s="426" customFormat="1" x14ac:dyDescent="0.3">
      <c r="A203" s="443"/>
      <c r="B203" s="444" t="s">
        <v>71</v>
      </c>
      <c r="C203" s="582"/>
      <c r="D203" s="582"/>
      <c r="E203" s="582"/>
      <c r="F203" s="582"/>
      <c r="G203" s="488"/>
      <c r="H203" s="488"/>
      <c r="I203" s="488"/>
      <c r="J203" s="488"/>
      <c r="K203" s="488"/>
      <c r="L203" s="488"/>
      <c r="M203" s="488"/>
      <c r="N203" s="488"/>
      <c r="O203" s="488"/>
      <c r="P203" s="488"/>
      <c r="Q203" s="488"/>
      <c r="R203" s="488"/>
      <c r="S203" s="488"/>
      <c r="T203" s="479">
        <v>5.4539999999999998E-2</v>
      </c>
      <c r="U203" s="444"/>
      <c r="V203" s="444"/>
      <c r="W203" s="446"/>
      <c r="X203" s="425"/>
    </row>
    <row r="204" spans="1:24" s="426" customFormat="1" x14ac:dyDescent="0.3">
      <c r="A204" s="443"/>
      <c r="B204" s="444" t="s">
        <v>154</v>
      </c>
      <c r="C204" s="582"/>
      <c r="D204" s="582"/>
      <c r="E204" s="582"/>
      <c r="F204" s="582"/>
      <c r="G204" s="488"/>
      <c r="H204" s="488"/>
      <c r="I204" s="488"/>
      <c r="J204" s="488"/>
      <c r="K204" s="488"/>
      <c r="L204" s="488"/>
      <c r="M204" s="488"/>
      <c r="N204" s="488"/>
      <c r="O204" s="488"/>
      <c r="P204" s="488"/>
      <c r="Q204" s="488"/>
      <c r="R204" s="488"/>
      <c r="S204" s="488"/>
      <c r="T204" s="479">
        <f>'Dec 06'!T199</f>
        <v>5.238600504269459E-2</v>
      </c>
      <c r="U204" s="444"/>
      <c r="V204" s="444"/>
      <c r="W204" s="446"/>
      <c r="X204" s="425"/>
    </row>
    <row r="205" spans="1:24" s="426" customFormat="1" x14ac:dyDescent="0.3">
      <c r="A205" s="443"/>
      <c r="B205" s="444" t="s">
        <v>72</v>
      </c>
      <c r="C205" s="582"/>
      <c r="D205" s="582"/>
      <c r="E205" s="582"/>
      <c r="F205" s="582"/>
      <c r="G205" s="488"/>
      <c r="H205" s="488"/>
      <c r="I205" s="488"/>
      <c r="J205" s="488"/>
      <c r="K205" s="488"/>
      <c r="L205" s="488"/>
      <c r="M205" s="488"/>
      <c r="N205" s="488"/>
      <c r="O205" s="488"/>
      <c r="P205" s="488"/>
      <c r="Q205" s="488"/>
      <c r="R205" s="488"/>
      <c r="S205" s="488"/>
      <c r="T205" s="479">
        <f>+T203-T204</f>
        <v>2.1539949573054079E-3</v>
      </c>
      <c r="U205" s="444"/>
      <c r="V205" s="444"/>
      <c r="W205" s="446"/>
      <c r="X205" s="425"/>
    </row>
    <row r="206" spans="1:24" s="426" customFormat="1" x14ac:dyDescent="0.3">
      <c r="A206" s="443"/>
      <c r="B206" s="444" t="s">
        <v>73</v>
      </c>
      <c r="C206" s="582"/>
      <c r="D206" s="582"/>
      <c r="E206" s="582"/>
      <c r="F206" s="582"/>
      <c r="G206" s="488"/>
      <c r="H206" s="488"/>
      <c r="I206" s="488"/>
      <c r="J206" s="488"/>
      <c r="K206" s="488"/>
      <c r="L206" s="488"/>
      <c r="M206" s="488"/>
      <c r="N206" s="488"/>
      <c r="O206" s="488"/>
      <c r="P206" s="488"/>
      <c r="Q206" s="488"/>
      <c r="R206" s="488"/>
      <c r="S206" s="488"/>
      <c r="T206" s="479">
        <v>2.5420000000000002E-2</v>
      </c>
      <c r="U206" s="444"/>
      <c r="V206" s="444"/>
      <c r="W206" s="446"/>
      <c r="X206" s="425"/>
    </row>
    <row r="207" spans="1:24" s="426" customFormat="1" x14ac:dyDescent="0.3">
      <c r="A207" s="443"/>
      <c r="B207" s="444" t="s">
        <v>222</v>
      </c>
      <c r="C207" s="582"/>
      <c r="D207" s="582"/>
      <c r="E207" s="582"/>
      <c r="F207" s="582"/>
      <c r="G207" s="488"/>
      <c r="H207" s="488"/>
      <c r="I207" s="488"/>
      <c r="J207" s="488"/>
      <c r="K207" s="488"/>
      <c r="L207" s="488"/>
      <c r="M207" s="488"/>
      <c r="N207" s="488"/>
      <c r="O207" s="488"/>
      <c r="P207" s="488"/>
      <c r="Q207" s="488"/>
      <c r="R207" s="488"/>
      <c r="S207" s="488"/>
      <c r="T207" s="479">
        <f>V43</f>
        <v>1.1074627293741155E-2</v>
      </c>
      <c r="U207" s="444"/>
      <c r="V207" s="444"/>
      <c r="W207" s="446"/>
      <c r="X207" s="425"/>
    </row>
    <row r="208" spans="1:24" s="426" customFormat="1" x14ac:dyDescent="0.3">
      <c r="A208" s="443"/>
      <c r="B208" s="444" t="s">
        <v>74</v>
      </c>
      <c r="C208" s="582"/>
      <c r="D208" s="582"/>
      <c r="E208" s="582"/>
      <c r="F208" s="582"/>
      <c r="G208" s="488"/>
      <c r="H208" s="488"/>
      <c r="I208" s="488"/>
      <c r="J208" s="488"/>
      <c r="K208" s="488"/>
      <c r="L208" s="488"/>
      <c r="M208" s="488"/>
      <c r="N208" s="488"/>
      <c r="O208" s="488"/>
      <c r="P208" s="488"/>
      <c r="Q208" s="488"/>
      <c r="R208" s="488"/>
      <c r="S208" s="488"/>
      <c r="T208" s="479">
        <f>T206-T207</f>
        <v>1.4345372706258847E-2</v>
      </c>
      <c r="U208" s="444"/>
      <c r="V208" s="444"/>
      <c r="W208" s="446"/>
      <c r="X208" s="425"/>
    </row>
    <row r="209" spans="1:24" s="426" customFormat="1" x14ac:dyDescent="0.3">
      <c r="A209" s="443"/>
      <c r="B209" s="444" t="s">
        <v>274</v>
      </c>
      <c r="C209" s="582"/>
      <c r="D209" s="582"/>
      <c r="E209" s="582"/>
      <c r="F209" s="582"/>
      <c r="G209" s="488"/>
      <c r="H209" s="488"/>
      <c r="I209" s="488"/>
      <c r="J209" s="488"/>
      <c r="K209" s="488"/>
      <c r="L209" s="488"/>
      <c r="M209" s="488"/>
      <c r="N209" s="488"/>
      <c r="O209" s="488"/>
      <c r="P209" s="488"/>
      <c r="Q209" s="488"/>
      <c r="R209" s="488"/>
      <c r="S209" s="488"/>
      <c r="T209" s="479">
        <f>+V99/N70</f>
        <v>7.2989353271049467E-3</v>
      </c>
      <c r="U209" s="444"/>
      <c r="V209" s="444"/>
      <c r="W209" s="446"/>
      <c r="X209" s="425"/>
    </row>
    <row r="210" spans="1:24" s="426" customFormat="1" x14ac:dyDescent="0.3">
      <c r="A210" s="443"/>
      <c r="B210" s="444" t="s">
        <v>211</v>
      </c>
      <c r="C210" s="582"/>
      <c r="D210" s="582"/>
      <c r="E210" s="582"/>
      <c r="F210" s="582"/>
      <c r="G210" s="488"/>
      <c r="H210" s="488"/>
      <c r="I210" s="488"/>
      <c r="J210" s="488"/>
      <c r="K210" s="488"/>
      <c r="L210" s="488"/>
      <c r="M210" s="488"/>
      <c r="N210" s="488"/>
      <c r="O210" s="488"/>
      <c r="P210" s="488"/>
      <c r="Q210" s="488"/>
      <c r="R210" s="488"/>
      <c r="S210" s="488"/>
      <c r="T210" s="583">
        <v>50771</v>
      </c>
      <c r="U210" s="444"/>
      <c r="V210" s="444"/>
      <c r="W210" s="446"/>
      <c r="X210" s="425"/>
    </row>
    <row r="211" spans="1:24" s="426" customFormat="1" x14ac:dyDescent="0.3">
      <c r="A211" s="443"/>
      <c r="B211" s="444" t="s">
        <v>212</v>
      </c>
      <c r="C211" s="582"/>
      <c r="D211" s="582"/>
      <c r="E211" s="582"/>
      <c r="F211" s="582"/>
      <c r="G211" s="488"/>
      <c r="H211" s="488"/>
      <c r="I211" s="488"/>
      <c r="J211" s="488"/>
      <c r="K211" s="488"/>
      <c r="L211" s="488"/>
      <c r="M211" s="488"/>
      <c r="N211" s="488"/>
      <c r="O211" s="488"/>
      <c r="P211" s="488"/>
      <c r="Q211" s="488"/>
      <c r="R211" s="488"/>
      <c r="S211" s="488"/>
      <c r="T211" s="583">
        <v>50771</v>
      </c>
      <c r="U211" s="444"/>
      <c r="V211" s="444"/>
      <c r="W211" s="446"/>
      <c r="X211" s="425"/>
    </row>
    <row r="212" spans="1:24" s="426" customFormat="1" x14ac:dyDescent="0.3">
      <c r="A212" s="443"/>
      <c r="B212" s="444" t="s">
        <v>213</v>
      </c>
      <c r="C212" s="582"/>
      <c r="D212" s="582"/>
      <c r="E212" s="582"/>
      <c r="F212" s="582"/>
      <c r="G212" s="488"/>
      <c r="H212" s="488"/>
      <c r="I212" s="488"/>
      <c r="J212" s="488"/>
      <c r="K212" s="488"/>
      <c r="L212" s="488"/>
      <c r="M212" s="488"/>
      <c r="N212" s="488"/>
      <c r="O212" s="488"/>
      <c r="P212" s="488"/>
      <c r="Q212" s="488"/>
      <c r="R212" s="488"/>
      <c r="S212" s="488"/>
      <c r="T212" s="583">
        <v>50771</v>
      </c>
      <c r="U212" s="444"/>
      <c r="V212" s="444"/>
      <c r="W212" s="446"/>
      <c r="X212" s="425"/>
    </row>
    <row r="213" spans="1:24" s="426" customFormat="1" x14ac:dyDescent="0.3">
      <c r="A213" s="443"/>
      <c r="B213" s="444" t="s">
        <v>75</v>
      </c>
      <c r="C213" s="582"/>
      <c r="D213" s="582"/>
      <c r="E213" s="582"/>
      <c r="F213" s="582"/>
      <c r="G213" s="488"/>
      <c r="H213" s="488"/>
      <c r="I213" s="488"/>
      <c r="J213" s="488"/>
      <c r="K213" s="488"/>
      <c r="L213" s="488"/>
      <c r="M213" s="488"/>
      <c r="N213" s="488"/>
      <c r="O213" s="488"/>
      <c r="P213" s="488"/>
      <c r="Q213" s="488"/>
      <c r="R213" s="488"/>
      <c r="S213" s="488"/>
      <c r="T213" s="484">
        <v>20.66</v>
      </c>
      <c r="U213" s="444" t="s">
        <v>113</v>
      </c>
      <c r="V213" s="444"/>
      <c r="W213" s="446"/>
      <c r="X213" s="425"/>
    </row>
    <row r="214" spans="1:24" s="426" customFormat="1" x14ac:dyDescent="0.3">
      <c r="A214" s="443"/>
      <c r="B214" s="444" t="s">
        <v>76</v>
      </c>
      <c r="C214" s="582"/>
      <c r="D214" s="582"/>
      <c r="E214" s="582"/>
      <c r="F214" s="582"/>
      <c r="G214" s="488"/>
      <c r="H214" s="488"/>
      <c r="I214" s="488"/>
      <c r="J214" s="488"/>
      <c r="K214" s="488"/>
      <c r="L214" s="488"/>
      <c r="M214" s="488"/>
      <c r="N214" s="488"/>
      <c r="O214" s="488"/>
      <c r="P214" s="488"/>
      <c r="Q214" s="488"/>
      <c r="R214" s="488"/>
      <c r="S214" s="488"/>
      <c r="T214" s="484">
        <v>8.84</v>
      </c>
      <c r="U214" s="444" t="s">
        <v>113</v>
      </c>
      <c r="V214" s="444"/>
      <c r="W214" s="446"/>
      <c r="X214" s="425"/>
    </row>
    <row r="215" spans="1:24" s="426" customFormat="1" x14ac:dyDescent="0.3">
      <c r="A215" s="443"/>
      <c r="B215" s="444" t="s">
        <v>77</v>
      </c>
      <c r="C215" s="582"/>
      <c r="D215" s="582"/>
      <c r="E215" s="582"/>
      <c r="F215" s="582"/>
      <c r="G215" s="488"/>
      <c r="H215" s="488"/>
      <c r="I215" s="488"/>
      <c r="J215" s="488"/>
      <c r="K215" s="488"/>
      <c r="L215" s="488"/>
      <c r="M215" s="488"/>
      <c r="N215" s="488"/>
      <c r="O215" s="488"/>
      <c r="P215" s="488"/>
      <c r="Q215" s="488"/>
      <c r="R215" s="488"/>
      <c r="S215" s="488"/>
      <c r="T215" s="479">
        <f>P67/N67</f>
        <v>1.6955370872762346E-2</v>
      </c>
      <c r="U215" s="444"/>
      <c r="V215" s="444"/>
      <c r="W215" s="446"/>
      <c r="X215" s="425"/>
    </row>
    <row r="216" spans="1:24" s="426" customFormat="1" x14ac:dyDescent="0.3">
      <c r="A216" s="443"/>
      <c r="B216" s="444" t="s">
        <v>78</v>
      </c>
      <c r="C216" s="582"/>
      <c r="D216" s="582"/>
      <c r="E216" s="582"/>
      <c r="F216" s="582"/>
      <c r="G216" s="488"/>
      <c r="H216" s="488"/>
      <c r="I216" s="488"/>
      <c r="J216" s="488"/>
      <c r="K216" s="488"/>
      <c r="L216" s="488"/>
      <c r="M216" s="488"/>
      <c r="N216" s="488"/>
      <c r="O216" s="488"/>
      <c r="P216" s="488"/>
      <c r="Q216" s="488"/>
      <c r="R216" s="488"/>
      <c r="S216" s="488"/>
      <c r="T216" s="479">
        <v>6.3299999999999995E-2</v>
      </c>
      <c r="U216" s="444"/>
      <c r="V216" s="444"/>
      <c r="W216" s="446"/>
      <c r="X216" s="425"/>
    </row>
    <row r="217" spans="1:24" s="426" customFormat="1" x14ac:dyDescent="0.3">
      <c r="A217" s="421"/>
      <c r="B217" s="494"/>
      <c r="C217" s="494"/>
      <c r="D217" s="494"/>
      <c r="E217" s="494"/>
      <c r="F217" s="494"/>
      <c r="G217" s="494"/>
      <c r="H217" s="494"/>
      <c r="I217" s="494"/>
      <c r="J217" s="494"/>
      <c r="K217" s="494"/>
      <c r="L217" s="494"/>
      <c r="M217" s="494"/>
      <c r="N217" s="494"/>
      <c r="O217" s="494"/>
      <c r="P217" s="494"/>
      <c r="Q217" s="494"/>
      <c r="R217" s="494"/>
      <c r="S217" s="494"/>
      <c r="T217" s="584"/>
      <c r="U217" s="494"/>
      <c r="V217" s="585"/>
      <c r="W217" s="424"/>
      <c r="X217" s="425"/>
    </row>
    <row r="218" spans="1:24" s="426" customFormat="1" x14ac:dyDescent="0.3">
      <c r="A218" s="586"/>
      <c r="B218" s="420" t="s">
        <v>79</v>
      </c>
      <c r="C218" s="429"/>
      <c r="D218" s="429"/>
      <c r="E218" s="429"/>
      <c r="F218" s="587"/>
      <c r="G218" s="429"/>
      <c r="H218" s="429"/>
      <c r="I218" s="429"/>
      <c r="J218" s="429"/>
      <c r="K218" s="429"/>
      <c r="L218" s="429"/>
      <c r="M218" s="429"/>
      <c r="N218" s="429"/>
      <c r="O218" s="429"/>
      <c r="P218" s="429"/>
      <c r="Q218" s="429"/>
      <c r="R218" s="429"/>
      <c r="S218" s="429" t="s">
        <v>103</v>
      </c>
      <c r="T218" s="587" t="s">
        <v>110</v>
      </c>
      <c r="U218" s="422"/>
      <c r="V218" s="422"/>
      <c r="W218" s="424"/>
      <c r="X218" s="425"/>
    </row>
    <row r="219" spans="1:24" s="426" customFormat="1" x14ac:dyDescent="0.3">
      <c r="A219" s="588"/>
      <c r="B219" s="444" t="s">
        <v>80</v>
      </c>
      <c r="C219" s="516"/>
      <c r="D219" s="516"/>
      <c r="E219" s="516"/>
      <c r="F219" s="444"/>
      <c r="G219" s="444"/>
      <c r="H219" s="450"/>
      <c r="I219" s="450"/>
      <c r="J219" s="450"/>
      <c r="K219" s="450"/>
      <c r="L219" s="450"/>
      <c r="M219" s="450"/>
      <c r="N219" s="450"/>
      <c r="O219" s="450"/>
      <c r="P219" s="450"/>
      <c r="Q219" s="450"/>
      <c r="R219" s="450"/>
      <c r="S219" s="450">
        <v>1</v>
      </c>
      <c r="T219" s="589">
        <v>477</v>
      </c>
      <c r="U219" s="444"/>
      <c r="V219" s="590"/>
      <c r="W219" s="591"/>
      <c r="X219" s="425"/>
    </row>
    <row r="220" spans="1:24" s="426" customFormat="1" x14ac:dyDescent="0.3">
      <c r="A220" s="588"/>
      <c r="B220" s="444" t="s">
        <v>148</v>
      </c>
      <c r="C220" s="516"/>
      <c r="D220" s="516"/>
      <c r="E220" s="516"/>
      <c r="F220" s="444"/>
      <c r="G220" s="444"/>
      <c r="H220" s="450"/>
      <c r="I220" s="450"/>
      <c r="J220" s="450"/>
      <c r="K220" s="450"/>
      <c r="L220" s="450"/>
      <c r="M220" s="450"/>
      <c r="N220" s="450"/>
      <c r="O220" s="450"/>
      <c r="P220" s="450"/>
      <c r="Q220" s="450"/>
      <c r="R220" s="450"/>
      <c r="S220" s="592">
        <f>+R272</f>
        <v>89</v>
      </c>
      <c r="T220" s="589">
        <f>+T272</f>
        <v>15992</v>
      </c>
      <c r="U220" s="444"/>
      <c r="V220" s="590"/>
      <c r="W220" s="591"/>
      <c r="X220" s="425"/>
    </row>
    <row r="221" spans="1:24" s="426" customFormat="1" x14ac:dyDescent="0.3">
      <c r="A221" s="588"/>
      <c r="B221" s="444" t="s">
        <v>81</v>
      </c>
      <c r="C221" s="516"/>
      <c r="D221" s="516"/>
      <c r="E221" s="516"/>
      <c r="F221" s="444"/>
      <c r="G221" s="444"/>
      <c r="H221" s="450"/>
      <c r="I221" s="450"/>
      <c r="J221" s="450"/>
      <c r="K221" s="450"/>
      <c r="L221" s="450"/>
      <c r="M221" s="450"/>
      <c r="N221" s="450"/>
      <c r="O221" s="450"/>
      <c r="P221" s="450"/>
      <c r="Q221" s="450"/>
      <c r="R221" s="450"/>
      <c r="S221" s="592">
        <f>+R284</f>
        <v>0</v>
      </c>
      <c r="T221" s="589">
        <f>+T284</f>
        <v>0</v>
      </c>
      <c r="U221" s="444"/>
      <c r="V221" s="590"/>
      <c r="W221" s="591"/>
      <c r="X221" s="425"/>
    </row>
    <row r="222" spans="1:24" x14ac:dyDescent="0.3">
      <c r="A222" s="593"/>
      <c r="B222" s="594" t="s">
        <v>82</v>
      </c>
      <c r="C222" s="595"/>
      <c r="D222" s="595"/>
      <c r="E222" s="595"/>
      <c r="F222" s="465"/>
      <c r="G222" s="465"/>
      <c r="H222" s="465"/>
      <c r="I222" s="465"/>
      <c r="J222" s="465"/>
      <c r="K222" s="465"/>
      <c r="L222" s="465"/>
      <c r="M222" s="465"/>
      <c r="N222" s="465"/>
      <c r="O222" s="465"/>
      <c r="P222" s="465"/>
      <c r="Q222" s="465"/>
      <c r="R222" s="465"/>
      <c r="S222" s="465"/>
      <c r="T222" s="589">
        <v>0</v>
      </c>
      <c r="U222" s="465"/>
      <c r="V222" s="596"/>
      <c r="W222" s="597"/>
      <c r="X222" s="406"/>
    </row>
    <row r="223" spans="1:24" x14ac:dyDescent="0.3">
      <c r="A223" s="593"/>
      <c r="B223" s="594" t="s">
        <v>275</v>
      </c>
      <c r="C223" s="595"/>
      <c r="D223" s="595"/>
      <c r="E223" s="595"/>
      <c r="F223" s="465"/>
      <c r="G223" s="465"/>
      <c r="H223" s="465"/>
      <c r="I223" s="465"/>
      <c r="J223" s="465"/>
      <c r="K223" s="465"/>
      <c r="L223" s="465"/>
      <c r="M223" s="465"/>
      <c r="N223" s="465"/>
      <c r="O223" s="465"/>
      <c r="P223" s="465"/>
      <c r="Q223" s="465"/>
      <c r="R223" s="465"/>
      <c r="S223" s="465"/>
      <c r="T223" s="589">
        <f>+N80</f>
        <v>0</v>
      </c>
      <c r="U223" s="465"/>
      <c r="V223" s="596"/>
      <c r="W223" s="597"/>
      <c r="X223" s="406"/>
    </row>
    <row r="224" spans="1:24" x14ac:dyDescent="0.3">
      <c r="A224" s="598"/>
      <c r="B224" s="594" t="s">
        <v>83</v>
      </c>
      <c r="C224" s="599"/>
      <c r="D224" s="599"/>
      <c r="E224" s="599"/>
      <c r="F224" s="599"/>
      <c r="G224" s="465"/>
      <c r="H224" s="465"/>
      <c r="I224" s="465"/>
      <c r="J224" s="465"/>
      <c r="K224" s="465"/>
      <c r="L224" s="465"/>
      <c r="M224" s="465"/>
      <c r="N224" s="465"/>
      <c r="O224" s="465"/>
      <c r="P224" s="465"/>
      <c r="Q224" s="465"/>
      <c r="R224" s="465"/>
      <c r="S224" s="465"/>
      <c r="T224" s="600"/>
      <c r="U224" s="465"/>
      <c r="V224" s="596"/>
      <c r="W224" s="601"/>
      <c r="X224" s="406"/>
    </row>
    <row r="225" spans="1:25" s="426" customFormat="1" x14ac:dyDescent="0.3">
      <c r="A225" s="602"/>
      <c r="B225" s="444" t="s">
        <v>84</v>
      </c>
      <c r="C225" s="444"/>
      <c r="D225" s="444"/>
      <c r="E225" s="444"/>
      <c r="F225" s="444"/>
      <c r="G225" s="444"/>
      <c r="H225" s="444"/>
      <c r="I225" s="444"/>
      <c r="J225" s="444"/>
      <c r="K225" s="444"/>
      <c r="L225" s="444"/>
      <c r="M225" s="444"/>
      <c r="N225" s="444"/>
      <c r="O225" s="444"/>
      <c r="P225" s="444"/>
      <c r="Q225" s="444"/>
      <c r="R225" s="444"/>
      <c r="S225" s="450"/>
      <c r="T225" s="589">
        <f>V169</f>
        <v>-17</v>
      </c>
      <c r="U225" s="444"/>
      <c r="V225" s="590"/>
      <c r="W225" s="603"/>
      <c r="X225" s="425"/>
    </row>
    <row r="226" spans="1:25" s="426" customFormat="1" x14ac:dyDescent="0.3">
      <c r="A226" s="588"/>
      <c r="B226" s="444" t="s">
        <v>85</v>
      </c>
      <c r="C226" s="516"/>
      <c r="D226" s="516"/>
      <c r="E226" s="516"/>
      <c r="F226" s="516"/>
      <c r="G226" s="444"/>
      <c r="H226" s="444"/>
      <c r="I226" s="444"/>
      <c r="J226" s="444"/>
      <c r="K226" s="444"/>
      <c r="L226" s="444"/>
      <c r="M226" s="444"/>
      <c r="N226" s="444"/>
      <c r="O226" s="444"/>
      <c r="P226" s="444"/>
      <c r="Q226" s="444"/>
      <c r="R226" s="444"/>
      <c r="S226" s="450"/>
      <c r="T226" s="589">
        <f>'Sept 19'!T226+T225</f>
        <v>12720</v>
      </c>
      <c r="U226" s="444"/>
      <c r="V226" s="590"/>
      <c r="W226" s="603"/>
      <c r="X226" s="425"/>
    </row>
    <row r="227" spans="1:25" x14ac:dyDescent="0.3">
      <c r="A227" s="598"/>
      <c r="B227" s="594" t="s">
        <v>297</v>
      </c>
      <c r="C227" s="599"/>
      <c r="D227" s="599"/>
      <c r="E227" s="599"/>
      <c r="F227" s="599"/>
      <c r="G227" s="465"/>
      <c r="H227" s="465"/>
      <c r="I227" s="465"/>
      <c r="J227" s="465"/>
      <c r="K227" s="465"/>
      <c r="L227" s="465"/>
      <c r="M227" s="465"/>
      <c r="N227" s="465"/>
      <c r="O227" s="465"/>
      <c r="P227" s="465"/>
      <c r="Q227" s="465"/>
      <c r="R227" s="465"/>
      <c r="S227" s="604"/>
      <c r="T227" s="600"/>
      <c r="U227" s="465"/>
      <c r="V227" s="596"/>
      <c r="W227" s="601"/>
      <c r="X227" s="406"/>
    </row>
    <row r="228" spans="1:25" s="426" customFormat="1" x14ac:dyDescent="0.3">
      <c r="A228" s="602"/>
      <c r="B228" s="444" t="s">
        <v>295</v>
      </c>
      <c r="C228" s="444"/>
      <c r="D228" s="444"/>
      <c r="E228" s="444"/>
      <c r="F228" s="444"/>
      <c r="G228" s="444"/>
      <c r="H228" s="444"/>
      <c r="I228" s="444"/>
      <c r="J228" s="444"/>
      <c r="K228" s="444"/>
      <c r="L228" s="444"/>
      <c r="M228" s="444"/>
      <c r="N228" s="444"/>
      <c r="O228" s="444"/>
      <c r="P228" s="444"/>
      <c r="Q228" s="444"/>
      <c r="R228" s="444"/>
      <c r="S228" s="450">
        <v>0</v>
      </c>
      <c r="T228" s="589">
        <v>0</v>
      </c>
      <c r="U228" s="444"/>
      <c r="V228" s="590"/>
      <c r="W228" s="603"/>
      <c r="X228" s="425"/>
    </row>
    <row r="229" spans="1:25" s="426" customFormat="1" x14ac:dyDescent="0.3">
      <c r="A229" s="588"/>
      <c r="B229" s="444" t="s">
        <v>87</v>
      </c>
      <c r="C229" s="482"/>
      <c r="D229" s="482"/>
      <c r="E229" s="482"/>
      <c r="F229" s="605"/>
      <c r="G229" s="444"/>
      <c r="H229" s="444"/>
      <c r="I229" s="444"/>
      <c r="J229" s="444"/>
      <c r="K229" s="444"/>
      <c r="L229" s="444"/>
      <c r="M229" s="444"/>
      <c r="N229" s="444"/>
      <c r="O229" s="444"/>
      <c r="P229" s="444"/>
      <c r="Q229" s="444"/>
      <c r="R229" s="444"/>
      <c r="S229" s="444"/>
      <c r="T229" s="606">
        <v>0</v>
      </c>
      <c r="U229" s="444"/>
      <c r="V229" s="590"/>
      <c r="W229" s="603"/>
      <c r="X229" s="425"/>
    </row>
    <row r="230" spans="1:25" s="426" customFormat="1" x14ac:dyDescent="0.3">
      <c r="A230" s="588"/>
      <c r="B230" s="444" t="s">
        <v>88</v>
      </c>
      <c r="C230" s="482"/>
      <c r="D230" s="482"/>
      <c r="E230" s="482"/>
      <c r="F230" s="605"/>
      <c r="G230" s="444"/>
      <c r="H230" s="444"/>
      <c r="I230" s="444"/>
      <c r="J230" s="444"/>
      <c r="K230" s="444"/>
      <c r="L230" s="444"/>
      <c r="M230" s="444"/>
      <c r="N230" s="444"/>
      <c r="O230" s="444"/>
      <c r="P230" s="444"/>
      <c r="Q230" s="444"/>
      <c r="R230" s="444"/>
      <c r="S230" s="444"/>
      <c r="T230" s="606">
        <v>0</v>
      </c>
      <c r="U230" s="444"/>
      <c r="V230" s="590"/>
      <c r="W230" s="603"/>
      <c r="X230" s="425"/>
    </row>
    <row r="231" spans="1:25" x14ac:dyDescent="0.3">
      <c r="A231" s="593"/>
      <c r="B231" s="594" t="s">
        <v>220</v>
      </c>
      <c r="C231" s="607"/>
      <c r="D231" s="607"/>
      <c r="E231" s="607"/>
      <c r="F231" s="608"/>
      <c r="G231" s="465"/>
      <c r="H231" s="465"/>
      <c r="I231" s="465"/>
      <c r="J231" s="465"/>
      <c r="K231" s="465"/>
      <c r="L231" s="465"/>
      <c r="M231" s="465"/>
      <c r="N231" s="465"/>
      <c r="O231" s="465"/>
      <c r="P231" s="465"/>
      <c r="Q231" s="465"/>
      <c r="R231" s="465"/>
      <c r="S231" s="609"/>
      <c r="T231" s="610"/>
      <c r="U231" s="465"/>
      <c r="V231" s="596"/>
      <c r="W231" s="601"/>
      <c r="X231" s="406"/>
    </row>
    <row r="232" spans="1:25" s="426" customFormat="1" x14ac:dyDescent="0.3">
      <c r="A232" s="588"/>
      <c r="B232" s="444" t="s">
        <v>295</v>
      </c>
      <c r="C232" s="482"/>
      <c r="D232" s="482"/>
      <c r="E232" s="482"/>
      <c r="F232" s="605"/>
      <c r="G232" s="444"/>
      <c r="H232" s="444"/>
      <c r="I232" s="444"/>
      <c r="J232" s="444"/>
      <c r="K232" s="444"/>
      <c r="L232" s="444"/>
      <c r="M232" s="444"/>
      <c r="N232" s="444"/>
      <c r="O232" s="444"/>
      <c r="P232" s="444"/>
      <c r="Q232" s="444"/>
      <c r="R232" s="444"/>
      <c r="S232" s="450">
        <v>0</v>
      </c>
      <c r="T232" s="589">
        <v>0</v>
      </c>
      <c r="U232" s="444"/>
      <c r="V232" s="590"/>
      <c r="W232" s="603"/>
      <c r="X232" s="425"/>
    </row>
    <row r="233" spans="1:25" s="426" customFormat="1" x14ac:dyDescent="0.3">
      <c r="A233" s="588"/>
      <c r="B233" s="444" t="s">
        <v>221</v>
      </c>
      <c r="C233" s="482"/>
      <c r="D233" s="482"/>
      <c r="E233" s="482"/>
      <c r="F233" s="605"/>
      <c r="G233" s="444"/>
      <c r="H233" s="444"/>
      <c r="I233" s="444"/>
      <c r="J233" s="444"/>
      <c r="K233" s="444"/>
      <c r="L233" s="444"/>
      <c r="M233" s="444"/>
      <c r="N233" s="444"/>
      <c r="O233" s="444"/>
      <c r="P233" s="444"/>
      <c r="Q233" s="444"/>
      <c r="R233" s="444"/>
      <c r="S233" s="444"/>
      <c r="T233" s="606">
        <v>0</v>
      </c>
      <c r="U233" s="444"/>
      <c r="V233" s="590"/>
      <c r="W233" s="603"/>
      <c r="X233" s="425"/>
    </row>
    <row r="234" spans="1:25" x14ac:dyDescent="0.3">
      <c r="A234" s="593"/>
      <c r="B234" s="599"/>
      <c r="C234" s="607"/>
      <c r="D234" s="607"/>
      <c r="E234" s="607"/>
      <c r="F234" s="608"/>
      <c r="G234" s="465"/>
      <c r="H234" s="465"/>
      <c r="I234" s="465"/>
      <c r="J234" s="465"/>
      <c r="K234" s="465"/>
      <c r="L234" s="465"/>
      <c r="M234" s="465"/>
      <c r="N234" s="465"/>
      <c r="O234" s="465"/>
      <c r="P234" s="465"/>
      <c r="Q234" s="465"/>
      <c r="R234" s="465"/>
      <c r="S234" s="465"/>
      <c r="T234" s="611"/>
      <c r="U234" s="465"/>
      <c r="V234" s="596"/>
      <c r="W234" s="601"/>
      <c r="X234" s="406"/>
    </row>
    <row r="235" spans="1:25" x14ac:dyDescent="0.3">
      <c r="A235" s="593"/>
      <c r="B235" s="599"/>
      <c r="C235" s="607"/>
      <c r="D235" s="607"/>
      <c r="E235" s="607"/>
      <c r="F235" s="608"/>
      <c r="G235" s="465"/>
      <c r="H235" s="465"/>
      <c r="I235" s="465"/>
      <c r="J235" s="465"/>
      <c r="K235" s="465"/>
      <c r="L235" s="465"/>
      <c r="M235" s="465"/>
      <c r="N235" s="465"/>
      <c r="O235" s="465"/>
      <c r="P235" s="465"/>
      <c r="Q235" s="465"/>
      <c r="R235" s="465"/>
      <c r="S235" s="465"/>
      <c r="T235" s="611"/>
      <c r="U235" s="465"/>
      <c r="V235" s="596"/>
      <c r="W235" s="601"/>
      <c r="X235" s="406"/>
    </row>
    <row r="236" spans="1:25" ht="18" x14ac:dyDescent="0.35">
      <c r="A236" s="593"/>
      <c r="B236" s="612" t="s">
        <v>171</v>
      </c>
      <c r="C236" s="607"/>
      <c r="D236" s="607"/>
      <c r="E236" s="607"/>
      <c r="F236" s="608"/>
      <c r="G236" s="465"/>
      <c r="H236" s="465"/>
      <c r="I236" s="465"/>
      <c r="J236" s="465"/>
      <c r="K236" s="465"/>
      <c r="L236" s="465"/>
      <c r="M236" s="465"/>
      <c r="N236" s="465"/>
      <c r="O236" s="465"/>
      <c r="P236" s="613" t="s">
        <v>370</v>
      </c>
      <c r="Q236" s="465"/>
      <c r="R236" s="465"/>
      <c r="S236" s="465"/>
      <c r="T236" s="611"/>
      <c r="U236" s="465"/>
      <c r="V236" s="596"/>
      <c r="W236" s="601"/>
      <c r="X236" s="406"/>
    </row>
    <row r="237" spans="1:25" x14ac:dyDescent="0.3">
      <c r="A237" s="614"/>
      <c r="B237" s="615"/>
      <c r="C237" s="616"/>
      <c r="D237" s="616"/>
      <c r="E237" s="616"/>
      <c r="F237" s="617"/>
      <c r="G237" s="518"/>
      <c r="H237" s="518"/>
      <c r="I237" s="518"/>
      <c r="J237" s="518"/>
      <c r="K237" s="518"/>
      <c r="L237" s="518"/>
      <c r="M237" s="518"/>
      <c r="N237" s="518"/>
      <c r="O237" s="518"/>
      <c r="P237" s="518"/>
      <c r="Q237" s="518"/>
      <c r="R237" s="518"/>
      <c r="S237" s="518"/>
      <c r="T237" s="618"/>
      <c r="U237" s="518"/>
      <c r="V237" s="619"/>
      <c r="W237" s="620"/>
      <c r="X237" s="406"/>
    </row>
    <row r="238" spans="1:25" x14ac:dyDescent="0.3">
      <c r="A238" s="533"/>
      <c r="B238" s="534" t="s">
        <v>310</v>
      </c>
      <c r="C238" s="535"/>
      <c r="D238" s="535"/>
      <c r="E238" s="535"/>
      <c r="F238" s="621"/>
      <c r="G238" s="535"/>
      <c r="H238" s="535"/>
      <c r="I238" s="535"/>
      <c r="J238" s="535"/>
      <c r="K238" s="535"/>
      <c r="L238" s="535"/>
      <c r="M238" s="535"/>
      <c r="N238" s="535"/>
      <c r="O238" s="535"/>
      <c r="P238" s="535"/>
      <c r="Q238" s="535"/>
      <c r="R238" s="621" t="s">
        <v>103</v>
      </c>
      <c r="S238" s="535" t="s">
        <v>104</v>
      </c>
      <c r="T238" s="621" t="s">
        <v>111</v>
      </c>
      <c r="U238" s="535" t="s">
        <v>104</v>
      </c>
      <c r="V238" s="622"/>
      <c r="W238" s="623"/>
      <c r="X238" s="406"/>
    </row>
    <row r="239" spans="1:25" s="426" customFormat="1" x14ac:dyDescent="0.3">
      <c r="A239" s="421"/>
      <c r="B239" s="552" t="s">
        <v>89</v>
      </c>
      <c r="C239" s="624"/>
      <c r="D239" s="624"/>
      <c r="E239" s="624"/>
      <c r="F239" s="494"/>
      <c r="G239" s="624"/>
      <c r="H239" s="624"/>
      <c r="I239" s="624"/>
      <c r="J239" s="624"/>
      <c r="K239" s="624"/>
      <c r="L239" s="624"/>
      <c r="M239" s="624"/>
      <c r="N239" s="624"/>
      <c r="O239" s="624"/>
      <c r="P239" s="624"/>
      <c r="Q239" s="624"/>
      <c r="R239" s="539">
        <f t="shared" ref="R239:R246" si="1">+R251+R263+R275</f>
        <v>5337</v>
      </c>
      <c r="S239" s="625">
        <f t="shared" ref="S239:S246" si="2">R239/$R$248</f>
        <v>0.9929302325581395</v>
      </c>
      <c r="T239" s="540">
        <f t="shared" ref="T239:T246" si="3">+T251+T263+T275</f>
        <v>681406</v>
      </c>
      <c r="U239" s="625">
        <f t="shared" ref="U239:U246" si="4">T239/$T$248</f>
        <v>0.99338719600199432</v>
      </c>
      <c r="V239" s="585"/>
      <c r="W239" s="626"/>
      <c r="X239" s="425"/>
    </row>
    <row r="240" spans="1:25" s="426" customFormat="1" x14ac:dyDescent="0.3">
      <c r="A240" s="443"/>
      <c r="B240" s="516" t="s">
        <v>90</v>
      </c>
      <c r="C240" s="627"/>
      <c r="D240" s="627"/>
      <c r="E240" s="627"/>
      <c r="F240" s="444"/>
      <c r="G240" s="628"/>
      <c r="H240" s="627"/>
      <c r="I240" s="627"/>
      <c r="J240" s="627"/>
      <c r="K240" s="627"/>
      <c r="L240" s="627"/>
      <c r="M240" s="627"/>
      <c r="N240" s="627"/>
      <c r="O240" s="627"/>
      <c r="P240" s="627"/>
      <c r="Q240" s="627"/>
      <c r="R240" s="516">
        <f t="shared" si="1"/>
        <v>22</v>
      </c>
      <c r="S240" s="628">
        <f t="shared" si="2"/>
        <v>4.0930232558139537E-3</v>
      </c>
      <c r="T240" s="517">
        <f t="shared" si="3"/>
        <v>2385</v>
      </c>
      <c r="U240" s="628">
        <f t="shared" si="4"/>
        <v>3.4769703560942472E-3</v>
      </c>
      <c r="V240" s="590"/>
      <c r="W240" s="603"/>
      <c r="X240" s="425"/>
      <c r="Y240" s="549"/>
    </row>
    <row r="241" spans="1:25" s="426" customFormat="1" x14ac:dyDescent="0.3">
      <c r="A241" s="443"/>
      <c r="B241" s="516" t="s">
        <v>91</v>
      </c>
      <c r="C241" s="627"/>
      <c r="D241" s="627"/>
      <c r="E241" s="627"/>
      <c r="F241" s="444"/>
      <c r="G241" s="628"/>
      <c r="H241" s="627"/>
      <c r="I241" s="627"/>
      <c r="J241" s="627"/>
      <c r="K241" s="627"/>
      <c r="L241" s="627"/>
      <c r="M241" s="627"/>
      <c r="N241" s="627"/>
      <c r="O241" s="627"/>
      <c r="P241" s="627"/>
      <c r="Q241" s="627"/>
      <c r="R241" s="516">
        <f t="shared" si="1"/>
        <v>3</v>
      </c>
      <c r="S241" s="628">
        <f t="shared" si="2"/>
        <v>5.581395348837209E-4</v>
      </c>
      <c r="T241" s="517">
        <f t="shared" si="3"/>
        <v>250</v>
      </c>
      <c r="U241" s="628">
        <f t="shared" si="4"/>
        <v>3.6446230147738437E-4</v>
      </c>
      <c r="V241" s="590"/>
      <c r="W241" s="603"/>
      <c r="X241" s="425"/>
    </row>
    <row r="242" spans="1:25" s="426" customFormat="1" x14ac:dyDescent="0.3">
      <c r="A242" s="443"/>
      <c r="B242" s="516" t="s">
        <v>159</v>
      </c>
      <c r="C242" s="627"/>
      <c r="D242" s="627"/>
      <c r="E242" s="627"/>
      <c r="F242" s="444"/>
      <c r="G242" s="628"/>
      <c r="H242" s="627"/>
      <c r="I242" s="627"/>
      <c r="J242" s="627"/>
      <c r="K242" s="627"/>
      <c r="L242" s="627"/>
      <c r="M242" s="627"/>
      <c r="N242" s="627"/>
      <c r="O242" s="627"/>
      <c r="P242" s="627"/>
      <c r="Q242" s="627"/>
      <c r="R242" s="516">
        <f t="shared" si="1"/>
        <v>2</v>
      </c>
      <c r="S242" s="628">
        <f t="shared" si="2"/>
        <v>3.7209302325581393E-4</v>
      </c>
      <c r="T242" s="517">
        <f t="shared" si="3"/>
        <v>144</v>
      </c>
      <c r="U242" s="628">
        <f t="shared" si="4"/>
        <v>2.0993028565097341E-4</v>
      </c>
      <c r="V242" s="590"/>
      <c r="W242" s="603"/>
      <c r="X242" s="425"/>
      <c r="Y242" s="549"/>
    </row>
    <row r="243" spans="1:25" s="426" customFormat="1" x14ac:dyDescent="0.3">
      <c r="A243" s="443"/>
      <c r="B243" s="516" t="s">
        <v>160</v>
      </c>
      <c r="C243" s="627"/>
      <c r="D243" s="627"/>
      <c r="E243" s="627"/>
      <c r="F243" s="444"/>
      <c r="G243" s="628"/>
      <c r="H243" s="627"/>
      <c r="I243" s="627"/>
      <c r="J243" s="627"/>
      <c r="K243" s="627"/>
      <c r="L243" s="627"/>
      <c r="M243" s="627"/>
      <c r="N243" s="627"/>
      <c r="O243" s="627"/>
      <c r="P243" s="627"/>
      <c r="Q243" s="627"/>
      <c r="R243" s="516">
        <f t="shared" si="1"/>
        <v>1</v>
      </c>
      <c r="S243" s="628">
        <f t="shared" si="2"/>
        <v>1.8604651162790697E-4</v>
      </c>
      <c r="T243" s="517">
        <f t="shared" si="3"/>
        <v>122</v>
      </c>
      <c r="U243" s="628">
        <f t="shared" si="4"/>
        <v>1.7785760312096359E-4</v>
      </c>
      <c r="V243" s="590"/>
      <c r="W243" s="603"/>
      <c r="X243" s="425"/>
    </row>
    <row r="244" spans="1:25" s="426" customFormat="1" x14ac:dyDescent="0.3">
      <c r="A244" s="443"/>
      <c r="B244" s="516" t="s">
        <v>161</v>
      </c>
      <c r="C244" s="627"/>
      <c r="D244" s="627"/>
      <c r="E244" s="627"/>
      <c r="F244" s="444"/>
      <c r="G244" s="628"/>
      <c r="H244" s="627"/>
      <c r="I244" s="627"/>
      <c r="J244" s="627"/>
      <c r="K244" s="627"/>
      <c r="L244" s="627"/>
      <c r="M244" s="627"/>
      <c r="N244" s="627"/>
      <c r="O244" s="627"/>
      <c r="P244" s="627"/>
      <c r="Q244" s="627"/>
      <c r="R244" s="516">
        <f t="shared" si="1"/>
        <v>2</v>
      </c>
      <c r="S244" s="628">
        <f t="shared" si="2"/>
        <v>3.7209302325581393E-4</v>
      </c>
      <c r="T244" s="517">
        <f t="shared" si="3"/>
        <v>644</v>
      </c>
      <c r="U244" s="628">
        <f t="shared" si="4"/>
        <v>9.3885488860574219E-4</v>
      </c>
      <c r="V244" s="590"/>
      <c r="W244" s="603"/>
      <c r="X244" s="425"/>
      <c r="Y244" s="549"/>
    </row>
    <row r="245" spans="1:25" s="426" customFormat="1" x14ac:dyDescent="0.3">
      <c r="A245" s="443"/>
      <c r="B245" s="516" t="s">
        <v>162</v>
      </c>
      <c r="C245" s="627"/>
      <c r="D245" s="627"/>
      <c r="E245" s="627"/>
      <c r="F245" s="444"/>
      <c r="G245" s="628"/>
      <c r="H245" s="627"/>
      <c r="I245" s="627"/>
      <c r="J245" s="627"/>
      <c r="K245" s="627"/>
      <c r="L245" s="627"/>
      <c r="M245" s="627"/>
      <c r="N245" s="627"/>
      <c r="O245" s="627"/>
      <c r="P245" s="627"/>
      <c r="Q245" s="627"/>
      <c r="R245" s="516">
        <f t="shared" si="1"/>
        <v>3</v>
      </c>
      <c r="S245" s="628">
        <f t="shared" si="2"/>
        <v>5.581395348837209E-4</v>
      </c>
      <c r="T245" s="517">
        <f t="shared" si="3"/>
        <v>337</v>
      </c>
      <c r="U245" s="628">
        <f t="shared" si="4"/>
        <v>4.912951823915141E-4</v>
      </c>
      <c r="V245" s="590"/>
      <c r="W245" s="603"/>
      <c r="X245" s="425"/>
    </row>
    <row r="246" spans="1:25" s="426" customFormat="1" x14ac:dyDescent="0.3">
      <c r="A246" s="443"/>
      <c r="B246" s="516" t="s">
        <v>163</v>
      </c>
      <c r="C246" s="627"/>
      <c r="D246" s="627"/>
      <c r="E246" s="627"/>
      <c r="F246" s="444"/>
      <c r="G246" s="628"/>
      <c r="H246" s="627"/>
      <c r="I246" s="627"/>
      <c r="J246" s="627"/>
      <c r="K246" s="627"/>
      <c r="L246" s="627"/>
      <c r="M246" s="627"/>
      <c r="N246" s="627"/>
      <c r="O246" s="627"/>
      <c r="P246" s="627"/>
      <c r="Q246" s="627"/>
      <c r="R246" s="516">
        <f t="shared" si="1"/>
        <v>5</v>
      </c>
      <c r="S246" s="628">
        <f t="shared" si="2"/>
        <v>9.3023255813953494E-4</v>
      </c>
      <c r="T246" s="517">
        <f t="shared" si="3"/>
        <v>654</v>
      </c>
      <c r="U246" s="628">
        <f t="shared" si="4"/>
        <v>9.534333806648376E-4</v>
      </c>
      <c r="V246" s="590"/>
      <c r="W246" s="603"/>
      <c r="X246" s="425"/>
      <c r="Y246" s="549"/>
    </row>
    <row r="247" spans="1:25" s="426" customFormat="1" x14ac:dyDescent="0.3">
      <c r="A247" s="443"/>
      <c r="B247" s="516"/>
      <c r="C247" s="627"/>
      <c r="D247" s="627"/>
      <c r="E247" s="627"/>
      <c r="F247" s="444"/>
      <c r="G247" s="628"/>
      <c r="H247" s="627"/>
      <c r="I247" s="627"/>
      <c r="J247" s="627"/>
      <c r="K247" s="627"/>
      <c r="L247" s="627"/>
      <c r="M247" s="627"/>
      <c r="N247" s="627"/>
      <c r="O247" s="627"/>
      <c r="P247" s="627"/>
      <c r="Q247" s="627"/>
      <c r="R247" s="516"/>
      <c r="S247" s="628"/>
      <c r="T247" s="517"/>
      <c r="U247" s="628"/>
      <c r="V247" s="590"/>
      <c r="W247" s="603"/>
      <c r="X247" s="425"/>
    </row>
    <row r="248" spans="1:25" s="426" customFormat="1" x14ac:dyDescent="0.3">
      <c r="A248" s="443"/>
      <c r="B248" s="444" t="s">
        <v>117</v>
      </c>
      <c r="C248" s="444"/>
      <c r="D248" s="444"/>
      <c r="E248" s="444"/>
      <c r="F248" s="444"/>
      <c r="G248" s="444"/>
      <c r="H248" s="629"/>
      <c r="I248" s="629"/>
      <c r="J248" s="629"/>
      <c r="K248" s="629"/>
      <c r="L248" s="629"/>
      <c r="M248" s="629"/>
      <c r="N248" s="629"/>
      <c r="O248" s="629"/>
      <c r="P248" s="629"/>
      <c r="Q248" s="629"/>
      <c r="R248" s="516">
        <f>SUM(R239:R247)</f>
        <v>5375</v>
      </c>
      <c r="S248" s="628">
        <f>SUM(S239:S247)</f>
        <v>0.99999999999999989</v>
      </c>
      <c r="T248" s="517">
        <f>SUM(T239:T247)</f>
        <v>685942</v>
      </c>
      <c r="U248" s="628">
        <f>SUM(U239:U247)</f>
        <v>1</v>
      </c>
      <c r="V248" s="444"/>
      <c r="W248" s="446"/>
      <c r="X248" s="425"/>
    </row>
    <row r="249" spans="1:25" x14ac:dyDescent="0.3">
      <c r="A249" s="614"/>
      <c r="B249" s="615"/>
      <c r="C249" s="616"/>
      <c r="D249" s="616"/>
      <c r="E249" s="616"/>
      <c r="F249" s="617"/>
      <c r="G249" s="518"/>
      <c r="H249" s="518"/>
      <c r="I249" s="518"/>
      <c r="J249" s="518"/>
      <c r="K249" s="518"/>
      <c r="L249" s="518"/>
      <c r="M249" s="518"/>
      <c r="N249" s="518"/>
      <c r="O249" s="518"/>
      <c r="P249" s="518"/>
      <c r="Q249" s="518"/>
      <c r="R249" s="518"/>
      <c r="S249" s="518"/>
      <c r="T249" s="618"/>
      <c r="U249" s="518"/>
      <c r="V249" s="619"/>
      <c r="W249" s="620"/>
      <c r="X249" s="406"/>
    </row>
    <row r="250" spans="1:25" x14ac:dyDescent="0.3">
      <c r="A250" s="533"/>
      <c r="B250" s="534" t="s">
        <v>165</v>
      </c>
      <c r="C250" s="535"/>
      <c r="D250" s="535"/>
      <c r="E250" s="535"/>
      <c r="F250" s="621"/>
      <c r="G250" s="535"/>
      <c r="H250" s="535"/>
      <c r="I250" s="535"/>
      <c r="J250" s="535"/>
      <c r="K250" s="535"/>
      <c r="L250" s="535"/>
      <c r="M250" s="535"/>
      <c r="N250" s="535"/>
      <c r="O250" s="535"/>
      <c r="P250" s="535"/>
      <c r="Q250" s="535"/>
      <c r="R250" s="621" t="s">
        <v>103</v>
      </c>
      <c r="S250" s="535" t="s">
        <v>104</v>
      </c>
      <c r="T250" s="621" t="s">
        <v>111</v>
      </c>
      <c r="U250" s="535" t="s">
        <v>104</v>
      </c>
      <c r="V250" s="622"/>
      <c r="W250" s="623"/>
      <c r="X250" s="406"/>
    </row>
    <row r="251" spans="1:25" s="426" customFormat="1" x14ac:dyDescent="0.3">
      <c r="A251" s="421"/>
      <c r="B251" s="552" t="s">
        <v>89</v>
      </c>
      <c r="C251" s="624"/>
      <c r="D251" s="624"/>
      <c r="E251" s="624"/>
      <c r="F251" s="494"/>
      <c r="G251" s="624"/>
      <c r="H251" s="624"/>
      <c r="I251" s="624"/>
      <c r="J251" s="624"/>
      <c r="K251" s="624"/>
      <c r="L251" s="624"/>
      <c r="M251" s="624"/>
      <c r="N251" s="624"/>
      <c r="O251" s="624"/>
      <c r="P251" s="624"/>
      <c r="Q251" s="624"/>
      <c r="R251" s="552">
        <v>5261</v>
      </c>
      <c r="S251" s="630">
        <f t="shared" ref="S251:S258" si="5">R251/$R$260</f>
        <v>0.99527052591751797</v>
      </c>
      <c r="T251" s="631">
        <v>667750</v>
      </c>
      <c r="U251" s="630">
        <f t="shared" ref="U251:U258" si="6">T251/$T$260</f>
        <v>0.99671617284872005</v>
      </c>
      <c r="V251" s="585"/>
      <c r="W251" s="626"/>
      <c r="X251" s="425"/>
    </row>
    <row r="252" spans="1:25" s="426" customFormat="1" x14ac:dyDescent="0.3">
      <c r="A252" s="443"/>
      <c r="B252" s="516" t="s">
        <v>90</v>
      </c>
      <c r="C252" s="627"/>
      <c r="D252" s="627"/>
      <c r="E252" s="627"/>
      <c r="F252" s="444"/>
      <c r="G252" s="628"/>
      <c r="H252" s="627"/>
      <c r="I252" s="627"/>
      <c r="J252" s="627"/>
      <c r="K252" s="627"/>
      <c r="L252" s="627"/>
      <c r="M252" s="627"/>
      <c r="N252" s="627"/>
      <c r="O252" s="627"/>
      <c r="P252" s="627"/>
      <c r="Q252" s="627"/>
      <c r="R252" s="516">
        <v>19</v>
      </c>
      <c r="S252" s="628">
        <f t="shared" si="5"/>
        <v>3.5944003026863415E-3</v>
      </c>
      <c r="T252" s="517">
        <v>1684</v>
      </c>
      <c r="U252" s="628">
        <f t="shared" si="6"/>
        <v>2.5136204194342862E-3</v>
      </c>
      <c r="V252" s="590"/>
      <c r="W252" s="603"/>
      <c r="X252" s="425"/>
      <c r="Y252" s="549"/>
    </row>
    <row r="253" spans="1:25" s="426" customFormat="1" x14ac:dyDescent="0.3">
      <c r="A253" s="443"/>
      <c r="B253" s="516" t="s">
        <v>91</v>
      </c>
      <c r="C253" s="627"/>
      <c r="D253" s="627"/>
      <c r="E253" s="627"/>
      <c r="F253" s="444"/>
      <c r="G253" s="628"/>
      <c r="H253" s="627"/>
      <c r="I253" s="627"/>
      <c r="J253" s="627"/>
      <c r="K253" s="627"/>
      <c r="L253" s="627"/>
      <c r="M253" s="627"/>
      <c r="N253" s="627"/>
      <c r="O253" s="627"/>
      <c r="P253" s="627"/>
      <c r="Q253" s="627"/>
      <c r="R253" s="516">
        <v>3</v>
      </c>
      <c r="S253" s="628">
        <f t="shared" si="5"/>
        <v>5.6753688989784334E-4</v>
      </c>
      <c r="T253" s="517">
        <v>250</v>
      </c>
      <c r="U253" s="628">
        <f t="shared" si="6"/>
        <v>3.7316217628181208E-4</v>
      </c>
      <c r="V253" s="590"/>
      <c r="W253" s="603"/>
      <c r="X253" s="425"/>
    </row>
    <row r="254" spans="1:25" s="426" customFormat="1" x14ac:dyDescent="0.3">
      <c r="A254" s="443"/>
      <c r="B254" s="516" t="s">
        <v>159</v>
      </c>
      <c r="C254" s="627"/>
      <c r="D254" s="627"/>
      <c r="E254" s="627"/>
      <c r="F254" s="444"/>
      <c r="G254" s="628"/>
      <c r="H254" s="627"/>
      <c r="I254" s="627"/>
      <c r="J254" s="627"/>
      <c r="K254" s="627"/>
      <c r="L254" s="627"/>
      <c r="M254" s="627"/>
      <c r="N254" s="627"/>
      <c r="O254" s="627"/>
      <c r="P254" s="627"/>
      <c r="Q254" s="627"/>
      <c r="R254" s="516">
        <v>2</v>
      </c>
      <c r="S254" s="628">
        <f t="shared" si="5"/>
        <v>3.7835792659856227E-4</v>
      </c>
      <c r="T254" s="517">
        <v>144</v>
      </c>
      <c r="U254" s="628">
        <f t="shared" si="6"/>
        <v>2.1494141353832374E-4</v>
      </c>
      <c r="V254" s="590"/>
      <c r="W254" s="603"/>
      <c r="X254" s="425"/>
      <c r="Y254" s="549"/>
    </row>
    <row r="255" spans="1:25" s="426" customFormat="1" x14ac:dyDescent="0.3">
      <c r="A255" s="443"/>
      <c r="B255" s="516" t="s">
        <v>160</v>
      </c>
      <c r="C255" s="627"/>
      <c r="D255" s="627"/>
      <c r="E255" s="627"/>
      <c r="F255" s="444"/>
      <c r="G255" s="628"/>
      <c r="H255" s="627"/>
      <c r="I255" s="627"/>
      <c r="J255" s="627"/>
      <c r="K255" s="627"/>
      <c r="L255" s="627"/>
      <c r="M255" s="627"/>
      <c r="N255" s="627"/>
      <c r="O255" s="627"/>
      <c r="P255" s="627"/>
      <c r="Q255" s="627"/>
      <c r="R255" s="516">
        <v>1</v>
      </c>
      <c r="S255" s="628">
        <f t="shared" si="5"/>
        <v>1.8917896329928113E-4</v>
      </c>
      <c r="T255" s="517">
        <v>122</v>
      </c>
      <c r="U255" s="628">
        <f t="shared" si="6"/>
        <v>1.8210314202552429E-4</v>
      </c>
      <c r="V255" s="590"/>
      <c r="W255" s="603"/>
      <c r="X255" s="425"/>
    </row>
    <row r="256" spans="1:25" s="426" customFormat="1" x14ac:dyDescent="0.3">
      <c r="A256" s="443"/>
      <c r="B256" s="516" t="s">
        <v>161</v>
      </c>
      <c r="C256" s="627"/>
      <c r="D256" s="627"/>
      <c r="E256" s="627"/>
      <c r="F256" s="444"/>
      <c r="G256" s="628"/>
      <c r="H256" s="627"/>
      <c r="I256" s="627"/>
      <c r="J256" s="627"/>
      <c r="K256" s="627"/>
      <c r="L256" s="627"/>
      <c r="M256" s="627"/>
      <c r="N256" s="627"/>
      <c r="O256" s="627"/>
      <c r="P256" s="627"/>
      <c r="Q256" s="627"/>
      <c r="R256" s="516">
        <v>0</v>
      </c>
      <c r="S256" s="628">
        <f t="shared" si="5"/>
        <v>0</v>
      </c>
      <c r="T256" s="517">
        <v>0</v>
      </c>
      <c r="U256" s="628">
        <f t="shared" si="6"/>
        <v>0</v>
      </c>
      <c r="V256" s="590"/>
      <c r="W256" s="603"/>
      <c r="X256" s="425"/>
      <c r="Y256" s="549"/>
    </row>
    <row r="257" spans="1:25" s="426" customFormat="1" x14ac:dyDescent="0.3">
      <c r="A257" s="443"/>
      <c r="B257" s="516" t="s">
        <v>162</v>
      </c>
      <c r="C257" s="627"/>
      <c r="D257" s="627"/>
      <c r="E257" s="627"/>
      <c r="F257" s="444"/>
      <c r="G257" s="628"/>
      <c r="H257" s="627"/>
      <c r="I257" s="627"/>
      <c r="J257" s="627"/>
      <c r="K257" s="627"/>
      <c r="L257" s="627"/>
      <c r="M257" s="627"/>
      <c r="N257" s="627"/>
      <c r="O257" s="627"/>
      <c r="P257" s="627"/>
      <c r="Q257" s="627"/>
      <c r="R257" s="516">
        <v>0</v>
      </c>
      <c r="S257" s="628">
        <f t="shared" si="5"/>
        <v>0</v>
      </c>
      <c r="T257" s="517">
        <v>0</v>
      </c>
      <c r="U257" s="628">
        <f t="shared" si="6"/>
        <v>0</v>
      </c>
      <c r="V257" s="590"/>
      <c r="W257" s="603"/>
      <c r="X257" s="425"/>
    </row>
    <row r="258" spans="1:25" s="426" customFormat="1" x14ac:dyDescent="0.3">
      <c r="A258" s="443"/>
      <c r="B258" s="516" t="s">
        <v>163</v>
      </c>
      <c r="C258" s="627"/>
      <c r="D258" s="627"/>
      <c r="E258" s="627"/>
      <c r="F258" s="444"/>
      <c r="G258" s="628"/>
      <c r="H258" s="627"/>
      <c r="I258" s="627"/>
      <c r="J258" s="627"/>
      <c r="K258" s="627"/>
      <c r="L258" s="627"/>
      <c r="M258" s="627"/>
      <c r="N258" s="627"/>
      <c r="O258" s="627"/>
      <c r="P258" s="627"/>
      <c r="Q258" s="627"/>
      <c r="R258" s="516">
        <v>0</v>
      </c>
      <c r="S258" s="628">
        <f t="shared" si="5"/>
        <v>0</v>
      </c>
      <c r="T258" s="517">
        <v>0</v>
      </c>
      <c r="U258" s="628">
        <f t="shared" si="6"/>
        <v>0</v>
      </c>
      <c r="V258" s="590"/>
      <c r="W258" s="603"/>
      <c r="X258" s="425"/>
      <c r="Y258" s="549"/>
    </row>
    <row r="259" spans="1:25" s="426" customFormat="1" x14ac:dyDescent="0.3">
      <c r="A259" s="443"/>
      <c r="B259" s="516"/>
      <c r="C259" s="627"/>
      <c r="D259" s="627"/>
      <c r="E259" s="627"/>
      <c r="F259" s="444"/>
      <c r="G259" s="628"/>
      <c r="H259" s="627"/>
      <c r="I259" s="627"/>
      <c r="J259" s="627"/>
      <c r="K259" s="627"/>
      <c r="L259" s="627"/>
      <c r="M259" s="627"/>
      <c r="N259" s="627"/>
      <c r="O259" s="627"/>
      <c r="P259" s="627"/>
      <c r="Q259" s="627"/>
      <c r="R259" s="516"/>
      <c r="S259" s="628"/>
      <c r="T259" s="517"/>
      <c r="U259" s="628"/>
      <c r="V259" s="590"/>
      <c r="W259" s="603"/>
      <c r="X259" s="425"/>
    </row>
    <row r="260" spans="1:25" s="426" customFormat="1" x14ac:dyDescent="0.3">
      <c r="A260" s="443"/>
      <c r="B260" s="444" t="s">
        <v>117</v>
      </c>
      <c r="C260" s="444"/>
      <c r="D260" s="444"/>
      <c r="E260" s="444"/>
      <c r="F260" s="444"/>
      <c r="G260" s="444"/>
      <c r="H260" s="629"/>
      <c r="I260" s="629"/>
      <c r="J260" s="629"/>
      <c r="K260" s="629"/>
      <c r="L260" s="629"/>
      <c r="M260" s="629"/>
      <c r="N260" s="629"/>
      <c r="O260" s="629"/>
      <c r="P260" s="629"/>
      <c r="Q260" s="629"/>
      <c r="R260" s="516">
        <f>SUM(R251:R259)</f>
        <v>5286</v>
      </c>
      <c r="S260" s="628">
        <f>SUM(S251:S259)</f>
        <v>1</v>
      </c>
      <c r="T260" s="517">
        <f>SUM(T251:T259)</f>
        <v>669950</v>
      </c>
      <c r="U260" s="628">
        <f>SUM(U251:U259)</f>
        <v>0.99999999999999989</v>
      </c>
      <c r="V260" s="444"/>
      <c r="W260" s="446"/>
      <c r="X260" s="425"/>
    </row>
    <row r="261" spans="1:25" x14ac:dyDescent="0.3">
      <c r="A261" s="408"/>
      <c r="B261" s="518"/>
      <c r="C261" s="518"/>
      <c r="D261" s="518"/>
      <c r="E261" s="518"/>
      <c r="F261" s="518"/>
      <c r="G261" s="518"/>
      <c r="H261" s="632"/>
      <c r="I261" s="632"/>
      <c r="J261" s="632"/>
      <c r="K261" s="632"/>
      <c r="L261" s="632"/>
      <c r="M261" s="632"/>
      <c r="N261" s="632"/>
      <c r="O261" s="632"/>
      <c r="P261" s="632"/>
      <c r="Q261" s="632"/>
      <c r="R261" s="519"/>
      <c r="S261" s="633"/>
      <c r="T261" s="634"/>
      <c r="U261" s="633"/>
      <c r="V261" s="518"/>
      <c r="W261" s="411"/>
      <c r="X261" s="406"/>
    </row>
    <row r="262" spans="1:25" x14ac:dyDescent="0.3">
      <c r="A262" s="533"/>
      <c r="B262" s="534" t="s">
        <v>279</v>
      </c>
      <c r="C262" s="535"/>
      <c r="D262" s="535"/>
      <c r="E262" s="535"/>
      <c r="F262" s="621"/>
      <c r="G262" s="535"/>
      <c r="H262" s="535"/>
      <c r="I262" s="535"/>
      <c r="J262" s="535"/>
      <c r="K262" s="535"/>
      <c r="L262" s="535"/>
      <c r="M262" s="535"/>
      <c r="N262" s="535"/>
      <c r="O262" s="535"/>
      <c r="P262" s="535"/>
      <c r="Q262" s="535"/>
      <c r="R262" s="621" t="s">
        <v>103</v>
      </c>
      <c r="S262" s="535" t="s">
        <v>104</v>
      </c>
      <c r="T262" s="621" t="s">
        <v>111</v>
      </c>
      <c r="U262" s="535" t="s">
        <v>104</v>
      </c>
      <c r="V262" s="622"/>
      <c r="W262" s="538"/>
      <c r="X262" s="406"/>
    </row>
    <row r="263" spans="1:25" s="426" customFormat="1" x14ac:dyDescent="0.3">
      <c r="A263" s="421"/>
      <c r="B263" s="552" t="s">
        <v>89</v>
      </c>
      <c r="C263" s="624"/>
      <c r="D263" s="624"/>
      <c r="E263" s="624"/>
      <c r="F263" s="494"/>
      <c r="G263" s="624"/>
      <c r="H263" s="624"/>
      <c r="I263" s="624"/>
      <c r="J263" s="624"/>
      <c r="K263" s="624"/>
      <c r="L263" s="624"/>
      <c r="M263" s="624"/>
      <c r="N263" s="624"/>
      <c r="O263" s="624"/>
      <c r="P263" s="624"/>
      <c r="Q263" s="624"/>
      <c r="R263" s="552">
        <v>76</v>
      </c>
      <c r="S263" s="630">
        <f>R263/$R$272</f>
        <v>0.8539325842696629</v>
      </c>
      <c r="T263" s="631">
        <v>13656</v>
      </c>
      <c r="U263" s="630">
        <f t="shared" ref="U263:U270" si="7">T263/$T$272</f>
        <v>0.85392696348174091</v>
      </c>
      <c r="V263" s="494"/>
      <c r="W263" s="424"/>
      <c r="X263" s="425"/>
    </row>
    <row r="264" spans="1:25" s="426" customFormat="1" x14ac:dyDescent="0.3">
      <c r="A264" s="443"/>
      <c r="B264" s="516" t="s">
        <v>90</v>
      </c>
      <c r="C264" s="627"/>
      <c r="D264" s="627"/>
      <c r="E264" s="627"/>
      <c r="F264" s="444"/>
      <c r="G264" s="628"/>
      <c r="H264" s="627"/>
      <c r="I264" s="627"/>
      <c r="J264" s="627"/>
      <c r="K264" s="627"/>
      <c r="L264" s="627"/>
      <c r="M264" s="627"/>
      <c r="N264" s="627"/>
      <c r="O264" s="627"/>
      <c r="P264" s="627"/>
      <c r="Q264" s="627"/>
      <c r="R264" s="516">
        <v>3</v>
      </c>
      <c r="S264" s="628">
        <f t="shared" ref="S264:S268" si="8">R264/$R$272</f>
        <v>3.3707865168539325E-2</v>
      </c>
      <c r="T264" s="517">
        <v>701</v>
      </c>
      <c r="U264" s="628">
        <f t="shared" si="7"/>
        <v>4.3834417208604301E-2</v>
      </c>
      <c r="V264" s="444"/>
      <c r="W264" s="446"/>
      <c r="X264" s="425"/>
    </row>
    <row r="265" spans="1:25" s="426" customFormat="1" x14ac:dyDescent="0.3">
      <c r="A265" s="443"/>
      <c r="B265" s="516" t="s">
        <v>91</v>
      </c>
      <c r="C265" s="627"/>
      <c r="D265" s="627"/>
      <c r="E265" s="627"/>
      <c r="F265" s="444"/>
      <c r="G265" s="628"/>
      <c r="H265" s="627"/>
      <c r="I265" s="627"/>
      <c r="J265" s="627"/>
      <c r="K265" s="627"/>
      <c r="L265" s="627"/>
      <c r="M265" s="627"/>
      <c r="N265" s="627"/>
      <c r="O265" s="627"/>
      <c r="P265" s="627"/>
      <c r="Q265" s="627"/>
      <c r="R265" s="516">
        <v>0</v>
      </c>
      <c r="S265" s="628">
        <f t="shared" si="8"/>
        <v>0</v>
      </c>
      <c r="T265" s="517">
        <v>0</v>
      </c>
      <c r="U265" s="628">
        <f t="shared" si="7"/>
        <v>0</v>
      </c>
      <c r="V265" s="444"/>
      <c r="W265" s="446"/>
      <c r="X265" s="425"/>
    </row>
    <row r="266" spans="1:25" s="426" customFormat="1" x14ac:dyDescent="0.3">
      <c r="A266" s="443"/>
      <c r="B266" s="516" t="s">
        <v>159</v>
      </c>
      <c r="C266" s="627"/>
      <c r="D266" s="627"/>
      <c r="E266" s="627"/>
      <c r="F266" s="444"/>
      <c r="G266" s="628"/>
      <c r="H266" s="627"/>
      <c r="I266" s="627"/>
      <c r="J266" s="627"/>
      <c r="K266" s="627"/>
      <c r="L266" s="627"/>
      <c r="M266" s="627"/>
      <c r="N266" s="627"/>
      <c r="O266" s="627"/>
      <c r="P266" s="627"/>
      <c r="Q266" s="627"/>
      <c r="R266" s="516">
        <v>0</v>
      </c>
      <c r="S266" s="628">
        <f t="shared" si="8"/>
        <v>0</v>
      </c>
      <c r="T266" s="517">
        <v>0</v>
      </c>
      <c r="U266" s="628">
        <f t="shared" si="7"/>
        <v>0</v>
      </c>
      <c r="V266" s="444"/>
      <c r="W266" s="446"/>
      <c r="X266" s="425"/>
    </row>
    <row r="267" spans="1:25" s="426" customFormat="1" x14ac:dyDescent="0.3">
      <c r="A267" s="443"/>
      <c r="B267" s="516" t="s">
        <v>160</v>
      </c>
      <c r="C267" s="627"/>
      <c r="D267" s="627"/>
      <c r="E267" s="627"/>
      <c r="F267" s="444"/>
      <c r="G267" s="628"/>
      <c r="H267" s="627"/>
      <c r="I267" s="627"/>
      <c r="J267" s="627"/>
      <c r="K267" s="627"/>
      <c r="L267" s="627"/>
      <c r="M267" s="627"/>
      <c r="N267" s="627"/>
      <c r="O267" s="627"/>
      <c r="P267" s="627"/>
      <c r="Q267" s="627"/>
      <c r="R267" s="516">
        <v>0</v>
      </c>
      <c r="S267" s="628">
        <f t="shared" si="8"/>
        <v>0</v>
      </c>
      <c r="T267" s="517">
        <v>0</v>
      </c>
      <c r="U267" s="628">
        <f t="shared" si="7"/>
        <v>0</v>
      </c>
      <c r="V267" s="444"/>
      <c r="W267" s="446"/>
      <c r="X267" s="425"/>
    </row>
    <row r="268" spans="1:25" s="426" customFormat="1" x14ac:dyDescent="0.3">
      <c r="A268" s="443"/>
      <c r="B268" s="516" t="s">
        <v>161</v>
      </c>
      <c r="C268" s="627"/>
      <c r="D268" s="627"/>
      <c r="E268" s="627"/>
      <c r="F268" s="444"/>
      <c r="G268" s="628"/>
      <c r="H268" s="627"/>
      <c r="I268" s="627"/>
      <c r="J268" s="627"/>
      <c r="K268" s="627"/>
      <c r="L268" s="627"/>
      <c r="M268" s="627"/>
      <c r="N268" s="627"/>
      <c r="O268" s="627"/>
      <c r="P268" s="627"/>
      <c r="Q268" s="627"/>
      <c r="R268" s="516">
        <v>2</v>
      </c>
      <c r="S268" s="628">
        <f t="shared" si="8"/>
        <v>2.247191011235955E-2</v>
      </c>
      <c r="T268" s="517">
        <v>644</v>
      </c>
      <c r="U268" s="628">
        <f t="shared" si="7"/>
        <v>4.0270135067533769E-2</v>
      </c>
      <c r="V268" s="444"/>
      <c r="W268" s="446"/>
      <c r="X268" s="425"/>
    </row>
    <row r="269" spans="1:25" s="426" customFormat="1" x14ac:dyDescent="0.3">
      <c r="A269" s="443"/>
      <c r="B269" s="516" t="s">
        <v>162</v>
      </c>
      <c r="C269" s="627"/>
      <c r="D269" s="627"/>
      <c r="E269" s="627"/>
      <c r="F269" s="444"/>
      <c r="G269" s="628"/>
      <c r="H269" s="627"/>
      <c r="I269" s="627"/>
      <c r="J269" s="627"/>
      <c r="K269" s="627"/>
      <c r="L269" s="627"/>
      <c r="M269" s="627"/>
      <c r="N269" s="627"/>
      <c r="O269" s="627"/>
      <c r="P269" s="627"/>
      <c r="Q269" s="627"/>
      <c r="R269" s="516">
        <v>3</v>
      </c>
      <c r="S269" s="628">
        <f>R269/$R$272</f>
        <v>3.3707865168539325E-2</v>
      </c>
      <c r="T269" s="517">
        <v>337</v>
      </c>
      <c r="U269" s="628">
        <f t="shared" si="7"/>
        <v>2.107303651825913E-2</v>
      </c>
      <c r="V269" s="444"/>
      <c r="W269" s="446"/>
      <c r="X269" s="425"/>
    </row>
    <row r="270" spans="1:25" s="426" customFormat="1" x14ac:dyDescent="0.3">
      <c r="A270" s="443"/>
      <c r="B270" s="516" t="s">
        <v>163</v>
      </c>
      <c r="C270" s="627"/>
      <c r="D270" s="627"/>
      <c r="E270" s="627"/>
      <c r="F270" s="444"/>
      <c r="G270" s="628"/>
      <c r="H270" s="627"/>
      <c r="I270" s="627"/>
      <c r="J270" s="627"/>
      <c r="K270" s="627"/>
      <c r="L270" s="627"/>
      <c r="M270" s="627"/>
      <c r="N270" s="627"/>
      <c r="O270" s="627"/>
      <c r="P270" s="627"/>
      <c r="Q270" s="627"/>
      <c r="R270" s="516">
        <v>5</v>
      </c>
      <c r="S270" s="628">
        <f>R270/$R$272</f>
        <v>5.6179775280898875E-2</v>
      </c>
      <c r="T270" s="517">
        <v>654</v>
      </c>
      <c r="U270" s="628">
        <f t="shared" si="7"/>
        <v>4.089544772386193E-2</v>
      </c>
      <c r="V270" s="444"/>
      <c r="W270" s="446"/>
      <c r="X270" s="425"/>
    </row>
    <row r="271" spans="1:25" s="426" customFormat="1" x14ac:dyDescent="0.3">
      <c r="A271" s="443"/>
      <c r="B271" s="516"/>
      <c r="C271" s="627"/>
      <c r="D271" s="627"/>
      <c r="E271" s="627"/>
      <c r="F271" s="444"/>
      <c r="G271" s="628"/>
      <c r="H271" s="627"/>
      <c r="I271" s="627"/>
      <c r="J271" s="627"/>
      <c r="K271" s="627"/>
      <c r="L271" s="627"/>
      <c r="M271" s="627"/>
      <c r="N271" s="627"/>
      <c r="O271" s="627"/>
      <c r="P271" s="627"/>
      <c r="Q271" s="627"/>
      <c r="R271" s="516"/>
      <c r="S271" s="628"/>
      <c r="T271" s="517"/>
      <c r="U271" s="628"/>
      <c r="V271" s="444"/>
      <c r="W271" s="446"/>
      <c r="X271" s="425"/>
    </row>
    <row r="272" spans="1:25" s="426" customFormat="1" x14ac:dyDescent="0.3">
      <c r="A272" s="443"/>
      <c r="B272" s="444" t="s">
        <v>117</v>
      </c>
      <c r="C272" s="444"/>
      <c r="D272" s="444"/>
      <c r="E272" s="444"/>
      <c r="F272" s="444"/>
      <c r="G272" s="444"/>
      <c r="H272" s="629"/>
      <c r="I272" s="629"/>
      <c r="J272" s="629"/>
      <c r="K272" s="629"/>
      <c r="L272" s="629"/>
      <c r="M272" s="629"/>
      <c r="N272" s="629"/>
      <c r="O272" s="629"/>
      <c r="P272" s="629"/>
      <c r="Q272" s="629"/>
      <c r="R272" s="516">
        <f>SUM(R263:R271)</f>
        <v>89</v>
      </c>
      <c r="S272" s="628">
        <f>SUM(S263:S271)</f>
        <v>1</v>
      </c>
      <c r="T272" s="517">
        <f>SUM(T263:T271)</f>
        <v>15992</v>
      </c>
      <c r="U272" s="628">
        <f>SUM(U263:U271)</f>
        <v>0.99999999999999989</v>
      </c>
      <c r="V272" s="444"/>
      <c r="W272" s="446"/>
      <c r="X272" s="425"/>
    </row>
    <row r="273" spans="1:24" x14ac:dyDescent="0.3">
      <c r="A273" s="408"/>
      <c r="B273" s="518"/>
      <c r="C273" s="518"/>
      <c r="D273" s="518"/>
      <c r="E273" s="518"/>
      <c r="F273" s="518"/>
      <c r="G273" s="518"/>
      <c r="H273" s="632"/>
      <c r="I273" s="632"/>
      <c r="J273" s="632"/>
      <c r="K273" s="632"/>
      <c r="L273" s="632"/>
      <c r="M273" s="632"/>
      <c r="N273" s="632"/>
      <c r="O273" s="632"/>
      <c r="P273" s="632"/>
      <c r="Q273" s="632"/>
      <c r="R273" s="519"/>
      <c r="S273" s="633"/>
      <c r="T273" s="634"/>
      <c r="U273" s="633"/>
      <c r="V273" s="518"/>
      <c r="W273" s="411"/>
      <c r="X273" s="406"/>
    </row>
    <row r="274" spans="1:24" x14ac:dyDescent="0.3">
      <c r="A274" s="533"/>
      <c r="B274" s="534" t="s">
        <v>166</v>
      </c>
      <c r="C274" s="622"/>
      <c r="D274" s="622"/>
      <c r="E274" s="622"/>
      <c r="F274" s="622"/>
      <c r="G274" s="622"/>
      <c r="H274" s="635"/>
      <c r="I274" s="635"/>
      <c r="J274" s="635"/>
      <c r="K274" s="635"/>
      <c r="L274" s="635"/>
      <c r="M274" s="635"/>
      <c r="N274" s="635"/>
      <c r="O274" s="635"/>
      <c r="P274" s="635"/>
      <c r="Q274" s="635"/>
      <c r="R274" s="621" t="s">
        <v>103</v>
      </c>
      <c r="S274" s="535" t="s">
        <v>104</v>
      </c>
      <c r="T274" s="621" t="s">
        <v>111</v>
      </c>
      <c r="U274" s="535" t="s">
        <v>104</v>
      </c>
      <c r="V274" s="622"/>
      <c r="W274" s="538"/>
      <c r="X274" s="406"/>
    </row>
    <row r="275" spans="1:24" s="426" customFormat="1" x14ac:dyDescent="0.3">
      <c r="A275" s="421"/>
      <c r="B275" s="552" t="s">
        <v>89</v>
      </c>
      <c r="C275" s="494"/>
      <c r="D275" s="494"/>
      <c r="E275" s="494"/>
      <c r="F275" s="494"/>
      <c r="G275" s="494"/>
      <c r="H275" s="636"/>
      <c r="I275" s="636"/>
      <c r="J275" s="636"/>
      <c r="K275" s="636"/>
      <c r="L275" s="636"/>
      <c r="M275" s="636"/>
      <c r="N275" s="636"/>
      <c r="O275" s="636"/>
      <c r="P275" s="636"/>
      <c r="Q275" s="636"/>
      <c r="R275" s="552">
        <v>0</v>
      </c>
      <c r="S275" s="630">
        <v>0</v>
      </c>
      <c r="T275" s="631">
        <v>0</v>
      </c>
      <c r="U275" s="630">
        <v>0</v>
      </c>
      <c r="V275" s="494"/>
      <c r="W275" s="424"/>
      <c r="X275" s="425"/>
    </row>
    <row r="276" spans="1:24" s="426" customFormat="1" x14ac:dyDescent="0.3">
      <c r="A276" s="443"/>
      <c r="B276" s="516" t="s">
        <v>90</v>
      </c>
      <c r="C276" s="444"/>
      <c r="D276" s="444"/>
      <c r="E276" s="444"/>
      <c r="F276" s="444"/>
      <c r="G276" s="444"/>
      <c r="H276" s="629"/>
      <c r="I276" s="629"/>
      <c r="J276" s="629"/>
      <c r="K276" s="629"/>
      <c r="L276" s="629"/>
      <c r="M276" s="629"/>
      <c r="N276" s="629"/>
      <c r="O276" s="629"/>
      <c r="P276" s="629"/>
      <c r="Q276" s="629"/>
      <c r="R276" s="516">
        <v>0</v>
      </c>
      <c r="S276" s="628">
        <v>0</v>
      </c>
      <c r="T276" s="517">
        <v>0</v>
      </c>
      <c r="U276" s="628">
        <v>0</v>
      </c>
      <c r="V276" s="444"/>
      <c r="W276" s="446"/>
      <c r="X276" s="425"/>
    </row>
    <row r="277" spans="1:24" s="426" customFormat="1" x14ac:dyDescent="0.3">
      <c r="A277" s="443"/>
      <c r="B277" s="516" t="s">
        <v>91</v>
      </c>
      <c r="C277" s="444"/>
      <c r="D277" s="444"/>
      <c r="E277" s="444"/>
      <c r="F277" s="444"/>
      <c r="G277" s="444"/>
      <c r="H277" s="629"/>
      <c r="I277" s="629"/>
      <c r="J277" s="629"/>
      <c r="K277" s="629"/>
      <c r="L277" s="629"/>
      <c r="M277" s="629"/>
      <c r="N277" s="629"/>
      <c r="O277" s="629"/>
      <c r="P277" s="629"/>
      <c r="Q277" s="629"/>
      <c r="R277" s="516">
        <v>0</v>
      </c>
      <c r="S277" s="628">
        <v>0</v>
      </c>
      <c r="T277" s="517">
        <v>0</v>
      </c>
      <c r="U277" s="628">
        <v>0</v>
      </c>
      <c r="V277" s="444"/>
      <c r="W277" s="446"/>
      <c r="X277" s="425"/>
    </row>
    <row r="278" spans="1:24" s="426" customFormat="1" x14ac:dyDescent="0.3">
      <c r="A278" s="443"/>
      <c r="B278" s="516" t="s">
        <v>159</v>
      </c>
      <c r="C278" s="444"/>
      <c r="D278" s="444"/>
      <c r="E278" s="444"/>
      <c r="F278" s="444"/>
      <c r="G278" s="444"/>
      <c r="H278" s="629"/>
      <c r="I278" s="629"/>
      <c r="J278" s="629"/>
      <c r="K278" s="629"/>
      <c r="L278" s="629"/>
      <c r="M278" s="629"/>
      <c r="N278" s="629"/>
      <c r="O278" s="629"/>
      <c r="P278" s="629"/>
      <c r="Q278" s="629"/>
      <c r="R278" s="516">
        <v>0</v>
      </c>
      <c r="S278" s="628">
        <v>0</v>
      </c>
      <c r="T278" s="517">
        <v>0</v>
      </c>
      <c r="U278" s="628">
        <v>0</v>
      </c>
      <c r="V278" s="444"/>
      <c r="W278" s="446"/>
      <c r="X278" s="425"/>
    </row>
    <row r="279" spans="1:24" s="426" customFormat="1" x14ac:dyDescent="0.3">
      <c r="A279" s="443"/>
      <c r="B279" s="516" t="s">
        <v>160</v>
      </c>
      <c r="C279" s="444"/>
      <c r="D279" s="444"/>
      <c r="E279" s="444"/>
      <c r="F279" s="444"/>
      <c r="G279" s="444"/>
      <c r="H279" s="629"/>
      <c r="I279" s="629"/>
      <c r="J279" s="629"/>
      <c r="K279" s="629"/>
      <c r="L279" s="629"/>
      <c r="M279" s="629"/>
      <c r="N279" s="629"/>
      <c r="O279" s="629"/>
      <c r="P279" s="629"/>
      <c r="Q279" s="629"/>
      <c r="R279" s="516">
        <v>0</v>
      </c>
      <c r="S279" s="628">
        <v>0</v>
      </c>
      <c r="T279" s="517">
        <v>0</v>
      </c>
      <c r="U279" s="628">
        <v>0</v>
      </c>
      <c r="V279" s="444"/>
      <c r="W279" s="446"/>
      <c r="X279" s="425"/>
    </row>
    <row r="280" spans="1:24" s="426" customFormat="1" x14ac:dyDescent="0.3">
      <c r="A280" s="443"/>
      <c r="B280" s="516" t="s">
        <v>161</v>
      </c>
      <c r="C280" s="444"/>
      <c r="D280" s="444"/>
      <c r="E280" s="444"/>
      <c r="F280" s="444"/>
      <c r="G280" s="444"/>
      <c r="H280" s="629"/>
      <c r="I280" s="629"/>
      <c r="J280" s="629"/>
      <c r="K280" s="629"/>
      <c r="L280" s="629"/>
      <c r="M280" s="629"/>
      <c r="N280" s="629"/>
      <c r="O280" s="629"/>
      <c r="P280" s="629"/>
      <c r="Q280" s="629"/>
      <c r="R280" s="516">
        <v>0</v>
      </c>
      <c r="S280" s="628">
        <v>0</v>
      </c>
      <c r="T280" s="517">
        <v>0</v>
      </c>
      <c r="U280" s="628">
        <v>0</v>
      </c>
      <c r="V280" s="444"/>
      <c r="W280" s="446"/>
      <c r="X280" s="425"/>
    </row>
    <row r="281" spans="1:24" s="426" customFormat="1" x14ac:dyDescent="0.3">
      <c r="A281" s="443"/>
      <c r="B281" s="516" t="s">
        <v>162</v>
      </c>
      <c r="C281" s="444"/>
      <c r="D281" s="444"/>
      <c r="E281" s="444"/>
      <c r="F281" s="444"/>
      <c r="G281" s="444"/>
      <c r="H281" s="629"/>
      <c r="I281" s="629"/>
      <c r="J281" s="629"/>
      <c r="K281" s="629"/>
      <c r="L281" s="629"/>
      <c r="M281" s="629"/>
      <c r="N281" s="629"/>
      <c r="O281" s="629"/>
      <c r="P281" s="629"/>
      <c r="Q281" s="629"/>
      <c r="R281" s="516">
        <v>0</v>
      </c>
      <c r="S281" s="628">
        <v>0</v>
      </c>
      <c r="T281" s="517">
        <v>0</v>
      </c>
      <c r="U281" s="628">
        <v>0</v>
      </c>
      <c r="V281" s="444"/>
      <c r="W281" s="446"/>
      <c r="X281" s="425"/>
    </row>
    <row r="282" spans="1:24" s="426" customFormat="1" x14ac:dyDescent="0.3">
      <c r="A282" s="443"/>
      <c r="B282" s="516" t="s">
        <v>163</v>
      </c>
      <c r="C282" s="444"/>
      <c r="D282" s="444"/>
      <c r="E282" s="444"/>
      <c r="F282" s="444"/>
      <c r="G282" s="444"/>
      <c r="H282" s="629"/>
      <c r="I282" s="629"/>
      <c r="J282" s="629"/>
      <c r="K282" s="629"/>
      <c r="L282" s="629"/>
      <c r="M282" s="629"/>
      <c r="N282" s="629"/>
      <c r="O282" s="629"/>
      <c r="P282" s="629"/>
      <c r="Q282" s="629"/>
      <c r="R282" s="516">
        <v>0</v>
      </c>
      <c r="S282" s="628">
        <v>0</v>
      </c>
      <c r="T282" s="517">
        <v>0</v>
      </c>
      <c r="U282" s="628">
        <v>0</v>
      </c>
      <c r="V282" s="444"/>
      <c r="W282" s="446"/>
      <c r="X282" s="425"/>
    </row>
    <row r="283" spans="1:24" s="426" customFormat="1" x14ac:dyDescent="0.3">
      <c r="A283" s="443"/>
      <c r="B283" s="516"/>
      <c r="C283" s="444"/>
      <c r="D283" s="444"/>
      <c r="E283" s="444"/>
      <c r="F283" s="444"/>
      <c r="G283" s="444"/>
      <c r="H283" s="629"/>
      <c r="I283" s="629"/>
      <c r="J283" s="629"/>
      <c r="K283" s="629"/>
      <c r="L283" s="629"/>
      <c r="M283" s="629"/>
      <c r="N283" s="629"/>
      <c r="O283" s="629"/>
      <c r="P283" s="629"/>
      <c r="Q283" s="629"/>
      <c r="R283" s="516"/>
      <c r="S283" s="628"/>
      <c r="T283" s="517"/>
      <c r="U283" s="628"/>
      <c r="V283" s="444"/>
      <c r="W283" s="446"/>
      <c r="X283" s="425"/>
    </row>
    <row r="284" spans="1:24" s="426" customFormat="1" x14ac:dyDescent="0.3">
      <c r="A284" s="443"/>
      <c r="B284" s="444" t="s">
        <v>117</v>
      </c>
      <c r="C284" s="444"/>
      <c r="D284" s="444"/>
      <c r="E284" s="444"/>
      <c r="F284" s="444"/>
      <c r="G284" s="444"/>
      <c r="H284" s="629"/>
      <c r="I284" s="629"/>
      <c r="J284" s="629"/>
      <c r="K284" s="629"/>
      <c r="L284" s="629"/>
      <c r="M284" s="629"/>
      <c r="N284" s="629"/>
      <c r="O284" s="629"/>
      <c r="P284" s="629"/>
      <c r="Q284" s="629"/>
      <c r="R284" s="516">
        <f>SUM(R275:R282)</f>
        <v>0</v>
      </c>
      <c r="S284" s="628">
        <f>SUM(S275:S282)</f>
        <v>0</v>
      </c>
      <c r="T284" s="517">
        <f>SUM(T275:T282)</f>
        <v>0</v>
      </c>
      <c r="U284" s="628">
        <f>SUM(U275:U282)</f>
        <v>0</v>
      </c>
      <c r="V284" s="444"/>
      <c r="W284" s="446"/>
      <c r="X284" s="425"/>
    </row>
    <row r="285" spans="1:24" s="426" customFormat="1" x14ac:dyDescent="0.3">
      <c r="A285" s="443"/>
      <c r="B285" s="444"/>
      <c r="C285" s="444"/>
      <c r="D285" s="444"/>
      <c r="E285" s="444"/>
      <c r="F285" s="444"/>
      <c r="G285" s="444"/>
      <c r="H285" s="629"/>
      <c r="I285" s="629"/>
      <c r="J285" s="629"/>
      <c r="K285" s="629"/>
      <c r="L285" s="629"/>
      <c r="M285" s="629"/>
      <c r="N285" s="629"/>
      <c r="O285" s="629"/>
      <c r="P285" s="629"/>
      <c r="Q285" s="629"/>
      <c r="R285" s="516"/>
      <c r="S285" s="628"/>
      <c r="T285" s="517"/>
      <c r="U285" s="628"/>
      <c r="V285" s="444"/>
      <c r="W285" s="446"/>
      <c r="X285" s="425"/>
    </row>
    <row r="286" spans="1:24" s="426" customFormat="1" x14ac:dyDescent="0.3">
      <c r="A286" s="443"/>
      <c r="B286" s="449" t="s">
        <v>167</v>
      </c>
      <c r="C286" s="444"/>
      <c r="D286" s="444"/>
      <c r="E286" s="444"/>
      <c r="F286" s="444"/>
      <c r="G286" s="444"/>
      <c r="H286" s="629"/>
      <c r="I286" s="629"/>
      <c r="J286" s="629"/>
      <c r="K286" s="629"/>
      <c r="L286" s="629"/>
      <c r="M286" s="629"/>
      <c r="N286" s="629"/>
      <c r="O286" s="629"/>
      <c r="P286" s="629"/>
      <c r="Q286" s="629"/>
      <c r="R286" s="637">
        <f>R284+R272+R260</f>
        <v>5375</v>
      </c>
      <c r="S286" s="628"/>
      <c r="T286" s="638">
        <f>+T284+T272+T260</f>
        <v>685942</v>
      </c>
      <c r="U286" s="628"/>
      <c r="V286" s="444"/>
      <c r="W286" s="446"/>
      <c r="X286" s="425"/>
    </row>
    <row r="287" spans="1:24" s="426" customFormat="1" x14ac:dyDescent="0.3">
      <c r="A287" s="421"/>
      <c r="B287" s="494"/>
      <c r="C287" s="494"/>
      <c r="D287" s="494"/>
      <c r="E287" s="494"/>
      <c r="F287" s="494"/>
      <c r="G287" s="494"/>
      <c r="H287" s="636"/>
      <c r="I287" s="636"/>
      <c r="J287" s="636"/>
      <c r="K287" s="636"/>
      <c r="L287" s="636"/>
      <c r="M287" s="636"/>
      <c r="N287" s="636"/>
      <c r="O287" s="636"/>
      <c r="P287" s="636"/>
      <c r="Q287" s="636"/>
      <c r="R287" s="636"/>
      <c r="S287" s="636"/>
      <c r="T287" s="631"/>
      <c r="U287" s="636"/>
      <c r="V287" s="494"/>
      <c r="W287" s="424"/>
      <c r="X287" s="425"/>
    </row>
    <row r="288" spans="1:24" s="426" customFormat="1" x14ac:dyDescent="0.3">
      <c r="A288" s="421"/>
      <c r="B288" s="422"/>
      <c r="C288" s="422"/>
      <c r="D288" s="422"/>
      <c r="E288" s="422"/>
      <c r="F288" s="422"/>
      <c r="G288" s="422"/>
      <c r="H288" s="639"/>
      <c r="I288" s="639"/>
      <c r="J288" s="639"/>
      <c r="K288" s="639"/>
      <c r="L288" s="639"/>
      <c r="M288" s="639"/>
      <c r="N288" s="639"/>
      <c r="O288" s="639"/>
      <c r="P288" s="639"/>
      <c r="Q288" s="639"/>
      <c r="R288" s="639"/>
      <c r="S288" s="639"/>
      <c r="T288" s="640"/>
      <c r="U288" s="639"/>
      <c r="V288" s="422"/>
      <c r="W288" s="424"/>
      <c r="X288" s="425"/>
    </row>
    <row r="289" spans="1:24" s="426" customFormat="1" x14ac:dyDescent="0.3">
      <c r="A289" s="421"/>
      <c r="B289" s="420" t="s">
        <v>92</v>
      </c>
      <c r="C289" s="422"/>
      <c r="D289" s="422"/>
      <c r="E289" s="422"/>
      <c r="F289" s="429" t="s">
        <v>98</v>
      </c>
      <c r="G289" s="422"/>
      <c r="H289" s="420" t="s">
        <v>100</v>
      </c>
      <c r="I289" s="420"/>
      <c r="J289" s="420"/>
      <c r="K289" s="422"/>
      <c r="L289" s="422"/>
      <c r="M289" s="422"/>
      <c r="N289" s="422"/>
      <c r="O289" s="422"/>
      <c r="P289" s="422"/>
      <c r="Q289" s="422"/>
      <c r="R289" s="422"/>
      <c r="S289" s="422"/>
      <c r="T289" s="422"/>
      <c r="U289" s="422"/>
      <c r="V289" s="422"/>
      <c r="W289" s="424"/>
      <c r="X289" s="425"/>
    </row>
    <row r="290" spans="1:24" s="426" customFormat="1" x14ac:dyDescent="0.3">
      <c r="A290" s="421"/>
      <c r="B290" s="420" t="s">
        <v>336</v>
      </c>
      <c r="C290" s="420"/>
      <c r="D290" s="420"/>
      <c r="E290" s="420"/>
      <c r="F290" s="641" t="s">
        <v>282</v>
      </c>
      <c r="G290" s="420"/>
      <c r="H290" s="420" t="s">
        <v>371</v>
      </c>
      <c r="I290" s="422"/>
      <c r="J290" s="420"/>
      <c r="K290" s="422"/>
      <c r="L290" s="422"/>
      <c r="M290" s="422"/>
      <c r="N290" s="422"/>
      <c r="O290" s="422"/>
      <c r="P290" s="422"/>
      <c r="Q290" s="422"/>
      <c r="R290" s="422"/>
      <c r="S290" s="422"/>
      <c r="T290" s="422"/>
      <c r="U290" s="422"/>
      <c r="V290" s="422"/>
      <c r="W290" s="424"/>
      <c r="X290" s="425"/>
    </row>
    <row r="291" spans="1:24" s="426" customFormat="1" x14ac:dyDescent="0.3">
      <c r="A291" s="421"/>
      <c r="B291" s="420" t="s">
        <v>337</v>
      </c>
      <c r="C291" s="420"/>
      <c r="D291" s="420"/>
      <c r="E291" s="420"/>
      <c r="F291" s="641" t="s">
        <v>150</v>
      </c>
      <c r="G291" s="420"/>
      <c r="H291" s="420" t="s">
        <v>372</v>
      </c>
      <c r="I291" s="420"/>
      <c r="J291" s="420"/>
      <c r="K291" s="422"/>
      <c r="L291" s="422"/>
      <c r="M291" s="422"/>
      <c r="N291" s="422"/>
      <c r="O291" s="422"/>
      <c r="P291" s="422"/>
      <c r="Q291" s="422"/>
      <c r="R291" s="422"/>
      <c r="S291" s="422"/>
      <c r="T291" s="422"/>
      <c r="U291" s="422"/>
      <c r="V291" s="422"/>
      <c r="W291" s="424"/>
      <c r="X291" s="425"/>
    </row>
    <row r="292" spans="1:24" s="426" customFormat="1" x14ac:dyDescent="0.3">
      <c r="A292" s="421"/>
      <c r="B292" s="420"/>
      <c r="C292" s="420"/>
      <c r="D292" s="420"/>
      <c r="E292" s="420"/>
      <c r="F292" s="641"/>
      <c r="G292" s="420"/>
      <c r="H292" s="420"/>
      <c r="I292" s="420"/>
      <c r="J292" s="420"/>
      <c r="K292" s="422"/>
      <c r="L292" s="422"/>
      <c r="M292" s="422"/>
      <c r="N292" s="422"/>
      <c r="O292" s="422"/>
      <c r="P292" s="422"/>
      <c r="Q292" s="422"/>
      <c r="R292" s="422"/>
      <c r="S292" s="422"/>
      <c r="T292" s="422"/>
      <c r="U292" s="422"/>
      <c r="V292" s="422"/>
      <c r="W292" s="424"/>
      <c r="X292" s="425"/>
    </row>
    <row r="293" spans="1:24" s="426" customFormat="1" x14ac:dyDescent="0.3">
      <c r="A293" s="421"/>
      <c r="B293" s="494" t="s">
        <v>367</v>
      </c>
      <c r="C293" s="420"/>
      <c r="D293" s="420"/>
      <c r="E293" s="420"/>
      <c r="F293" s="641"/>
      <c r="G293" s="420"/>
      <c r="H293" s="420"/>
      <c r="I293" s="420"/>
      <c r="J293" s="420"/>
      <c r="K293" s="422"/>
      <c r="L293" s="422"/>
      <c r="M293" s="422"/>
      <c r="N293" s="422"/>
      <c r="O293" s="422"/>
      <c r="P293" s="422"/>
      <c r="Q293" s="422"/>
      <c r="R293" s="422"/>
      <c r="S293" s="422"/>
      <c r="T293" s="422"/>
      <c r="U293" s="422"/>
      <c r="V293" s="422"/>
      <c r="W293" s="424"/>
      <c r="X293" s="425"/>
    </row>
    <row r="294" spans="1:24" s="426" customFormat="1" x14ac:dyDescent="0.3">
      <c r="A294" s="421"/>
      <c r="B294" s="494" t="s">
        <v>373</v>
      </c>
      <c r="C294" s="420"/>
      <c r="D294" s="420"/>
      <c r="E294" s="420"/>
      <c r="F294" s="641"/>
      <c r="G294" s="420"/>
      <c r="H294" s="420"/>
      <c r="I294" s="420"/>
      <c r="J294" s="420"/>
      <c r="K294" s="422"/>
      <c r="L294" s="422"/>
      <c r="M294" s="422"/>
      <c r="N294" s="422"/>
      <c r="O294" s="422"/>
      <c r="P294" s="422"/>
      <c r="Q294" s="422"/>
      <c r="R294" s="422"/>
      <c r="S294" s="422"/>
      <c r="T294" s="422"/>
      <c r="U294" s="422"/>
      <c r="V294" s="422"/>
      <c r="W294" s="424"/>
      <c r="X294" s="425"/>
    </row>
    <row r="295" spans="1:24" s="426" customFormat="1" x14ac:dyDescent="0.3">
      <c r="A295" s="421"/>
      <c r="B295" s="494" t="s">
        <v>365</v>
      </c>
      <c r="C295" s="420"/>
      <c r="D295" s="420"/>
      <c r="E295" s="420"/>
      <c r="F295" s="641"/>
      <c r="G295" s="420"/>
      <c r="H295" s="420"/>
      <c r="I295" s="420"/>
      <c r="J295" s="420"/>
      <c r="K295" s="422"/>
      <c r="L295" s="422"/>
      <c r="M295" s="422"/>
      <c r="N295" s="422"/>
      <c r="O295" s="422"/>
      <c r="P295" s="422"/>
      <c r="Q295" s="422"/>
      <c r="R295" s="422"/>
      <c r="S295" s="422"/>
      <c r="T295" s="422"/>
      <c r="U295" s="422"/>
      <c r="V295" s="422"/>
      <c r="W295" s="424"/>
      <c r="X295" s="425"/>
    </row>
    <row r="296" spans="1:24" s="426" customFormat="1" x14ac:dyDescent="0.3">
      <c r="A296" s="421"/>
      <c r="B296" s="494" t="s">
        <v>366</v>
      </c>
      <c r="C296" s="420"/>
      <c r="D296" s="420"/>
      <c r="E296" s="420"/>
      <c r="F296" s="641"/>
      <c r="G296" s="420"/>
      <c r="H296" s="420"/>
      <c r="I296" s="420"/>
      <c r="J296" s="420"/>
      <c r="K296" s="422"/>
      <c r="L296" s="422"/>
      <c r="M296" s="422"/>
      <c r="N296" s="422"/>
      <c r="O296" s="422"/>
      <c r="P296" s="422"/>
      <c r="Q296" s="422"/>
      <c r="R296" s="422"/>
      <c r="S296" s="422"/>
      <c r="T296" s="422"/>
      <c r="U296" s="422"/>
      <c r="V296" s="422"/>
      <c r="W296" s="424"/>
      <c r="X296" s="425"/>
    </row>
    <row r="297" spans="1:24" x14ac:dyDescent="0.3">
      <c r="A297" s="408"/>
      <c r="B297" s="642"/>
      <c r="C297" s="642"/>
      <c r="D297" s="642"/>
      <c r="E297" s="642"/>
      <c r="F297" s="643"/>
      <c r="G297" s="642"/>
      <c r="H297" s="642"/>
      <c r="I297" s="642"/>
      <c r="J297" s="642"/>
      <c r="K297" s="531"/>
      <c r="L297" s="531"/>
      <c r="M297" s="531"/>
      <c r="N297" s="531"/>
      <c r="O297" s="531"/>
      <c r="P297" s="531"/>
      <c r="Q297" s="531"/>
      <c r="R297" s="531"/>
      <c r="S297" s="531"/>
      <c r="T297" s="531"/>
      <c r="U297" s="531"/>
      <c r="V297" s="531"/>
      <c r="W297" s="532"/>
      <c r="X297" s="406"/>
    </row>
    <row r="298" spans="1:24" ht="18" x14ac:dyDescent="0.35">
      <c r="A298" s="408"/>
      <c r="B298" s="644" t="s">
        <v>368</v>
      </c>
      <c r="C298" s="642"/>
      <c r="D298" s="642"/>
      <c r="E298" s="642"/>
      <c r="F298" s="642"/>
      <c r="G298" s="642"/>
      <c r="H298" s="531"/>
      <c r="I298" s="531"/>
      <c r="J298" s="531"/>
      <c r="K298" s="531"/>
      <c r="L298" s="410"/>
      <c r="M298" s="410"/>
      <c r="N298" s="645"/>
      <c r="O298" s="410"/>
      <c r="P298" s="646" t="s">
        <v>370</v>
      </c>
      <c r="Q298" s="531"/>
      <c r="R298" s="531"/>
      <c r="S298" s="531"/>
      <c r="T298" s="531"/>
      <c r="U298" s="531"/>
      <c r="V298" s="531"/>
      <c r="W298" s="532"/>
      <c r="X298" s="406"/>
    </row>
    <row r="299" spans="1:24" x14ac:dyDescent="0.3">
      <c r="A299" s="408"/>
      <c r="B299" s="642"/>
      <c r="C299" s="642"/>
      <c r="D299" s="642"/>
      <c r="E299" s="642"/>
      <c r="F299" s="642"/>
      <c r="G299" s="642"/>
      <c r="H299" s="531"/>
      <c r="I299" s="531"/>
      <c r="J299" s="531"/>
      <c r="K299" s="531"/>
      <c r="L299" s="531"/>
      <c r="M299" s="531"/>
      <c r="N299" s="531"/>
      <c r="O299" s="531"/>
      <c r="P299" s="531"/>
      <c r="Q299" s="531"/>
      <c r="R299" s="531"/>
      <c r="S299" s="531"/>
      <c r="T299" s="531"/>
      <c r="U299" s="531"/>
      <c r="V299" s="531"/>
      <c r="W299" s="532"/>
      <c r="X299" s="406"/>
    </row>
    <row r="300" spans="1:24" ht="18.600000000000001" thickBot="1" x14ac:dyDescent="0.4">
      <c r="A300" s="408"/>
      <c r="B300" s="647" t="str">
        <f>B200</f>
        <v>PM13 INVESTOR REPORT QUARTER ENDING DECEMBER 2019</v>
      </c>
      <c r="C300" s="642"/>
      <c r="D300" s="642"/>
      <c r="E300" s="642"/>
      <c r="F300" s="642"/>
      <c r="G300" s="642"/>
      <c r="H300" s="531"/>
      <c r="I300" s="531"/>
      <c r="J300" s="531"/>
      <c r="K300" s="531"/>
      <c r="L300" s="531"/>
      <c r="M300" s="531"/>
      <c r="N300" s="531"/>
      <c r="O300" s="531"/>
      <c r="P300" s="531"/>
      <c r="Q300" s="531"/>
      <c r="R300" s="531"/>
      <c r="S300" s="531"/>
      <c r="T300" s="531"/>
      <c r="U300" s="531"/>
      <c r="V300" s="531"/>
      <c r="W300" s="648"/>
      <c r="X300" s="406"/>
    </row>
    <row r="301" spans="1:24" x14ac:dyDescent="0.3">
      <c r="A301" s="649"/>
      <c r="B301" s="649"/>
      <c r="C301" s="649"/>
      <c r="D301" s="649"/>
      <c r="E301" s="649"/>
      <c r="F301" s="649"/>
      <c r="G301" s="649"/>
      <c r="H301" s="649"/>
      <c r="I301" s="649"/>
      <c r="J301" s="649"/>
      <c r="K301" s="649"/>
      <c r="L301" s="649"/>
      <c r="M301" s="649"/>
      <c r="N301" s="649"/>
      <c r="O301" s="649"/>
      <c r="P301" s="649"/>
      <c r="Q301" s="649"/>
      <c r="R301" s="649"/>
      <c r="S301" s="649"/>
      <c r="T301" s="649"/>
      <c r="U301" s="649"/>
      <c r="V301" s="649"/>
      <c r="W301" s="649"/>
    </row>
  </sheetData>
  <hyperlinks>
    <hyperlink ref="P236" r:id="rId1" display="http://www.paragon-group.co.uk" xr:uid="{72558CD1-17B6-43D4-ADEB-171B2E635A0D}"/>
    <hyperlink ref="I9" r:id="rId2" display="http://www.paragon-group.co.uk" xr:uid="{D7F0E72B-D076-4770-ABD3-465BF7D7A536}"/>
    <hyperlink ref="P298" r:id="rId3" display="http://www.paragon-group.co.uk" xr:uid="{1F396B2C-ECAD-41BE-A417-FA0A0A7B7F48}"/>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40" max="22" man="1"/>
    <brk id="200" max="22" man="1"/>
  </rowBreaks>
  <drawing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0256C-FF2D-410B-9507-DEE5EECEE8BD}">
  <sheetPr>
    <tabColor rgb="FF2D2926"/>
  </sheetPr>
  <dimension ref="A1:Z315"/>
  <sheetViews>
    <sheetView showGridLines="0" showOutlineSymbols="0" zoomScale="70" zoomScaleNormal="70" workbookViewId="0"/>
  </sheetViews>
  <sheetFormatPr defaultColWidth="9.81640625" defaultRowHeight="15.6" x14ac:dyDescent="0.3"/>
  <cols>
    <col min="1" max="1" width="4" style="407" customWidth="1"/>
    <col min="2" max="2" width="71.08984375" style="407" customWidth="1"/>
    <col min="3" max="3" width="2.08984375" style="407" customWidth="1"/>
    <col min="4" max="4" width="19.1796875" style="407" customWidth="1"/>
    <col min="5" max="5" width="2.08984375" style="407" customWidth="1"/>
    <col min="6" max="6" width="25.08984375" style="407" customWidth="1"/>
    <col min="7" max="7" width="2.08984375" style="407" customWidth="1"/>
    <col min="8" max="8" width="16.08984375" style="407" customWidth="1"/>
    <col min="9" max="9" width="2.81640625" style="407" customWidth="1"/>
    <col min="10" max="10" width="16.08984375" style="407" customWidth="1"/>
    <col min="11" max="11" width="2.08984375" style="407" customWidth="1"/>
    <col min="12" max="12" width="17.81640625" style="407" customWidth="1"/>
    <col min="13" max="13" width="2.1796875" style="407" customWidth="1"/>
    <col min="14" max="14" width="14.81640625" style="407" customWidth="1"/>
    <col min="15" max="15" width="2.1796875" style="407" customWidth="1"/>
    <col min="16" max="16" width="15.54296875" style="407" customWidth="1"/>
    <col min="17" max="17" width="2.08984375" style="407" customWidth="1"/>
    <col min="18" max="18" width="15.54296875" style="407" customWidth="1"/>
    <col min="19" max="20" width="12.81640625" style="407" customWidth="1"/>
    <col min="21" max="21" width="7.81640625" style="407" customWidth="1"/>
    <col min="22" max="22" width="14.81640625" style="407" customWidth="1"/>
    <col min="23" max="23" width="11.81640625" style="407" customWidth="1"/>
    <col min="24" max="16384" width="9.81640625" style="407"/>
  </cols>
  <sheetData>
    <row r="1" spans="1:24" ht="21" x14ac:dyDescent="0.4">
      <c r="A1" s="402"/>
      <c r="B1" s="403" t="s">
        <v>238</v>
      </c>
      <c r="C1" s="404"/>
      <c r="D1" s="404"/>
      <c r="E1" s="404"/>
      <c r="F1" s="404"/>
      <c r="G1" s="404"/>
      <c r="H1" s="404"/>
      <c r="I1" s="404"/>
      <c r="J1" s="404"/>
      <c r="K1" s="404"/>
      <c r="L1" s="404"/>
      <c r="M1" s="404"/>
      <c r="N1" s="404"/>
      <c r="O1" s="404"/>
      <c r="P1" s="404"/>
      <c r="Q1" s="404"/>
      <c r="R1" s="404"/>
      <c r="S1" s="404"/>
      <c r="T1" s="404"/>
      <c r="U1" s="404"/>
      <c r="V1" s="404"/>
      <c r="W1" s="405"/>
      <c r="X1" s="406"/>
    </row>
    <row r="2" spans="1:24" x14ac:dyDescent="0.3">
      <c r="A2" s="408"/>
      <c r="B2" s="409"/>
      <c r="C2" s="410"/>
      <c r="D2" s="410"/>
      <c r="E2" s="410"/>
      <c r="F2" s="410"/>
      <c r="G2" s="410"/>
      <c r="H2" s="410"/>
      <c r="I2" s="410"/>
      <c r="J2" s="410"/>
      <c r="K2" s="410"/>
      <c r="L2" s="410"/>
      <c r="M2" s="410"/>
      <c r="N2" s="410"/>
      <c r="O2" s="410"/>
      <c r="P2" s="410"/>
      <c r="Q2" s="410"/>
      <c r="R2" s="410"/>
      <c r="S2" s="410"/>
      <c r="T2" s="410"/>
      <c r="U2" s="410"/>
      <c r="V2" s="410"/>
      <c r="W2" s="411"/>
      <c r="X2" s="406"/>
    </row>
    <row r="3" spans="1:24" x14ac:dyDescent="0.3">
      <c r="A3" s="412"/>
      <c r="B3" s="413" t="s">
        <v>239</v>
      </c>
      <c r="C3" s="410"/>
      <c r="D3" s="410"/>
      <c r="E3" s="410"/>
      <c r="F3" s="410"/>
      <c r="G3" s="410"/>
      <c r="H3" s="410"/>
      <c r="I3" s="410"/>
      <c r="J3" s="410"/>
      <c r="K3" s="410"/>
      <c r="L3" s="410"/>
      <c r="M3" s="410"/>
      <c r="N3" s="410"/>
      <c r="O3" s="410"/>
      <c r="P3" s="410"/>
      <c r="Q3" s="410"/>
      <c r="R3" s="410"/>
      <c r="S3" s="410"/>
      <c r="T3" s="410"/>
      <c r="U3" s="410"/>
      <c r="V3" s="410"/>
      <c r="W3" s="411"/>
      <c r="X3" s="406"/>
    </row>
    <row r="4" spans="1:24" x14ac:dyDescent="0.3">
      <c r="A4" s="408"/>
      <c r="B4" s="409"/>
      <c r="C4" s="410"/>
      <c r="D4" s="410"/>
      <c r="E4" s="410"/>
      <c r="F4" s="410"/>
      <c r="G4" s="410"/>
      <c r="H4" s="410"/>
      <c r="I4" s="410"/>
      <c r="J4" s="410"/>
      <c r="K4" s="410"/>
      <c r="L4" s="410"/>
      <c r="M4" s="410"/>
      <c r="N4" s="410"/>
      <c r="O4" s="410"/>
      <c r="P4" s="410"/>
      <c r="Q4" s="410"/>
      <c r="R4" s="410"/>
      <c r="S4" s="410"/>
      <c r="T4" s="410"/>
      <c r="U4" s="410"/>
      <c r="V4" s="410"/>
      <c r="W4" s="411"/>
      <c r="X4" s="406"/>
    </row>
    <row r="5" spans="1:24" x14ac:dyDescent="0.3">
      <c r="A5" s="408"/>
      <c r="B5" s="414" t="s">
        <v>140</v>
      </c>
      <c r="C5" s="410"/>
      <c r="D5" s="410"/>
      <c r="E5" s="410"/>
      <c r="F5" s="410"/>
      <c r="G5" s="410"/>
      <c r="H5" s="410"/>
      <c r="I5" s="410"/>
      <c r="J5" s="410"/>
      <c r="K5" s="410"/>
      <c r="L5" s="410"/>
      <c r="M5" s="410"/>
      <c r="N5" s="410"/>
      <c r="O5" s="410"/>
      <c r="P5" s="410"/>
      <c r="Q5" s="410"/>
      <c r="R5" s="410"/>
      <c r="S5" s="410"/>
      <c r="T5" s="410"/>
      <c r="U5" s="410"/>
      <c r="V5" s="410"/>
      <c r="W5" s="411"/>
      <c r="X5" s="406"/>
    </row>
    <row r="6" spans="1:24" x14ac:dyDescent="0.3">
      <c r="A6" s="408"/>
      <c r="B6" s="414" t="s">
        <v>142</v>
      </c>
      <c r="C6" s="410"/>
      <c r="D6" s="410"/>
      <c r="E6" s="410"/>
      <c r="F6" s="410"/>
      <c r="G6" s="410"/>
      <c r="H6" s="410"/>
      <c r="I6" s="410"/>
      <c r="J6" s="410"/>
      <c r="K6" s="410"/>
      <c r="L6" s="410"/>
      <c r="M6" s="410"/>
      <c r="N6" s="410"/>
      <c r="O6" s="410"/>
      <c r="P6" s="410"/>
      <c r="Q6" s="410"/>
      <c r="R6" s="410"/>
      <c r="S6" s="410"/>
      <c r="T6" s="410"/>
      <c r="U6" s="410"/>
      <c r="V6" s="410"/>
      <c r="W6" s="411"/>
      <c r="X6" s="406"/>
    </row>
    <row r="7" spans="1:24" x14ac:dyDescent="0.3">
      <c r="A7" s="408"/>
      <c r="B7" s="414" t="s">
        <v>141</v>
      </c>
      <c r="C7" s="410"/>
      <c r="D7" s="410"/>
      <c r="E7" s="410"/>
      <c r="F7" s="410"/>
      <c r="G7" s="410"/>
      <c r="H7" s="410"/>
      <c r="I7" s="410"/>
      <c r="J7" s="410"/>
      <c r="K7" s="410"/>
      <c r="L7" s="410"/>
      <c r="M7" s="410"/>
      <c r="N7" s="410"/>
      <c r="O7" s="410"/>
      <c r="P7" s="410"/>
      <c r="Q7" s="410"/>
      <c r="R7" s="410"/>
      <c r="S7" s="410"/>
      <c r="T7" s="410"/>
      <c r="U7" s="410"/>
      <c r="V7" s="410"/>
      <c r="W7" s="411"/>
      <c r="X7" s="406"/>
    </row>
    <row r="8" spans="1:24" x14ac:dyDescent="0.3">
      <c r="A8" s="408"/>
      <c r="B8" s="415"/>
      <c r="C8" s="410"/>
      <c r="D8" s="410"/>
      <c r="E8" s="410"/>
      <c r="F8" s="410"/>
      <c r="G8" s="410"/>
      <c r="H8" s="410"/>
      <c r="I8" s="410"/>
      <c r="J8" s="410"/>
      <c r="K8" s="410"/>
      <c r="L8" s="410"/>
      <c r="M8" s="410"/>
      <c r="N8" s="410"/>
      <c r="O8" s="410"/>
      <c r="P8" s="410"/>
      <c r="Q8" s="410"/>
      <c r="R8" s="410"/>
      <c r="S8" s="410"/>
      <c r="T8" s="410"/>
      <c r="U8" s="410"/>
      <c r="V8" s="410"/>
      <c r="W8" s="411"/>
      <c r="X8" s="406"/>
    </row>
    <row r="9" spans="1:24" ht="18" x14ac:dyDescent="0.35">
      <c r="A9" s="408"/>
      <c r="B9" s="413" t="s">
        <v>169</v>
      </c>
      <c r="C9" s="410"/>
      <c r="D9" s="410"/>
      <c r="E9" s="410"/>
      <c r="F9" s="410"/>
      <c r="G9" s="410"/>
      <c r="H9" s="410"/>
      <c r="I9" s="416" t="s">
        <v>370</v>
      </c>
      <c r="J9" s="410"/>
      <c r="K9" s="410"/>
      <c r="L9" s="417"/>
      <c r="M9" s="410"/>
      <c r="N9" s="418"/>
      <c r="O9" s="410"/>
      <c r="P9" s="410"/>
      <c r="Q9" s="410"/>
      <c r="R9" s="410"/>
      <c r="S9" s="410"/>
      <c r="T9" s="410"/>
      <c r="U9" s="410"/>
      <c r="V9" s="410"/>
      <c r="W9" s="411"/>
      <c r="X9" s="406"/>
    </row>
    <row r="10" spans="1:24" x14ac:dyDescent="0.3">
      <c r="A10" s="408"/>
      <c r="B10" s="415"/>
      <c r="C10" s="419"/>
      <c r="D10" s="419"/>
      <c r="E10" s="419"/>
      <c r="F10" s="410"/>
      <c r="G10" s="410"/>
      <c r="H10" s="410"/>
      <c r="I10" s="410"/>
      <c r="J10" s="410"/>
      <c r="K10" s="410"/>
      <c r="L10" s="410"/>
      <c r="M10" s="410"/>
      <c r="N10" s="410"/>
      <c r="O10" s="410"/>
      <c r="P10" s="410"/>
      <c r="Q10" s="410"/>
      <c r="R10" s="410"/>
      <c r="S10" s="410"/>
      <c r="T10" s="410"/>
      <c r="U10" s="410"/>
      <c r="V10" s="410"/>
      <c r="W10" s="411"/>
      <c r="X10" s="406"/>
    </row>
    <row r="11" spans="1:24" x14ac:dyDescent="0.3">
      <c r="A11" s="408"/>
      <c r="B11" s="420" t="s">
        <v>0</v>
      </c>
      <c r="C11" s="410"/>
      <c r="D11" s="410"/>
      <c r="E11" s="410"/>
      <c r="F11" s="410"/>
      <c r="G11" s="410"/>
      <c r="H11" s="410"/>
      <c r="I11" s="410"/>
      <c r="J11" s="410"/>
      <c r="K11" s="410"/>
      <c r="L11" s="410"/>
      <c r="M11" s="410"/>
      <c r="N11" s="410"/>
      <c r="O11" s="410"/>
      <c r="P11" s="410"/>
      <c r="Q11" s="410"/>
      <c r="R11" s="410"/>
      <c r="S11" s="410"/>
      <c r="T11" s="410"/>
      <c r="U11" s="410"/>
      <c r="V11" s="410"/>
      <c r="W11" s="411"/>
      <c r="X11" s="406"/>
    </row>
    <row r="12" spans="1:24" ht="16.2" thickBot="1" x14ac:dyDescent="0.35">
      <c r="A12" s="408"/>
      <c r="B12" s="419"/>
      <c r="C12" s="410"/>
      <c r="D12" s="410"/>
      <c r="E12" s="410"/>
      <c r="F12" s="410"/>
      <c r="G12" s="410"/>
      <c r="H12" s="410"/>
      <c r="I12" s="410"/>
      <c r="J12" s="410"/>
      <c r="K12" s="410"/>
      <c r="L12" s="410"/>
      <c r="M12" s="410"/>
      <c r="N12" s="410"/>
      <c r="O12" s="410"/>
      <c r="P12" s="410"/>
      <c r="Q12" s="410"/>
      <c r="R12" s="410"/>
      <c r="S12" s="410"/>
      <c r="T12" s="410"/>
      <c r="U12" s="410"/>
      <c r="V12" s="410"/>
      <c r="W12" s="411"/>
      <c r="X12" s="406"/>
    </row>
    <row r="13" spans="1:24" x14ac:dyDescent="0.3">
      <c r="A13" s="402"/>
      <c r="B13" s="404"/>
      <c r="C13" s="404"/>
      <c r="D13" s="404"/>
      <c r="E13" s="404"/>
      <c r="F13" s="404"/>
      <c r="G13" s="404"/>
      <c r="H13" s="404"/>
      <c r="I13" s="404"/>
      <c r="J13" s="404"/>
      <c r="K13" s="404"/>
      <c r="L13" s="404"/>
      <c r="M13" s="404"/>
      <c r="N13" s="404"/>
      <c r="O13" s="404"/>
      <c r="P13" s="404"/>
      <c r="Q13" s="404"/>
      <c r="R13" s="404"/>
      <c r="S13" s="404"/>
      <c r="T13" s="404"/>
      <c r="U13" s="404"/>
      <c r="V13" s="404"/>
      <c r="W13" s="405"/>
      <c r="X13" s="406"/>
    </row>
    <row r="14" spans="1:24" s="426" customFormat="1" x14ac:dyDescent="0.3">
      <c r="A14" s="421"/>
      <c r="B14" s="420" t="s">
        <v>1</v>
      </c>
      <c r="C14" s="422"/>
      <c r="D14" s="422"/>
      <c r="E14" s="422"/>
      <c r="F14" s="422"/>
      <c r="G14" s="422"/>
      <c r="H14" s="422"/>
      <c r="I14" s="422"/>
      <c r="J14" s="422"/>
      <c r="K14" s="422"/>
      <c r="L14" s="422"/>
      <c r="M14" s="422"/>
      <c r="N14" s="422"/>
      <c r="O14" s="422"/>
      <c r="P14" s="422"/>
      <c r="Q14" s="422"/>
      <c r="R14" s="422"/>
      <c r="S14" s="422"/>
      <c r="T14" s="422"/>
      <c r="U14" s="422"/>
      <c r="V14" s="423" t="s">
        <v>240</v>
      </c>
      <c r="W14" s="424"/>
      <c r="X14" s="425"/>
    </row>
    <row r="15" spans="1:24" s="426" customFormat="1" x14ac:dyDescent="0.3">
      <c r="A15" s="421"/>
      <c r="B15" s="420" t="s">
        <v>2</v>
      </c>
      <c r="C15" s="422"/>
      <c r="D15" s="422"/>
      <c r="E15" s="422"/>
      <c r="F15" s="422"/>
      <c r="G15" s="422"/>
      <c r="H15" s="427"/>
      <c r="I15" s="427"/>
      <c r="J15" s="427"/>
      <c r="K15" s="427"/>
      <c r="L15" s="427"/>
      <c r="M15" s="427"/>
      <c r="N15" s="427"/>
      <c r="O15" s="427"/>
      <c r="P15" s="427"/>
      <c r="Q15" s="427"/>
      <c r="R15" s="427" t="s">
        <v>105</v>
      </c>
      <c r="S15" s="428">
        <v>0.57609999999999995</v>
      </c>
      <c r="T15" s="429" t="s">
        <v>143</v>
      </c>
      <c r="U15" s="428">
        <v>0.4239</v>
      </c>
      <c r="V15" s="423"/>
      <c r="W15" s="424"/>
      <c r="X15" s="425"/>
    </row>
    <row r="16" spans="1:24" s="426" customFormat="1" x14ac:dyDescent="0.3">
      <c r="A16" s="421"/>
      <c r="B16" s="420" t="s">
        <v>3</v>
      </c>
      <c r="C16" s="422"/>
      <c r="D16" s="422"/>
      <c r="E16" s="422"/>
      <c r="F16" s="422"/>
      <c r="G16" s="422"/>
      <c r="H16" s="427"/>
      <c r="I16" s="427"/>
      <c r="J16" s="427"/>
      <c r="K16" s="427"/>
      <c r="L16" s="427"/>
      <c r="M16" s="427"/>
      <c r="N16" s="427"/>
      <c r="O16" s="427"/>
      <c r="P16" s="427"/>
      <c r="Q16" s="427"/>
      <c r="R16" s="427" t="s">
        <v>105</v>
      </c>
      <c r="S16" s="428">
        <v>0.69099999999999995</v>
      </c>
      <c r="T16" s="429" t="s">
        <v>143</v>
      </c>
      <c r="U16" s="428">
        <v>0.309</v>
      </c>
      <c r="V16" s="423"/>
      <c r="W16" s="424"/>
      <c r="X16" s="425"/>
    </row>
    <row r="17" spans="1:24" s="426" customFormat="1" x14ac:dyDescent="0.3">
      <c r="A17" s="421"/>
      <c r="B17" s="420" t="s">
        <v>4</v>
      </c>
      <c r="C17" s="422"/>
      <c r="D17" s="422"/>
      <c r="E17" s="422"/>
      <c r="F17" s="422"/>
      <c r="G17" s="422"/>
      <c r="H17" s="422"/>
      <c r="I17" s="422"/>
      <c r="J17" s="422"/>
      <c r="K17" s="422"/>
      <c r="L17" s="422"/>
      <c r="M17" s="422"/>
      <c r="N17" s="422"/>
      <c r="O17" s="422"/>
      <c r="P17" s="422"/>
      <c r="Q17" s="422"/>
      <c r="R17" s="422"/>
      <c r="S17" s="422"/>
      <c r="T17" s="422"/>
      <c r="U17" s="422"/>
      <c r="V17" s="430">
        <v>39016</v>
      </c>
      <c r="W17" s="424"/>
      <c r="X17" s="425"/>
    </row>
    <row r="18" spans="1:24" s="426" customFormat="1" x14ac:dyDescent="0.3">
      <c r="A18" s="421"/>
      <c r="B18" s="420" t="s">
        <v>5</v>
      </c>
      <c r="C18" s="422"/>
      <c r="D18" s="422"/>
      <c r="E18" s="422"/>
      <c r="F18" s="422"/>
      <c r="G18" s="422"/>
      <c r="H18" s="422"/>
      <c r="I18" s="422"/>
      <c r="J18" s="422"/>
      <c r="K18" s="422"/>
      <c r="L18" s="422"/>
      <c r="M18" s="422"/>
      <c r="N18" s="422"/>
      <c r="O18" s="422"/>
      <c r="P18" s="422"/>
      <c r="Q18" s="422"/>
      <c r="R18" s="422"/>
      <c r="S18" s="422"/>
      <c r="T18" s="422"/>
      <c r="U18" s="422"/>
      <c r="V18" s="430">
        <v>43945</v>
      </c>
      <c r="W18" s="424"/>
      <c r="X18" s="425"/>
    </row>
    <row r="19" spans="1:24" s="426" customFormat="1" x14ac:dyDescent="0.3">
      <c r="A19" s="421"/>
      <c r="B19" s="422"/>
      <c r="C19" s="422"/>
      <c r="D19" s="422"/>
      <c r="E19" s="422"/>
      <c r="F19" s="422"/>
      <c r="G19" s="422"/>
      <c r="H19" s="422"/>
      <c r="I19" s="422"/>
      <c r="J19" s="422"/>
      <c r="K19" s="422"/>
      <c r="L19" s="422"/>
      <c r="M19" s="422"/>
      <c r="N19" s="422"/>
      <c r="O19" s="422"/>
      <c r="P19" s="422"/>
      <c r="Q19" s="422"/>
      <c r="R19" s="422"/>
      <c r="S19" s="422"/>
      <c r="T19" s="422"/>
      <c r="U19" s="422"/>
      <c r="V19" s="431"/>
      <c r="W19" s="424"/>
      <c r="X19" s="425"/>
    </row>
    <row r="20" spans="1:24" s="426" customFormat="1" x14ac:dyDescent="0.3">
      <c r="A20" s="421"/>
      <c r="B20" s="432" t="s">
        <v>6</v>
      </c>
      <c r="C20" s="422"/>
      <c r="D20" s="422"/>
      <c r="E20" s="422"/>
      <c r="F20" s="422"/>
      <c r="G20" s="422"/>
      <c r="H20" s="422"/>
      <c r="I20" s="422"/>
      <c r="J20" s="422"/>
      <c r="K20" s="422"/>
      <c r="L20" s="422"/>
      <c r="M20" s="422"/>
      <c r="N20" s="422"/>
      <c r="O20" s="422"/>
      <c r="P20" s="422"/>
      <c r="Q20" s="422"/>
      <c r="R20" s="422"/>
      <c r="S20" s="422"/>
      <c r="T20" s="431" t="s">
        <v>106</v>
      </c>
      <c r="U20" s="422"/>
      <c r="V20" s="422"/>
      <c r="W20" s="424"/>
      <c r="X20" s="425"/>
    </row>
    <row r="21" spans="1:24" x14ac:dyDescent="0.3">
      <c r="A21" s="408"/>
      <c r="B21" s="410"/>
      <c r="C21" s="410"/>
      <c r="D21" s="410"/>
      <c r="E21" s="410"/>
      <c r="F21" s="410"/>
      <c r="G21" s="410"/>
      <c r="H21" s="410"/>
      <c r="I21" s="410"/>
      <c r="J21" s="410"/>
      <c r="K21" s="410"/>
      <c r="L21" s="410"/>
      <c r="M21" s="410"/>
      <c r="N21" s="410"/>
      <c r="O21" s="410"/>
      <c r="P21" s="410"/>
      <c r="Q21" s="410"/>
      <c r="R21" s="410"/>
      <c r="S21" s="410"/>
      <c r="T21" s="410"/>
      <c r="U21" s="410"/>
      <c r="V21" s="433"/>
      <c r="W21" s="411"/>
      <c r="X21" s="406"/>
    </row>
    <row r="22" spans="1:24" x14ac:dyDescent="0.3">
      <c r="A22" s="434"/>
      <c r="B22" s="435"/>
      <c r="C22" s="436"/>
      <c r="D22" s="436" t="s">
        <v>180</v>
      </c>
      <c r="E22" s="436"/>
      <c r="F22" s="436" t="s">
        <v>181</v>
      </c>
      <c r="G22" s="436"/>
      <c r="H22" s="436" t="s">
        <v>182</v>
      </c>
      <c r="I22" s="436"/>
      <c r="J22" s="436" t="s">
        <v>223</v>
      </c>
      <c r="K22" s="436"/>
      <c r="L22" s="436" t="s">
        <v>183</v>
      </c>
      <c r="M22" s="436"/>
      <c r="N22" s="436" t="s">
        <v>184</v>
      </c>
      <c r="O22" s="436"/>
      <c r="P22" s="436" t="s">
        <v>224</v>
      </c>
      <c r="Q22" s="436"/>
      <c r="R22" s="436" t="s">
        <v>185</v>
      </c>
      <c r="S22" s="437"/>
      <c r="T22" s="437"/>
      <c r="U22" s="435"/>
      <c r="V22" s="435"/>
      <c r="W22" s="438"/>
      <c r="X22" s="406"/>
    </row>
    <row r="23" spans="1:24" s="426" customFormat="1" x14ac:dyDescent="0.3">
      <c r="A23" s="439"/>
      <c r="B23" s="440" t="s">
        <v>7</v>
      </c>
      <c r="C23" s="441"/>
      <c r="D23" s="441" t="s">
        <v>216</v>
      </c>
      <c r="E23" s="441"/>
      <c r="F23" s="441" t="s">
        <v>144</v>
      </c>
      <c r="G23" s="441"/>
      <c r="H23" s="441" t="s">
        <v>144</v>
      </c>
      <c r="I23" s="441"/>
      <c r="J23" s="441" t="s">
        <v>144</v>
      </c>
      <c r="K23" s="441"/>
      <c r="L23" s="441" t="s">
        <v>186</v>
      </c>
      <c r="M23" s="441"/>
      <c r="N23" s="441" t="s">
        <v>186</v>
      </c>
      <c r="O23" s="441"/>
      <c r="P23" s="441" t="s">
        <v>145</v>
      </c>
      <c r="Q23" s="441"/>
      <c r="R23" s="441" t="s">
        <v>145</v>
      </c>
      <c r="S23" s="441"/>
      <c r="T23" s="441"/>
      <c r="U23" s="440"/>
      <c r="V23" s="440"/>
      <c r="W23" s="442"/>
      <c r="X23" s="425"/>
    </row>
    <row r="24" spans="1:24" s="426" customFormat="1" x14ac:dyDescent="0.3">
      <c r="A24" s="443"/>
      <c r="B24" s="444" t="s">
        <v>8</v>
      </c>
      <c r="C24" s="445"/>
      <c r="D24" s="445" t="s">
        <v>217</v>
      </c>
      <c r="E24" s="445"/>
      <c r="F24" s="445" t="s">
        <v>146</v>
      </c>
      <c r="G24" s="445"/>
      <c r="H24" s="445" t="s">
        <v>146</v>
      </c>
      <c r="I24" s="445"/>
      <c r="J24" s="445" t="s">
        <v>146</v>
      </c>
      <c r="K24" s="445"/>
      <c r="L24" s="445" t="s">
        <v>168</v>
      </c>
      <c r="M24" s="445"/>
      <c r="N24" s="445" t="s">
        <v>168</v>
      </c>
      <c r="O24" s="445"/>
      <c r="P24" s="445" t="s">
        <v>147</v>
      </c>
      <c r="Q24" s="445"/>
      <c r="R24" s="445" t="s">
        <v>147</v>
      </c>
      <c r="S24" s="445"/>
      <c r="T24" s="445"/>
      <c r="U24" s="444"/>
      <c r="V24" s="444"/>
      <c r="W24" s="446"/>
      <c r="X24" s="425"/>
    </row>
    <row r="25" spans="1:24" s="426" customFormat="1" x14ac:dyDescent="0.3">
      <c r="A25" s="447"/>
      <c r="B25" s="444" t="s">
        <v>193</v>
      </c>
      <c r="C25" s="448"/>
      <c r="D25" s="445" t="s">
        <v>218</v>
      </c>
      <c r="E25" s="445"/>
      <c r="F25" s="445" t="s">
        <v>146</v>
      </c>
      <c r="G25" s="445"/>
      <c r="H25" s="445" t="s">
        <v>146</v>
      </c>
      <c r="I25" s="445"/>
      <c r="J25" s="445" t="s">
        <v>146</v>
      </c>
      <c r="K25" s="445"/>
      <c r="L25" s="445" t="s">
        <v>168</v>
      </c>
      <c r="M25" s="445"/>
      <c r="N25" s="445" t="s">
        <v>168</v>
      </c>
      <c r="O25" s="445"/>
      <c r="P25" s="445" t="s">
        <v>147</v>
      </c>
      <c r="Q25" s="445"/>
      <c r="R25" s="445" t="s">
        <v>147</v>
      </c>
      <c r="S25" s="448"/>
      <c r="T25" s="445"/>
      <c r="U25" s="444"/>
      <c r="V25" s="444"/>
      <c r="W25" s="446"/>
      <c r="X25" s="425"/>
    </row>
    <row r="26" spans="1:24" s="426" customFormat="1" x14ac:dyDescent="0.3">
      <c r="A26" s="447"/>
      <c r="B26" s="449" t="s">
        <v>9</v>
      </c>
      <c r="C26" s="448"/>
      <c r="D26" s="448" t="s">
        <v>144</v>
      </c>
      <c r="E26" s="448"/>
      <c r="F26" s="448" t="s">
        <v>144</v>
      </c>
      <c r="G26" s="448"/>
      <c r="H26" s="448" t="s">
        <v>144</v>
      </c>
      <c r="I26" s="448"/>
      <c r="J26" s="448" t="s">
        <v>144</v>
      </c>
      <c r="K26" s="448"/>
      <c r="L26" s="448" t="s">
        <v>186</v>
      </c>
      <c r="M26" s="448"/>
      <c r="N26" s="448" t="s">
        <v>186</v>
      </c>
      <c r="O26" s="448"/>
      <c r="P26" s="448" t="s">
        <v>145</v>
      </c>
      <c r="Q26" s="448"/>
      <c r="R26" s="448" t="s">
        <v>145</v>
      </c>
      <c r="S26" s="448"/>
      <c r="T26" s="445"/>
      <c r="U26" s="444"/>
      <c r="V26" s="444"/>
      <c r="W26" s="446"/>
      <c r="X26" s="425"/>
    </row>
    <row r="27" spans="1:24" s="426" customFormat="1" x14ac:dyDescent="0.3">
      <c r="A27" s="443"/>
      <c r="B27" s="449" t="s">
        <v>194</v>
      </c>
      <c r="C27" s="445"/>
      <c r="D27" s="448" t="s">
        <v>168</v>
      </c>
      <c r="E27" s="448"/>
      <c r="F27" s="448" t="s">
        <v>168</v>
      </c>
      <c r="G27" s="448"/>
      <c r="H27" s="448" t="s">
        <v>168</v>
      </c>
      <c r="I27" s="448"/>
      <c r="J27" s="448" t="s">
        <v>168</v>
      </c>
      <c r="K27" s="448"/>
      <c r="L27" s="448" t="s">
        <v>168</v>
      </c>
      <c r="M27" s="448"/>
      <c r="N27" s="448" t="s">
        <v>168</v>
      </c>
      <c r="O27" s="448"/>
      <c r="P27" s="448" t="s">
        <v>360</v>
      </c>
      <c r="Q27" s="448"/>
      <c r="R27" s="448" t="s">
        <v>360</v>
      </c>
      <c r="S27" s="445"/>
      <c r="T27" s="450"/>
      <c r="U27" s="444"/>
      <c r="V27" s="444"/>
      <c r="W27" s="446"/>
      <c r="X27" s="425"/>
    </row>
    <row r="28" spans="1:24" s="426" customFormat="1" x14ac:dyDescent="0.3">
      <c r="A28" s="443"/>
      <c r="B28" s="449" t="s">
        <v>195</v>
      </c>
      <c r="C28" s="445"/>
      <c r="D28" s="448" t="s">
        <v>146</v>
      </c>
      <c r="E28" s="448"/>
      <c r="F28" s="448" t="s">
        <v>146</v>
      </c>
      <c r="G28" s="448"/>
      <c r="H28" s="448" t="s">
        <v>146</v>
      </c>
      <c r="I28" s="448"/>
      <c r="J28" s="448" t="s">
        <v>146</v>
      </c>
      <c r="K28" s="448"/>
      <c r="L28" s="448" t="s">
        <v>146</v>
      </c>
      <c r="M28" s="448"/>
      <c r="N28" s="448" t="s">
        <v>146</v>
      </c>
      <c r="O28" s="448"/>
      <c r="P28" s="448" t="s">
        <v>360</v>
      </c>
      <c r="Q28" s="448"/>
      <c r="R28" s="448" t="s">
        <v>360</v>
      </c>
      <c r="S28" s="445"/>
      <c r="T28" s="450"/>
      <c r="U28" s="444"/>
      <c r="V28" s="444"/>
      <c r="W28" s="446"/>
      <c r="X28" s="425"/>
    </row>
    <row r="29" spans="1:24" s="426" customFormat="1" x14ac:dyDescent="0.3">
      <c r="A29" s="443"/>
      <c r="B29" s="444" t="s">
        <v>10</v>
      </c>
      <c r="C29" s="451"/>
      <c r="D29" s="445" t="s">
        <v>348</v>
      </c>
      <c r="E29" s="445"/>
      <c r="F29" s="450" t="s">
        <v>242</v>
      </c>
      <c r="G29" s="445"/>
      <c r="H29" s="445" t="s">
        <v>243</v>
      </c>
      <c r="I29" s="445"/>
      <c r="J29" s="445" t="s">
        <v>245</v>
      </c>
      <c r="K29" s="445"/>
      <c r="L29" s="445" t="s">
        <v>246</v>
      </c>
      <c r="M29" s="445"/>
      <c r="N29" s="445" t="s">
        <v>247</v>
      </c>
      <c r="O29" s="445"/>
      <c r="P29" s="445" t="s">
        <v>248</v>
      </c>
      <c r="Q29" s="445"/>
      <c r="R29" s="445" t="s">
        <v>249</v>
      </c>
      <c r="S29" s="452"/>
      <c r="T29" s="452"/>
      <c r="U29" s="451"/>
      <c r="V29" s="452"/>
      <c r="W29" s="453"/>
      <c r="X29" s="425"/>
    </row>
    <row r="30" spans="1:24" s="426" customFormat="1" x14ac:dyDescent="0.3">
      <c r="A30" s="443"/>
      <c r="B30" s="444" t="s">
        <v>10</v>
      </c>
      <c r="C30" s="451"/>
      <c r="D30" s="445" t="s">
        <v>241</v>
      </c>
      <c r="E30" s="445"/>
      <c r="F30" s="450" t="s">
        <v>121</v>
      </c>
      <c r="G30" s="445"/>
      <c r="H30" s="445" t="s">
        <v>121</v>
      </c>
      <c r="I30" s="445"/>
      <c r="J30" s="445" t="s">
        <v>244</v>
      </c>
      <c r="K30" s="445"/>
      <c r="L30" s="445" t="s">
        <v>121</v>
      </c>
      <c r="M30" s="445"/>
      <c r="N30" s="445" t="s">
        <v>121</v>
      </c>
      <c r="O30" s="445"/>
      <c r="P30" s="445" t="s">
        <v>121</v>
      </c>
      <c r="Q30" s="445"/>
      <c r="R30" s="445" t="s">
        <v>121</v>
      </c>
      <c r="S30" s="452"/>
      <c r="T30" s="452"/>
      <c r="U30" s="451"/>
      <c r="V30" s="452"/>
      <c r="W30" s="453"/>
      <c r="X30" s="425"/>
    </row>
    <row r="31" spans="1:24" s="426" customFormat="1" x14ac:dyDescent="0.3">
      <c r="A31" s="447"/>
      <c r="B31" s="444" t="s">
        <v>136</v>
      </c>
      <c r="C31" s="454"/>
      <c r="D31" s="455">
        <v>1500000</v>
      </c>
      <c r="E31" s="451"/>
      <c r="F31" s="452">
        <v>125000</v>
      </c>
      <c r="G31" s="452"/>
      <c r="H31" s="456">
        <v>315000</v>
      </c>
      <c r="I31" s="456"/>
      <c r="J31" s="455">
        <v>350000</v>
      </c>
      <c r="K31" s="452"/>
      <c r="L31" s="452">
        <v>56000</v>
      </c>
      <c r="M31" s="452"/>
      <c r="N31" s="456">
        <v>84000</v>
      </c>
      <c r="O31" s="452"/>
      <c r="P31" s="452">
        <v>13000</v>
      </c>
      <c r="Q31" s="452"/>
      <c r="R31" s="456">
        <v>81000</v>
      </c>
      <c r="S31" s="457"/>
      <c r="T31" s="457"/>
      <c r="U31" s="454"/>
      <c r="V31" s="457"/>
      <c r="W31" s="453"/>
      <c r="X31" s="425"/>
    </row>
    <row r="32" spans="1:24" s="426" customFormat="1" x14ac:dyDescent="0.3">
      <c r="A32" s="443"/>
      <c r="B32" s="444" t="s">
        <v>135</v>
      </c>
      <c r="C32" s="451"/>
      <c r="D32" s="458">
        <f>D34*D38</f>
        <v>314999.86559999996</v>
      </c>
      <c r="E32" s="451"/>
      <c r="F32" s="452">
        <f>F31*F38</f>
        <v>49350.2</v>
      </c>
      <c r="G32" s="452"/>
      <c r="H32" s="456">
        <f>H31*H38</f>
        <v>124362.50399999999</v>
      </c>
      <c r="I32" s="456"/>
      <c r="J32" s="455">
        <f>J31*J38</f>
        <v>138179.61499999999</v>
      </c>
      <c r="K32" s="452"/>
      <c r="L32" s="452">
        <f>L31*L38</f>
        <v>51291.620799999997</v>
      </c>
      <c r="M32" s="452"/>
      <c r="N32" s="456">
        <f>N31*N38</f>
        <v>76937.431200000006</v>
      </c>
      <c r="O32" s="452"/>
      <c r="P32" s="452">
        <f>P31*P38</f>
        <v>11906.983400000001</v>
      </c>
      <c r="Q32" s="452"/>
      <c r="R32" s="456">
        <f>R31*R38</f>
        <v>74189.665800000002</v>
      </c>
      <c r="S32" s="452"/>
      <c r="T32" s="452"/>
      <c r="U32" s="451"/>
      <c r="V32" s="452"/>
      <c r="W32" s="453"/>
      <c r="X32" s="425"/>
    </row>
    <row r="33" spans="1:24" s="426" customFormat="1" x14ac:dyDescent="0.3">
      <c r="A33" s="443"/>
      <c r="B33" s="449" t="s">
        <v>137</v>
      </c>
      <c r="C33" s="451"/>
      <c r="D33" s="459">
        <f>D34*D37</f>
        <v>309922.52734080004</v>
      </c>
      <c r="E33" s="454"/>
      <c r="F33" s="457">
        <f>F37*F31</f>
        <v>48554.75</v>
      </c>
      <c r="G33" s="457"/>
      <c r="H33" s="460">
        <f>H31*H37</f>
        <v>122357.97</v>
      </c>
      <c r="I33" s="460"/>
      <c r="J33" s="461">
        <f>J37*J31</f>
        <v>135952.35499999998</v>
      </c>
      <c r="K33" s="457"/>
      <c r="L33" s="457">
        <f>L31*L37</f>
        <v>50464.881600000001</v>
      </c>
      <c r="M33" s="457"/>
      <c r="N33" s="460">
        <f>N31*N37</f>
        <v>75697.322400000005</v>
      </c>
      <c r="O33" s="457"/>
      <c r="P33" s="457">
        <f>P31*P37</f>
        <v>11715.061800000001</v>
      </c>
      <c r="Q33" s="457"/>
      <c r="R33" s="460">
        <f>R31*R37</f>
        <v>72993.846600000004</v>
      </c>
      <c r="S33" s="452"/>
      <c r="T33" s="452"/>
      <c r="U33" s="451"/>
      <c r="V33" s="452"/>
      <c r="W33" s="453"/>
      <c r="X33" s="425"/>
    </row>
    <row r="34" spans="1:24" s="426" customFormat="1" x14ac:dyDescent="0.3">
      <c r="A34" s="447"/>
      <c r="B34" s="444" t="s">
        <v>298</v>
      </c>
      <c r="C34" s="454"/>
      <c r="D34" s="452">
        <v>797872</v>
      </c>
      <c r="E34" s="451"/>
      <c r="F34" s="452">
        <v>125000</v>
      </c>
      <c r="G34" s="452"/>
      <c r="H34" s="452">
        <v>211409</v>
      </c>
      <c r="I34" s="452"/>
      <c r="J34" s="452">
        <v>186170</v>
      </c>
      <c r="K34" s="452"/>
      <c r="L34" s="452">
        <v>56000</v>
      </c>
      <c r="M34" s="452"/>
      <c r="N34" s="452">
        <v>56376</v>
      </c>
      <c r="O34" s="452"/>
      <c r="P34" s="452">
        <v>13000</v>
      </c>
      <c r="Q34" s="452"/>
      <c r="R34" s="452">
        <v>54363</v>
      </c>
      <c r="S34" s="457"/>
      <c r="T34" s="457"/>
      <c r="U34" s="454"/>
      <c r="V34" s="452">
        <f>SUM(C34:R34)</f>
        <v>1500190</v>
      </c>
      <c r="W34" s="453"/>
      <c r="X34" s="425"/>
    </row>
    <row r="35" spans="1:24" s="426" customFormat="1" x14ac:dyDescent="0.3">
      <c r="A35" s="447"/>
      <c r="B35" s="444" t="s">
        <v>299</v>
      </c>
      <c r="C35" s="454"/>
      <c r="D35" s="452">
        <f>D34*D38</f>
        <v>314999.86559999996</v>
      </c>
      <c r="E35" s="451"/>
      <c r="F35" s="452">
        <f>F34*F38</f>
        <v>49350.2</v>
      </c>
      <c r="G35" s="452"/>
      <c r="H35" s="452">
        <f>H34*H38</f>
        <v>83464.611454400001</v>
      </c>
      <c r="I35" s="452"/>
      <c r="J35" s="452">
        <f>J34*J38</f>
        <v>73499.711213000002</v>
      </c>
      <c r="K35" s="452"/>
      <c r="L35" s="452">
        <f>L34*L38</f>
        <v>51291.620799999997</v>
      </c>
      <c r="M35" s="452"/>
      <c r="N35" s="452">
        <f>N34*N38</f>
        <v>51636.0073968</v>
      </c>
      <c r="O35" s="452"/>
      <c r="P35" s="452">
        <f>P34*P38</f>
        <v>11906.983400000001</v>
      </c>
      <c r="Q35" s="452"/>
      <c r="R35" s="452">
        <f>R34*R38</f>
        <v>49792.256813400003</v>
      </c>
      <c r="S35" s="452"/>
      <c r="T35" s="452"/>
      <c r="U35" s="451"/>
      <c r="V35" s="452">
        <f>SUM(C35:R35)+1</f>
        <v>685942.25667759997</v>
      </c>
      <c r="W35" s="453"/>
      <c r="X35" s="425"/>
    </row>
    <row r="36" spans="1:24" s="426" customFormat="1" x14ac:dyDescent="0.3">
      <c r="A36" s="447"/>
      <c r="B36" s="449" t="s">
        <v>304</v>
      </c>
      <c r="C36" s="454"/>
      <c r="D36" s="457">
        <f>D34*D37</f>
        <v>309922.52734080004</v>
      </c>
      <c r="E36" s="454"/>
      <c r="F36" s="457">
        <f>F34*F37</f>
        <v>48554.75</v>
      </c>
      <c r="G36" s="457"/>
      <c r="H36" s="457">
        <f>H34*H37</f>
        <v>82119.289141999994</v>
      </c>
      <c r="I36" s="457"/>
      <c r="J36" s="457">
        <f>J34*J37</f>
        <v>72314.999800999998</v>
      </c>
      <c r="K36" s="457"/>
      <c r="L36" s="457">
        <f>L34*L37</f>
        <v>50464.881600000001</v>
      </c>
      <c r="M36" s="457"/>
      <c r="N36" s="457">
        <f>N34*N37</f>
        <v>50803.7172336</v>
      </c>
      <c r="O36" s="457"/>
      <c r="P36" s="457">
        <f>P34*P37</f>
        <v>11715.061800000001</v>
      </c>
      <c r="Q36" s="457"/>
      <c r="R36" s="457">
        <f>R34*R37</f>
        <v>48989.684971800001</v>
      </c>
      <c r="S36" s="462"/>
      <c r="T36" s="462"/>
      <c r="U36" s="451"/>
      <c r="V36" s="457">
        <f>SUM(C36:R36)+1</f>
        <v>674885.91188919998</v>
      </c>
      <c r="W36" s="453"/>
      <c r="X36" s="425"/>
    </row>
    <row r="37" spans="1:24" s="473" customFormat="1" x14ac:dyDescent="0.3">
      <c r="A37" s="463"/>
      <c r="B37" s="464" t="s">
        <v>133</v>
      </c>
      <c r="C37" s="465"/>
      <c r="D37" s="466">
        <v>0.38843640000000001</v>
      </c>
      <c r="E37" s="467"/>
      <c r="F37" s="466">
        <v>0.38843800000000001</v>
      </c>
      <c r="G37" s="468"/>
      <c r="H37" s="466">
        <v>0.38843800000000001</v>
      </c>
      <c r="I37" s="468"/>
      <c r="J37" s="466">
        <v>0.38843529999999998</v>
      </c>
      <c r="K37" s="468"/>
      <c r="L37" s="466">
        <v>0.90115860000000003</v>
      </c>
      <c r="M37" s="468"/>
      <c r="N37" s="466">
        <v>0.90115860000000003</v>
      </c>
      <c r="O37" s="468"/>
      <c r="P37" s="466">
        <v>0.90115860000000003</v>
      </c>
      <c r="Q37" s="468"/>
      <c r="R37" s="466">
        <v>0.90115860000000003</v>
      </c>
      <c r="S37" s="469"/>
      <c r="T37" s="469"/>
      <c r="U37" s="470"/>
      <c r="V37" s="470"/>
      <c r="W37" s="471"/>
      <c r="X37" s="472"/>
    </row>
    <row r="38" spans="1:24" s="473" customFormat="1" x14ac:dyDescent="0.3">
      <c r="A38" s="463"/>
      <c r="B38" s="465" t="s">
        <v>134</v>
      </c>
      <c r="C38" s="465"/>
      <c r="D38" s="474">
        <v>0.39479999999999998</v>
      </c>
      <c r="E38" s="475"/>
      <c r="F38" s="474">
        <v>0.39480159999999997</v>
      </c>
      <c r="G38" s="476"/>
      <c r="H38" s="474">
        <v>0.39480159999999997</v>
      </c>
      <c r="I38" s="476"/>
      <c r="J38" s="474">
        <v>0.39479890000000001</v>
      </c>
      <c r="K38" s="476"/>
      <c r="L38" s="474">
        <v>0.91592180000000001</v>
      </c>
      <c r="M38" s="476"/>
      <c r="N38" s="474">
        <v>0.91592180000000001</v>
      </c>
      <c r="O38" s="476"/>
      <c r="P38" s="474">
        <v>0.91592180000000001</v>
      </c>
      <c r="Q38" s="476"/>
      <c r="R38" s="474">
        <v>0.91592180000000001</v>
      </c>
      <c r="S38" s="477"/>
      <c r="T38" s="478"/>
      <c r="U38" s="470"/>
      <c r="V38" s="477"/>
      <c r="W38" s="471"/>
      <c r="X38" s="472"/>
    </row>
    <row r="39" spans="1:24" s="426" customFormat="1" x14ac:dyDescent="0.3">
      <c r="A39" s="443"/>
      <c r="B39" s="444" t="s">
        <v>11</v>
      </c>
      <c r="C39" s="444"/>
      <c r="D39" s="450" t="s">
        <v>226</v>
      </c>
      <c r="E39" s="444"/>
      <c r="F39" s="450" t="s">
        <v>226</v>
      </c>
      <c r="G39" s="450"/>
      <c r="H39" s="450" t="s">
        <v>226</v>
      </c>
      <c r="I39" s="450"/>
      <c r="J39" s="450" t="s">
        <v>256</v>
      </c>
      <c r="K39" s="450"/>
      <c r="L39" s="450" t="s">
        <v>254</v>
      </c>
      <c r="M39" s="450"/>
      <c r="N39" s="450" t="s">
        <v>257</v>
      </c>
      <c r="O39" s="450"/>
      <c r="P39" s="450" t="s">
        <v>258</v>
      </c>
      <c r="Q39" s="450"/>
      <c r="R39" s="450" t="s">
        <v>259</v>
      </c>
      <c r="S39" s="479"/>
      <c r="T39" s="480"/>
      <c r="U39" s="444"/>
      <c r="V39" s="444"/>
      <c r="W39" s="446"/>
      <c r="X39" s="425"/>
    </row>
    <row r="40" spans="1:24" s="426" customFormat="1" x14ac:dyDescent="0.3">
      <c r="A40" s="443"/>
      <c r="B40" s="444" t="s">
        <v>12</v>
      </c>
      <c r="C40" s="444"/>
      <c r="D40" s="480">
        <v>9.6500000000000006E-3</v>
      </c>
      <c r="E40" s="444"/>
      <c r="F40" s="480">
        <v>9.6500000000000006E-3</v>
      </c>
      <c r="G40" s="479"/>
      <c r="H40" s="480">
        <v>0</v>
      </c>
      <c r="I40" s="480"/>
      <c r="J40" s="480">
        <v>2.0112499999999998E-2</v>
      </c>
      <c r="K40" s="479"/>
      <c r="L40" s="480">
        <v>1.125E-2</v>
      </c>
      <c r="M40" s="479"/>
      <c r="N40" s="480">
        <v>0</v>
      </c>
      <c r="O40" s="479"/>
      <c r="P40" s="480">
        <v>1.525E-2</v>
      </c>
      <c r="Q40" s="479"/>
      <c r="R40" s="480">
        <v>3.9100000000000003E-3</v>
      </c>
      <c r="S40" s="479"/>
      <c r="T40" s="480"/>
      <c r="U40" s="444"/>
      <c r="V40" s="450"/>
      <c r="W40" s="446"/>
      <c r="X40" s="425"/>
    </row>
    <row r="41" spans="1:24" s="426" customFormat="1" x14ac:dyDescent="0.3">
      <c r="A41" s="443"/>
      <c r="B41" s="444" t="s">
        <v>13</v>
      </c>
      <c r="C41" s="444"/>
      <c r="D41" s="480">
        <v>1.025E-2</v>
      </c>
      <c r="E41" s="444"/>
      <c r="F41" s="480">
        <v>1.025E-2</v>
      </c>
      <c r="G41" s="479"/>
      <c r="H41" s="480">
        <v>0</v>
      </c>
      <c r="I41" s="480"/>
      <c r="J41" s="480">
        <v>2.18088E-2</v>
      </c>
      <c r="K41" s="479"/>
      <c r="L41" s="480">
        <v>1.1849999999999999E-2</v>
      </c>
      <c r="M41" s="479"/>
      <c r="N41" s="480">
        <v>0</v>
      </c>
      <c r="O41" s="479"/>
      <c r="P41" s="480">
        <v>1.585E-2</v>
      </c>
      <c r="Q41" s="479"/>
      <c r="R41" s="480">
        <v>3.62E-3</v>
      </c>
      <c r="S41" s="479"/>
      <c r="T41" s="480"/>
      <c r="U41" s="444"/>
      <c r="V41" s="479" t="s">
        <v>196</v>
      </c>
      <c r="W41" s="446"/>
      <c r="X41" s="425"/>
    </row>
    <row r="42" spans="1:24" s="426" customFormat="1" x14ac:dyDescent="0.3">
      <c r="A42" s="443"/>
      <c r="B42" s="444" t="s">
        <v>300</v>
      </c>
      <c r="C42" s="444"/>
      <c r="D42" s="450" t="s">
        <v>226</v>
      </c>
      <c r="E42" s="444"/>
      <c r="F42" s="450" t="s">
        <v>226</v>
      </c>
      <c r="G42" s="450"/>
      <c r="H42" s="450" t="s">
        <v>227</v>
      </c>
      <c r="I42" s="450"/>
      <c r="J42" s="450" t="s">
        <v>237</v>
      </c>
      <c r="K42" s="450"/>
      <c r="L42" s="450" t="s">
        <v>254</v>
      </c>
      <c r="M42" s="450"/>
      <c r="N42" s="450" t="s">
        <v>260</v>
      </c>
      <c r="O42" s="450"/>
      <c r="P42" s="450" t="s">
        <v>258</v>
      </c>
      <c r="Q42" s="450"/>
      <c r="R42" s="450" t="s">
        <v>261</v>
      </c>
      <c r="S42" s="479"/>
      <c r="T42" s="480"/>
      <c r="U42" s="444"/>
      <c r="V42" s="444"/>
      <c r="W42" s="446"/>
      <c r="X42" s="425"/>
    </row>
    <row r="43" spans="1:24" s="426" customFormat="1" x14ac:dyDescent="0.3">
      <c r="A43" s="443"/>
      <c r="B43" s="444" t="s">
        <v>301</v>
      </c>
      <c r="C43" s="481"/>
      <c r="D43" s="480">
        <f>+D40</f>
        <v>9.6500000000000006E-3</v>
      </c>
      <c r="E43" s="480"/>
      <c r="F43" s="480">
        <f>+F40</f>
        <v>9.6500000000000006E-3</v>
      </c>
      <c r="G43" s="480"/>
      <c r="H43" s="480">
        <v>9.894E-3</v>
      </c>
      <c r="I43" s="480"/>
      <c r="J43" s="480">
        <v>9.7300000000000008E-3</v>
      </c>
      <c r="K43" s="480"/>
      <c r="L43" s="480">
        <f>+L40</f>
        <v>1.125E-2</v>
      </c>
      <c r="M43" s="480"/>
      <c r="N43" s="480">
        <v>1.1429999999999999E-2</v>
      </c>
      <c r="O43" s="480"/>
      <c r="P43" s="480">
        <f>+P40</f>
        <v>1.525E-2</v>
      </c>
      <c r="Q43" s="479"/>
      <c r="R43" s="480">
        <v>1.5650000000000001E-2</v>
      </c>
      <c r="S43" s="450"/>
      <c r="T43" s="450"/>
      <c r="U43" s="444"/>
      <c r="V43" s="479">
        <f>SUMPRODUCT(D43:R43,D35:R35)/V35</f>
        <v>1.0474627759774357E-2</v>
      </c>
      <c r="W43" s="446"/>
      <c r="X43" s="425"/>
    </row>
    <row r="44" spans="1:24" s="426" customFormat="1" x14ac:dyDescent="0.3">
      <c r="A44" s="443"/>
      <c r="B44" s="444" t="s">
        <v>302</v>
      </c>
      <c r="C44" s="481"/>
      <c r="D44" s="480">
        <f>+D41</f>
        <v>1.025E-2</v>
      </c>
      <c r="E44" s="480"/>
      <c r="F44" s="480">
        <f>+F41</f>
        <v>1.025E-2</v>
      </c>
      <c r="G44" s="480"/>
      <c r="H44" s="480">
        <v>1.0494E-2</v>
      </c>
      <c r="I44" s="480"/>
      <c r="J44" s="480">
        <v>1.0330000000000001E-2</v>
      </c>
      <c r="K44" s="480"/>
      <c r="L44" s="480">
        <f>+L41</f>
        <v>1.1849999999999999E-2</v>
      </c>
      <c r="M44" s="480"/>
      <c r="N44" s="480">
        <v>1.2030000000000001E-2</v>
      </c>
      <c r="O44" s="480"/>
      <c r="P44" s="480">
        <f>+P41</f>
        <v>1.585E-2</v>
      </c>
      <c r="Q44" s="479"/>
      <c r="R44" s="480">
        <v>1.6250000000000001E-2</v>
      </c>
      <c r="S44" s="450"/>
      <c r="T44" s="450"/>
      <c r="U44" s="444"/>
      <c r="V44" s="444"/>
      <c r="W44" s="446"/>
      <c r="X44" s="425"/>
    </row>
    <row r="45" spans="1:24" s="426" customFormat="1" x14ac:dyDescent="0.3">
      <c r="A45" s="443"/>
      <c r="B45" s="444" t="s">
        <v>14</v>
      </c>
      <c r="C45" s="444"/>
      <c r="D45" s="481">
        <v>40466</v>
      </c>
      <c r="E45" s="481"/>
      <c r="F45" s="481">
        <v>40466</v>
      </c>
      <c r="G45" s="481"/>
      <c r="H45" s="481">
        <v>40466</v>
      </c>
      <c r="I45" s="481"/>
      <c r="J45" s="481">
        <v>40466</v>
      </c>
      <c r="K45" s="481"/>
      <c r="L45" s="481">
        <v>40466</v>
      </c>
      <c r="M45" s="481"/>
      <c r="N45" s="481">
        <v>40466</v>
      </c>
      <c r="O45" s="481"/>
      <c r="P45" s="481">
        <v>40466</v>
      </c>
      <c r="Q45" s="481"/>
      <c r="R45" s="481">
        <v>40466</v>
      </c>
      <c r="S45" s="450"/>
      <c r="T45" s="450"/>
      <c r="U45" s="444"/>
      <c r="V45" s="444"/>
      <c r="W45" s="446"/>
      <c r="X45" s="425"/>
    </row>
    <row r="46" spans="1:24" s="426" customFormat="1" x14ac:dyDescent="0.3">
      <c r="A46" s="443"/>
      <c r="B46" s="444" t="s">
        <v>15</v>
      </c>
      <c r="C46" s="444"/>
      <c r="D46" s="481">
        <v>41105</v>
      </c>
      <c r="E46" s="481"/>
      <c r="F46" s="481">
        <v>40831</v>
      </c>
      <c r="G46" s="481"/>
      <c r="H46" s="481">
        <v>40831</v>
      </c>
      <c r="I46" s="481"/>
      <c r="J46" s="481">
        <v>40831</v>
      </c>
      <c r="K46" s="450"/>
      <c r="L46" s="481">
        <v>40831</v>
      </c>
      <c r="M46" s="450"/>
      <c r="N46" s="481">
        <v>40831</v>
      </c>
      <c r="O46" s="450"/>
      <c r="P46" s="481">
        <v>40831</v>
      </c>
      <c r="Q46" s="450"/>
      <c r="R46" s="481">
        <v>40831</v>
      </c>
      <c r="S46" s="450"/>
      <c r="T46" s="450"/>
      <c r="U46" s="444"/>
      <c r="V46" s="444"/>
      <c r="W46" s="446"/>
      <c r="X46" s="425"/>
    </row>
    <row r="47" spans="1:24" s="426" customFormat="1" x14ac:dyDescent="0.3">
      <c r="A47" s="443"/>
      <c r="B47" s="444" t="s">
        <v>122</v>
      </c>
      <c r="C47" s="444"/>
      <c r="D47" s="450" t="s">
        <v>226</v>
      </c>
      <c r="E47" s="444"/>
      <c r="F47" s="450" t="s">
        <v>226</v>
      </c>
      <c r="G47" s="450"/>
      <c r="H47" s="450" t="s">
        <v>226</v>
      </c>
      <c r="I47" s="450"/>
      <c r="J47" s="450" t="s">
        <v>256</v>
      </c>
      <c r="K47" s="450"/>
      <c r="L47" s="450" t="s">
        <v>254</v>
      </c>
      <c r="M47" s="450"/>
      <c r="N47" s="450" t="s">
        <v>257</v>
      </c>
      <c r="O47" s="450"/>
      <c r="P47" s="450" t="s">
        <v>258</v>
      </c>
      <c r="Q47" s="450"/>
      <c r="R47" s="450" t="s">
        <v>259</v>
      </c>
      <c r="S47" s="482"/>
      <c r="T47" s="482"/>
      <c r="U47" s="482"/>
      <c r="V47" s="482"/>
      <c r="W47" s="446"/>
      <c r="X47" s="425"/>
    </row>
    <row r="48" spans="1:24" s="426" customFormat="1" x14ac:dyDescent="0.3">
      <c r="A48" s="443"/>
      <c r="B48" s="444" t="s">
        <v>303</v>
      </c>
      <c r="C48" s="444"/>
      <c r="D48" s="450" t="s">
        <v>226</v>
      </c>
      <c r="E48" s="444"/>
      <c r="F48" s="450" t="s">
        <v>226</v>
      </c>
      <c r="G48" s="450"/>
      <c r="H48" s="450" t="s">
        <v>227</v>
      </c>
      <c r="I48" s="450"/>
      <c r="J48" s="450" t="s">
        <v>237</v>
      </c>
      <c r="K48" s="450"/>
      <c r="L48" s="450" t="s">
        <v>254</v>
      </c>
      <c r="M48" s="450"/>
      <c r="N48" s="450" t="s">
        <v>260</v>
      </c>
      <c r="O48" s="450"/>
      <c r="P48" s="450" t="s">
        <v>258</v>
      </c>
      <c r="Q48" s="450"/>
      <c r="R48" s="450" t="s">
        <v>261</v>
      </c>
      <c r="S48" s="444"/>
      <c r="T48" s="444"/>
      <c r="U48" s="444"/>
      <c r="V48" s="479"/>
      <c r="W48" s="446"/>
      <c r="X48" s="425"/>
    </row>
    <row r="49" spans="1:25" s="426" customFormat="1" x14ac:dyDescent="0.3">
      <c r="A49" s="443"/>
      <c r="B49" s="444"/>
      <c r="C49" s="444"/>
      <c r="D49" s="450"/>
      <c r="E49" s="444"/>
      <c r="F49" s="450"/>
      <c r="G49" s="450"/>
      <c r="H49" s="450"/>
      <c r="I49" s="450"/>
      <c r="J49" s="450"/>
      <c r="K49" s="450"/>
      <c r="L49" s="450"/>
      <c r="M49" s="450"/>
      <c r="N49" s="450"/>
      <c r="O49" s="450"/>
      <c r="P49" s="450"/>
      <c r="Q49" s="450"/>
      <c r="R49" s="450"/>
      <c r="S49" s="444"/>
      <c r="T49" s="444"/>
      <c r="U49" s="444"/>
      <c r="V49" s="479" t="s">
        <v>196</v>
      </c>
      <c r="W49" s="446"/>
      <c r="X49" s="425"/>
    </row>
    <row r="50" spans="1:25" s="426" customFormat="1" x14ac:dyDescent="0.3">
      <c r="A50" s="443"/>
      <c r="B50" s="444" t="s">
        <v>172</v>
      </c>
      <c r="C50" s="444"/>
      <c r="D50" s="450"/>
      <c r="E50" s="444"/>
      <c r="F50" s="450"/>
      <c r="G50" s="450"/>
      <c r="H50" s="450"/>
      <c r="I50" s="450"/>
      <c r="J50" s="450"/>
      <c r="K50" s="450"/>
      <c r="L50" s="450"/>
      <c r="M50" s="450"/>
      <c r="N50" s="450"/>
      <c r="O50" s="450"/>
      <c r="P50" s="450"/>
      <c r="Q50" s="450"/>
      <c r="R50" s="450"/>
      <c r="S50" s="444"/>
      <c r="T50" s="444"/>
      <c r="U50" s="444"/>
      <c r="V50" s="479">
        <f>SUM(L34:R34)/SUM(D34:J34)</f>
        <v>0.13611940162868597</v>
      </c>
      <c r="W50" s="446"/>
      <c r="X50" s="425"/>
    </row>
    <row r="51" spans="1:25" s="426" customFormat="1" x14ac:dyDescent="0.3">
      <c r="A51" s="443"/>
      <c r="B51" s="444" t="s">
        <v>173</v>
      </c>
      <c r="C51" s="444"/>
      <c r="D51" s="444"/>
      <c r="E51" s="444"/>
      <c r="F51" s="483"/>
      <c r="G51" s="444"/>
      <c r="H51" s="444"/>
      <c r="I51" s="444"/>
      <c r="J51" s="444"/>
      <c r="K51" s="444"/>
      <c r="L51" s="444"/>
      <c r="M51" s="444"/>
      <c r="N51" s="444"/>
      <c r="O51" s="444"/>
      <c r="P51" s="444"/>
      <c r="Q51" s="444"/>
      <c r="R51" s="444"/>
      <c r="S51" s="444"/>
      <c r="T51" s="444"/>
      <c r="U51" s="444"/>
      <c r="V51" s="479">
        <f>SUM(L36:R36)/SUM(D36:J36)</f>
        <v>0.31579195372595326</v>
      </c>
      <c r="W51" s="446"/>
      <c r="X51" s="425"/>
    </row>
    <row r="52" spans="1:25" s="426" customFormat="1" x14ac:dyDescent="0.3">
      <c r="A52" s="443"/>
      <c r="B52" s="444" t="s">
        <v>174</v>
      </c>
      <c r="C52" s="444"/>
      <c r="D52" s="444"/>
      <c r="E52" s="444"/>
      <c r="F52" s="444"/>
      <c r="G52" s="444"/>
      <c r="H52" s="444"/>
      <c r="I52" s="444"/>
      <c r="J52" s="444"/>
      <c r="K52" s="444"/>
      <c r="L52" s="444"/>
      <c r="M52" s="444"/>
      <c r="N52" s="444"/>
      <c r="O52" s="444"/>
      <c r="P52" s="444"/>
      <c r="Q52" s="444"/>
      <c r="R52" s="444"/>
      <c r="S52" s="444"/>
      <c r="T52" s="450" t="s">
        <v>107</v>
      </c>
      <c r="U52" s="450" t="s">
        <v>112</v>
      </c>
      <c r="V52" s="452">
        <f>+V34/2-SUM(L34:R34)</f>
        <v>570356</v>
      </c>
      <c r="W52" s="446"/>
      <c r="X52" s="425"/>
    </row>
    <row r="53" spans="1:25" s="426" customFormat="1" x14ac:dyDescent="0.3">
      <c r="A53" s="443"/>
      <c r="B53" s="444"/>
      <c r="C53" s="444"/>
      <c r="D53" s="444"/>
      <c r="E53" s="444"/>
      <c r="F53" s="444"/>
      <c r="G53" s="444"/>
      <c r="H53" s="444"/>
      <c r="I53" s="444"/>
      <c r="J53" s="444"/>
      <c r="K53" s="444"/>
      <c r="L53" s="444"/>
      <c r="M53" s="444"/>
      <c r="N53" s="444"/>
      <c r="O53" s="444"/>
      <c r="P53" s="444"/>
      <c r="Q53" s="444"/>
      <c r="R53" s="444"/>
      <c r="S53" s="444"/>
      <c r="T53" s="444"/>
      <c r="U53" s="444"/>
      <c r="V53" s="484"/>
      <c r="W53" s="446"/>
      <c r="X53" s="425"/>
    </row>
    <row r="54" spans="1:25" s="426" customFormat="1" x14ac:dyDescent="0.3">
      <c r="A54" s="443"/>
      <c r="B54" s="444" t="s">
        <v>358</v>
      </c>
      <c r="C54" s="444"/>
      <c r="D54" s="444"/>
      <c r="E54" s="444"/>
      <c r="F54" s="444"/>
      <c r="G54" s="444"/>
      <c r="H54" s="444"/>
      <c r="I54" s="444"/>
      <c r="J54" s="444"/>
      <c r="K54" s="444"/>
      <c r="L54" s="444"/>
      <c r="M54" s="444"/>
      <c r="N54" s="444"/>
      <c r="O54" s="444"/>
      <c r="P54" s="444"/>
      <c r="Q54" s="444"/>
      <c r="R54" s="444"/>
      <c r="S54" s="444"/>
      <c r="T54" s="450"/>
      <c r="U54" s="450"/>
      <c r="V54" s="485" t="s">
        <v>114</v>
      </c>
      <c r="W54" s="486"/>
      <c r="X54" s="487"/>
    </row>
    <row r="55" spans="1:25" s="426" customFormat="1" x14ac:dyDescent="0.3">
      <c r="A55" s="443"/>
      <c r="B55" s="449" t="s">
        <v>204</v>
      </c>
      <c r="C55" s="449"/>
      <c r="D55" s="449"/>
      <c r="E55" s="449"/>
      <c r="F55" s="449"/>
      <c r="G55" s="449"/>
      <c r="H55" s="449"/>
      <c r="I55" s="449"/>
      <c r="J55" s="449"/>
      <c r="K55" s="449"/>
      <c r="L55" s="449"/>
      <c r="M55" s="449"/>
      <c r="N55" s="449"/>
      <c r="O55" s="449"/>
      <c r="P55" s="449"/>
      <c r="Q55" s="449"/>
      <c r="R55" s="449"/>
      <c r="S55" s="449"/>
      <c r="T55" s="488"/>
      <c r="U55" s="488"/>
      <c r="V55" s="489">
        <v>43936</v>
      </c>
      <c r="W55" s="486"/>
      <c r="X55" s="487"/>
    </row>
    <row r="56" spans="1:25" s="426" customFormat="1" x14ac:dyDescent="0.3">
      <c r="A56" s="443"/>
      <c r="B56" s="444" t="s">
        <v>124</v>
      </c>
      <c r="C56" s="444"/>
      <c r="D56" s="444"/>
      <c r="E56" s="444"/>
      <c r="F56" s="444"/>
      <c r="G56" s="444"/>
      <c r="H56" s="490"/>
      <c r="I56" s="490"/>
      <c r="J56" s="490"/>
      <c r="K56" s="490"/>
      <c r="L56" s="490"/>
      <c r="M56" s="490"/>
      <c r="N56" s="490"/>
      <c r="O56" s="490"/>
      <c r="P56" s="490"/>
      <c r="Q56" s="490"/>
      <c r="R56" s="444">
        <f>+V56-T56+1</f>
        <v>92</v>
      </c>
      <c r="S56" s="490"/>
      <c r="T56" s="491">
        <v>43753</v>
      </c>
      <c r="U56" s="492"/>
      <c r="V56" s="491">
        <v>43844</v>
      </c>
      <c r="W56" s="486"/>
      <c r="X56" s="487"/>
    </row>
    <row r="57" spans="1:25" s="426" customFormat="1" x14ac:dyDescent="0.3">
      <c r="A57" s="443"/>
      <c r="B57" s="444" t="s">
        <v>125</v>
      </c>
      <c r="C57" s="444"/>
      <c r="D57" s="444"/>
      <c r="E57" s="444"/>
      <c r="F57" s="444"/>
      <c r="G57" s="444"/>
      <c r="H57" s="444"/>
      <c r="I57" s="444"/>
      <c r="J57" s="444"/>
      <c r="K57" s="444"/>
      <c r="L57" s="444"/>
      <c r="M57" s="444"/>
      <c r="N57" s="444"/>
      <c r="O57" s="444"/>
      <c r="P57" s="444"/>
      <c r="Q57" s="444"/>
      <c r="R57" s="444">
        <f>+V57-T57+1</f>
        <v>91</v>
      </c>
      <c r="S57" s="444"/>
      <c r="T57" s="491">
        <v>43845</v>
      </c>
      <c r="U57" s="492"/>
      <c r="V57" s="491">
        <v>43935</v>
      </c>
      <c r="W57" s="486"/>
      <c r="X57" s="487"/>
    </row>
    <row r="58" spans="1:25" s="426" customFormat="1" x14ac:dyDescent="0.3">
      <c r="A58" s="443"/>
      <c r="B58" s="444" t="s">
        <v>357</v>
      </c>
      <c r="C58" s="444"/>
      <c r="D58" s="444"/>
      <c r="E58" s="444"/>
      <c r="F58" s="444"/>
      <c r="G58" s="444"/>
      <c r="H58" s="444"/>
      <c r="I58" s="444"/>
      <c r="J58" s="444"/>
      <c r="K58" s="444"/>
      <c r="L58" s="444"/>
      <c r="M58" s="444"/>
      <c r="N58" s="444"/>
      <c r="O58" s="444"/>
      <c r="P58" s="444"/>
      <c r="Q58" s="444"/>
      <c r="R58" s="444"/>
      <c r="S58" s="444"/>
      <c r="T58" s="491"/>
      <c r="U58" s="492"/>
      <c r="V58" s="491" t="s">
        <v>123</v>
      </c>
      <c r="W58" s="486"/>
      <c r="X58" s="487"/>
    </row>
    <row r="59" spans="1:25" s="426" customFormat="1" x14ac:dyDescent="0.3">
      <c r="A59" s="443"/>
      <c r="B59" s="444" t="s">
        <v>356</v>
      </c>
      <c r="C59" s="444"/>
      <c r="D59" s="444"/>
      <c r="E59" s="444"/>
      <c r="F59" s="444"/>
      <c r="G59" s="444"/>
      <c r="H59" s="444"/>
      <c r="I59" s="444"/>
      <c r="J59" s="444"/>
      <c r="K59" s="444"/>
      <c r="L59" s="444"/>
      <c r="M59" s="444"/>
      <c r="N59" s="444"/>
      <c r="O59" s="444"/>
      <c r="P59" s="444"/>
      <c r="Q59" s="444"/>
      <c r="R59" s="444"/>
      <c r="S59" s="444"/>
      <c r="T59" s="491"/>
      <c r="U59" s="492"/>
      <c r="V59" s="491" t="s">
        <v>157</v>
      </c>
      <c r="W59" s="486"/>
      <c r="X59" s="487"/>
      <c r="Y59" s="493"/>
    </row>
    <row r="60" spans="1:25" s="426" customFormat="1" x14ac:dyDescent="0.3">
      <c r="A60" s="443"/>
      <c r="B60" s="444" t="s">
        <v>16</v>
      </c>
      <c r="C60" s="444"/>
      <c r="D60" s="444"/>
      <c r="E60" s="444"/>
      <c r="F60" s="444"/>
      <c r="G60" s="444"/>
      <c r="H60" s="444"/>
      <c r="I60" s="444"/>
      <c r="J60" s="444"/>
      <c r="K60" s="444"/>
      <c r="L60" s="444"/>
      <c r="M60" s="444"/>
      <c r="N60" s="444"/>
      <c r="O60" s="444"/>
      <c r="P60" s="444"/>
      <c r="Q60" s="444"/>
      <c r="R60" s="444"/>
      <c r="S60" s="444"/>
      <c r="T60" s="491"/>
      <c r="U60" s="492"/>
      <c r="V60" s="491">
        <v>43922</v>
      </c>
      <c r="W60" s="486"/>
      <c r="X60" s="487"/>
    </row>
    <row r="61" spans="1:25" s="426" customFormat="1" x14ac:dyDescent="0.3">
      <c r="A61" s="421"/>
      <c r="B61" s="494"/>
      <c r="C61" s="494"/>
      <c r="D61" s="494"/>
      <c r="E61" s="494"/>
      <c r="F61" s="494"/>
      <c r="G61" s="494"/>
      <c r="H61" s="494"/>
      <c r="I61" s="494"/>
      <c r="J61" s="494"/>
      <c r="K61" s="494"/>
      <c r="L61" s="494"/>
      <c r="M61" s="494"/>
      <c r="N61" s="494"/>
      <c r="O61" s="494"/>
      <c r="P61" s="494"/>
      <c r="Q61" s="494"/>
      <c r="R61" s="494"/>
      <c r="S61" s="494"/>
      <c r="T61" s="495"/>
      <c r="U61" s="496"/>
      <c r="V61" s="495"/>
      <c r="W61" s="497"/>
      <c r="X61" s="487"/>
    </row>
    <row r="62" spans="1:25" s="426" customFormat="1" x14ac:dyDescent="0.3">
      <c r="A62" s="421"/>
      <c r="B62" s="422"/>
      <c r="C62" s="422"/>
      <c r="D62" s="422"/>
      <c r="E62" s="422"/>
      <c r="F62" s="422"/>
      <c r="G62" s="422"/>
      <c r="H62" s="422"/>
      <c r="I62" s="422"/>
      <c r="J62" s="422"/>
      <c r="K62" s="422"/>
      <c r="L62" s="422"/>
      <c r="M62" s="422"/>
      <c r="N62" s="422"/>
      <c r="O62" s="422"/>
      <c r="P62" s="422"/>
      <c r="Q62" s="422"/>
      <c r="R62" s="422"/>
      <c r="S62" s="422"/>
      <c r="T62" s="498"/>
      <c r="U62" s="499"/>
      <c r="V62" s="498"/>
      <c r="W62" s="497"/>
      <c r="X62" s="487"/>
    </row>
    <row r="63" spans="1:25" s="426" customFormat="1" ht="18.600000000000001" thickBot="1" x14ac:dyDescent="0.4">
      <c r="A63" s="500"/>
      <c r="B63" s="501" t="s">
        <v>388</v>
      </c>
      <c r="C63" s="502"/>
      <c r="D63" s="502"/>
      <c r="E63" s="502"/>
      <c r="F63" s="502"/>
      <c r="G63" s="502"/>
      <c r="H63" s="502"/>
      <c r="I63" s="502"/>
      <c r="J63" s="502"/>
      <c r="K63" s="502"/>
      <c r="L63" s="502"/>
      <c r="M63" s="502"/>
      <c r="N63" s="502"/>
      <c r="O63" s="502"/>
      <c r="P63" s="502"/>
      <c r="Q63" s="502"/>
      <c r="R63" s="502"/>
      <c r="S63" s="502"/>
      <c r="T63" s="502"/>
      <c r="U63" s="502"/>
      <c r="V63" s="503"/>
      <c r="W63" s="504"/>
      <c r="X63" s="487"/>
    </row>
    <row r="64" spans="1:25" x14ac:dyDescent="0.3">
      <c r="A64" s="505"/>
      <c r="B64" s="506" t="s">
        <v>17</v>
      </c>
      <c r="C64" s="507"/>
      <c r="D64" s="507"/>
      <c r="E64" s="507"/>
      <c r="F64" s="507"/>
      <c r="G64" s="507"/>
      <c r="H64" s="507"/>
      <c r="I64" s="507"/>
      <c r="J64" s="507"/>
      <c r="K64" s="507"/>
      <c r="L64" s="507"/>
      <c r="M64" s="507"/>
      <c r="N64" s="507"/>
      <c r="O64" s="507"/>
      <c r="P64" s="507"/>
      <c r="Q64" s="507"/>
      <c r="R64" s="507"/>
      <c r="S64" s="507"/>
      <c r="T64" s="507"/>
      <c r="U64" s="507"/>
      <c r="V64" s="508"/>
      <c r="W64" s="509"/>
      <c r="X64" s="406"/>
    </row>
    <row r="65" spans="1:24" x14ac:dyDescent="0.3">
      <c r="A65" s="408"/>
      <c r="B65" s="419"/>
      <c r="C65" s="410"/>
      <c r="D65" s="410"/>
      <c r="E65" s="410"/>
      <c r="F65" s="410"/>
      <c r="G65" s="410"/>
      <c r="H65" s="410"/>
      <c r="I65" s="410"/>
      <c r="J65" s="410"/>
      <c r="K65" s="410"/>
      <c r="L65" s="410"/>
      <c r="M65" s="410"/>
      <c r="N65" s="410"/>
      <c r="O65" s="410"/>
      <c r="P65" s="410"/>
      <c r="Q65" s="410"/>
      <c r="R65" s="410"/>
      <c r="S65" s="410"/>
      <c r="T65" s="410"/>
      <c r="U65" s="410"/>
      <c r="V65" s="510"/>
      <c r="W65" s="411"/>
      <c r="X65" s="406"/>
    </row>
    <row r="66" spans="1:24" s="473" customFormat="1" ht="46.8" x14ac:dyDescent="0.3">
      <c r="A66" s="511"/>
      <c r="B66" s="512" t="s">
        <v>18</v>
      </c>
      <c r="C66" s="513"/>
      <c r="D66" s="513"/>
      <c r="E66" s="513"/>
      <c r="F66" s="513"/>
      <c r="G66" s="513"/>
      <c r="H66" s="513"/>
      <c r="I66" s="513"/>
      <c r="J66" s="513"/>
      <c r="K66" s="513"/>
      <c r="L66" s="513" t="s">
        <v>95</v>
      </c>
      <c r="M66" s="513"/>
      <c r="N66" s="513" t="s">
        <v>97</v>
      </c>
      <c r="O66" s="513"/>
      <c r="P66" s="513" t="s">
        <v>99</v>
      </c>
      <c r="Q66" s="513"/>
      <c r="R66" s="513" t="s">
        <v>101</v>
      </c>
      <c r="S66" s="513"/>
      <c r="T66" s="513" t="s">
        <v>108</v>
      </c>
      <c r="U66" s="513"/>
      <c r="V66" s="514" t="s">
        <v>115</v>
      </c>
      <c r="W66" s="515"/>
      <c r="X66" s="472"/>
    </row>
    <row r="67" spans="1:24" s="426" customFormat="1" x14ac:dyDescent="0.3">
      <c r="A67" s="443"/>
      <c r="B67" s="444" t="s">
        <v>19</v>
      </c>
      <c r="C67" s="516"/>
      <c r="D67" s="516"/>
      <c r="E67" s="516"/>
      <c r="F67" s="516"/>
      <c r="G67" s="516"/>
      <c r="H67" s="516"/>
      <c r="I67" s="516"/>
      <c r="J67" s="516"/>
      <c r="K67" s="516"/>
      <c r="L67" s="516">
        <f>1085286</f>
        <v>1085286</v>
      </c>
      <c r="M67" s="516"/>
      <c r="N67" s="517">
        <v>685942</v>
      </c>
      <c r="O67" s="516"/>
      <c r="P67" s="516">
        <v>11056</v>
      </c>
      <c r="Q67" s="516"/>
      <c r="R67" s="516">
        <v>0</v>
      </c>
      <c r="S67" s="516"/>
      <c r="T67" s="516">
        <v>0</v>
      </c>
      <c r="U67" s="516"/>
      <c r="V67" s="517">
        <f>+N67-P67+R67-T67</f>
        <v>674886</v>
      </c>
      <c r="W67" s="446"/>
      <c r="X67" s="425"/>
    </row>
    <row r="68" spans="1:24" s="426" customFormat="1" x14ac:dyDescent="0.3">
      <c r="A68" s="443"/>
      <c r="B68" s="444" t="s">
        <v>20</v>
      </c>
      <c r="C68" s="516"/>
      <c r="D68" s="516"/>
      <c r="E68" s="516"/>
      <c r="F68" s="516"/>
      <c r="G68" s="516"/>
      <c r="H68" s="516"/>
      <c r="I68" s="516"/>
      <c r="J68" s="516"/>
      <c r="K68" s="516"/>
      <c r="L68" s="516">
        <v>35</v>
      </c>
      <c r="M68" s="516"/>
      <c r="N68" s="517">
        <v>0</v>
      </c>
      <c r="O68" s="516"/>
      <c r="P68" s="516">
        <v>0</v>
      </c>
      <c r="Q68" s="516"/>
      <c r="R68" s="516">
        <v>0</v>
      </c>
      <c r="S68" s="516"/>
      <c r="T68" s="516">
        <v>0</v>
      </c>
      <c r="U68" s="516"/>
      <c r="V68" s="517">
        <f>+N68-P68</f>
        <v>0</v>
      </c>
      <c r="W68" s="446"/>
      <c r="X68" s="425"/>
    </row>
    <row r="69" spans="1:24" s="426" customFormat="1" x14ac:dyDescent="0.3">
      <c r="A69" s="443"/>
      <c r="B69" s="444"/>
      <c r="C69" s="516"/>
      <c r="D69" s="516"/>
      <c r="E69" s="516"/>
      <c r="F69" s="516"/>
      <c r="G69" s="516"/>
      <c r="H69" s="516"/>
      <c r="I69" s="516"/>
      <c r="J69" s="516"/>
      <c r="K69" s="516"/>
      <c r="L69" s="516"/>
      <c r="M69" s="516"/>
      <c r="N69" s="517"/>
      <c r="O69" s="516"/>
      <c r="P69" s="516"/>
      <c r="Q69" s="516"/>
      <c r="R69" s="516"/>
      <c r="S69" s="516"/>
      <c r="T69" s="516"/>
      <c r="U69" s="516"/>
      <c r="V69" s="517"/>
      <c r="W69" s="446"/>
      <c r="X69" s="425"/>
    </row>
    <row r="70" spans="1:24" s="426" customFormat="1" x14ac:dyDescent="0.3">
      <c r="A70" s="443"/>
      <c r="B70" s="444" t="s">
        <v>21</v>
      </c>
      <c r="C70" s="516"/>
      <c r="D70" s="516"/>
      <c r="E70" s="516"/>
      <c r="F70" s="516"/>
      <c r="G70" s="516"/>
      <c r="H70" s="516"/>
      <c r="I70" s="516"/>
      <c r="J70" s="516"/>
      <c r="K70" s="516"/>
      <c r="L70" s="516">
        <f>SUM(L67:L69)</f>
        <v>1085321</v>
      </c>
      <c r="M70" s="516"/>
      <c r="N70" s="516">
        <f>N67+N68</f>
        <v>685942</v>
      </c>
      <c r="O70" s="516"/>
      <c r="P70" s="516">
        <f>SUM(P67:P69)</f>
        <v>11056</v>
      </c>
      <c r="Q70" s="516"/>
      <c r="R70" s="516">
        <f>SUM(R67:R69)</f>
        <v>0</v>
      </c>
      <c r="S70" s="516"/>
      <c r="T70" s="516">
        <f>SUM(T67:T69)</f>
        <v>0</v>
      </c>
      <c r="U70" s="516"/>
      <c r="V70" s="516">
        <f>SUM(V67:V69)</f>
        <v>674886</v>
      </c>
      <c r="W70" s="446"/>
      <c r="X70" s="425"/>
    </row>
    <row r="71" spans="1:24" x14ac:dyDescent="0.3">
      <c r="A71" s="408"/>
      <c r="B71" s="518"/>
      <c r="C71" s="519"/>
      <c r="D71" s="519"/>
      <c r="E71" s="519"/>
      <c r="F71" s="519"/>
      <c r="G71" s="519"/>
      <c r="H71" s="519"/>
      <c r="I71" s="519"/>
      <c r="J71" s="519"/>
      <c r="K71" s="519"/>
      <c r="L71" s="519"/>
      <c r="M71" s="519"/>
      <c r="N71" s="519"/>
      <c r="O71" s="519"/>
      <c r="P71" s="519"/>
      <c r="Q71" s="519"/>
      <c r="R71" s="519"/>
      <c r="S71" s="519"/>
      <c r="T71" s="519"/>
      <c r="U71" s="519"/>
      <c r="V71" s="520"/>
      <c r="W71" s="411"/>
      <c r="X71" s="406"/>
    </row>
    <row r="72" spans="1:24" x14ac:dyDescent="0.3">
      <c r="A72" s="408"/>
      <c r="B72" s="413" t="s">
        <v>22</v>
      </c>
      <c r="C72" s="521"/>
      <c r="D72" s="521"/>
      <c r="E72" s="521"/>
      <c r="F72" s="521"/>
      <c r="G72" s="521"/>
      <c r="H72" s="521"/>
      <c r="I72" s="521"/>
      <c r="J72" s="521"/>
      <c r="K72" s="521"/>
      <c r="L72" s="521"/>
      <c r="M72" s="521"/>
      <c r="N72" s="521"/>
      <c r="O72" s="521"/>
      <c r="P72" s="521"/>
      <c r="Q72" s="521"/>
      <c r="R72" s="521"/>
      <c r="S72" s="521"/>
      <c r="T72" s="521"/>
      <c r="U72" s="521"/>
      <c r="V72" s="522"/>
      <c r="W72" s="411"/>
      <c r="X72" s="406"/>
    </row>
    <row r="73" spans="1:24" x14ac:dyDescent="0.3">
      <c r="A73" s="408"/>
      <c r="B73" s="410"/>
      <c r="C73" s="521"/>
      <c r="D73" s="521"/>
      <c r="E73" s="521"/>
      <c r="F73" s="521"/>
      <c r="G73" s="521"/>
      <c r="H73" s="521"/>
      <c r="I73" s="521"/>
      <c r="J73" s="521"/>
      <c r="K73" s="521"/>
      <c r="L73" s="521"/>
      <c r="M73" s="521"/>
      <c r="N73" s="521"/>
      <c r="O73" s="521"/>
      <c r="P73" s="521"/>
      <c r="Q73" s="521"/>
      <c r="R73" s="521"/>
      <c r="S73" s="521"/>
      <c r="T73" s="521"/>
      <c r="U73" s="521"/>
      <c r="V73" s="522"/>
      <c r="W73" s="411"/>
      <c r="X73" s="406"/>
    </row>
    <row r="74" spans="1:24" s="426" customFormat="1" x14ac:dyDescent="0.3">
      <c r="A74" s="443"/>
      <c r="B74" s="444" t="s">
        <v>19</v>
      </c>
      <c r="C74" s="516"/>
      <c r="D74" s="516"/>
      <c r="E74" s="516"/>
      <c r="F74" s="516"/>
      <c r="G74" s="516"/>
      <c r="H74" s="516"/>
      <c r="I74" s="516"/>
      <c r="J74" s="516"/>
      <c r="K74" s="516"/>
      <c r="L74" s="516"/>
      <c r="M74" s="516"/>
      <c r="N74" s="516"/>
      <c r="O74" s="516"/>
      <c r="P74" s="516"/>
      <c r="Q74" s="516"/>
      <c r="R74" s="516"/>
      <c r="S74" s="516"/>
      <c r="T74" s="516"/>
      <c r="U74" s="516"/>
      <c r="V74" s="516"/>
      <c r="W74" s="446"/>
      <c r="X74" s="425"/>
    </row>
    <row r="75" spans="1:24" s="426" customFormat="1" x14ac:dyDescent="0.3">
      <c r="A75" s="443"/>
      <c r="B75" s="444" t="s">
        <v>20</v>
      </c>
      <c r="C75" s="516"/>
      <c r="D75" s="516"/>
      <c r="E75" s="516"/>
      <c r="F75" s="516"/>
      <c r="G75" s="516"/>
      <c r="H75" s="516"/>
      <c r="I75" s="516"/>
      <c r="J75" s="516"/>
      <c r="K75" s="516"/>
      <c r="L75" s="516"/>
      <c r="M75" s="516"/>
      <c r="N75" s="516"/>
      <c r="O75" s="516"/>
      <c r="P75" s="516"/>
      <c r="Q75" s="516"/>
      <c r="R75" s="516"/>
      <c r="S75" s="516"/>
      <c r="T75" s="516"/>
      <c r="U75" s="516"/>
      <c r="V75" s="516"/>
      <c r="W75" s="446"/>
      <c r="X75" s="425"/>
    </row>
    <row r="76" spans="1:24" s="426" customFormat="1" x14ac:dyDescent="0.3">
      <c r="A76" s="443"/>
      <c r="B76" s="444"/>
      <c r="C76" s="516"/>
      <c r="D76" s="516"/>
      <c r="E76" s="516"/>
      <c r="F76" s="516"/>
      <c r="G76" s="516"/>
      <c r="H76" s="516"/>
      <c r="I76" s="516"/>
      <c r="J76" s="516"/>
      <c r="K76" s="516"/>
      <c r="L76" s="516"/>
      <c r="M76" s="516"/>
      <c r="N76" s="516"/>
      <c r="O76" s="516"/>
      <c r="P76" s="516"/>
      <c r="Q76" s="516"/>
      <c r="R76" s="516"/>
      <c r="S76" s="516"/>
      <c r="T76" s="516"/>
      <c r="U76" s="516"/>
      <c r="V76" s="516"/>
      <c r="W76" s="446"/>
      <c r="X76" s="425"/>
    </row>
    <row r="77" spans="1:24" s="426" customFormat="1" x14ac:dyDescent="0.3">
      <c r="A77" s="443"/>
      <c r="B77" s="444" t="s">
        <v>21</v>
      </c>
      <c r="C77" s="516"/>
      <c r="D77" s="516"/>
      <c r="E77" s="516"/>
      <c r="F77" s="516"/>
      <c r="G77" s="516"/>
      <c r="H77" s="516"/>
      <c r="I77" s="516"/>
      <c r="J77" s="516"/>
      <c r="K77" s="516"/>
      <c r="L77" s="516"/>
      <c r="M77" s="516"/>
      <c r="N77" s="516"/>
      <c r="O77" s="516"/>
      <c r="P77" s="516"/>
      <c r="Q77" s="516"/>
      <c r="R77" s="516"/>
      <c r="S77" s="516"/>
      <c r="T77" s="516"/>
      <c r="U77" s="516"/>
      <c r="V77" s="516"/>
      <c r="W77" s="446"/>
      <c r="X77" s="425"/>
    </row>
    <row r="78" spans="1:24" s="426" customFormat="1" x14ac:dyDescent="0.3">
      <c r="A78" s="443"/>
      <c r="B78" s="444"/>
      <c r="C78" s="516"/>
      <c r="D78" s="516"/>
      <c r="E78" s="516"/>
      <c r="F78" s="516"/>
      <c r="G78" s="516"/>
      <c r="H78" s="516"/>
      <c r="I78" s="516"/>
      <c r="J78" s="516"/>
      <c r="K78" s="516"/>
      <c r="L78" s="516"/>
      <c r="M78" s="516"/>
      <c r="N78" s="516"/>
      <c r="O78" s="516"/>
      <c r="P78" s="516"/>
      <c r="Q78" s="516"/>
      <c r="R78" s="516"/>
      <c r="S78" s="516"/>
      <c r="T78" s="516"/>
      <c r="U78" s="516"/>
      <c r="V78" s="516"/>
      <c r="W78" s="446"/>
      <c r="X78" s="425"/>
    </row>
    <row r="79" spans="1:24" s="426" customFormat="1" x14ac:dyDescent="0.3">
      <c r="A79" s="443"/>
      <c r="B79" s="444" t="s">
        <v>23</v>
      </c>
      <c r="C79" s="516"/>
      <c r="D79" s="516"/>
      <c r="E79" s="516"/>
      <c r="F79" s="516"/>
      <c r="G79" s="516"/>
      <c r="H79" s="516"/>
      <c r="I79" s="516"/>
      <c r="J79" s="516"/>
      <c r="K79" s="516"/>
      <c r="L79" s="516">
        <v>0</v>
      </c>
      <c r="M79" s="516"/>
      <c r="N79" s="516">
        <v>0</v>
      </c>
      <c r="O79" s="516"/>
      <c r="P79" s="516"/>
      <c r="Q79" s="516"/>
      <c r="R79" s="516"/>
      <c r="S79" s="516"/>
      <c r="T79" s="516"/>
      <c r="U79" s="516"/>
      <c r="V79" s="517">
        <v>0</v>
      </c>
      <c r="W79" s="446"/>
      <c r="X79" s="425"/>
    </row>
    <row r="80" spans="1:24" s="426" customFormat="1" x14ac:dyDescent="0.3">
      <c r="A80" s="443"/>
      <c r="B80" s="444" t="s">
        <v>120</v>
      </c>
      <c r="C80" s="516"/>
      <c r="D80" s="516"/>
      <c r="E80" s="516"/>
      <c r="F80" s="516"/>
      <c r="G80" s="516"/>
      <c r="H80" s="516"/>
      <c r="I80" s="516"/>
      <c r="J80" s="516"/>
      <c r="K80" s="516"/>
      <c r="L80" s="516">
        <f>414862+7</f>
        <v>414869</v>
      </c>
      <c r="M80" s="516"/>
      <c r="N80" s="516">
        <v>0</v>
      </c>
      <c r="O80" s="516"/>
      <c r="P80" s="516">
        <v>0</v>
      </c>
      <c r="Q80" s="516"/>
      <c r="R80" s="516"/>
      <c r="S80" s="516"/>
      <c r="T80" s="516"/>
      <c r="U80" s="516"/>
      <c r="V80" s="516">
        <f>SUM(N80:R80)</f>
        <v>0</v>
      </c>
      <c r="W80" s="446"/>
      <c r="X80" s="425"/>
    </row>
    <row r="81" spans="1:24" s="426" customFormat="1" x14ac:dyDescent="0.3">
      <c r="A81" s="443"/>
      <c r="B81" s="444" t="s">
        <v>149</v>
      </c>
      <c r="C81" s="516"/>
      <c r="D81" s="516"/>
      <c r="E81" s="516"/>
      <c r="F81" s="516"/>
      <c r="G81" s="516"/>
      <c r="H81" s="516"/>
      <c r="I81" s="516"/>
      <c r="J81" s="516"/>
      <c r="K81" s="516"/>
      <c r="L81" s="516">
        <v>0</v>
      </c>
      <c r="M81" s="516"/>
      <c r="N81" s="516">
        <v>0</v>
      </c>
      <c r="O81" s="516"/>
      <c r="P81" s="516">
        <v>0</v>
      </c>
      <c r="Q81" s="516"/>
      <c r="R81" s="516"/>
      <c r="S81" s="516"/>
      <c r="T81" s="516"/>
      <c r="U81" s="516"/>
      <c r="V81" s="516">
        <f>+N81+P81</f>
        <v>0</v>
      </c>
      <c r="W81" s="446"/>
      <c r="X81" s="425"/>
    </row>
    <row r="82" spans="1:24" s="426" customFormat="1" x14ac:dyDescent="0.3">
      <c r="A82" s="443"/>
      <c r="B82" s="444" t="s">
        <v>25</v>
      </c>
      <c r="C82" s="516"/>
      <c r="D82" s="516"/>
      <c r="E82" s="516"/>
      <c r="F82" s="516"/>
      <c r="G82" s="516"/>
      <c r="H82" s="516"/>
      <c r="I82" s="516"/>
      <c r="J82" s="516"/>
      <c r="K82" s="516"/>
      <c r="L82" s="516">
        <v>0</v>
      </c>
      <c r="M82" s="516"/>
      <c r="N82" s="516">
        <v>0</v>
      </c>
      <c r="O82" s="516"/>
      <c r="P82" s="516"/>
      <c r="Q82" s="516"/>
      <c r="R82" s="516"/>
      <c r="S82" s="516"/>
      <c r="T82" s="516"/>
      <c r="U82" s="516"/>
      <c r="V82" s="516">
        <v>0</v>
      </c>
      <c r="W82" s="446"/>
      <c r="X82" s="425"/>
    </row>
    <row r="83" spans="1:24" s="426" customFormat="1" x14ac:dyDescent="0.3">
      <c r="A83" s="523"/>
      <c r="B83" s="524" t="s">
        <v>26</v>
      </c>
      <c r="C83" s="525"/>
      <c r="D83" s="525"/>
      <c r="E83" s="525"/>
      <c r="F83" s="525"/>
      <c r="G83" s="525"/>
      <c r="H83" s="525"/>
      <c r="I83" s="525"/>
      <c r="J83" s="525"/>
      <c r="K83" s="525"/>
      <c r="L83" s="525">
        <f>SUM(L70:L82)</f>
        <v>1500190</v>
      </c>
      <c r="M83" s="525"/>
      <c r="N83" s="525">
        <f>SUM(N70:N82)</f>
        <v>685942</v>
      </c>
      <c r="O83" s="525"/>
      <c r="P83" s="525"/>
      <c r="Q83" s="525"/>
      <c r="R83" s="525"/>
      <c r="S83" s="525"/>
      <c r="T83" s="525"/>
      <c r="U83" s="525"/>
      <c r="V83" s="525">
        <f>SUM(V70:V82)</f>
        <v>674886</v>
      </c>
      <c r="W83" s="526"/>
      <c r="X83" s="425"/>
    </row>
    <row r="84" spans="1:24" x14ac:dyDescent="0.3">
      <c r="A84" s="527"/>
      <c r="B84" s="528"/>
      <c r="C84" s="529"/>
      <c r="D84" s="529"/>
      <c r="E84" s="529"/>
      <c r="F84" s="529"/>
      <c r="G84" s="529"/>
      <c r="H84" s="529"/>
      <c r="I84" s="529"/>
      <c r="J84" s="529"/>
      <c r="K84" s="529"/>
      <c r="L84" s="529"/>
      <c r="M84" s="529"/>
      <c r="N84" s="529"/>
      <c r="O84" s="529"/>
      <c r="P84" s="529"/>
      <c r="Q84" s="529"/>
      <c r="R84" s="529"/>
      <c r="S84" s="529"/>
      <c r="T84" s="529"/>
      <c r="U84" s="529"/>
      <c r="V84" s="529"/>
      <c r="W84" s="530"/>
      <c r="X84" s="406"/>
    </row>
    <row r="85" spans="1:24" x14ac:dyDescent="0.3">
      <c r="A85" s="408"/>
      <c r="B85" s="531"/>
      <c r="C85" s="531"/>
      <c r="D85" s="531"/>
      <c r="E85" s="531"/>
      <c r="F85" s="531"/>
      <c r="G85" s="531"/>
      <c r="H85" s="531"/>
      <c r="I85" s="531"/>
      <c r="J85" s="531"/>
      <c r="K85" s="531"/>
      <c r="L85" s="531"/>
      <c r="M85" s="531"/>
      <c r="N85" s="531"/>
      <c r="O85" s="531"/>
      <c r="P85" s="531"/>
      <c r="Q85" s="531"/>
      <c r="R85" s="531"/>
      <c r="S85" s="531"/>
      <c r="T85" s="531"/>
      <c r="U85" s="531"/>
      <c r="V85" s="531"/>
      <c r="W85" s="532"/>
      <c r="X85" s="406"/>
    </row>
    <row r="86" spans="1:24" x14ac:dyDescent="0.3">
      <c r="A86" s="533"/>
      <c r="B86" s="534" t="s">
        <v>27</v>
      </c>
      <c r="C86" s="534"/>
      <c r="D86" s="534"/>
      <c r="E86" s="534"/>
      <c r="F86" s="534"/>
      <c r="G86" s="534"/>
      <c r="H86" s="535"/>
      <c r="I86" s="535"/>
      <c r="J86" s="535"/>
      <c r="K86" s="535"/>
      <c r="L86" s="536" t="s">
        <v>96</v>
      </c>
      <c r="M86" s="535"/>
      <c r="N86" s="537">
        <f>+T201</f>
        <v>43921</v>
      </c>
      <c r="O86" s="535"/>
      <c r="P86" s="535"/>
      <c r="Q86" s="535"/>
      <c r="R86" s="535"/>
      <c r="S86" s="535"/>
      <c r="T86" s="535" t="s">
        <v>109</v>
      </c>
      <c r="U86" s="535"/>
      <c r="V86" s="535" t="s">
        <v>116</v>
      </c>
      <c r="W86" s="538"/>
      <c r="X86" s="406"/>
    </row>
    <row r="87" spans="1:24" s="426" customFormat="1" x14ac:dyDescent="0.3">
      <c r="A87" s="439"/>
      <c r="B87" s="440" t="s">
        <v>28</v>
      </c>
      <c r="C87" s="440"/>
      <c r="D87" s="440"/>
      <c r="E87" s="440"/>
      <c r="F87" s="440"/>
      <c r="G87" s="440"/>
      <c r="H87" s="440"/>
      <c r="I87" s="440"/>
      <c r="J87" s="440"/>
      <c r="K87" s="440"/>
      <c r="L87" s="440"/>
      <c r="M87" s="440"/>
      <c r="N87" s="440"/>
      <c r="O87" s="440"/>
      <c r="P87" s="440"/>
      <c r="Q87" s="440"/>
      <c r="R87" s="440"/>
      <c r="S87" s="440"/>
      <c r="T87" s="539">
        <v>0</v>
      </c>
      <c r="U87" s="440"/>
      <c r="V87" s="540">
        <v>0</v>
      </c>
      <c r="W87" s="442"/>
      <c r="X87" s="425"/>
    </row>
    <row r="88" spans="1:24" s="426" customFormat="1" x14ac:dyDescent="0.3">
      <c r="A88" s="443"/>
      <c r="B88" s="444" t="s">
        <v>29</v>
      </c>
      <c r="C88" s="444"/>
      <c r="D88" s="444"/>
      <c r="E88" s="444"/>
      <c r="F88" s="444"/>
      <c r="G88" s="444"/>
      <c r="H88" s="482"/>
      <c r="I88" s="482"/>
      <c r="J88" s="482"/>
      <c r="K88" s="541"/>
      <c r="L88" s="482"/>
      <c r="M88" s="444"/>
      <c r="N88" s="542"/>
      <c r="O88" s="444"/>
      <c r="P88" s="444"/>
      <c r="Q88" s="444"/>
      <c r="R88" s="444"/>
      <c r="S88" s="444"/>
      <c r="T88" s="516">
        <f>11056-469</f>
        <v>10587</v>
      </c>
      <c r="U88" s="444"/>
      <c r="V88" s="517"/>
      <c r="W88" s="446"/>
      <c r="X88" s="425"/>
    </row>
    <row r="89" spans="1:24" s="426" customFormat="1" x14ac:dyDescent="0.3">
      <c r="A89" s="443"/>
      <c r="B89" s="444" t="s">
        <v>219</v>
      </c>
      <c r="C89" s="444"/>
      <c r="D89" s="444"/>
      <c r="E89" s="444"/>
      <c r="F89" s="444"/>
      <c r="G89" s="444"/>
      <c r="H89" s="482"/>
      <c r="I89" s="482"/>
      <c r="J89" s="482"/>
      <c r="K89" s="541"/>
      <c r="L89" s="482"/>
      <c r="M89" s="444"/>
      <c r="N89" s="542"/>
      <c r="O89" s="444"/>
      <c r="P89" s="444"/>
      <c r="Q89" s="444"/>
      <c r="R89" s="444"/>
      <c r="S89" s="444"/>
      <c r="T89" s="516"/>
      <c r="U89" s="444"/>
      <c r="V89" s="517">
        <f>3650+2215-610-802</f>
        <v>4453</v>
      </c>
      <c r="W89" s="446"/>
      <c r="X89" s="425"/>
    </row>
    <row r="90" spans="1:24" s="426" customFormat="1" x14ac:dyDescent="0.3">
      <c r="A90" s="443"/>
      <c r="B90" s="444" t="s">
        <v>214</v>
      </c>
      <c r="C90" s="444"/>
      <c r="D90" s="444"/>
      <c r="E90" s="444"/>
      <c r="F90" s="444"/>
      <c r="G90" s="444"/>
      <c r="H90" s="482"/>
      <c r="I90" s="482"/>
      <c r="J90" s="482"/>
      <c r="K90" s="541"/>
      <c r="L90" s="482"/>
      <c r="M90" s="444"/>
      <c r="N90" s="542"/>
      <c r="O90" s="444"/>
      <c r="P90" s="444"/>
      <c r="Q90" s="444"/>
      <c r="R90" s="444"/>
      <c r="S90" s="444"/>
      <c r="T90" s="516"/>
      <c r="U90" s="444"/>
      <c r="V90" s="517">
        <f>408+28</f>
        <v>436</v>
      </c>
      <c r="W90" s="446"/>
      <c r="X90" s="425"/>
    </row>
    <row r="91" spans="1:24" s="426" customFormat="1" x14ac:dyDescent="0.3">
      <c r="A91" s="443"/>
      <c r="B91" s="444" t="s">
        <v>215</v>
      </c>
      <c r="C91" s="444"/>
      <c r="D91" s="444"/>
      <c r="E91" s="444"/>
      <c r="F91" s="444"/>
      <c r="G91" s="444"/>
      <c r="H91" s="482"/>
      <c r="I91" s="482"/>
      <c r="J91" s="482"/>
      <c r="K91" s="541"/>
      <c r="L91" s="482"/>
      <c r="M91" s="444"/>
      <c r="N91" s="542"/>
      <c r="O91" s="444"/>
      <c r="P91" s="444"/>
      <c r="Q91" s="444"/>
      <c r="R91" s="444"/>
      <c r="S91" s="444"/>
      <c r="T91" s="516"/>
      <c r="U91" s="444"/>
      <c r="V91" s="517">
        <v>68</v>
      </c>
      <c r="W91" s="446"/>
      <c r="X91" s="425"/>
    </row>
    <row r="92" spans="1:24" s="426" customFormat="1" x14ac:dyDescent="0.3">
      <c r="A92" s="443"/>
      <c r="B92" s="444" t="s">
        <v>277</v>
      </c>
      <c r="C92" s="444"/>
      <c r="D92" s="444"/>
      <c r="E92" s="444"/>
      <c r="F92" s="444"/>
      <c r="G92" s="444"/>
      <c r="H92" s="482"/>
      <c r="I92" s="482"/>
      <c r="J92" s="482"/>
      <c r="K92" s="541"/>
      <c r="L92" s="482"/>
      <c r="M92" s="444"/>
      <c r="N92" s="542"/>
      <c r="O92" s="444"/>
      <c r="P92" s="444"/>
      <c r="Q92" s="444"/>
      <c r="R92" s="444"/>
      <c r="S92" s="444"/>
      <c r="T92" s="516"/>
      <c r="U92" s="444"/>
      <c r="V92" s="517">
        <v>0</v>
      </c>
      <c r="W92" s="446"/>
      <c r="X92" s="425"/>
    </row>
    <row r="93" spans="1:24" s="426" customFormat="1" x14ac:dyDescent="0.3">
      <c r="A93" s="443"/>
      <c r="B93" s="444" t="s">
        <v>138</v>
      </c>
      <c r="C93" s="444"/>
      <c r="D93" s="444"/>
      <c r="E93" s="444"/>
      <c r="F93" s="444"/>
      <c r="G93" s="444"/>
      <c r="H93" s="444"/>
      <c r="I93" s="444"/>
      <c r="J93" s="444"/>
      <c r="K93" s="444"/>
      <c r="L93" s="444"/>
      <c r="M93" s="444"/>
      <c r="N93" s="444"/>
      <c r="O93" s="444"/>
      <c r="P93" s="444"/>
      <c r="Q93" s="444"/>
      <c r="R93" s="444"/>
      <c r="S93" s="444"/>
      <c r="T93" s="516"/>
      <c r="U93" s="444"/>
      <c r="V93" s="517">
        <v>0</v>
      </c>
      <c r="W93" s="446"/>
      <c r="X93" s="425"/>
    </row>
    <row r="94" spans="1:24" s="426" customFormat="1" x14ac:dyDescent="0.3">
      <c r="A94" s="443"/>
      <c r="B94" s="444" t="s">
        <v>265</v>
      </c>
      <c r="C94" s="444"/>
      <c r="D94" s="444"/>
      <c r="E94" s="444"/>
      <c r="F94" s="444"/>
      <c r="G94" s="444"/>
      <c r="H94" s="444"/>
      <c r="I94" s="444"/>
      <c r="J94" s="444"/>
      <c r="K94" s="444"/>
      <c r="L94" s="444"/>
      <c r="M94" s="444"/>
      <c r="N94" s="444"/>
      <c r="O94" s="444"/>
      <c r="P94" s="444"/>
      <c r="Q94" s="444"/>
      <c r="R94" s="444"/>
      <c r="S94" s="444"/>
      <c r="T94" s="516"/>
      <c r="U94" s="444"/>
      <c r="V94" s="517">
        <v>0</v>
      </c>
      <c r="W94" s="446"/>
      <c r="X94" s="425"/>
    </row>
    <row r="95" spans="1:24" s="426" customFormat="1" x14ac:dyDescent="0.3">
      <c r="A95" s="443"/>
      <c r="B95" s="444" t="s">
        <v>30</v>
      </c>
      <c r="C95" s="444"/>
      <c r="D95" s="444"/>
      <c r="E95" s="444"/>
      <c r="F95" s="444"/>
      <c r="G95" s="444"/>
      <c r="H95" s="444"/>
      <c r="I95" s="444"/>
      <c r="J95" s="444"/>
      <c r="K95" s="444"/>
      <c r="L95" s="444"/>
      <c r="M95" s="444"/>
      <c r="N95" s="444"/>
      <c r="O95" s="444"/>
      <c r="P95" s="444"/>
      <c r="Q95" s="444"/>
      <c r="R95" s="444"/>
      <c r="S95" s="444"/>
      <c r="T95" s="516">
        <f>SUM(T87:T94)</f>
        <v>10587</v>
      </c>
      <c r="U95" s="444"/>
      <c r="V95" s="516">
        <f>SUM(V87:V94)</f>
        <v>4957</v>
      </c>
      <c r="W95" s="446"/>
      <c r="X95" s="425"/>
    </row>
    <row r="96" spans="1:24" s="426" customFormat="1" x14ac:dyDescent="0.3">
      <c r="A96" s="443"/>
      <c r="B96" s="444" t="s">
        <v>164</v>
      </c>
      <c r="C96" s="444"/>
      <c r="D96" s="444"/>
      <c r="E96" s="444"/>
      <c r="F96" s="444"/>
      <c r="G96" s="444"/>
      <c r="H96" s="444"/>
      <c r="I96" s="444"/>
      <c r="J96" s="444"/>
      <c r="K96" s="444"/>
      <c r="L96" s="444"/>
      <c r="M96" s="444"/>
      <c r="N96" s="444"/>
      <c r="O96" s="444"/>
      <c r="P96" s="444"/>
      <c r="Q96" s="444"/>
      <c r="R96" s="444"/>
      <c r="S96" s="444"/>
      <c r="T96" s="516">
        <f>-V96</f>
        <v>0</v>
      </c>
      <c r="U96" s="444"/>
      <c r="V96" s="516">
        <v>0</v>
      </c>
      <c r="W96" s="446"/>
      <c r="X96" s="425"/>
    </row>
    <row r="97" spans="1:26" s="426" customFormat="1" x14ac:dyDescent="0.3">
      <c r="A97" s="443"/>
      <c r="B97" s="444" t="s">
        <v>31</v>
      </c>
      <c r="C97" s="444"/>
      <c r="D97" s="444"/>
      <c r="E97" s="444"/>
      <c r="F97" s="444"/>
      <c r="G97" s="444"/>
      <c r="H97" s="444"/>
      <c r="I97" s="444"/>
      <c r="J97" s="444"/>
      <c r="K97" s="444"/>
      <c r="L97" s="444"/>
      <c r="M97" s="444"/>
      <c r="N97" s="444"/>
      <c r="O97" s="444"/>
      <c r="P97" s="444"/>
      <c r="Q97" s="444"/>
      <c r="R97" s="444"/>
      <c r="S97" s="444"/>
      <c r="T97" s="516">
        <f>-V97</f>
        <v>0</v>
      </c>
      <c r="U97" s="444"/>
      <c r="V97" s="517">
        <v>0</v>
      </c>
      <c r="W97" s="446"/>
      <c r="X97" s="425"/>
    </row>
    <row r="98" spans="1:26" s="426" customFormat="1" x14ac:dyDescent="0.3">
      <c r="A98" s="443"/>
      <c r="B98" s="444" t="s">
        <v>288</v>
      </c>
      <c r="C98" s="444"/>
      <c r="D98" s="444"/>
      <c r="E98" s="444"/>
      <c r="F98" s="444"/>
      <c r="G98" s="444"/>
      <c r="H98" s="444"/>
      <c r="I98" s="444"/>
      <c r="J98" s="444"/>
      <c r="K98" s="444"/>
      <c r="L98" s="444"/>
      <c r="M98" s="444"/>
      <c r="N98" s="444"/>
      <c r="O98" s="444"/>
      <c r="P98" s="444"/>
      <c r="Q98" s="444"/>
      <c r="R98" s="444"/>
      <c r="S98" s="444"/>
      <c r="T98" s="516"/>
      <c r="U98" s="444"/>
      <c r="V98" s="517">
        <v>128</v>
      </c>
      <c r="W98" s="446"/>
      <c r="X98" s="425"/>
    </row>
    <row r="99" spans="1:26" s="426" customFormat="1" x14ac:dyDescent="0.3">
      <c r="A99" s="443"/>
      <c r="B99" s="444" t="s">
        <v>32</v>
      </c>
      <c r="C99" s="444"/>
      <c r="D99" s="444"/>
      <c r="E99" s="444"/>
      <c r="F99" s="444"/>
      <c r="G99" s="444"/>
      <c r="H99" s="444"/>
      <c r="I99" s="444"/>
      <c r="J99" s="444"/>
      <c r="K99" s="444"/>
      <c r="L99" s="444"/>
      <c r="M99" s="444"/>
      <c r="N99" s="444"/>
      <c r="O99" s="444"/>
      <c r="P99" s="444"/>
      <c r="Q99" s="444"/>
      <c r="R99" s="444"/>
      <c r="S99" s="444"/>
      <c r="T99" s="516">
        <f>T95+T97+T96</f>
        <v>10587</v>
      </c>
      <c r="U99" s="444"/>
      <c r="V99" s="516">
        <f>V95+V97+V96+V98</f>
        <v>5085</v>
      </c>
      <c r="W99" s="446"/>
      <c r="X99" s="425"/>
    </row>
    <row r="100" spans="1:26" x14ac:dyDescent="0.3">
      <c r="A100" s="543"/>
      <c r="B100" s="544" t="s">
        <v>33</v>
      </c>
      <c r="C100" s="465"/>
      <c r="D100" s="465"/>
      <c r="E100" s="465"/>
      <c r="F100" s="465"/>
      <c r="G100" s="465"/>
      <c r="H100" s="465"/>
      <c r="I100" s="465"/>
      <c r="J100" s="465"/>
      <c r="K100" s="465"/>
      <c r="L100" s="465"/>
      <c r="M100" s="465"/>
      <c r="N100" s="465"/>
      <c r="O100" s="465"/>
      <c r="P100" s="465"/>
      <c r="Q100" s="465"/>
      <c r="R100" s="465"/>
      <c r="S100" s="465"/>
      <c r="T100" s="545"/>
      <c r="U100" s="465"/>
      <c r="V100" s="546"/>
      <c r="W100" s="547"/>
      <c r="X100" s="406"/>
    </row>
    <row r="101" spans="1:26" s="426" customFormat="1" x14ac:dyDescent="0.3">
      <c r="A101" s="443">
        <v>1</v>
      </c>
      <c r="B101" s="444" t="s">
        <v>34</v>
      </c>
      <c r="C101" s="444"/>
      <c r="D101" s="444"/>
      <c r="E101" s="444"/>
      <c r="F101" s="444"/>
      <c r="G101" s="444"/>
      <c r="H101" s="444"/>
      <c r="I101" s="444"/>
      <c r="J101" s="444"/>
      <c r="K101" s="444"/>
      <c r="L101" s="444"/>
      <c r="M101" s="444"/>
      <c r="N101" s="444"/>
      <c r="O101" s="444"/>
      <c r="P101" s="444"/>
      <c r="Q101" s="444"/>
      <c r="R101" s="444"/>
      <c r="S101" s="444"/>
      <c r="T101" s="444"/>
      <c r="U101" s="444"/>
      <c r="V101" s="517">
        <v>0</v>
      </c>
      <c r="W101" s="446"/>
      <c r="X101" s="425"/>
    </row>
    <row r="102" spans="1:26" s="426" customFormat="1" x14ac:dyDescent="0.3">
      <c r="A102" s="443">
        <f>+A101+1</f>
        <v>2</v>
      </c>
      <c r="B102" s="444" t="s">
        <v>331</v>
      </c>
      <c r="C102" s="444"/>
      <c r="D102" s="444"/>
      <c r="E102" s="444"/>
      <c r="F102" s="444"/>
      <c r="G102" s="444"/>
      <c r="H102" s="444"/>
      <c r="I102" s="444"/>
      <c r="J102" s="444"/>
      <c r="K102" s="444"/>
      <c r="L102" s="444"/>
      <c r="M102" s="444"/>
      <c r="N102" s="444"/>
      <c r="O102" s="444"/>
      <c r="P102" s="444"/>
      <c r="Q102" s="444"/>
      <c r="R102" s="444"/>
      <c r="S102" s="444"/>
      <c r="T102" s="444"/>
      <c r="U102" s="444"/>
      <c r="V102" s="517">
        <f>-2</f>
        <v>-2</v>
      </c>
      <c r="W102" s="446"/>
      <c r="X102" s="425"/>
    </row>
    <row r="103" spans="1:26" s="426" customFormat="1" x14ac:dyDescent="0.3">
      <c r="A103" s="443">
        <f>+A102+1</f>
        <v>3</v>
      </c>
      <c r="B103" s="548" t="s">
        <v>332</v>
      </c>
      <c r="C103" s="444"/>
      <c r="D103" s="444"/>
      <c r="E103" s="444"/>
      <c r="F103" s="444"/>
      <c r="G103" s="444"/>
      <c r="H103" s="444"/>
      <c r="I103" s="444"/>
      <c r="J103" s="444"/>
      <c r="K103" s="444"/>
      <c r="L103" s="444"/>
      <c r="M103" s="444"/>
      <c r="N103" s="444"/>
      <c r="O103" s="444"/>
      <c r="P103" s="444"/>
      <c r="Q103" s="444"/>
      <c r="R103" s="444"/>
      <c r="S103" s="444"/>
      <c r="T103" s="444"/>
      <c r="U103" s="444"/>
      <c r="V103" s="517">
        <f>-261-123-9</f>
        <v>-393</v>
      </c>
      <c r="W103" s="446"/>
      <c r="X103" s="425"/>
    </row>
    <row r="104" spans="1:26" s="426" customFormat="1" x14ac:dyDescent="0.3">
      <c r="A104" s="443" t="s">
        <v>130</v>
      </c>
      <c r="B104" s="444" t="s">
        <v>119</v>
      </c>
      <c r="C104" s="444"/>
      <c r="D104" s="444"/>
      <c r="E104" s="444"/>
      <c r="F104" s="444"/>
      <c r="G104" s="444"/>
      <c r="H104" s="444"/>
      <c r="I104" s="444"/>
      <c r="J104" s="444"/>
      <c r="K104" s="444"/>
      <c r="L104" s="444"/>
      <c r="M104" s="444"/>
      <c r="N104" s="444"/>
      <c r="O104" s="444"/>
      <c r="P104" s="444"/>
      <c r="Q104" s="444"/>
      <c r="R104" s="444"/>
      <c r="S104" s="444"/>
      <c r="T104" s="444"/>
      <c r="U104" s="444"/>
      <c r="V104" s="517">
        <v>0</v>
      </c>
      <c r="W104" s="446"/>
      <c r="X104" s="425"/>
    </row>
    <row r="105" spans="1:26" s="426" customFormat="1" x14ac:dyDescent="0.3">
      <c r="A105" s="443" t="s">
        <v>131</v>
      </c>
      <c r="B105" s="444" t="s">
        <v>362</v>
      </c>
      <c r="C105" s="444"/>
      <c r="D105" s="444"/>
      <c r="E105" s="444"/>
      <c r="F105" s="444"/>
      <c r="G105" s="444"/>
      <c r="H105" s="444"/>
      <c r="I105" s="444"/>
      <c r="J105" s="444"/>
      <c r="K105" s="444"/>
      <c r="L105" s="444"/>
      <c r="M105" s="444"/>
      <c r="N105" s="444"/>
      <c r="O105" s="444"/>
      <c r="P105" s="444"/>
      <c r="Q105" s="444"/>
      <c r="R105" s="444"/>
      <c r="S105" s="444"/>
      <c r="T105" s="444"/>
      <c r="U105" s="444"/>
      <c r="V105" s="517">
        <f>-758-118</f>
        <v>-876</v>
      </c>
      <c r="W105" s="446"/>
      <c r="X105" s="425"/>
      <c r="Y105" s="549"/>
      <c r="Z105" s="549"/>
    </row>
    <row r="106" spans="1:26" s="426" customFormat="1" x14ac:dyDescent="0.3">
      <c r="A106" s="443" t="s">
        <v>153</v>
      </c>
      <c r="B106" s="444" t="s">
        <v>363</v>
      </c>
      <c r="C106" s="444"/>
      <c r="D106" s="444"/>
      <c r="E106" s="444"/>
      <c r="F106" s="444"/>
      <c r="G106" s="444"/>
      <c r="H106" s="444"/>
      <c r="I106" s="444"/>
      <c r="J106" s="444"/>
      <c r="K106" s="444"/>
      <c r="L106" s="444"/>
      <c r="M106" s="444"/>
      <c r="N106" s="444"/>
      <c r="O106" s="444"/>
      <c r="P106" s="444"/>
      <c r="Q106" s="444"/>
      <c r="R106" s="444"/>
      <c r="S106" s="444"/>
      <c r="T106" s="444"/>
      <c r="U106" s="444"/>
      <c r="V106" s="517">
        <f>-206-179</f>
        <v>-385</v>
      </c>
      <c r="W106" s="446"/>
      <c r="X106" s="425"/>
      <c r="Y106" s="549"/>
    </row>
    <row r="107" spans="1:26" s="426" customFormat="1" x14ac:dyDescent="0.3">
      <c r="A107" s="443" t="s">
        <v>266</v>
      </c>
      <c r="B107" s="444" t="s">
        <v>269</v>
      </c>
      <c r="C107" s="444"/>
      <c r="D107" s="444"/>
      <c r="E107" s="444"/>
      <c r="F107" s="444"/>
      <c r="G107" s="444"/>
      <c r="H107" s="444"/>
      <c r="I107" s="444"/>
      <c r="J107" s="444"/>
      <c r="K107" s="444"/>
      <c r="L107" s="444"/>
      <c r="M107" s="444"/>
      <c r="N107" s="444"/>
      <c r="O107" s="444"/>
      <c r="P107" s="444"/>
      <c r="Q107" s="444"/>
      <c r="R107" s="444"/>
      <c r="S107" s="444"/>
      <c r="T107" s="444"/>
      <c r="U107" s="444"/>
      <c r="V107" s="517">
        <v>0</v>
      </c>
      <c r="W107" s="446"/>
      <c r="X107" s="425"/>
    </row>
    <row r="108" spans="1:26" s="426" customFormat="1" x14ac:dyDescent="0.3">
      <c r="A108" s="443" t="s">
        <v>208</v>
      </c>
      <c r="B108" s="444" t="s">
        <v>188</v>
      </c>
      <c r="C108" s="444"/>
      <c r="D108" s="444"/>
      <c r="E108" s="444"/>
      <c r="F108" s="444"/>
      <c r="G108" s="444"/>
      <c r="H108" s="444"/>
      <c r="I108" s="444"/>
      <c r="J108" s="444"/>
      <c r="K108" s="444"/>
      <c r="L108" s="444"/>
      <c r="M108" s="444"/>
      <c r="N108" s="444"/>
      <c r="O108" s="444"/>
      <c r="P108" s="444"/>
      <c r="Q108" s="444"/>
      <c r="R108" s="444"/>
      <c r="S108" s="444"/>
      <c r="T108" s="444"/>
      <c r="U108" s="444"/>
      <c r="V108" s="517">
        <v>-147</v>
      </c>
      <c r="W108" s="446"/>
      <c r="X108" s="425"/>
      <c r="Y108" s="549"/>
    </row>
    <row r="109" spans="1:26" s="426" customFormat="1" x14ac:dyDescent="0.3">
      <c r="A109" s="443" t="s">
        <v>209</v>
      </c>
      <c r="B109" s="444" t="s">
        <v>189</v>
      </c>
      <c r="C109" s="444"/>
      <c r="D109" s="444"/>
      <c r="E109" s="444"/>
      <c r="F109" s="444"/>
      <c r="G109" s="444"/>
      <c r="H109" s="444"/>
      <c r="I109" s="444"/>
      <c r="J109" s="444"/>
      <c r="K109" s="444"/>
      <c r="L109" s="444"/>
      <c r="M109" s="444"/>
      <c r="N109" s="444"/>
      <c r="O109" s="444"/>
      <c r="P109" s="444"/>
      <c r="Q109" s="444"/>
      <c r="R109" s="444"/>
      <c r="S109" s="444"/>
      <c r="T109" s="444"/>
      <c r="U109" s="444"/>
      <c r="V109" s="517">
        <v>-144</v>
      </c>
      <c r="W109" s="446"/>
      <c r="X109" s="425"/>
      <c r="Y109" s="549"/>
    </row>
    <row r="110" spans="1:26" s="426" customFormat="1" x14ac:dyDescent="0.3">
      <c r="A110" s="443" t="s">
        <v>210</v>
      </c>
      <c r="B110" s="444" t="s">
        <v>199</v>
      </c>
      <c r="C110" s="444"/>
      <c r="D110" s="444"/>
      <c r="E110" s="444"/>
      <c r="F110" s="444"/>
      <c r="G110" s="444"/>
      <c r="H110" s="444"/>
      <c r="I110" s="444"/>
      <c r="J110" s="444"/>
      <c r="K110" s="444"/>
      <c r="L110" s="444"/>
      <c r="M110" s="444"/>
      <c r="N110" s="444"/>
      <c r="O110" s="444"/>
      <c r="P110" s="444"/>
      <c r="Q110" s="444"/>
      <c r="R110" s="444"/>
      <c r="S110" s="444"/>
      <c r="T110" s="444"/>
      <c r="U110" s="444"/>
      <c r="V110" s="517">
        <v>-194</v>
      </c>
      <c r="W110" s="446"/>
      <c r="X110" s="425"/>
      <c r="Y110" s="549"/>
    </row>
    <row r="111" spans="1:26" s="426" customFormat="1" x14ac:dyDescent="0.3">
      <c r="A111" s="443" t="s">
        <v>230</v>
      </c>
      <c r="B111" s="444" t="s">
        <v>229</v>
      </c>
      <c r="C111" s="444"/>
      <c r="D111" s="444"/>
      <c r="E111" s="444"/>
      <c r="F111" s="444"/>
      <c r="G111" s="444"/>
      <c r="H111" s="444"/>
      <c r="I111" s="444"/>
      <c r="J111" s="444"/>
      <c r="K111" s="444"/>
      <c r="L111" s="444"/>
      <c r="M111" s="444"/>
      <c r="N111" s="444"/>
      <c r="O111" s="444"/>
      <c r="P111" s="444"/>
      <c r="Q111" s="444"/>
      <c r="R111" s="444"/>
      <c r="S111" s="444"/>
      <c r="T111" s="444"/>
      <c r="U111" s="444"/>
      <c r="V111" s="517">
        <v>-45</v>
      </c>
      <c r="W111" s="446"/>
      <c r="X111" s="425"/>
      <c r="Y111" s="549"/>
    </row>
    <row r="112" spans="1:26" s="426" customFormat="1" x14ac:dyDescent="0.3">
      <c r="A112" s="550">
        <v>7</v>
      </c>
      <c r="B112" s="548" t="s">
        <v>333</v>
      </c>
      <c r="C112" s="548"/>
      <c r="D112" s="548"/>
      <c r="E112" s="548"/>
      <c r="F112" s="548"/>
      <c r="G112" s="444"/>
      <c r="H112" s="444"/>
      <c r="I112" s="444"/>
      <c r="J112" s="444"/>
      <c r="K112" s="444"/>
      <c r="L112" s="444"/>
      <c r="M112" s="444"/>
      <c r="N112" s="444"/>
      <c r="O112" s="444"/>
      <c r="P112" s="444"/>
      <c r="Q112" s="444"/>
      <c r="R112" s="444"/>
      <c r="S112" s="444"/>
      <c r="T112" s="444"/>
      <c r="U112" s="444"/>
      <c r="V112" s="517">
        <v>0</v>
      </c>
      <c r="W112" s="446"/>
      <c r="X112" s="425"/>
      <c r="Y112" s="549"/>
    </row>
    <row r="113" spans="1:24" s="426" customFormat="1" x14ac:dyDescent="0.3">
      <c r="A113" s="443">
        <f t="shared" ref="A113:A123" si="0">+A112+1</f>
        <v>8</v>
      </c>
      <c r="B113" s="444" t="s">
        <v>35</v>
      </c>
      <c r="C113" s="444"/>
      <c r="D113" s="444"/>
      <c r="E113" s="444"/>
      <c r="F113" s="444"/>
      <c r="G113" s="444"/>
      <c r="H113" s="444"/>
      <c r="I113" s="444"/>
      <c r="J113" s="444"/>
      <c r="K113" s="444"/>
      <c r="L113" s="444"/>
      <c r="M113" s="444"/>
      <c r="N113" s="444"/>
      <c r="O113" s="444"/>
      <c r="P113" s="444"/>
      <c r="Q113" s="444"/>
      <c r="R113" s="444"/>
      <c r="S113" s="444"/>
      <c r="T113" s="444"/>
      <c r="U113" s="444"/>
      <c r="V113" s="517">
        <v>-10</v>
      </c>
      <c r="W113" s="446"/>
      <c r="X113" s="425"/>
    </row>
    <row r="114" spans="1:24" s="426" customFormat="1" x14ac:dyDescent="0.3">
      <c r="A114" s="443">
        <f t="shared" si="0"/>
        <v>9</v>
      </c>
      <c r="B114" s="444" t="s">
        <v>45</v>
      </c>
      <c r="C114" s="444"/>
      <c r="D114" s="444"/>
      <c r="E114" s="444"/>
      <c r="F114" s="444"/>
      <c r="G114" s="444"/>
      <c r="H114" s="444"/>
      <c r="I114" s="444"/>
      <c r="J114" s="444"/>
      <c r="K114" s="444"/>
      <c r="L114" s="444"/>
      <c r="M114" s="444"/>
      <c r="N114" s="444"/>
      <c r="O114" s="444"/>
      <c r="P114" s="444"/>
      <c r="Q114" s="444"/>
      <c r="R114" s="444"/>
      <c r="S114" s="444"/>
      <c r="T114" s="516">
        <f>-V114</f>
        <v>469</v>
      </c>
      <c r="U114" s="444"/>
      <c r="V114" s="517">
        <v>-469</v>
      </c>
      <c r="W114" s="446"/>
      <c r="X114" s="425"/>
    </row>
    <row r="115" spans="1:24" s="426" customFormat="1" x14ac:dyDescent="0.3">
      <c r="A115" s="443">
        <f t="shared" si="0"/>
        <v>10</v>
      </c>
      <c r="B115" s="444" t="s">
        <v>128</v>
      </c>
      <c r="C115" s="444"/>
      <c r="D115" s="444"/>
      <c r="E115" s="444"/>
      <c r="F115" s="444"/>
      <c r="G115" s="444"/>
      <c r="H115" s="444"/>
      <c r="I115" s="444"/>
      <c r="J115" s="444"/>
      <c r="K115" s="444"/>
      <c r="L115" s="444"/>
      <c r="M115" s="444"/>
      <c r="N115" s="444"/>
      <c r="O115" s="444"/>
      <c r="P115" s="444"/>
      <c r="Q115" s="444"/>
      <c r="R115" s="444"/>
      <c r="S115" s="444"/>
      <c r="T115" s="444"/>
      <c r="U115" s="444"/>
      <c r="V115" s="517">
        <v>0</v>
      </c>
      <c r="W115" s="446"/>
      <c r="X115" s="425"/>
    </row>
    <row r="116" spans="1:24" s="426" customFormat="1" x14ac:dyDescent="0.3">
      <c r="A116" s="443">
        <f t="shared" si="0"/>
        <v>11</v>
      </c>
      <c r="B116" s="444" t="s">
        <v>271</v>
      </c>
      <c r="C116" s="444"/>
      <c r="D116" s="444"/>
      <c r="E116" s="444"/>
      <c r="F116" s="444"/>
      <c r="G116" s="444"/>
      <c r="H116" s="444"/>
      <c r="I116" s="444"/>
      <c r="J116" s="444"/>
      <c r="K116" s="444"/>
      <c r="L116" s="444"/>
      <c r="M116" s="444"/>
      <c r="N116" s="444"/>
      <c r="O116" s="444"/>
      <c r="P116" s="444"/>
      <c r="Q116" s="444"/>
      <c r="R116" s="444"/>
      <c r="S116" s="444"/>
      <c r="T116" s="444"/>
      <c r="U116" s="444"/>
      <c r="V116" s="517">
        <v>0</v>
      </c>
      <c r="W116" s="446"/>
      <c r="X116" s="425"/>
    </row>
    <row r="117" spans="1:24" s="426" customFormat="1" x14ac:dyDescent="0.3">
      <c r="A117" s="443">
        <f t="shared" si="0"/>
        <v>12</v>
      </c>
      <c r="B117" s="444" t="s">
        <v>36</v>
      </c>
      <c r="C117" s="444"/>
      <c r="D117" s="444"/>
      <c r="E117" s="444"/>
      <c r="F117" s="444"/>
      <c r="G117" s="444"/>
      <c r="H117" s="444"/>
      <c r="I117" s="444"/>
      <c r="J117" s="444"/>
      <c r="K117" s="444"/>
      <c r="L117" s="444"/>
      <c r="M117" s="444"/>
      <c r="N117" s="444"/>
      <c r="O117" s="444"/>
      <c r="P117" s="444"/>
      <c r="Q117" s="444"/>
      <c r="R117" s="444"/>
      <c r="S117" s="444"/>
      <c r="T117" s="444"/>
      <c r="U117" s="444"/>
      <c r="V117" s="517">
        <v>0</v>
      </c>
      <c r="W117" s="446"/>
      <c r="X117" s="425"/>
    </row>
    <row r="118" spans="1:24" s="426" customFormat="1" x14ac:dyDescent="0.3">
      <c r="A118" s="443">
        <f t="shared" si="0"/>
        <v>13</v>
      </c>
      <c r="B118" s="444" t="s">
        <v>270</v>
      </c>
      <c r="C118" s="444"/>
      <c r="D118" s="444"/>
      <c r="E118" s="444"/>
      <c r="F118" s="444"/>
      <c r="G118" s="444"/>
      <c r="H118" s="444"/>
      <c r="I118" s="444"/>
      <c r="J118" s="444"/>
      <c r="K118" s="444"/>
      <c r="L118" s="444"/>
      <c r="M118" s="444"/>
      <c r="N118" s="444"/>
      <c r="O118" s="444"/>
      <c r="P118" s="444"/>
      <c r="Q118" s="444"/>
      <c r="R118" s="444"/>
      <c r="S118" s="444"/>
      <c r="T118" s="444"/>
      <c r="U118" s="444"/>
      <c r="V118" s="517">
        <v>0</v>
      </c>
      <c r="W118" s="446"/>
      <c r="X118" s="425"/>
    </row>
    <row r="119" spans="1:24" s="426" customFormat="1" x14ac:dyDescent="0.3">
      <c r="A119" s="443">
        <f t="shared" si="0"/>
        <v>14</v>
      </c>
      <c r="B119" s="444" t="s">
        <v>152</v>
      </c>
      <c r="C119" s="444"/>
      <c r="D119" s="444"/>
      <c r="E119" s="444"/>
      <c r="F119" s="444"/>
      <c r="G119" s="444"/>
      <c r="H119" s="444"/>
      <c r="I119" s="444"/>
      <c r="J119" s="444"/>
      <c r="K119" s="444"/>
      <c r="L119" s="444"/>
      <c r="M119" s="444"/>
      <c r="N119" s="444"/>
      <c r="O119" s="444"/>
      <c r="P119" s="444"/>
      <c r="Q119" s="444"/>
      <c r="R119" s="444"/>
      <c r="S119" s="444"/>
      <c r="T119" s="444"/>
      <c r="U119" s="444"/>
      <c r="V119" s="517">
        <v>-261</v>
      </c>
      <c r="W119" s="446"/>
      <c r="X119" s="425"/>
    </row>
    <row r="120" spans="1:24" s="426" customFormat="1" x14ac:dyDescent="0.3">
      <c r="A120" s="443">
        <f t="shared" si="0"/>
        <v>15</v>
      </c>
      <c r="B120" s="548" t="s">
        <v>382</v>
      </c>
      <c r="C120" s="444"/>
      <c r="D120" s="444"/>
      <c r="E120" s="444"/>
      <c r="F120" s="444"/>
      <c r="G120" s="444"/>
      <c r="H120" s="444"/>
      <c r="I120" s="444"/>
      <c r="J120" s="444"/>
      <c r="K120" s="444"/>
      <c r="L120" s="444"/>
      <c r="M120" s="444"/>
      <c r="N120" s="444"/>
      <c r="O120" s="444"/>
      <c r="P120" s="444"/>
      <c r="Q120" s="444"/>
      <c r="R120" s="444"/>
      <c r="S120" s="444"/>
      <c r="T120" s="444"/>
      <c r="U120" s="444"/>
      <c r="V120" s="517">
        <v>-336</v>
      </c>
      <c r="W120" s="446"/>
      <c r="X120" s="425"/>
    </row>
    <row r="121" spans="1:24" s="426" customFormat="1" x14ac:dyDescent="0.3">
      <c r="A121" s="443">
        <f t="shared" si="0"/>
        <v>16</v>
      </c>
      <c r="B121" s="444" t="s">
        <v>383</v>
      </c>
      <c r="C121" s="444"/>
      <c r="D121" s="444"/>
      <c r="E121" s="444"/>
      <c r="F121" s="444"/>
      <c r="G121" s="444"/>
      <c r="H121" s="444"/>
      <c r="I121" s="444"/>
      <c r="J121" s="444"/>
      <c r="K121" s="444"/>
      <c r="L121" s="444"/>
      <c r="M121" s="444"/>
      <c r="N121" s="444"/>
      <c r="O121" s="444"/>
      <c r="P121" s="444"/>
      <c r="Q121" s="444"/>
      <c r="R121" s="444"/>
      <c r="S121" s="444"/>
      <c r="T121" s="444"/>
      <c r="U121" s="444"/>
      <c r="V121" s="517">
        <v>0</v>
      </c>
      <c r="W121" s="446"/>
      <c r="X121" s="425"/>
    </row>
    <row r="122" spans="1:24" s="426" customFormat="1" x14ac:dyDescent="0.3">
      <c r="A122" s="443">
        <f t="shared" si="0"/>
        <v>17</v>
      </c>
      <c r="B122" s="444" t="s">
        <v>384</v>
      </c>
      <c r="C122" s="444"/>
      <c r="D122" s="444"/>
      <c r="E122" s="444"/>
      <c r="F122" s="444"/>
      <c r="G122" s="444"/>
      <c r="H122" s="444"/>
      <c r="I122" s="444"/>
      <c r="J122" s="444"/>
      <c r="K122" s="444"/>
      <c r="L122" s="444"/>
      <c r="M122" s="444"/>
      <c r="N122" s="444"/>
      <c r="O122" s="444"/>
      <c r="P122" s="444"/>
      <c r="Q122" s="444"/>
      <c r="R122" s="444"/>
      <c r="S122" s="444"/>
      <c r="T122" s="444"/>
      <c r="U122" s="444"/>
      <c r="V122" s="517">
        <v>0</v>
      </c>
      <c r="W122" s="446"/>
      <c r="X122" s="425"/>
    </row>
    <row r="123" spans="1:24" s="426" customFormat="1" x14ac:dyDescent="0.3">
      <c r="A123" s="443">
        <f t="shared" si="0"/>
        <v>18</v>
      </c>
      <c r="B123" s="444" t="s">
        <v>385</v>
      </c>
      <c r="C123" s="444"/>
      <c r="D123" s="444"/>
      <c r="E123" s="444"/>
      <c r="F123" s="444"/>
      <c r="G123" s="444"/>
      <c r="H123" s="444"/>
      <c r="I123" s="444"/>
      <c r="J123" s="444"/>
      <c r="K123" s="444"/>
      <c r="L123" s="444"/>
      <c r="M123" s="444"/>
      <c r="N123" s="444"/>
      <c r="O123" s="444"/>
      <c r="P123" s="444"/>
      <c r="Q123" s="444"/>
      <c r="R123" s="444"/>
      <c r="S123" s="444"/>
      <c r="T123" s="444"/>
      <c r="U123" s="444"/>
      <c r="V123" s="517">
        <f>-V99-SUM(V101:V122)</f>
        <v>-1823</v>
      </c>
      <c r="W123" s="446"/>
      <c r="X123" s="425"/>
    </row>
    <row r="124" spans="1:24" x14ac:dyDescent="0.3">
      <c r="A124" s="543"/>
      <c r="B124" s="544" t="s">
        <v>37</v>
      </c>
      <c r="C124" s="465"/>
      <c r="D124" s="465"/>
      <c r="E124" s="465"/>
      <c r="F124" s="465"/>
      <c r="G124" s="465"/>
      <c r="H124" s="465"/>
      <c r="I124" s="465"/>
      <c r="J124" s="465"/>
      <c r="K124" s="465"/>
      <c r="L124" s="465"/>
      <c r="M124" s="465"/>
      <c r="N124" s="465"/>
      <c r="O124" s="465"/>
      <c r="P124" s="465"/>
      <c r="Q124" s="465"/>
      <c r="R124" s="465"/>
      <c r="S124" s="465"/>
      <c r="T124" s="465"/>
      <c r="U124" s="465"/>
      <c r="V124" s="551"/>
      <c r="W124" s="547"/>
      <c r="X124" s="406"/>
    </row>
    <row r="125" spans="1:24" s="426" customFormat="1" x14ac:dyDescent="0.3">
      <c r="A125" s="443"/>
      <c r="B125" s="444" t="s">
        <v>176</v>
      </c>
      <c r="C125" s="444"/>
      <c r="D125" s="444"/>
      <c r="E125" s="444"/>
      <c r="F125" s="444"/>
      <c r="G125" s="444"/>
      <c r="H125" s="444"/>
      <c r="I125" s="444"/>
      <c r="J125" s="444"/>
      <c r="K125" s="444"/>
      <c r="L125" s="444"/>
      <c r="M125" s="444"/>
      <c r="N125" s="444"/>
      <c r="O125" s="444"/>
      <c r="P125" s="444"/>
      <c r="Q125" s="444"/>
      <c r="R125" s="444"/>
      <c r="S125" s="444"/>
      <c r="T125" s="516">
        <f>-T185</f>
        <v>0</v>
      </c>
      <c r="U125" s="516"/>
      <c r="V125" s="517"/>
      <c r="W125" s="446"/>
      <c r="X125" s="425"/>
    </row>
    <row r="126" spans="1:24" s="426" customFormat="1" x14ac:dyDescent="0.3">
      <c r="A126" s="443"/>
      <c r="B126" s="444" t="s">
        <v>177</v>
      </c>
      <c r="C126" s="444"/>
      <c r="D126" s="444"/>
      <c r="E126" s="444"/>
      <c r="F126" s="444"/>
      <c r="G126" s="444"/>
      <c r="H126" s="444"/>
      <c r="I126" s="444"/>
      <c r="J126" s="444"/>
      <c r="K126" s="444"/>
      <c r="L126" s="444"/>
      <c r="M126" s="444"/>
      <c r="N126" s="444"/>
      <c r="O126" s="444"/>
      <c r="P126" s="444"/>
      <c r="Q126" s="444"/>
      <c r="R126" s="444"/>
      <c r="S126" s="444"/>
      <c r="T126" s="516">
        <v>0</v>
      </c>
      <c r="U126" s="516"/>
      <c r="V126" s="517"/>
      <c r="W126" s="446"/>
      <c r="X126" s="425"/>
    </row>
    <row r="127" spans="1:24" s="426" customFormat="1" x14ac:dyDescent="0.3">
      <c r="A127" s="443"/>
      <c r="B127" s="444" t="s">
        <v>38</v>
      </c>
      <c r="C127" s="444"/>
      <c r="D127" s="444"/>
      <c r="E127" s="444"/>
      <c r="F127" s="444"/>
      <c r="G127" s="444"/>
      <c r="H127" s="444"/>
      <c r="I127" s="444"/>
      <c r="J127" s="444"/>
      <c r="K127" s="444"/>
      <c r="L127" s="444"/>
      <c r="M127" s="444"/>
      <c r="N127" s="444"/>
      <c r="O127" s="444"/>
      <c r="P127" s="444"/>
      <c r="Q127" s="444"/>
      <c r="R127" s="444"/>
      <c r="S127" s="444"/>
      <c r="T127" s="516">
        <f>-S185</f>
        <v>0</v>
      </c>
      <c r="U127" s="516"/>
      <c r="V127" s="517"/>
      <c r="W127" s="446"/>
      <c r="X127" s="425"/>
    </row>
    <row r="128" spans="1:24" s="426" customFormat="1" x14ac:dyDescent="0.3">
      <c r="A128" s="443"/>
      <c r="B128" s="444" t="s">
        <v>386</v>
      </c>
      <c r="C128" s="444"/>
      <c r="D128" s="444"/>
      <c r="E128" s="444"/>
      <c r="F128" s="444"/>
      <c r="G128" s="444"/>
      <c r="H128" s="444"/>
      <c r="I128" s="444"/>
      <c r="J128" s="444"/>
      <c r="K128" s="444"/>
      <c r="L128" s="444"/>
      <c r="M128" s="444"/>
      <c r="N128" s="444"/>
      <c r="O128" s="444"/>
      <c r="P128" s="444"/>
      <c r="Q128" s="444"/>
      <c r="R128" s="444"/>
      <c r="S128" s="444"/>
      <c r="T128" s="516">
        <v>-5077</v>
      </c>
      <c r="U128" s="516"/>
      <c r="V128" s="517"/>
      <c r="W128" s="446"/>
      <c r="X128" s="425"/>
    </row>
    <row r="129" spans="1:24" s="426" customFormat="1" x14ac:dyDescent="0.3">
      <c r="A129" s="443"/>
      <c r="B129" s="444" t="s">
        <v>198</v>
      </c>
      <c r="C129" s="444"/>
      <c r="D129" s="444"/>
      <c r="E129" s="444"/>
      <c r="F129" s="444"/>
      <c r="G129" s="444"/>
      <c r="H129" s="444"/>
      <c r="I129" s="444"/>
      <c r="J129" s="444"/>
      <c r="K129" s="444"/>
      <c r="L129" s="444"/>
      <c r="M129" s="444"/>
      <c r="N129" s="444"/>
      <c r="O129" s="444"/>
      <c r="P129" s="444"/>
      <c r="Q129" s="444"/>
      <c r="R129" s="444"/>
      <c r="S129" s="444"/>
      <c r="T129" s="516">
        <v>-795</v>
      </c>
      <c r="U129" s="516"/>
      <c r="V129" s="517"/>
      <c r="W129" s="446"/>
      <c r="X129" s="425"/>
    </row>
    <row r="130" spans="1:24" s="426" customFormat="1" x14ac:dyDescent="0.3">
      <c r="A130" s="443"/>
      <c r="B130" s="444" t="s">
        <v>197</v>
      </c>
      <c r="C130" s="444"/>
      <c r="D130" s="444"/>
      <c r="E130" s="444"/>
      <c r="F130" s="444"/>
      <c r="G130" s="444"/>
      <c r="H130" s="444"/>
      <c r="I130" s="444"/>
      <c r="J130" s="444"/>
      <c r="K130" s="444"/>
      <c r="L130" s="444"/>
      <c r="M130" s="444"/>
      <c r="N130" s="444"/>
      <c r="O130" s="444"/>
      <c r="P130" s="444"/>
      <c r="Q130" s="444"/>
      <c r="R130" s="444"/>
      <c r="S130" s="444"/>
      <c r="T130" s="516">
        <v>-1345</v>
      </c>
      <c r="U130" s="516"/>
      <c r="V130" s="517"/>
      <c r="W130" s="446"/>
      <c r="X130" s="425"/>
    </row>
    <row r="131" spans="1:24" s="426" customFormat="1" x14ac:dyDescent="0.3">
      <c r="A131" s="443"/>
      <c r="B131" s="444" t="s">
        <v>232</v>
      </c>
      <c r="C131" s="444"/>
      <c r="D131" s="444"/>
      <c r="E131" s="444"/>
      <c r="F131" s="444"/>
      <c r="G131" s="444"/>
      <c r="H131" s="444"/>
      <c r="I131" s="444"/>
      <c r="J131" s="444"/>
      <c r="K131" s="444"/>
      <c r="L131" s="444"/>
      <c r="M131" s="444"/>
      <c r="N131" s="444"/>
      <c r="O131" s="444"/>
      <c r="P131" s="444"/>
      <c r="Q131" s="444"/>
      <c r="R131" s="444"/>
      <c r="S131" s="444"/>
      <c r="T131" s="516">
        <v>-1185</v>
      </c>
      <c r="U131" s="516"/>
      <c r="V131" s="517"/>
      <c r="W131" s="446"/>
      <c r="X131" s="425"/>
    </row>
    <row r="132" spans="1:24" s="426" customFormat="1" x14ac:dyDescent="0.3">
      <c r="A132" s="443"/>
      <c r="B132" s="444" t="s">
        <v>192</v>
      </c>
      <c r="C132" s="444"/>
      <c r="D132" s="444"/>
      <c r="E132" s="444"/>
      <c r="F132" s="444"/>
      <c r="G132" s="444"/>
      <c r="H132" s="444"/>
      <c r="I132" s="444"/>
      <c r="J132" s="444"/>
      <c r="K132" s="444"/>
      <c r="L132" s="444"/>
      <c r="M132" s="444"/>
      <c r="N132" s="444"/>
      <c r="O132" s="444"/>
      <c r="P132" s="444"/>
      <c r="Q132" s="444"/>
      <c r="R132" s="444"/>
      <c r="S132" s="444"/>
      <c r="T132" s="516">
        <v>-827</v>
      </c>
      <c r="U132" s="516"/>
      <c r="V132" s="517"/>
      <c r="W132" s="446"/>
      <c r="X132" s="425"/>
    </row>
    <row r="133" spans="1:24" s="426" customFormat="1" x14ac:dyDescent="0.3">
      <c r="A133" s="443"/>
      <c r="B133" s="444" t="s">
        <v>191</v>
      </c>
      <c r="C133" s="444"/>
      <c r="D133" s="444"/>
      <c r="E133" s="444"/>
      <c r="F133" s="444"/>
      <c r="G133" s="444"/>
      <c r="H133" s="444"/>
      <c r="I133" s="444"/>
      <c r="J133" s="444"/>
      <c r="K133" s="444"/>
      <c r="L133" s="444"/>
      <c r="M133" s="444"/>
      <c r="N133" s="444"/>
      <c r="O133" s="444"/>
      <c r="P133" s="444"/>
      <c r="Q133" s="444"/>
      <c r="R133" s="444"/>
      <c r="S133" s="444"/>
      <c r="T133" s="516">
        <v>-832</v>
      </c>
      <c r="U133" s="516"/>
      <c r="V133" s="517"/>
      <c r="W133" s="446"/>
      <c r="X133" s="425"/>
    </row>
    <row r="134" spans="1:24" s="426" customFormat="1" x14ac:dyDescent="0.3">
      <c r="A134" s="443"/>
      <c r="B134" s="444" t="s">
        <v>233</v>
      </c>
      <c r="C134" s="444"/>
      <c r="D134" s="444"/>
      <c r="E134" s="444"/>
      <c r="F134" s="444"/>
      <c r="G134" s="444"/>
      <c r="H134" s="444"/>
      <c r="I134" s="444"/>
      <c r="J134" s="444"/>
      <c r="K134" s="444"/>
      <c r="L134" s="444"/>
      <c r="M134" s="444"/>
      <c r="N134" s="444"/>
      <c r="O134" s="444"/>
      <c r="P134" s="444"/>
      <c r="Q134" s="444"/>
      <c r="R134" s="444"/>
      <c r="S134" s="444"/>
      <c r="T134" s="516">
        <v>-192</v>
      </c>
      <c r="U134" s="516"/>
      <c r="V134" s="517"/>
      <c r="W134" s="446"/>
      <c r="X134" s="425"/>
    </row>
    <row r="135" spans="1:24" s="426" customFormat="1" x14ac:dyDescent="0.3">
      <c r="A135" s="443"/>
      <c r="B135" s="444" t="s">
        <v>190</v>
      </c>
      <c r="C135" s="444"/>
      <c r="D135" s="444"/>
      <c r="E135" s="444"/>
      <c r="F135" s="444"/>
      <c r="G135" s="444"/>
      <c r="H135" s="444"/>
      <c r="I135" s="444"/>
      <c r="J135" s="444"/>
      <c r="K135" s="444"/>
      <c r="L135" s="444"/>
      <c r="M135" s="444"/>
      <c r="N135" s="444"/>
      <c r="O135" s="444"/>
      <c r="P135" s="444"/>
      <c r="Q135" s="444"/>
      <c r="R135" s="444"/>
      <c r="S135" s="444"/>
      <c r="T135" s="516">
        <v>-803</v>
      </c>
      <c r="U135" s="516"/>
      <c r="V135" s="517"/>
      <c r="W135" s="446"/>
      <c r="X135" s="425"/>
    </row>
    <row r="136" spans="1:24" s="426" customFormat="1" x14ac:dyDescent="0.3">
      <c r="A136" s="443"/>
      <c r="B136" s="444" t="s">
        <v>39</v>
      </c>
      <c r="C136" s="444"/>
      <c r="D136" s="444"/>
      <c r="E136" s="444"/>
      <c r="F136" s="444"/>
      <c r="G136" s="444"/>
      <c r="H136" s="444"/>
      <c r="I136" s="444"/>
      <c r="J136" s="444"/>
      <c r="K136" s="444"/>
      <c r="L136" s="444"/>
      <c r="M136" s="444"/>
      <c r="N136" s="444"/>
      <c r="O136" s="444"/>
      <c r="P136" s="444"/>
      <c r="Q136" s="444"/>
      <c r="R136" s="444"/>
      <c r="S136" s="444"/>
      <c r="T136" s="516">
        <f>SUM(T125:T135)</f>
        <v>-11056</v>
      </c>
      <c r="U136" s="516"/>
      <c r="V136" s="516">
        <f>SUM(V100:V133)</f>
        <v>-5085</v>
      </c>
      <c r="W136" s="446"/>
      <c r="X136" s="425"/>
    </row>
    <row r="137" spans="1:24" s="426" customFormat="1" x14ac:dyDescent="0.3">
      <c r="A137" s="443"/>
      <c r="B137" s="444" t="s">
        <v>40</v>
      </c>
      <c r="C137" s="444"/>
      <c r="D137" s="444"/>
      <c r="E137" s="444"/>
      <c r="F137" s="444"/>
      <c r="G137" s="444"/>
      <c r="H137" s="444"/>
      <c r="I137" s="444"/>
      <c r="J137" s="444"/>
      <c r="K137" s="444"/>
      <c r="L137" s="444"/>
      <c r="M137" s="444"/>
      <c r="N137" s="444"/>
      <c r="O137" s="444"/>
      <c r="P137" s="444"/>
      <c r="Q137" s="444"/>
      <c r="R137" s="444"/>
      <c r="S137" s="444"/>
      <c r="T137" s="516">
        <f>T99+T136+T114</f>
        <v>0</v>
      </c>
      <c r="U137" s="516"/>
      <c r="V137" s="516">
        <f>V99+V136</f>
        <v>0</v>
      </c>
      <c r="W137" s="446"/>
      <c r="X137" s="425"/>
    </row>
    <row r="138" spans="1:24" s="426" customFormat="1" x14ac:dyDescent="0.3">
      <c r="A138" s="421"/>
      <c r="B138" s="494"/>
      <c r="C138" s="494"/>
      <c r="D138" s="494"/>
      <c r="E138" s="494"/>
      <c r="F138" s="494"/>
      <c r="G138" s="494"/>
      <c r="H138" s="494"/>
      <c r="I138" s="494"/>
      <c r="J138" s="494"/>
      <c r="K138" s="494"/>
      <c r="L138" s="494"/>
      <c r="M138" s="494"/>
      <c r="N138" s="494"/>
      <c r="O138" s="494"/>
      <c r="P138" s="494"/>
      <c r="Q138" s="494"/>
      <c r="R138" s="494"/>
      <c r="S138" s="494"/>
      <c r="T138" s="552"/>
      <c r="U138" s="552"/>
      <c r="V138" s="552"/>
      <c r="W138" s="424"/>
      <c r="X138" s="425"/>
    </row>
    <row r="139" spans="1:24" s="426" customFormat="1" x14ac:dyDescent="0.3">
      <c r="A139" s="421"/>
      <c r="B139" s="422"/>
      <c r="C139" s="422"/>
      <c r="D139" s="422"/>
      <c r="E139" s="422"/>
      <c r="F139" s="422"/>
      <c r="G139" s="422"/>
      <c r="H139" s="422"/>
      <c r="I139" s="422"/>
      <c r="J139" s="422"/>
      <c r="K139" s="422"/>
      <c r="L139" s="422"/>
      <c r="M139" s="422"/>
      <c r="N139" s="422"/>
      <c r="O139" s="422"/>
      <c r="P139" s="422"/>
      <c r="Q139" s="422"/>
      <c r="R139" s="422"/>
      <c r="S139" s="422"/>
      <c r="T139" s="422"/>
      <c r="U139" s="422"/>
      <c r="V139" s="553"/>
      <c r="W139" s="424"/>
      <c r="X139" s="425"/>
    </row>
    <row r="140" spans="1:24" s="426" customFormat="1" ht="18.600000000000001" thickBot="1" x14ac:dyDescent="0.4">
      <c r="A140" s="500"/>
      <c r="B140" s="501" t="str">
        <f>B63</f>
        <v>PM13 INVESTOR REPORT QUARTER ENDING MARCH 2020</v>
      </c>
      <c r="C140" s="502"/>
      <c r="D140" s="502"/>
      <c r="E140" s="502"/>
      <c r="F140" s="502"/>
      <c r="G140" s="502"/>
      <c r="H140" s="502"/>
      <c r="I140" s="502"/>
      <c r="J140" s="502"/>
      <c r="K140" s="502"/>
      <c r="L140" s="502"/>
      <c r="M140" s="502"/>
      <c r="N140" s="502"/>
      <c r="O140" s="502"/>
      <c r="P140" s="502"/>
      <c r="Q140" s="502"/>
      <c r="R140" s="502"/>
      <c r="S140" s="502"/>
      <c r="T140" s="502"/>
      <c r="U140" s="502"/>
      <c r="V140" s="554"/>
      <c r="W140" s="555"/>
      <c r="X140" s="425"/>
    </row>
    <row r="141" spans="1:24" x14ac:dyDescent="0.3">
      <c r="A141" s="505"/>
      <c r="B141" s="506" t="s">
        <v>41</v>
      </c>
      <c r="C141" s="507"/>
      <c r="D141" s="507"/>
      <c r="E141" s="507"/>
      <c r="F141" s="507"/>
      <c r="G141" s="507"/>
      <c r="H141" s="507"/>
      <c r="I141" s="507"/>
      <c r="J141" s="507"/>
      <c r="K141" s="507"/>
      <c r="L141" s="507"/>
      <c r="M141" s="507"/>
      <c r="N141" s="507"/>
      <c r="O141" s="507"/>
      <c r="P141" s="507"/>
      <c r="Q141" s="507"/>
      <c r="R141" s="507"/>
      <c r="S141" s="507"/>
      <c r="T141" s="507"/>
      <c r="U141" s="507"/>
      <c r="V141" s="508"/>
      <c r="W141" s="509"/>
      <c r="X141" s="406"/>
    </row>
    <row r="142" spans="1:24" x14ac:dyDescent="0.3">
      <c r="A142" s="408"/>
      <c r="B142" s="556"/>
      <c r="C142" s="410"/>
      <c r="D142" s="410"/>
      <c r="E142" s="410"/>
      <c r="F142" s="410"/>
      <c r="G142" s="410"/>
      <c r="H142" s="410"/>
      <c r="I142" s="410"/>
      <c r="J142" s="410"/>
      <c r="K142" s="410"/>
      <c r="L142" s="410"/>
      <c r="M142" s="410"/>
      <c r="N142" s="410"/>
      <c r="O142" s="410"/>
      <c r="P142" s="410"/>
      <c r="Q142" s="410"/>
      <c r="R142" s="410"/>
      <c r="S142" s="410"/>
      <c r="T142" s="410"/>
      <c r="U142" s="410"/>
      <c r="V142" s="510"/>
      <c r="W142" s="411"/>
      <c r="X142" s="406"/>
    </row>
    <row r="143" spans="1:24" x14ac:dyDescent="0.3">
      <c r="A143" s="408"/>
      <c r="B143" s="557" t="s">
        <v>42</v>
      </c>
      <c r="C143" s="410"/>
      <c r="D143" s="410"/>
      <c r="E143" s="410"/>
      <c r="F143" s="410"/>
      <c r="G143" s="410"/>
      <c r="H143" s="410"/>
      <c r="I143" s="410"/>
      <c r="J143" s="410"/>
      <c r="K143" s="410"/>
      <c r="L143" s="410"/>
      <c r="M143" s="410"/>
      <c r="N143" s="410"/>
      <c r="O143" s="410"/>
      <c r="P143" s="410"/>
      <c r="Q143" s="410"/>
      <c r="R143" s="410"/>
      <c r="S143" s="410"/>
      <c r="T143" s="410"/>
      <c r="U143" s="410"/>
      <c r="V143" s="510"/>
      <c r="W143" s="411"/>
      <c r="X143" s="406"/>
    </row>
    <row r="144" spans="1:24" x14ac:dyDescent="0.3">
      <c r="A144" s="543"/>
      <c r="B144" s="444" t="s">
        <v>43</v>
      </c>
      <c r="C144" s="444"/>
      <c r="D144" s="444"/>
      <c r="E144" s="444"/>
      <c r="F144" s="444"/>
      <c r="G144" s="444"/>
      <c r="H144" s="444"/>
      <c r="I144" s="444"/>
      <c r="J144" s="444"/>
      <c r="K144" s="444"/>
      <c r="L144" s="444"/>
      <c r="M144" s="444"/>
      <c r="N144" s="444"/>
      <c r="O144" s="444"/>
      <c r="P144" s="444"/>
      <c r="Q144" s="444"/>
      <c r="R144" s="444"/>
      <c r="S144" s="444"/>
      <c r="T144" s="444"/>
      <c r="U144" s="444"/>
      <c r="V144" s="517">
        <f>+V34*0.019</f>
        <v>28503.61</v>
      </c>
      <c r="W144" s="558"/>
      <c r="X144" s="406"/>
    </row>
    <row r="145" spans="1:25" x14ac:dyDescent="0.3">
      <c r="A145" s="543"/>
      <c r="B145" s="444" t="s">
        <v>44</v>
      </c>
      <c r="C145" s="444"/>
      <c r="D145" s="444"/>
      <c r="E145" s="444"/>
      <c r="F145" s="444"/>
      <c r="G145" s="444"/>
      <c r="H145" s="444"/>
      <c r="I145" s="444"/>
      <c r="J145" s="444"/>
      <c r="K145" s="444"/>
      <c r="L145" s="444"/>
      <c r="M145" s="444"/>
      <c r="N145" s="444"/>
      <c r="O145" s="444"/>
      <c r="P145" s="444"/>
      <c r="Q145" s="444"/>
      <c r="R145" s="444"/>
      <c r="S145" s="444"/>
      <c r="T145" s="444"/>
      <c r="U145" s="444"/>
      <c r="V145" s="517">
        <v>28504</v>
      </c>
      <c r="W145" s="558"/>
      <c r="X145" s="406"/>
    </row>
    <row r="146" spans="1:25" x14ac:dyDescent="0.3">
      <c r="A146" s="543"/>
      <c r="B146" s="444" t="s">
        <v>139</v>
      </c>
      <c r="C146" s="444"/>
      <c r="D146" s="444"/>
      <c r="E146" s="444"/>
      <c r="F146" s="444"/>
      <c r="G146" s="444"/>
      <c r="H146" s="444"/>
      <c r="I146" s="444"/>
      <c r="J146" s="444"/>
      <c r="K146" s="444"/>
      <c r="L146" s="444"/>
      <c r="M146" s="444"/>
      <c r="N146" s="444"/>
      <c r="O146" s="444"/>
      <c r="P146" s="444"/>
      <c r="Q146" s="444"/>
      <c r="R146" s="444"/>
      <c r="S146" s="444"/>
      <c r="T146" s="444"/>
      <c r="U146" s="444"/>
      <c r="V146" s="517"/>
      <c r="W146" s="558"/>
      <c r="X146" s="406"/>
    </row>
    <row r="147" spans="1:25" x14ac:dyDescent="0.3">
      <c r="A147" s="543"/>
      <c r="B147" s="444" t="s">
        <v>126</v>
      </c>
      <c r="C147" s="444"/>
      <c r="D147" s="444"/>
      <c r="E147" s="444"/>
      <c r="F147" s="444"/>
      <c r="G147" s="444"/>
      <c r="H147" s="444"/>
      <c r="I147" s="444"/>
      <c r="J147" s="444"/>
      <c r="K147" s="444"/>
      <c r="L147" s="444"/>
      <c r="M147" s="444"/>
      <c r="N147" s="444"/>
      <c r="O147" s="444"/>
      <c r="P147" s="444"/>
      <c r="Q147" s="444"/>
      <c r="R147" s="444"/>
      <c r="S147" s="444"/>
      <c r="T147" s="444"/>
      <c r="U147" s="444"/>
      <c r="V147" s="517">
        <v>0</v>
      </c>
      <c r="W147" s="558"/>
      <c r="X147" s="406"/>
    </row>
    <row r="148" spans="1:25" x14ac:dyDescent="0.3">
      <c r="A148" s="543"/>
      <c r="B148" s="444" t="s">
        <v>127</v>
      </c>
      <c r="C148" s="444"/>
      <c r="D148" s="444"/>
      <c r="E148" s="444"/>
      <c r="F148" s="444"/>
      <c r="G148" s="444"/>
      <c r="H148" s="444"/>
      <c r="I148" s="444"/>
      <c r="J148" s="444"/>
      <c r="K148" s="444"/>
      <c r="L148" s="444"/>
      <c r="M148" s="444"/>
      <c r="N148" s="444"/>
      <c r="O148" s="444"/>
      <c r="P148" s="444"/>
      <c r="Q148" s="444"/>
      <c r="R148" s="444"/>
      <c r="S148" s="444"/>
      <c r="T148" s="444"/>
      <c r="U148" s="444"/>
      <c r="V148" s="517">
        <v>0</v>
      </c>
      <c r="W148" s="558"/>
      <c r="X148" s="406"/>
    </row>
    <row r="149" spans="1:25" x14ac:dyDescent="0.3">
      <c r="A149" s="543"/>
      <c r="B149" s="444" t="s">
        <v>178</v>
      </c>
      <c r="C149" s="444"/>
      <c r="D149" s="444"/>
      <c r="E149" s="444"/>
      <c r="F149" s="444"/>
      <c r="G149" s="444"/>
      <c r="H149" s="444"/>
      <c r="I149" s="444"/>
      <c r="J149" s="444"/>
      <c r="K149" s="444"/>
      <c r="L149" s="444"/>
      <c r="M149" s="444"/>
      <c r="N149" s="444"/>
      <c r="O149" s="444"/>
      <c r="P149" s="444"/>
      <c r="Q149" s="444"/>
      <c r="R149" s="444"/>
      <c r="S149" s="444"/>
      <c r="T149" s="444"/>
      <c r="U149" s="444"/>
      <c r="V149" s="517">
        <v>0</v>
      </c>
      <c r="W149" s="558"/>
      <c r="X149" s="406"/>
    </row>
    <row r="150" spans="1:25" x14ac:dyDescent="0.3">
      <c r="A150" s="543"/>
      <c r="B150" s="444" t="s">
        <v>45</v>
      </c>
      <c r="C150" s="444"/>
      <c r="D150" s="444"/>
      <c r="E150" s="444"/>
      <c r="F150" s="444"/>
      <c r="G150" s="444"/>
      <c r="H150" s="444"/>
      <c r="I150" s="444"/>
      <c r="J150" s="444"/>
      <c r="K150" s="444"/>
      <c r="L150" s="444"/>
      <c r="M150" s="444"/>
      <c r="N150" s="444"/>
      <c r="O150" s="444"/>
      <c r="P150" s="444"/>
      <c r="Q150" s="444"/>
      <c r="R150" s="444"/>
      <c r="S150" s="444"/>
      <c r="T150" s="444"/>
      <c r="U150" s="444"/>
      <c r="V150" s="517">
        <v>0</v>
      </c>
      <c r="W150" s="558"/>
      <c r="X150" s="406"/>
    </row>
    <row r="151" spans="1:25" x14ac:dyDescent="0.3">
      <c r="A151" s="543"/>
      <c r="B151" s="444" t="s">
        <v>132</v>
      </c>
      <c r="C151" s="444"/>
      <c r="D151" s="444"/>
      <c r="E151" s="444"/>
      <c r="F151" s="444"/>
      <c r="G151" s="444"/>
      <c r="H151" s="444"/>
      <c r="I151" s="444"/>
      <c r="J151" s="444"/>
      <c r="K151" s="444"/>
      <c r="L151" s="444"/>
      <c r="M151" s="444"/>
      <c r="N151" s="444"/>
      <c r="O151" s="444"/>
      <c r="P151" s="444"/>
      <c r="Q151" s="444"/>
      <c r="R151" s="444"/>
      <c r="S151" s="444"/>
      <c r="T151" s="444"/>
      <c r="U151" s="444"/>
      <c r="V151" s="517">
        <v>0</v>
      </c>
      <c r="W151" s="558"/>
      <c r="X151" s="406"/>
    </row>
    <row r="152" spans="1:25" x14ac:dyDescent="0.3">
      <c r="A152" s="543"/>
      <c r="B152" s="444" t="s">
        <v>267</v>
      </c>
      <c r="C152" s="444"/>
      <c r="D152" s="444"/>
      <c r="E152" s="444"/>
      <c r="F152" s="444"/>
      <c r="G152" s="444"/>
      <c r="H152" s="444"/>
      <c r="I152" s="444"/>
      <c r="J152" s="444"/>
      <c r="K152" s="444"/>
      <c r="L152" s="444"/>
      <c r="M152" s="444"/>
      <c r="N152" s="444"/>
      <c r="O152" s="444"/>
      <c r="P152" s="444"/>
      <c r="Q152" s="444"/>
      <c r="R152" s="444"/>
      <c r="S152" s="444"/>
      <c r="T152" s="444"/>
      <c r="U152" s="444"/>
      <c r="V152" s="517">
        <v>0</v>
      </c>
      <c r="W152" s="558"/>
      <c r="X152" s="406"/>
      <c r="Y152" s="559"/>
    </row>
    <row r="153" spans="1:25" x14ac:dyDescent="0.3">
      <c r="A153" s="543"/>
      <c r="B153" s="444" t="s">
        <v>46</v>
      </c>
      <c r="C153" s="444"/>
      <c r="D153" s="444"/>
      <c r="E153" s="444"/>
      <c r="F153" s="444"/>
      <c r="G153" s="444"/>
      <c r="H153" s="444"/>
      <c r="I153" s="444"/>
      <c r="J153" s="444"/>
      <c r="K153" s="444"/>
      <c r="L153" s="444"/>
      <c r="M153" s="444"/>
      <c r="N153" s="444"/>
      <c r="O153" s="444"/>
      <c r="P153" s="444"/>
      <c r="Q153" s="444"/>
      <c r="R153" s="444"/>
      <c r="S153" s="444"/>
      <c r="T153" s="444"/>
      <c r="U153" s="444"/>
      <c r="V153" s="517">
        <f>SUM(V145:V152)</f>
        <v>28504</v>
      </c>
      <c r="W153" s="558"/>
      <c r="X153" s="406"/>
    </row>
    <row r="154" spans="1:25" x14ac:dyDescent="0.3">
      <c r="A154" s="543"/>
      <c r="B154" s="465"/>
      <c r="C154" s="465"/>
      <c r="D154" s="465"/>
      <c r="E154" s="465"/>
      <c r="F154" s="465"/>
      <c r="G154" s="465"/>
      <c r="H154" s="465"/>
      <c r="I154" s="465"/>
      <c r="J154" s="465"/>
      <c r="K154" s="465"/>
      <c r="L154" s="465"/>
      <c r="M154" s="465"/>
      <c r="N154" s="465"/>
      <c r="O154" s="465"/>
      <c r="P154" s="465"/>
      <c r="Q154" s="465"/>
      <c r="R154" s="465"/>
      <c r="S154" s="465"/>
      <c r="T154" s="465"/>
      <c r="U154" s="465"/>
      <c r="V154" s="546"/>
      <c r="W154" s="547"/>
      <c r="X154" s="406"/>
    </row>
    <row r="155" spans="1:25" x14ac:dyDescent="0.3">
      <c r="A155" s="543"/>
      <c r="B155" s="544" t="s">
        <v>268</v>
      </c>
      <c r="C155" s="465"/>
      <c r="D155" s="465"/>
      <c r="E155" s="465"/>
      <c r="F155" s="465"/>
      <c r="G155" s="465"/>
      <c r="H155" s="465"/>
      <c r="I155" s="465"/>
      <c r="J155" s="465"/>
      <c r="K155" s="465"/>
      <c r="L155" s="465"/>
      <c r="M155" s="465"/>
      <c r="N155" s="465"/>
      <c r="O155" s="465"/>
      <c r="P155" s="465"/>
      <c r="Q155" s="465"/>
      <c r="R155" s="465"/>
      <c r="S155" s="465"/>
      <c r="T155" s="465"/>
      <c r="U155" s="465"/>
      <c r="V155" s="546"/>
      <c r="W155" s="547"/>
      <c r="X155" s="406"/>
    </row>
    <row r="156" spans="1:25" x14ac:dyDescent="0.3">
      <c r="A156" s="543"/>
      <c r="B156" s="444" t="s">
        <v>158</v>
      </c>
      <c r="C156" s="444"/>
      <c r="D156" s="444"/>
      <c r="E156" s="444"/>
      <c r="F156" s="444"/>
      <c r="G156" s="444"/>
      <c r="H156" s="444"/>
      <c r="I156" s="444"/>
      <c r="J156" s="444"/>
      <c r="K156" s="444"/>
      <c r="L156" s="444"/>
      <c r="M156" s="444"/>
      <c r="N156" s="444"/>
      <c r="O156" s="444"/>
      <c r="P156" s="444"/>
      <c r="Q156" s="444"/>
      <c r="R156" s="444"/>
      <c r="S156" s="444"/>
      <c r="T156" s="444"/>
      <c r="U156" s="444"/>
      <c r="V156" s="517">
        <v>15000</v>
      </c>
      <c r="W156" s="558"/>
      <c r="X156" s="406"/>
    </row>
    <row r="157" spans="1:25" x14ac:dyDescent="0.3">
      <c r="A157" s="543"/>
      <c r="B157" s="444" t="s">
        <v>175</v>
      </c>
      <c r="C157" s="444"/>
      <c r="D157" s="444"/>
      <c r="E157" s="444"/>
      <c r="F157" s="444"/>
      <c r="G157" s="444"/>
      <c r="H157" s="444"/>
      <c r="I157" s="444"/>
      <c r="J157" s="444"/>
      <c r="K157" s="444"/>
      <c r="L157" s="444"/>
      <c r="M157" s="444"/>
      <c r="N157" s="444"/>
      <c r="O157" s="444"/>
      <c r="P157" s="444"/>
      <c r="Q157" s="444"/>
      <c r="R157" s="444"/>
      <c r="S157" s="444"/>
      <c r="T157" s="444"/>
      <c r="U157" s="444"/>
      <c r="V157" s="517">
        <v>0</v>
      </c>
      <c r="W157" s="558"/>
      <c r="X157" s="406"/>
    </row>
    <row r="158" spans="1:25" x14ac:dyDescent="0.3">
      <c r="A158" s="543"/>
      <c r="B158" s="444" t="s">
        <v>341</v>
      </c>
      <c r="C158" s="444"/>
      <c r="D158" s="444"/>
      <c r="E158" s="444"/>
      <c r="F158" s="444"/>
      <c r="G158" s="444"/>
      <c r="H158" s="444"/>
      <c r="I158" s="444"/>
      <c r="J158" s="444"/>
      <c r="K158" s="444"/>
      <c r="L158" s="444"/>
      <c r="M158" s="444"/>
      <c r="N158" s="444"/>
      <c r="O158" s="444"/>
      <c r="P158" s="444"/>
      <c r="Q158" s="444"/>
      <c r="R158" s="444"/>
      <c r="S158" s="444"/>
      <c r="T158" s="444"/>
      <c r="U158" s="444"/>
      <c r="V158" s="517">
        <v>0</v>
      </c>
      <c r="W158" s="558"/>
      <c r="X158" s="406"/>
    </row>
    <row r="159" spans="1:25" x14ac:dyDescent="0.3">
      <c r="A159" s="543"/>
      <c r="B159" s="465"/>
      <c r="C159" s="465"/>
      <c r="D159" s="465"/>
      <c r="E159" s="465"/>
      <c r="F159" s="465"/>
      <c r="G159" s="465"/>
      <c r="H159" s="465"/>
      <c r="I159" s="465"/>
      <c r="J159" s="465"/>
      <c r="K159" s="465"/>
      <c r="L159" s="465"/>
      <c r="M159" s="465"/>
      <c r="N159" s="465"/>
      <c r="O159" s="465"/>
      <c r="P159" s="465"/>
      <c r="Q159" s="465"/>
      <c r="R159" s="465"/>
      <c r="S159" s="465"/>
      <c r="T159" s="465"/>
      <c r="U159" s="465"/>
      <c r="V159" s="546"/>
      <c r="W159" s="547"/>
      <c r="X159" s="406"/>
    </row>
    <row r="160" spans="1:25" x14ac:dyDescent="0.3">
      <c r="A160" s="408"/>
      <c r="B160" s="518"/>
      <c r="C160" s="518"/>
      <c r="D160" s="518"/>
      <c r="E160" s="518"/>
      <c r="F160" s="518"/>
      <c r="G160" s="518"/>
      <c r="H160" s="518"/>
      <c r="I160" s="518"/>
      <c r="J160" s="518"/>
      <c r="K160" s="518"/>
      <c r="L160" s="518"/>
      <c r="M160" s="518"/>
      <c r="N160" s="518"/>
      <c r="O160" s="518"/>
      <c r="P160" s="518"/>
      <c r="Q160" s="518"/>
      <c r="R160" s="518"/>
      <c r="S160" s="518"/>
      <c r="T160" s="518"/>
      <c r="U160" s="518"/>
      <c r="V160" s="560"/>
      <c r="W160" s="411"/>
      <c r="X160" s="406"/>
    </row>
    <row r="161" spans="1:24" x14ac:dyDescent="0.3">
      <c r="A161" s="408"/>
      <c r="B161" s="557" t="s">
        <v>24</v>
      </c>
      <c r="C161" s="410"/>
      <c r="D161" s="410"/>
      <c r="E161" s="410"/>
      <c r="F161" s="410"/>
      <c r="G161" s="410"/>
      <c r="H161" s="410"/>
      <c r="I161" s="410"/>
      <c r="J161" s="410"/>
      <c r="K161" s="410"/>
      <c r="L161" s="410"/>
      <c r="M161" s="410"/>
      <c r="N161" s="410"/>
      <c r="O161" s="410"/>
      <c r="P161" s="410"/>
      <c r="Q161" s="410"/>
      <c r="R161" s="410"/>
      <c r="S161" s="410"/>
      <c r="T161" s="410"/>
      <c r="U161" s="410"/>
      <c r="V161" s="510"/>
      <c r="W161" s="411"/>
      <c r="X161" s="406"/>
    </row>
    <row r="162" spans="1:24" x14ac:dyDescent="0.3">
      <c r="A162" s="543"/>
      <c r="B162" s="444" t="s">
        <v>47</v>
      </c>
      <c r="C162" s="444"/>
      <c r="D162" s="444"/>
      <c r="E162" s="444"/>
      <c r="F162" s="444"/>
      <c r="G162" s="444"/>
      <c r="H162" s="444"/>
      <c r="I162" s="444"/>
      <c r="J162" s="444"/>
      <c r="K162" s="444"/>
      <c r="L162" s="444"/>
      <c r="M162" s="444"/>
      <c r="N162" s="444"/>
      <c r="O162" s="444"/>
      <c r="P162" s="444"/>
      <c r="Q162" s="444"/>
      <c r="R162" s="444"/>
      <c r="S162" s="444"/>
      <c r="T162" s="444"/>
      <c r="U162" s="444"/>
      <c r="V162" s="561" t="s">
        <v>121</v>
      </c>
      <c r="W162" s="558"/>
      <c r="X162" s="406"/>
    </row>
    <row r="163" spans="1:24" x14ac:dyDescent="0.3">
      <c r="A163" s="543"/>
      <c r="B163" s="444" t="s">
        <v>48</v>
      </c>
      <c r="C163" s="444"/>
      <c r="D163" s="444"/>
      <c r="E163" s="444"/>
      <c r="F163" s="444"/>
      <c r="G163" s="444"/>
      <c r="H163" s="444"/>
      <c r="I163" s="444"/>
      <c r="J163" s="444"/>
      <c r="K163" s="444"/>
      <c r="L163" s="444"/>
      <c r="M163" s="444"/>
      <c r="N163" s="444"/>
      <c r="O163" s="444"/>
      <c r="P163" s="444"/>
      <c r="Q163" s="444"/>
      <c r="R163" s="444"/>
      <c r="S163" s="444"/>
      <c r="T163" s="444"/>
      <c r="U163" s="444"/>
      <c r="V163" s="561" t="s">
        <v>121</v>
      </c>
      <c r="W163" s="558"/>
      <c r="X163" s="406"/>
    </row>
    <row r="164" spans="1:24" x14ac:dyDescent="0.3">
      <c r="A164" s="543"/>
      <c r="B164" s="444" t="s">
        <v>49</v>
      </c>
      <c r="C164" s="444"/>
      <c r="D164" s="444"/>
      <c r="E164" s="444"/>
      <c r="F164" s="444"/>
      <c r="G164" s="444"/>
      <c r="H164" s="444"/>
      <c r="I164" s="444"/>
      <c r="J164" s="444"/>
      <c r="K164" s="444"/>
      <c r="L164" s="444"/>
      <c r="M164" s="444"/>
      <c r="N164" s="444"/>
      <c r="O164" s="444"/>
      <c r="P164" s="444"/>
      <c r="Q164" s="444"/>
      <c r="R164" s="444"/>
      <c r="S164" s="444"/>
      <c r="T164" s="444"/>
      <c r="U164" s="444"/>
      <c r="V164" s="561" t="s">
        <v>121</v>
      </c>
      <c r="W164" s="558"/>
      <c r="X164" s="406"/>
    </row>
    <row r="165" spans="1:24" x14ac:dyDescent="0.3">
      <c r="A165" s="543"/>
      <c r="B165" s="444" t="s">
        <v>50</v>
      </c>
      <c r="C165" s="444"/>
      <c r="D165" s="444"/>
      <c r="E165" s="444"/>
      <c r="F165" s="444"/>
      <c r="G165" s="444"/>
      <c r="H165" s="444"/>
      <c r="I165" s="444"/>
      <c r="J165" s="444"/>
      <c r="K165" s="444"/>
      <c r="L165" s="444"/>
      <c r="M165" s="444"/>
      <c r="N165" s="444"/>
      <c r="O165" s="444"/>
      <c r="P165" s="444"/>
      <c r="Q165" s="444"/>
      <c r="R165" s="444"/>
      <c r="S165" s="444"/>
      <c r="T165" s="444"/>
      <c r="U165" s="444"/>
      <c r="V165" s="561" t="s">
        <v>121</v>
      </c>
      <c r="W165" s="558"/>
      <c r="X165" s="406"/>
    </row>
    <row r="166" spans="1:24" x14ac:dyDescent="0.3">
      <c r="A166" s="408"/>
      <c r="B166" s="518"/>
      <c r="C166" s="518"/>
      <c r="D166" s="518"/>
      <c r="E166" s="518"/>
      <c r="F166" s="518"/>
      <c r="G166" s="518"/>
      <c r="H166" s="518"/>
      <c r="I166" s="518"/>
      <c r="J166" s="518"/>
      <c r="K166" s="518"/>
      <c r="L166" s="518"/>
      <c r="M166" s="518"/>
      <c r="N166" s="518"/>
      <c r="O166" s="518"/>
      <c r="P166" s="518"/>
      <c r="Q166" s="518"/>
      <c r="R166" s="518"/>
      <c r="S166" s="518"/>
      <c r="T166" s="518"/>
      <c r="U166" s="518"/>
      <c r="V166" s="560"/>
      <c r="W166" s="411"/>
      <c r="X166" s="406"/>
    </row>
    <row r="167" spans="1:24" x14ac:dyDescent="0.3">
      <c r="A167" s="408"/>
      <c r="B167" s="557" t="s">
        <v>51</v>
      </c>
      <c r="C167" s="410"/>
      <c r="D167" s="410"/>
      <c r="E167" s="410"/>
      <c r="F167" s="410"/>
      <c r="G167" s="410"/>
      <c r="H167" s="410"/>
      <c r="I167" s="410"/>
      <c r="J167" s="410"/>
      <c r="K167" s="410"/>
      <c r="L167" s="410"/>
      <c r="M167" s="410"/>
      <c r="N167" s="410"/>
      <c r="O167" s="410"/>
      <c r="P167" s="410"/>
      <c r="Q167" s="410"/>
      <c r="R167" s="410"/>
      <c r="S167" s="410"/>
      <c r="T167" s="410"/>
      <c r="U167" s="410"/>
      <c r="V167" s="562"/>
      <c r="W167" s="411"/>
      <c r="X167" s="406"/>
    </row>
    <row r="168" spans="1:24" x14ac:dyDescent="0.3">
      <c r="A168" s="563"/>
      <c r="B168" s="548" t="s">
        <v>52</v>
      </c>
      <c r="C168" s="548"/>
      <c r="D168" s="548"/>
      <c r="E168" s="548"/>
      <c r="F168" s="548"/>
      <c r="G168" s="548"/>
      <c r="H168" s="548"/>
      <c r="I168" s="548"/>
      <c r="J168" s="548"/>
      <c r="K168" s="548"/>
      <c r="L168" s="548"/>
      <c r="M168" s="548"/>
      <c r="N168" s="548"/>
      <c r="O168" s="548"/>
      <c r="P168" s="548"/>
      <c r="Q168" s="548"/>
      <c r="R168" s="548"/>
      <c r="S168" s="548"/>
      <c r="T168" s="548"/>
      <c r="U168" s="548"/>
      <c r="V168" s="564">
        <v>0</v>
      </c>
      <c r="W168" s="565"/>
      <c r="X168" s="406"/>
    </row>
    <row r="169" spans="1:24" x14ac:dyDescent="0.3">
      <c r="A169" s="563"/>
      <c r="B169" s="548" t="s">
        <v>53</v>
      </c>
      <c r="C169" s="548"/>
      <c r="D169" s="548"/>
      <c r="E169" s="548"/>
      <c r="F169" s="548"/>
      <c r="G169" s="548"/>
      <c r="H169" s="548"/>
      <c r="I169" s="548"/>
      <c r="J169" s="548"/>
      <c r="K169" s="548"/>
      <c r="L169" s="548"/>
      <c r="M169" s="548"/>
      <c r="N169" s="548"/>
      <c r="O169" s="548"/>
      <c r="P169" s="548"/>
      <c r="Q169" s="548"/>
      <c r="R169" s="548"/>
      <c r="S169" s="548"/>
      <c r="T169" s="548"/>
      <c r="U169" s="548"/>
      <c r="V169" s="564">
        <v>469</v>
      </c>
      <c r="W169" s="565"/>
      <c r="X169" s="406"/>
    </row>
    <row r="170" spans="1:24" x14ac:dyDescent="0.3">
      <c r="A170" s="563"/>
      <c r="B170" s="548" t="s">
        <v>54</v>
      </c>
      <c r="C170" s="548"/>
      <c r="D170" s="548"/>
      <c r="E170" s="548"/>
      <c r="F170" s="548"/>
      <c r="G170" s="548"/>
      <c r="H170" s="548"/>
      <c r="I170" s="548"/>
      <c r="J170" s="548"/>
      <c r="K170" s="548"/>
      <c r="L170" s="548"/>
      <c r="M170" s="548"/>
      <c r="N170" s="548"/>
      <c r="O170" s="548"/>
      <c r="P170" s="548"/>
      <c r="Q170" s="548"/>
      <c r="R170" s="548"/>
      <c r="S170" s="548"/>
      <c r="T170" s="548"/>
      <c r="U170" s="548"/>
      <c r="V170" s="564">
        <f>V169+V168</f>
        <v>469</v>
      </c>
      <c r="W170" s="565"/>
      <c r="X170" s="406"/>
    </row>
    <row r="171" spans="1:24" x14ac:dyDescent="0.3">
      <c r="A171" s="563"/>
      <c r="B171" s="444" t="s">
        <v>318</v>
      </c>
      <c r="C171" s="548"/>
      <c r="D171" s="548"/>
      <c r="E171" s="548"/>
      <c r="F171" s="548"/>
      <c r="G171" s="548"/>
      <c r="H171" s="548"/>
      <c r="I171" s="548"/>
      <c r="J171" s="548"/>
      <c r="K171" s="548"/>
      <c r="L171" s="548"/>
      <c r="M171" s="548"/>
      <c r="N171" s="548"/>
      <c r="O171" s="548"/>
      <c r="P171" s="548"/>
      <c r="Q171" s="548"/>
      <c r="R171" s="548"/>
      <c r="S171" s="548"/>
      <c r="T171" s="548"/>
      <c r="U171" s="548"/>
      <c r="V171" s="564">
        <f>V114</f>
        <v>-469</v>
      </c>
      <c r="W171" s="565"/>
      <c r="X171" s="406"/>
    </row>
    <row r="172" spans="1:24" x14ac:dyDescent="0.3">
      <c r="A172" s="563"/>
      <c r="B172" s="548" t="s">
        <v>55</v>
      </c>
      <c r="C172" s="548"/>
      <c r="D172" s="548"/>
      <c r="E172" s="548"/>
      <c r="F172" s="548"/>
      <c r="G172" s="548"/>
      <c r="H172" s="548"/>
      <c r="I172" s="548"/>
      <c r="J172" s="548"/>
      <c r="K172" s="548"/>
      <c r="L172" s="548"/>
      <c r="M172" s="548"/>
      <c r="N172" s="548"/>
      <c r="O172" s="548"/>
      <c r="P172" s="548"/>
      <c r="Q172" s="548"/>
      <c r="R172" s="548"/>
      <c r="S172" s="548"/>
      <c r="T172" s="548"/>
      <c r="U172" s="548"/>
      <c r="V172" s="564">
        <f>V170+V171</f>
        <v>0</v>
      </c>
      <c r="W172" s="565"/>
      <c r="X172" s="406"/>
    </row>
    <row r="173" spans="1:24" x14ac:dyDescent="0.3">
      <c r="A173" s="563"/>
      <c r="B173" s="548" t="s">
        <v>288</v>
      </c>
      <c r="C173" s="548"/>
      <c r="D173" s="548"/>
      <c r="E173" s="548"/>
      <c r="F173" s="548"/>
      <c r="G173" s="548"/>
      <c r="H173" s="548"/>
      <c r="I173" s="548"/>
      <c r="J173" s="548"/>
      <c r="K173" s="548"/>
      <c r="L173" s="548"/>
      <c r="M173" s="548"/>
      <c r="N173" s="548"/>
      <c r="O173" s="548"/>
      <c r="P173" s="548"/>
      <c r="Q173" s="548"/>
      <c r="R173" s="548"/>
      <c r="S173" s="548"/>
      <c r="T173" s="548"/>
      <c r="U173" s="548"/>
      <c r="V173" s="564">
        <v>0</v>
      </c>
      <c r="W173" s="565"/>
      <c r="X173" s="406"/>
    </row>
    <row r="174" spans="1:24" ht="16.2" thickBot="1" x14ac:dyDescent="0.35">
      <c r="A174" s="408"/>
      <c r="B174" s="518"/>
      <c r="C174" s="518"/>
      <c r="D174" s="518"/>
      <c r="E174" s="518"/>
      <c r="F174" s="518"/>
      <c r="G174" s="518"/>
      <c r="H174" s="518"/>
      <c r="I174" s="518"/>
      <c r="J174" s="518"/>
      <c r="K174" s="518"/>
      <c r="L174" s="518"/>
      <c r="M174" s="518"/>
      <c r="N174" s="518"/>
      <c r="O174" s="518"/>
      <c r="P174" s="518"/>
      <c r="Q174" s="518"/>
      <c r="R174" s="518"/>
      <c r="S174" s="518"/>
      <c r="T174" s="518"/>
      <c r="U174" s="518"/>
      <c r="V174" s="560"/>
      <c r="W174" s="411"/>
      <c r="X174" s="406"/>
    </row>
    <row r="175" spans="1:24" x14ac:dyDescent="0.3">
      <c r="A175" s="402"/>
      <c r="B175" s="404"/>
      <c r="C175" s="404"/>
      <c r="D175" s="404"/>
      <c r="E175" s="404"/>
      <c r="F175" s="404"/>
      <c r="G175" s="404"/>
      <c r="H175" s="404"/>
      <c r="I175" s="404"/>
      <c r="J175" s="404"/>
      <c r="K175" s="404"/>
      <c r="L175" s="404"/>
      <c r="M175" s="404"/>
      <c r="N175" s="404"/>
      <c r="O175" s="404"/>
      <c r="P175" s="404"/>
      <c r="Q175" s="404"/>
      <c r="R175" s="404"/>
      <c r="S175" s="404"/>
      <c r="T175" s="404"/>
      <c r="U175" s="404"/>
      <c r="V175" s="566"/>
      <c r="W175" s="405"/>
      <c r="X175" s="406"/>
    </row>
    <row r="176" spans="1:24" x14ac:dyDescent="0.3">
      <c r="A176" s="408"/>
      <c r="B176" s="557" t="s">
        <v>56</v>
      </c>
      <c r="C176" s="410"/>
      <c r="D176" s="410"/>
      <c r="E176" s="410"/>
      <c r="F176" s="410"/>
      <c r="G176" s="410"/>
      <c r="H176" s="410"/>
      <c r="I176" s="410"/>
      <c r="J176" s="410"/>
      <c r="K176" s="410"/>
      <c r="L176" s="410"/>
      <c r="M176" s="410"/>
      <c r="N176" s="410"/>
      <c r="O176" s="410"/>
      <c r="P176" s="410"/>
      <c r="Q176" s="410"/>
      <c r="R176" s="410"/>
      <c r="S176" s="410"/>
      <c r="T176" s="410"/>
      <c r="U176" s="410"/>
      <c r="V176" s="510"/>
      <c r="W176" s="411"/>
      <c r="X176" s="406"/>
    </row>
    <row r="177" spans="1:24" x14ac:dyDescent="0.3">
      <c r="A177" s="408"/>
      <c r="B177" s="556"/>
      <c r="C177" s="410"/>
      <c r="D177" s="410"/>
      <c r="E177" s="410"/>
      <c r="F177" s="410"/>
      <c r="G177" s="410"/>
      <c r="H177" s="410"/>
      <c r="I177" s="410"/>
      <c r="J177" s="410"/>
      <c r="K177" s="410"/>
      <c r="L177" s="410"/>
      <c r="M177" s="410"/>
      <c r="N177" s="410"/>
      <c r="O177" s="410"/>
      <c r="P177" s="410"/>
      <c r="Q177" s="410"/>
      <c r="R177" s="410"/>
      <c r="S177" s="410"/>
      <c r="T177" s="410"/>
      <c r="U177" s="410"/>
      <c r="V177" s="510"/>
      <c r="W177" s="411"/>
      <c r="X177" s="406"/>
    </row>
    <row r="178" spans="1:24" x14ac:dyDescent="0.3">
      <c r="A178" s="543"/>
      <c r="B178" s="444" t="s">
        <v>57</v>
      </c>
      <c r="C178" s="444"/>
      <c r="D178" s="444"/>
      <c r="E178" s="444"/>
      <c r="F178" s="444"/>
      <c r="G178" s="444"/>
      <c r="H178" s="444"/>
      <c r="I178" s="444"/>
      <c r="J178" s="444"/>
      <c r="K178" s="444"/>
      <c r="L178" s="444"/>
      <c r="M178" s="444"/>
      <c r="N178" s="444"/>
      <c r="O178" s="444"/>
      <c r="P178" s="444"/>
      <c r="Q178" s="444"/>
      <c r="R178" s="444"/>
      <c r="S178" s="444"/>
      <c r="T178" s="444"/>
      <c r="U178" s="444"/>
      <c r="V178" s="517">
        <f>V70</f>
        <v>674886</v>
      </c>
      <c r="W178" s="558"/>
      <c r="X178" s="406"/>
    </row>
    <row r="179" spans="1:24" x14ac:dyDescent="0.3">
      <c r="A179" s="543"/>
      <c r="B179" s="444" t="s">
        <v>58</v>
      </c>
      <c r="C179" s="444"/>
      <c r="D179" s="444"/>
      <c r="E179" s="444"/>
      <c r="F179" s="444"/>
      <c r="G179" s="444"/>
      <c r="H179" s="444"/>
      <c r="I179" s="444"/>
      <c r="J179" s="444"/>
      <c r="K179" s="444"/>
      <c r="L179" s="444"/>
      <c r="M179" s="444"/>
      <c r="N179" s="444"/>
      <c r="O179" s="444"/>
      <c r="P179" s="444"/>
      <c r="Q179" s="444"/>
      <c r="R179" s="444"/>
      <c r="S179" s="444"/>
      <c r="T179" s="444"/>
      <c r="U179" s="444"/>
      <c r="V179" s="517">
        <f>V83</f>
        <v>674886</v>
      </c>
      <c r="W179" s="558"/>
      <c r="X179" s="406"/>
    </row>
    <row r="180" spans="1:24" ht="16.2" thickBot="1" x14ac:dyDescent="0.35">
      <c r="A180" s="408"/>
      <c r="B180" s="518"/>
      <c r="C180" s="518"/>
      <c r="D180" s="518"/>
      <c r="E180" s="518"/>
      <c r="F180" s="518"/>
      <c r="G180" s="518"/>
      <c r="H180" s="518"/>
      <c r="I180" s="518"/>
      <c r="J180" s="518"/>
      <c r="K180" s="518"/>
      <c r="L180" s="518"/>
      <c r="M180" s="518"/>
      <c r="N180" s="518"/>
      <c r="O180" s="518"/>
      <c r="P180" s="518"/>
      <c r="Q180" s="518"/>
      <c r="R180" s="518"/>
      <c r="S180" s="518"/>
      <c r="T180" s="518"/>
      <c r="U180" s="518"/>
      <c r="V180" s="560"/>
      <c r="W180" s="411"/>
      <c r="X180" s="406"/>
    </row>
    <row r="181" spans="1:24" x14ac:dyDescent="0.3">
      <c r="A181" s="402"/>
      <c r="B181" s="404"/>
      <c r="C181" s="404"/>
      <c r="D181" s="404"/>
      <c r="E181" s="404"/>
      <c r="F181" s="404"/>
      <c r="G181" s="404"/>
      <c r="H181" s="404"/>
      <c r="I181" s="404"/>
      <c r="J181" s="404"/>
      <c r="K181" s="404"/>
      <c r="L181" s="404"/>
      <c r="M181" s="404"/>
      <c r="N181" s="404"/>
      <c r="O181" s="404"/>
      <c r="P181" s="404"/>
      <c r="Q181" s="404"/>
      <c r="R181" s="404"/>
      <c r="S181" s="404"/>
      <c r="T181" s="404"/>
      <c r="U181" s="404"/>
      <c r="V181" s="566"/>
      <c r="W181" s="405"/>
      <c r="X181" s="406"/>
    </row>
    <row r="182" spans="1:24" s="473" customFormat="1" x14ac:dyDescent="0.3">
      <c r="A182" s="511"/>
      <c r="B182" s="557" t="s">
        <v>59</v>
      </c>
      <c r="C182" s="567"/>
      <c r="D182" s="567"/>
      <c r="E182" s="567"/>
      <c r="F182" s="567"/>
      <c r="G182" s="567"/>
      <c r="H182" s="568"/>
      <c r="I182" s="568"/>
      <c r="J182" s="568"/>
      <c r="K182" s="568"/>
      <c r="L182" s="568"/>
      <c r="M182" s="568"/>
      <c r="N182" s="568"/>
      <c r="O182" s="568"/>
      <c r="P182" s="568"/>
      <c r="Q182" s="568"/>
      <c r="R182" s="568"/>
      <c r="S182" s="568" t="s">
        <v>102</v>
      </c>
      <c r="T182" s="568" t="s">
        <v>179</v>
      </c>
      <c r="U182" s="413"/>
      <c r="V182" s="569" t="s">
        <v>117</v>
      </c>
      <c r="W182" s="570"/>
      <c r="X182" s="472"/>
    </row>
    <row r="183" spans="1:24" s="426" customFormat="1" x14ac:dyDescent="0.3">
      <c r="A183" s="443"/>
      <c r="B183" s="444" t="s">
        <v>60</v>
      </c>
      <c r="C183" s="444"/>
      <c r="D183" s="444"/>
      <c r="E183" s="444"/>
      <c r="F183" s="444"/>
      <c r="G183" s="444"/>
      <c r="H183" s="444"/>
      <c r="I183" s="444"/>
      <c r="J183" s="444"/>
      <c r="K183" s="444"/>
      <c r="L183" s="444"/>
      <c r="M183" s="444"/>
      <c r="N183" s="444"/>
      <c r="O183" s="444"/>
      <c r="P183" s="444"/>
      <c r="Q183" s="444"/>
      <c r="R183" s="444"/>
      <c r="S183" s="517">
        <f>+V34*0.16</f>
        <v>240030.4</v>
      </c>
      <c r="T183" s="482"/>
      <c r="U183" s="444"/>
      <c r="V183" s="517"/>
      <c r="W183" s="446"/>
      <c r="X183" s="425"/>
    </row>
    <row r="184" spans="1:24" s="426" customFormat="1" x14ac:dyDescent="0.3">
      <c r="A184" s="443"/>
      <c r="B184" s="444" t="s">
        <v>61</v>
      </c>
      <c r="C184" s="444"/>
      <c r="D184" s="444"/>
      <c r="E184" s="444"/>
      <c r="F184" s="444"/>
      <c r="G184" s="444"/>
      <c r="H184" s="444"/>
      <c r="I184" s="444"/>
      <c r="J184" s="444"/>
      <c r="K184" s="444"/>
      <c r="L184" s="444"/>
      <c r="M184" s="444"/>
      <c r="N184" s="444"/>
      <c r="O184" s="444"/>
      <c r="P184" s="444"/>
      <c r="Q184" s="444"/>
      <c r="R184" s="444"/>
      <c r="S184" s="517">
        <f>+'Dec 19'!S186</f>
        <v>55845</v>
      </c>
      <c r="T184" s="517">
        <f>+'Dec 19'!T186</f>
        <v>9760</v>
      </c>
      <c r="U184" s="444"/>
      <c r="V184" s="517">
        <f>S184+T184</f>
        <v>65605</v>
      </c>
      <c r="W184" s="446"/>
      <c r="X184" s="425"/>
    </row>
    <row r="185" spans="1:24" s="426" customFormat="1" x14ac:dyDescent="0.3">
      <c r="A185" s="443"/>
      <c r="B185" s="444" t="s">
        <v>62</v>
      </c>
      <c r="C185" s="444"/>
      <c r="D185" s="444"/>
      <c r="E185" s="444"/>
      <c r="F185" s="444"/>
      <c r="G185" s="444"/>
      <c r="H185" s="444"/>
      <c r="I185" s="444"/>
      <c r="J185" s="444"/>
      <c r="K185" s="444"/>
      <c r="L185" s="444"/>
      <c r="M185" s="444"/>
      <c r="N185" s="444"/>
      <c r="O185" s="444"/>
      <c r="P185" s="444"/>
      <c r="Q185" s="444"/>
      <c r="R185" s="444"/>
      <c r="S185" s="516">
        <v>0</v>
      </c>
      <c r="T185" s="516">
        <v>0</v>
      </c>
      <c r="U185" s="444"/>
      <c r="V185" s="517">
        <f>S185+T185</f>
        <v>0</v>
      </c>
      <c r="W185" s="446"/>
      <c r="X185" s="425"/>
    </row>
    <row r="186" spans="1:24" s="426" customFormat="1" x14ac:dyDescent="0.3">
      <c r="A186" s="443"/>
      <c r="B186" s="444" t="s">
        <v>63</v>
      </c>
      <c r="C186" s="444"/>
      <c r="D186" s="444"/>
      <c r="E186" s="444"/>
      <c r="F186" s="444"/>
      <c r="G186" s="444"/>
      <c r="H186" s="444"/>
      <c r="I186" s="444"/>
      <c r="J186" s="444"/>
      <c r="K186" s="444"/>
      <c r="L186" s="444"/>
      <c r="M186" s="444"/>
      <c r="N186" s="444"/>
      <c r="O186" s="444"/>
      <c r="P186" s="444"/>
      <c r="Q186" s="444"/>
      <c r="R186" s="444"/>
      <c r="S186" s="517">
        <f>+S184+S185</f>
        <v>55845</v>
      </c>
      <c r="T186" s="517">
        <f>T185+T184</f>
        <v>9760</v>
      </c>
      <c r="U186" s="444"/>
      <c r="V186" s="517">
        <f>S186+T186</f>
        <v>65605</v>
      </c>
      <c r="W186" s="446"/>
      <c r="X186" s="425"/>
    </row>
    <row r="187" spans="1:24" s="426" customFormat="1" x14ac:dyDescent="0.3">
      <c r="A187" s="443"/>
      <c r="B187" s="444" t="s">
        <v>64</v>
      </c>
      <c r="C187" s="444"/>
      <c r="D187" s="444"/>
      <c r="E187" s="444"/>
      <c r="F187" s="444"/>
      <c r="G187" s="444"/>
      <c r="H187" s="444"/>
      <c r="I187" s="444"/>
      <c r="J187" s="444"/>
      <c r="K187" s="444"/>
      <c r="L187" s="444"/>
      <c r="M187" s="444"/>
      <c r="N187" s="444"/>
      <c r="O187" s="444"/>
      <c r="P187" s="444"/>
      <c r="Q187" s="444"/>
      <c r="R187" s="444"/>
      <c r="S187" s="517">
        <f>S183-S186-T186</f>
        <v>174425.4</v>
      </c>
      <c r="T187" s="482"/>
      <c r="U187" s="444"/>
      <c r="V187" s="517"/>
      <c r="W187" s="446"/>
      <c r="X187" s="425"/>
    </row>
    <row r="188" spans="1:24" ht="16.2" thickBot="1" x14ac:dyDescent="0.35">
      <c r="A188" s="408"/>
      <c r="B188" s="518"/>
      <c r="C188" s="518"/>
      <c r="D188" s="518"/>
      <c r="E188" s="518"/>
      <c r="F188" s="518"/>
      <c r="G188" s="518"/>
      <c r="H188" s="518"/>
      <c r="I188" s="518"/>
      <c r="J188" s="518"/>
      <c r="K188" s="518"/>
      <c r="L188" s="518"/>
      <c r="M188" s="518"/>
      <c r="N188" s="518"/>
      <c r="O188" s="518"/>
      <c r="P188" s="518"/>
      <c r="Q188" s="518"/>
      <c r="R188" s="518"/>
      <c r="S188" s="518"/>
      <c r="T188" s="518"/>
      <c r="U188" s="518"/>
      <c r="V188" s="560"/>
      <c r="W188" s="411"/>
      <c r="X188" s="406"/>
    </row>
    <row r="189" spans="1:24" x14ac:dyDescent="0.3">
      <c r="A189" s="402"/>
      <c r="B189" s="404"/>
      <c r="C189" s="404"/>
      <c r="D189" s="404"/>
      <c r="E189" s="404"/>
      <c r="F189" s="404"/>
      <c r="G189" s="404"/>
      <c r="H189" s="404"/>
      <c r="I189" s="404"/>
      <c r="J189" s="404"/>
      <c r="K189" s="404"/>
      <c r="L189" s="404"/>
      <c r="M189" s="404"/>
      <c r="N189" s="404"/>
      <c r="O189" s="404"/>
      <c r="P189" s="404"/>
      <c r="Q189" s="404"/>
      <c r="R189" s="404"/>
      <c r="S189" s="404"/>
      <c r="T189" s="404"/>
      <c r="U189" s="404"/>
      <c r="V189" s="566"/>
      <c r="W189" s="405"/>
      <c r="X189" s="406"/>
    </row>
    <row r="190" spans="1:24" x14ac:dyDescent="0.3">
      <c r="A190" s="408"/>
      <c r="B190" s="557" t="s">
        <v>65</v>
      </c>
      <c r="C190" s="410"/>
      <c r="D190" s="410"/>
      <c r="E190" s="410"/>
      <c r="F190" s="410"/>
      <c r="G190" s="410"/>
      <c r="H190" s="410"/>
      <c r="I190" s="410"/>
      <c r="J190" s="410"/>
      <c r="K190" s="410"/>
      <c r="L190" s="410"/>
      <c r="M190" s="410"/>
      <c r="N190" s="410"/>
      <c r="O190" s="410"/>
      <c r="P190" s="410"/>
      <c r="Q190" s="410"/>
      <c r="R190" s="410"/>
      <c r="S190" s="410"/>
      <c r="T190" s="410"/>
      <c r="U190" s="410"/>
      <c r="V190" s="571"/>
      <c r="W190" s="411"/>
      <c r="X190" s="406"/>
    </row>
    <row r="191" spans="1:24" s="426" customFormat="1" x14ac:dyDescent="0.3">
      <c r="A191" s="443"/>
      <c r="B191" s="444" t="s">
        <v>66</v>
      </c>
      <c r="C191" s="444"/>
      <c r="D191" s="444"/>
      <c r="E191" s="444"/>
      <c r="F191" s="444"/>
      <c r="G191" s="444"/>
      <c r="H191" s="444"/>
      <c r="I191" s="444"/>
      <c r="J191" s="444"/>
      <c r="K191" s="444"/>
      <c r="L191" s="444"/>
      <c r="M191" s="444"/>
      <c r="N191" s="444"/>
      <c r="O191" s="444"/>
      <c r="P191" s="444"/>
      <c r="Q191" s="444"/>
      <c r="R191" s="444"/>
      <c r="S191" s="444"/>
      <c r="T191" s="444"/>
      <c r="U191" s="444"/>
      <c r="V191" s="561">
        <f>(V99+V101+V102+V103+V104)/-(V105+V106)</f>
        <v>3.7192704203013482</v>
      </c>
      <c r="W191" s="446" t="s">
        <v>118</v>
      </c>
      <c r="X191" s="425"/>
    </row>
    <row r="192" spans="1:24" s="426" customFormat="1" x14ac:dyDescent="0.3">
      <c r="A192" s="443"/>
      <c r="B192" s="444" t="s">
        <v>67</v>
      </c>
      <c r="C192" s="444"/>
      <c r="D192" s="444"/>
      <c r="E192" s="444"/>
      <c r="F192" s="444"/>
      <c r="G192" s="444"/>
      <c r="H192" s="444"/>
      <c r="I192" s="444"/>
      <c r="J192" s="444"/>
      <c r="K192" s="444"/>
      <c r="L192" s="444"/>
      <c r="M192" s="444"/>
      <c r="N192" s="444"/>
      <c r="O192" s="444"/>
      <c r="P192" s="444"/>
      <c r="Q192" s="444"/>
      <c r="R192" s="444"/>
      <c r="S192" s="444"/>
      <c r="T192" s="444"/>
      <c r="U192" s="444"/>
      <c r="V192" s="572">
        <v>1.99</v>
      </c>
      <c r="W192" s="446" t="s">
        <v>118</v>
      </c>
      <c r="X192" s="425"/>
    </row>
    <row r="193" spans="1:24" s="426" customFormat="1" x14ac:dyDescent="0.3">
      <c r="A193" s="443"/>
      <c r="B193" s="444" t="s">
        <v>68</v>
      </c>
      <c r="C193" s="444"/>
      <c r="D193" s="444"/>
      <c r="E193" s="444"/>
      <c r="F193" s="444"/>
      <c r="G193" s="444"/>
      <c r="H193" s="444"/>
      <c r="I193" s="444"/>
      <c r="J193" s="444"/>
      <c r="K193" s="444"/>
      <c r="L193" s="444"/>
      <c r="M193" s="444"/>
      <c r="N193" s="444"/>
      <c r="O193" s="444"/>
      <c r="P193" s="444"/>
      <c r="Q193" s="444"/>
      <c r="R193" s="444"/>
      <c r="S193" s="444"/>
      <c r="T193" s="444"/>
      <c r="U193" s="444"/>
      <c r="V193" s="561">
        <f>(V99+V101+V102+V103+V104+V105+V106)/-(V108+V109)</f>
        <v>11.783505154639176</v>
      </c>
      <c r="W193" s="446" t="s">
        <v>118</v>
      </c>
      <c r="X193" s="425"/>
    </row>
    <row r="194" spans="1:24" s="426" customFormat="1" x14ac:dyDescent="0.3">
      <c r="A194" s="443"/>
      <c r="B194" s="444" t="s">
        <v>69</v>
      </c>
      <c r="C194" s="444"/>
      <c r="D194" s="444"/>
      <c r="E194" s="444"/>
      <c r="F194" s="444"/>
      <c r="G194" s="444"/>
      <c r="H194" s="444"/>
      <c r="I194" s="444"/>
      <c r="J194" s="444"/>
      <c r="K194" s="444"/>
      <c r="L194" s="444"/>
      <c r="M194" s="444"/>
      <c r="N194" s="444"/>
      <c r="O194" s="444"/>
      <c r="P194" s="444"/>
      <c r="Q194" s="444"/>
      <c r="R194" s="444"/>
      <c r="S194" s="444"/>
      <c r="T194" s="444"/>
      <c r="U194" s="444"/>
      <c r="V194" s="572">
        <v>8.1199999999999992</v>
      </c>
      <c r="W194" s="446" t="s">
        <v>118</v>
      </c>
      <c r="X194" s="425"/>
    </row>
    <row r="195" spans="1:24" s="426" customFormat="1" x14ac:dyDescent="0.3">
      <c r="A195" s="443"/>
      <c r="B195" s="444" t="s">
        <v>201</v>
      </c>
      <c r="C195" s="444"/>
      <c r="D195" s="444"/>
      <c r="E195" s="444"/>
      <c r="F195" s="444"/>
      <c r="G195" s="444"/>
      <c r="H195" s="444"/>
      <c r="I195" s="444"/>
      <c r="J195" s="444"/>
      <c r="K195" s="444"/>
      <c r="L195" s="444"/>
      <c r="M195" s="444"/>
      <c r="N195" s="444"/>
      <c r="O195" s="444"/>
      <c r="P195" s="444"/>
      <c r="Q195" s="444"/>
      <c r="R195" s="444"/>
      <c r="S195" s="444"/>
      <c r="T195" s="444"/>
      <c r="U195" s="444"/>
      <c r="V195" s="561">
        <f>(V99+V101+V102+V103+V104+V105+V106+V108+V109)/-(V110+V111)</f>
        <v>13.129707112970712</v>
      </c>
      <c r="W195" s="446" t="s">
        <v>118</v>
      </c>
      <c r="X195" s="425"/>
    </row>
    <row r="196" spans="1:24" s="426" customFormat="1" x14ac:dyDescent="0.3">
      <c r="A196" s="443"/>
      <c r="B196" s="444" t="s">
        <v>202</v>
      </c>
      <c r="C196" s="444"/>
      <c r="D196" s="444"/>
      <c r="E196" s="444"/>
      <c r="F196" s="444"/>
      <c r="G196" s="444"/>
      <c r="H196" s="444"/>
      <c r="I196" s="444"/>
      <c r="J196" s="444"/>
      <c r="K196" s="444"/>
      <c r="L196" s="444"/>
      <c r="M196" s="444"/>
      <c r="N196" s="444"/>
      <c r="O196" s="444"/>
      <c r="P196" s="444"/>
      <c r="Q196" s="444"/>
      <c r="R196" s="444"/>
      <c r="S196" s="444"/>
      <c r="T196" s="444"/>
      <c r="U196" s="444"/>
      <c r="V196" s="572">
        <v>10.039999999999999</v>
      </c>
      <c r="W196" s="446" t="s">
        <v>118</v>
      </c>
      <c r="X196" s="425"/>
    </row>
    <row r="197" spans="1:24" x14ac:dyDescent="0.3">
      <c r="A197" s="543"/>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547"/>
      <c r="X197" s="406"/>
    </row>
    <row r="198" spans="1:24" x14ac:dyDescent="0.3">
      <c r="A198" s="408"/>
      <c r="B198" s="518"/>
      <c r="C198" s="518"/>
      <c r="D198" s="518"/>
      <c r="E198" s="518"/>
      <c r="F198" s="518"/>
      <c r="G198" s="518"/>
      <c r="H198" s="518"/>
      <c r="I198" s="518"/>
      <c r="J198" s="518"/>
      <c r="K198" s="518"/>
      <c r="L198" s="518"/>
      <c r="M198" s="518"/>
      <c r="N198" s="518"/>
      <c r="O198" s="518"/>
      <c r="P198" s="518"/>
      <c r="Q198" s="518"/>
      <c r="R198" s="518"/>
      <c r="S198" s="518"/>
      <c r="T198" s="518"/>
      <c r="U198" s="518"/>
      <c r="V198" s="518"/>
      <c r="W198" s="411"/>
      <c r="X198" s="406"/>
    </row>
    <row r="199" spans="1:24" x14ac:dyDescent="0.3">
      <c r="A199" s="408"/>
      <c r="B199" s="410"/>
      <c r="C199" s="410"/>
      <c r="D199" s="410"/>
      <c r="E199" s="410"/>
      <c r="F199" s="410"/>
      <c r="G199" s="410"/>
      <c r="H199" s="410"/>
      <c r="I199" s="410"/>
      <c r="J199" s="410"/>
      <c r="K199" s="410"/>
      <c r="L199" s="410"/>
      <c r="M199" s="410"/>
      <c r="N199" s="410"/>
      <c r="O199" s="410"/>
      <c r="P199" s="410"/>
      <c r="Q199" s="410"/>
      <c r="R199" s="410"/>
      <c r="S199" s="410"/>
      <c r="T199" s="410"/>
      <c r="U199" s="410"/>
      <c r="V199" s="410"/>
      <c r="W199" s="411"/>
      <c r="X199" s="406"/>
    </row>
    <row r="200" spans="1:24" ht="18.600000000000001" thickBot="1" x14ac:dyDescent="0.4">
      <c r="A200" s="573"/>
      <c r="B200" s="501" t="str">
        <f>B140</f>
        <v>PM13 INVESTOR REPORT QUARTER ENDING MARCH 2020</v>
      </c>
      <c r="C200" s="574"/>
      <c r="D200" s="574"/>
      <c r="E200" s="574"/>
      <c r="F200" s="574"/>
      <c r="G200" s="574"/>
      <c r="H200" s="574"/>
      <c r="I200" s="574"/>
      <c r="J200" s="574"/>
      <c r="K200" s="574"/>
      <c r="L200" s="574"/>
      <c r="M200" s="574"/>
      <c r="N200" s="574"/>
      <c r="O200" s="574"/>
      <c r="P200" s="574"/>
      <c r="Q200" s="574"/>
      <c r="R200" s="574"/>
      <c r="S200" s="574"/>
      <c r="T200" s="574"/>
      <c r="U200" s="574"/>
      <c r="V200" s="574"/>
      <c r="W200" s="575"/>
      <c r="X200" s="406"/>
    </row>
    <row r="201" spans="1:24" x14ac:dyDescent="0.3">
      <c r="A201" s="505"/>
      <c r="B201" s="506" t="s">
        <v>70</v>
      </c>
      <c r="C201" s="576"/>
      <c r="D201" s="576"/>
      <c r="E201" s="576"/>
      <c r="F201" s="576"/>
      <c r="G201" s="577"/>
      <c r="H201" s="577"/>
      <c r="I201" s="577"/>
      <c r="J201" s="577"/>
      <c r="K201" s="577"/>
      <c r="L201" s="577"/>
      <c r="M201" s="577"/>
      <c r="N201" s="577"/>
      <c r="O201" s="577"/>
      <c r="P201" s="577"/>
      <c r="Q201" s="577"/>
      <c r="R201" s="577"/>
      <c r="S201" s="577"/>
      <c r="T201" s="577">
        <v>43921</v>
      </c>
      <c r="U201" s="507"/>
      <c r="V201" s="507"/>
      <c r="W201" s="509"/>
      <c r="X201" s="406"/>
    </row>
    <row r="202" spans="1:24" x14ac:dyDescent="0.3">
      <c r="A202" s="578"/>
      <c r="B202" s="579"/>
      <c r="C202" s="580"/>
      <c r="D202" s="580"/>
      <c r="E202" s="580"/>
      <c r="F202" s="580"/>
      <c r="G202" s="581"/>
      <c r="H202" s="581"/>
      <c r="I202" s="581"/>
      <c r="J202" s="581"/>
      <c r="K202" s="581"/>
      <c r="L202" s="581"/>
      <c r="M202" s="581"/>
      <c r="N202" s="581"/>
      <c r="O202" s="581"/>
      <c r="P202" s="581"/>
      <c r="Q202" s="581"/>
      <c r="R202" s="581"/>
      <c r="S202" s="581"/>
      <c r="T202" s="581"/>
      <c r="U202" s="410"/>
      <c r="V202" s="410"/>
      <c r="W202" s="411"/>
      <c r="X202" s="406"/>
    </row>
    <row r="203" spans="1:24" s="426" customFormat="1" x14ac:dyDescent="0.3">
      <c r="A203" s="443"/>
      <c r="B203" s="444" t="s">
        <v>71</v>
      </c>
      <c r="C203" s="582"/>
      <c r="D203" s="582"/>
      <c r="E203" s="582"/>
      <c r="F203" s="582"/>
      <c r="G203" s="488"/>
      <c r="H203" s="488"/>
      <c r="I203" s="488"/>
      <c r="J203" s="488"/>
      <c r="K203" s="488"/>
      <c r="L203" s="488"/>
      <c r="M203" s="488"/>
      <c r="N203" s="488"/>
      <c r="O203" s="488"/>
      <c r="P203" s="488"/>
      <c r="Q203" s="488"/>
      <c r="R203" s="488"/>
      <c r="S203" s="488"/>
      <c r="T203" s="479">
        <v>5.4539999999999998E-2</v>
      </c>
      <c r="U203" s="444"/>
      <c r="V203" s="444"/>
      <c r="W203" s="446"/>
      <c r="X203" s="425"/>
    </row>
    <row r="204" spans="1:24" s="426" customFormat="1" x14ac:dyDescent="0.3">
      <c r="A204" s="443"/>
      <c r="B204" s="444" t="s">
        <v>154</v>
      </c>
      <c r="C204" s="582"/>
      <c r="D204" s="582"/>
      <c r="E204" s="582"/>
      <c r="F204" s="582"/>
      <c r="G204" s="488"/>
      <c r="H204" s="488"/>
      <c r="I204" s="488"/>
      <c r="J204" s="488"/>
      <c r="K204" s="488"/>
      <c r="L204" s="488"/>
      <c r="M204" s="488"/>
      <c r="N204" s="488"/>
      <c r="O204" s="488"/>
      <c r="P204" s="488"/>
      <c r="Q204" s="488"/>
      <c r="R204" s="488"/>
      <c r="S204" s="488"/>
      <c r="T204" s="479">
        <f>'Dec 06'!T199</f>
        <v>5.238600504269459E-2</v>
      </c>
      <c r="U204" s="444"/>
      <c r="V204" s="444"/>
      <c r="W204" s="446"/>
      <c r="X204" s="425"/>
    </row>
    <row r="205" spans="1:24" s="426" customFormat="1" x14ac:dyDescent="0.3">
      <c r="A205" s="443"/>
      <c r="B205" s="444" t="s">
        <v>72</v>
      </c>
      <c r="C205" s="582"/>
      <c r="D205" s="582"/>
      <c r="E205" s="582"/>
      <c r="F205" s="582"/>
      <c r="G205" s="488"/>
      <c r="H205" s="488"/>
      <c r="I205" s="488"/>
      <c r="J205" s="488"/>
      <c r="K205" s="488"/>
      <c r="L205" s="488"/>
      <c r="M205" s="488"/>
      <c r="N205" s="488"/>
      <c r="O205" s="488"/>
      <c r="P205" s="488"/>
      <c r="Q205" s="488"/>
      <c r="R205" s="488"/>
      <c r="S205" s="488"/>
      <c r="T205" s="479">
        <f>+T203-T204</f>
        <v>2.1539949573054079E-3</v>
      </c>
      <c r="U205" s="444"/>
      <c r="V205" s="444"/>
      <c r="W205" s="446"/>
      <c r="X205" s="425"/>
    </row>
    <row r="206" spans="1:24" s="426" customFormat="1" x14ac:dyDescent="0.3">
      <c r="A206" s="443"/>
      <c r="B206" s="444" t="s">
        <v>73</v>
      </c>
      <c r="C206" s="582"/>
      <c r="D206" s="582"/>
      <c r="E206" s="582"/>
      <c r="F206" s="582"/>
      <c r="G206" s="488"/>
      <c r="H206" s="488"/>
      <c r="I206" s="488"/>
      <c r="J206" s="488"/>
      <c r="K206" s="488"/>
      <c r="L206" s="488"/>
      <c r="M206" s="488"/>
      <c r="N206" s="488"/>
      <c r="O206" s="488"/>
      <c r="P206" s="488"/>
      <c r="Q206" s="488"/>
      <c r="R206" s="488"/>
      <c r="S206" s="488"/>
      <c r="T206" s="479">
        <v>2.486E-2</v>
      </c>
      <c r="U206" s="444"/>
      <c r="V206" s="444"/>
      <c r="W206" s="446"/>
      <c r="X206" s="425"/>
    </row>
    <row r="207" spans="1:24" s="426" customFormat="1" x14ac:dyDescent="0.3">
      <c r="A207" s="443"/>
      <c r="B207" s="444" t="s">
        <v>222</v>
      </c>
      <c r="C207" s="582"/>
      <c r="D207" s="582"/>
      <c r="E207" s="582"/>
      <c r="F207" s="582"/>
      <c r="G207" s="488"/>
      <c r="H207" s="488"/>
      <c r="I207" s="488"/>
      <c r="J207" s="488"/>
      <c r="K207" s="488"/>
      <c r="L207" s="488"/>
      <c r="M207" s="488"/>
      <c r="N207" s="488"/>
      <c r="O207" s="488"/>
      <c r="P207" s="488"/>
      <c r="Q207" s="488"/>
      <c r="R207" s="488"/>
      <c r="S207" s="488"/>
      <c r="T207" s="479">
        <f>V43</f>
        <v>1.0474627759774357E-2</v>
      </c>
      <c r="U207" s="444"/>
      <c r="V207" s="444"/>
      <c r="W207" s="446"/>
      <c r="X207" s="425"/>
    </row>
    <row r="208" spans="1:24" s="426" customFormat="1" x14ac:dyDescent="0.3">
      <c r="A208" s="443"/>
      <c r="B208" s="444" t="s">
        <v>74</v>
      </c>
      <c r="C208" s="582"/>
      <c r="D208" s="582"/>
      <c r="E208" s="582"/>
      <c r="F208" s="582"/>
      <c r="G208" s="488"/>
      <c r="H208" s="488"/>
      <c r="I208" s="488"/>
      <c r="J208" s="488"/>
      <c r="K208" s="488"/>
      <c r="L208" s="488"/>
      <c r="M208" s="488"/>
      <c r="N208" s="488"/>
      <c r="O208" s="488"/>
      <c r="P208" s="488"/>
      <c r="Q208" s="488"/>
      <c r="R208" s="488"/>
      <c r="S208" s="488"/>
      <c r="T208" s="479">
        <f>T206-T207</f>
        <v>1.4385372240225644E-2</v>
      </c>
      <c r="U208" s="444"/>
      <c r="V208" s="444"/>
      <c r="W208" s="446"/>
      <c r="X208" s="425"/>
    </row>
    <row r="209" spans="1:24" s="426" customFormat="1" x14ac:dyDescent="0.3">
      <c r="A209" s="443"/>
      <c r="B209" s="444" t="s">
        <v>274</v>
      </c>
      <c r="C209" s="582"/>
      <c r="D209" s="582"/>
      <c r="E209" s="582"/>
      <c r="F209" s="582"/>
      <c r="G209" s="488"/>
      <c r="H209" s="488"/>
      <c r="I209" s="488"/>
      <c r="J209" s="488"/>
      <c r="K209" s="488"/>
      <c r="L209" s="488"/>
      <c r="M209" s="488"/>
      <c r="N209" s="488"/>
      <c r="O209" s="488"/>
      <c r="P209" s="488"/>
      <c r="Q209" s="488"/>
      <c r="R209" s="488"/>
      <c r="S209" s="488"/>
      <c r="T209" s="479">
        <f>+V99/N70</f>
        <v>7.4131632120499986E-3</v>
      </c>
      <c r="U209" s="444"/>
      <c r="V209" s="444"/>
      <c r="W209" s="446"/>
      <c r="X209" s="425"/>
    </row>
    <row r="210" spans="1:24" s="426" customFormat="1" x14ac:dyDescent="0.3">
      <c r="A210" s="443"/>
      <c r="B210" s="444" t="s">
        <v>211</v>
      </c>
      <c r="C210" s="582"/>
      <c r="D210" s="582"/>
      <c r="E210" s="582"/>
      <c r="F210" s="582"/>
      <c r="G210" s="488"/>
      <c r="H210" s="488"/>
      <c r="I210" s="488"/>
      <c r="J210" s="488"/>
      <c r="K210" s="488"/>
      <c r="L210" s="488"/>
      <c r="M210" s="488"/>
      <c r="N210" s="488"/>
      <c r="O210" s="488"/>
      <c r="P210" s="488"/>
      <c r="Q210" s="488"/>
      <c r="R210" s="488"/>
      <c r="S210" s="488"/>
      <c r="T210" s="583">
        <v>50771</v>
      </c>
      <c r="U210" s="444"/>
      <c r="V210" s="444"/>
      <c r="W210" s="446"/>
      <c r="X210" s="425"/>
    </row>
    <row r="211" spans="1:24" s="426" customFormat="1" x14ac:dyDescent="0.3">
      <c r="A211" s="443"/>
      <c r="B211" s="444" t="s">
        <v>212</v>
      </c>
      <c r="C211" s="582"/>
      <c r="D211" s="582"/>
      <c r="E211" s="582"/>
      <c r="F211" s="582"/>
      <c r="G211" s="488"/>
      <c r="H211" s="488"/>
      <c r="I211" s="488"/>
      <c r="J211" s="488"/>
      <c r="K211" s="488"/>
      <c r="L211" s="488"/>
      <c r="M211" s="488"/>
      <c r="N211" s="488"/>
      <c r="O211" s="488"/>
      <c r="P211" s="488"/>
      <c r="Q211" s="488"/>
      <c r="R211" s="488"/>
      <c r="S211" s="488"/>
      <c r="T211" s="583">
        <v>50771</v>
      </c>
      <c r="U211" s="444"/>
      <c r="V211" s="444"/>
      <c r="W211" s="446"/>
      <c r="X211" s="425"/>
    </row>
    <row r="212" spans="1:24" s="426" customFormat="1" x14ac:dyDescent="0.3">
      <c r="A212" s="443"/>
      <c r="B212" s="444" t="s">
        <v>213</v>
      </c>
      <c r="C212" s="582"/>
      <c r="D212" s="582"/>
      <c r="E212" s="582"/>
      <c r="F212" s="582"/>
      <c r="G212" s="488"/>
      <c r="H212" s="488"/>
      <c r="I212" s="488"/>
      <c r="J212" s="488"/>
      <c r="K212" s="488"/>
      <c r="L212" s="488"/>
      <c r="M212" s="488"/>
      <c r="N212" s="488"/>
      <c r="O212" s="488"/>
      <c r="P212" s="488"/>
      <c r="Q212" s="488"/>
      <c r="R212" s="488"/>
      <c r="S212" s="488"/>
      <c r="T212" s="583">
        <v>50771</v>
      </c>
      <c r="U212" s="444"/>
      <c r="V212" s="444"/>
      <c r="W212" s="446"/>
      <c r="X212" s="425"/>
    </row>
    <row r="213" spans="1:24" s="426" customFormat="1" x14ac:dyDescent="0.3">
      <c r="A213" s="443"/>
      <c r="B213" s="444" t="s">
        <v>75</v>
      </c>
      <c r="C213" s="582"/>
      <c r="D213" s="582"/>
      <c r="E213" s="582"/>
      <c r="F213" s="582"/>
      <c r="G213" s="488"/>
      <c r="H213" s="488"/>
      <c r="I213" s="488"/>
      <c r="J213" s="488"/>
      <c r="K213" s="488"/>
      <c r="L213" s="488"/>
      <c r="M213" s="488"/>
      <c r="N213" s="488"/>
      <c r="O213" s="488"/>
      <c r="P213" s="488"/>
      <c r="Q213" s="488"/>
      <c r="R213" s="488"/>
      <c r="S213" s="488"/>
      <c r="T213" s="484">
        <v>20.66</v>
      </c>
      <c r="U213" s="444" t="s">
        <v>113</v>
      </c>
      <c r="V213" s="444"/>
      <c r="W213" s="446"/>
      <c r="X213" s="425"/>
    </row>
    <row r="214" spans="1:24" s="426" customFormat="1" x14ac:dyDescent="0.3">
      <c r="A214" s="443"/>
      <c r="B214" s="444" t="s">
        <v>76</v>
      </c>
      <c r="C214" s="582"/>
      <c r="D214" s="582"/>
      <c r="E214" s="582"/>
      <c r="F214" s="582"/>
      <c r="G214" s="488"/>
      <c r="H214" s="488"/>
      <c r="I214" s="488"/>
      <c r="J214" s="488"/>
      <c r="K214" s="488"/>
      <c r="L214" s="488"/>
      <c r="M214" s="488"/>
      <c r="N214" s="488"/>
      <c r="O214" s="488"/>
      <c r="P214" s="488"/>
      <c r="Q214" s="488"/>
      <c r="R214" s="488"/>
      <c r="S214" s="488"/>
      <c r="T214" s="484">
        <v>8.6300000000000008</v>
      </c>
      <c r="U214" s="444" t="s">
        <v>113</v>
      </c>
      <c r="V214" s="444"/>
      <c r="W214" s="446"/>
      <c r="X214" s="425"/>
    </row>
    <row r="215" spans="1:24" s="426" customFormat="1" x14ac:dyDescent="0.3">
      <c r="A215" s="443"/>
      <c r="B215" s="444" t="s">
        <v>77</v>
      </c>
      <c r="C215" s="582"/>
      <c r="D215" s="582"/>
      <c r="E215" s="582"/>
      <c r="F215" s="582"/>
      <c r="G215" s="488"/>
      <c r="H215" s="488"/>
      <c r="I215" s="488"/>
      <c r="J215" s="488"/>
      <c r="K215" s="488"/>
      <c r="L215" s="488"/>
      <c r="M215" s="488"/>
      <c r="N215" s="488"/>
      <c r="O215" s="488"/>
      <c r="P215" s="488"/>
      <c r="Q215" s="488"/>
      <c r="R215" s="488"/>
      <c r="S215" s="488"/>
      <c r="T215" s="479">
        <f>P67/N67</f>
        <v>1.6117980820535848E-2</v>
      </c>
      <c r="U215" s="444"/>
      <c r="V215" s="444"/>
      <c r="W215" s="446"/>
      <c r="X215" s="425"/>
    </row>
    <row r="216" spans="1:24" s="426" customFormat="1" x14ac:dyDescent="0.3">
      <c r="A216" s="443"/>
      <c r="B216" s="444" t="s">
        <v>78</v>
      </c>
      <c r="C216" s="582"/>
      <c r="D216" s="582"/>
      <c r="E216" s="582"/>
      <c r="F216" s="582"/>
      <c r="G216" s="488"/>
      <c r="H216" s="488"/>
      <c r="I216" s="488"/>
      <c r="J216" s="488"/>
      <c r="K216" s="488"/>
      <c r="L216" s="488"/>
      <c r="M216" s="488"/>
      <c r="N216" s="488"/>
      <c r="O216" s="488"/>
      <c r="P216" s="488"/>
      <c r="Q216" s="488"/>
      <c r="R216" s="488"/>
      <c r="S216" s="488"/>
      <c r="T216" s="479">
        <v>6.3299999999999995E-2</v>
      </c>
      <c r="U216" s="444"/>
      <c r="V216" s="444"/>
      <c r="W216" s="446"/>
      <c r="X216" s="425"/>
    </row>
    <row r="217" spans="1:24" s="426" customFormat="1" x14ac:dyDescent="0.3">
      <c r="A217" s="421"/>
      <c r="B217" s="494"/>
      <c r="C217" s="494"/>
      <c r="D217" s="494"/>
      <c r="E217" s="494"/>
      <c r="F217" s="494"/>
      <c r="G217" s="494"/>
      <c r="H217" s="494"/>
      <c r="I217" s="494"/>
      <c r="J217" s="494"/>
      <c r="K217" s="494"/>
      <c r="L217" s="494"/>
      <c r="M217" s="494"/>
      <c r="N217" s="494"/>
      <c r="O217" s="494"/>
      <c r="P217" s="494"/>
      <c r="Q217" s="494"/>
      <c r="R217" s="494"/>
      <c r="S217" s="494"/>
      <c r="T217" s="584"/>
      <c r="U217" s="494"/>
      <c r="V217" s="585"/>
      <c r="W217" s="424"/>
      <c r="X217" s="425"/>
    </row>
    <row r="218" spans="1:24" s="426" customFormat="1" x14ac:dyDescent="0.3">
      <c r="A218" s="586"/>
      <c r="B218" s="420" t="s">
        <v>79</v>
      </c>
      <c r="C218" s="429"/>
      <c r="D218" s="429"/>
      <c r="E218" s="429"/>
      <c r="F218" s="587"/>
      <c r="G218" s="429"/>
      <c r="H218" s="429"/>
      <c r="I218" s="429"/>
      <c r="J218" s="429"/>
      <c r="K218" s="429"/>
      <c r="L218" s="429"/>
      <c r="M218" s="429"/>
      <c r="N218" s="429"/>
      <c r="O218" s="429"/>
      <c r="P218" s="429"/>
      <c r="Q218" s="429"/>
      <c r="R218" s="429"/>
      <c r="S218" s="429" t="s">
        <v>103</v>
      </c>
      <c r="T218" s="587" t="s">
        <v>110</v>
      </c>
      <c r="U218" s="422"/>
      <c r="V218" s="422"/>
      <c r="W218" s="424"/>
      <c r="X218" s="425"/>
    </row>
    <row r="219" spans="1:24" s="426" customFormat="1" x14ac:dyDescent="0.3">
      <c r="A219" s="588"/>
      <c r="B219" s="444" t="s">
        <v>80</v>
      </c>
      <c r="C219" s="516"/>
      <c r="D219" s="516"/>
      <c r="E219" s="516"/>
      <c r="F219" s="444"/>
      <c r="G219" s="444"/>
      <c r="H219" s="450"/>
      <c r="I219" s="450"/>
      <c r="J219" s="450"/>
      <c r="K219" s="450"/>
      <c r="L219" s="450"/>
      <c r="M219" s="450"/>
      <c r="N219" s="450"/>
      <c r="O219" s="450"/>
      <c r="P219" s="450"/>
      <c r="Q219" s="450"/>
      <c r="R219" s="450"/>
      <c r="S219" s="450">
        <v>1</v>
      </c>
      <c r="T219" s="589">
        <v>477</v>
      </c>
      <c r="U219" s="444"/>
      <c r="V219" s="590"/>
      <c r="W219" s="591"/>
      <c r="X219" s="425"/>
    </row>
    <row r="220" spans="1:24" s="426" customFormat="1" x14ac:dyDescent="0.3">
      <c r="A220" s="588"/>
      <c r="B220" s="444" t="s">
        <v>148</v>
      </c>
      <c r="C220" s="516"/>
      <c r="D220" s="516"/>
      <c r="E220" s="516"/>
      <c r="F220" s="444"/>
      <c r="G220" s="444"/>
      <c r="H220" s="450"/>
      <c r="I220" s="450"/>
      <c r="J220" s="450"/>
      <c r="K220" s="450"/>
      <c r="L220" s="450"/>
      <c r="M220" s="450"/>
      <c r="N220" s="450"/>
      <c r="O220" s="450"/>
      <c r="P220" s="450"/>
      <c r="Q220" s="450"/>
      <c r="R220" s="450"/>
      <c r="S220" s="592">
        <f>+R272</f>
        <v>85</v>
      </c>
      <c r="T220" s="589">
        <f>+T272</f>
        <v>14302</v>
      </c>
      <c r="U220" s="444"/>
      <c r="V220" s="590"/>
      <c r="W220" s="591"/>
      <c r="X220" s="425"/>
    </row>
    <row r="221" spans="1:24" s="426" customFormat="1" x14ac:dyDescent="0.3">
      <c r="A221" s="588"/>
      <c r="B221" s="444" t="s">
        <v>81</v>
      </c>
      <c r="C221" s="516"/>
      <c r="D221" s="516"/>
      <c r="E221" s="516"/>
      <c r="F221" s="444"/>
      <c r="G221" s="444"/>
      <c r="H221" s="450"/>
      <c r="I221" s="450"/>
      <c r="J221" s="450"/>
      <c r="K221" s="450"/>
      <c r="L221" s="450"/>
      <c r="M221" s="450"/>
      <c r="N221" s="450"/>
      <c r="O221" s="450"/>
      <c r="P221" s="450"/>
      <c r="Q221" s="450"/>
      <c r="R221" s="450"/>
      <c r="S221" s="592">
        <f>+R284</f>
        <v>0</v>
      </c>
      <c r="T221" s="589">
        <f>+T284</f>
        <v>0</v>
      </c>
      <c r="U221" s="444"/>
      <c r="V221" s="590"/>
      <c r="W221" s="591"/>
      <c r="X221" s="425"/>
    </row>
    <row r="222" spans="1:24" x14ac:dyDescent="0.3">
      <c r="A222" s="593"/>
      <c r="B222" s="594" t="s">
        <v>82</v>
      </c>
      <c r="C222" s="595"/>
      <c r="D222" s="595"/>
      <c r="E222" s="595"/>
      <c r="F222" s="465"/>
      <c r="G222" s="465"/>
      <c r="H222" s="465"/>
      <c r="I222" s="465"/>
      <c r="J222" s="465"/>
      <c r="K222" s="465"/>
      <c r="L222" s="465"/>
      <c r="M222" s="465"/>
      <c r="N222" s="465"/>
      <c r="O222" s="465"/>
      <c r="P222" s="465"/>
      <c r="Q222" s="465"/>
      <c r="R222" s="465"/>
      <c r="S222" s="465"/>
      <c r="T222" s="589">
        <v>0</v>
      </c>
      <c r="U222" s="465"/>
      <c r="V222" s="596"/>
      <c r="W222" s="597"/>
      <c r="X222" s="406"/>
    </row>
    <row r="223" spans="1:24" x14ac:dyDescent="0.3">
      <c r="A223" s="593"/>
      <c r="B223" s="594" t="s">
        <v>275</v>
      </c>
      <c r="C223" s="595"/>
      <c r="D223" s="595"/>
      <c r="E223" s="595"/>
      <c r="F223" s="465"/>
      <c r="G223" s="465"/>
      <c r="H223" s="465"/>
      <c r="I223" s="465"/>
      <c r="J223" s="465"/>
      <c r="K223" s="465"/>
      <c r="L223" s="465"/>
      <c r="M223" s="465"/>
      <c r="N223" s="465"/>
      <c r="O223" s="465"/>
      <c r="P223" s="465"/>
      <c r="Q223" s="465"/>
      <c r="R223" s="465"/>
      <c r="S223" s="465"/>
      <c r="T223" s="589">
        <f>+N80</f>
        <v>0</v>
      </c>
      <c r="U223" s="465"/>
      <c r="V223" s="596"/>
      <c r="W223" s="597"/>
      <c r="X223" s="406"/>
    </row>
    <row r="224" spans="1:24" x14ac:dyDescent="0.3">
      <c r="A224" s="598"/>
      <c r="B224" s="594" t="s">
        <v>83</v>
      </c>
      <c r="C224" s="599"/>
      <c r="D224" s="599"/>
      <c r="E224" s="599"/>
      <c r="F224" s="599"/>
      <c r="G224" s="465"/>
      <c r="H224" s="465"/>
      <c r="I224" s="465"/>
      <c r="J224" s="465"/>
      <c r="K224" s="465"/>
      <c r="L224" s="465"/>
      <c r="M224" s="465"/>
      <c r="N224" s="465"/>
      <c r="O224" s="465"/>
      <c r="P224" s="465"/>
      <c r="Q224" s="465"/>
      <c r="R224" s="465"/>
      <c r="S224" s="465"/>
      <c r="T224" s="600"/>
      <c r="U224" s="465"/>
      <c r="V224" s="596"/>
      <c r="W224" s="601"/>
      <c r="X224" s="406"/>
    </row>
    <row r="225" spans="1:25" s="426" customFormat="1" x14ac:dyDescent="0.3">
      <c r="A225" s="602"/>
      <c r="B225" s="444" t="s">
        <v>84</v>
      </c>
      <c r="C225" s="444"/>
      <c r="D225" s="444"/>
      <c r="E225" s="444"/>
      <c r="F225" s="444"/>
      <c r="G225" s="444"/>
      <c r="H225" s="444"/>
      <c r="I225" s="444"/>
      <c r="J225" s="444"/>
      <c r="K225" s="444"/>
      <c r="L225" s="444"/>
      <c r="M225" s="444"/>
      <c r="N225" s="444"/>
      <c r="O225" s="444"/>
      <c r="P225" s="444"/>
      <c r="Q225" s="444"/>
      <c r="R225" s="444"/>
      <c r="S225" s="450"/>
      <c r="T225" s="589">
        <f>V169</f>
        <v>469</v>
      </c>
      <c r="U225" s="444"/>
      <c r="V225" s="590"/>
      <c r="W225" s="603"/>
      <c r="X225" s="425"/>
    </row>
    <row r="226" spans="1:25" s="426" customFormat="1" x14ac:dyDescent="0.3">
      <c r="A226" s="588"/>
      <c r="B226" s="444" t="s">
        <v>85</v>
      </c>
      <c r="C226" s="516"/>
      <c r="D226" s="516"/>
      <c r="E226" s="516"/>
      <c r="F226" s="516"/>
      <c r="G226" s="444"/>
      <c r="H226" s="444"/>
      <c r="I226" s="444"/>
      <c r="J226" s="444"/>
      <c r="K226" s="444"/>
      <c r="L226" s="444"/>
      <c r="M226" s="444"/>
      <c r="N226" s="444"/>
      <c r="O226" s="444"/>
      <c r="P226" s="444"/>
      <c r="Q226" s="444"/>
      <c r="R226" s="444"/>
      <c r="S226" s="450"/>
      <c r="T226" s="589">
        <f>'Dec 19'!T226+T225</f>
        <v>13189</v>
      </c>
      <c r="U226" s="444"/>
      <c r="V226" s="590"/>
      <c r="W226" s="603"/>
      <c r="X226" s="425"/>
    </row>
    <row r="227" spans="1:25" x14ac:dyDescent="0.3">
      <c r="A227" s="598"/>
      <c r="B227" s="594" t="s">
        <v>297</v>
      </c>
      <c r="C227" s="599"/>
      <c r="D227" s="599"/>
      <c r="E227" s="599"/>
      <c r="F227" s="599"/>
      <c r="G227" s="465"/>
      <c r="H227" s="465"/>
      <c r="I227" s="465"/>
      <c r="J227" s="465"/>
      <c r="K227" s="465"/>
      <c r="L227" s="465"/>
      <c r="M227" s="465"/>
      <c r="N227" s="465"/>
      <c r="O227" s="465"/>
      <c r="P227" s="465"/>
      <c r="Q227" s="465"/>
      <c r="R227" s="465"/>
      <c r="S227" s="604"/>
      <c r="T227" s="600"/>
      <c r="U227" s="465"/>
      <c r="V227" s="596"/>
      <c r="W227" s="601"/>
      <c r="X227" s="406"/>
    </row>
    <row r="228" spans="1:25" s="426" customFormat="1" x14ac:dyDescent="0.3">
      <c r="A228" s="602"/>
      <c r="B228" s="444" t="s">
        <v>295</v>
      </c>
      <c r="C228" s="444"/>
      <c r="D228" s="444"/>
      <c r="E228" s="444"/>
      <c r="F228" s="444"/>
      <c r="G228" s="444"/>
      <c r="H228" s="444"/>
      <c r="I228" s="444"/>
      <c r="J228" s="444"/>
      <c r="K228" s="444"/>
      <c r="L228" s="444"/>
      <c r="M228" s="444"/>
      <c r="N228" s="444"/>
      <c r="O228" s="444"/>
      <c r="P228" s="444"/>
      <c r="Q228" s="444"/>
      <c r="R228" s="444"/>
      <c r="S228" s="450">
        <v>0</v>
      </c>
      <c r="T228" s="589">
        <v>0</v>
      </c>
      <c r="U228" s="444"/>
      <c r="V228" s="590"/>
      <c r="W228" s="603"/>
      <c r="X228" s="425"/>
    </row>
    <row r="229" spans="1:25" s="426" customFormat="1" x14ac:dyDescent="0.3">
      <c r="A229" s="588"/>
      <c r="B229" s="444" t="s">
        <v>87</v>
      </c>
      <c r="C229" s="482"/>
      <c r="D229" s="482"/>
      <c r="E229" s="482"/>
      <c r="F229" s="605"/>
      <c r="G229" s="444"/>
      <c r="H229" s="444"/>
      <c r="I229" s="444"/>
      <c r="J229" s="444"/>
      <c r="K229" s="444"/>
      <c r="L229" s="444"/>
      <c r="M229" s="444"/>
      <c r="N229" s="444"/>
      <c r="O229" s="444"/>
      <c r="P229" s="444"/>
      <c r="Q229" s="444"/>
      <c r="R229" s="444"/>
      <c r="S229" s="444"/>
      <c r="T229" s="606">
        <v>0</v>
      </c>
      <c r="U229" s="444"/>
      <c r="V229" s="590"/>
      <c r="W229" s="603"/>
      <c r="X229" s="425"/>
    </row>
    <row r="230" spans="1:25" s="426" customFormat="1" x14ac:dyDescent="0.3">
      <c r="A230" s="588"/>
      <c r="B230" s="444" t="s">
        <v>88</v>
      </c>
      <c r="C230" s="482"/>
      <c r="D230" s="482"/>
      <c r="E230" s="482"/>
      <c r="F230" s="605"/>
      <c r="G230" s="444"/>
      <c r="H230" s="444"/>
      <c r="I230" s="444"/>
      <c r="J230" s="444"/>
      <c r="K230" s="444"/>
      <c r="L230" s="444"/>
      <c r="M230" s="444"/>
      <c r="N230" s="444"/>
      <c r="O230" s="444"/>
      <c r="P230" s="444"/>
      <c r="Q230" s="444"/>
      <c r="R230" s="444"/>
      <c r="S230" s="444"/>
      <c r="T230" s="606">
        <v>0</v>
      </c>
      <c r="U230" s="444"/>
      <c r="V230" s="590"/>
      <c r="W230" s="603"/>
      <c r="X230" s="425"/>
    </row>
    <row r="231" spans="1:25" x14ac:dyDescent="0.3">
      <c r="A231" s="593"/>
      <c r="B231" s="594" t="s">
        <v>220</v>
      </c>
      <c r="C231" s="607"/>
      <c r="D231" s="607"/>
      <c r="E231" s="607"/>
      <c r="F231" s="608"/>
      <c r="G231" s="465"/>
      <c r="H231" s="465"/>
      <c r="I231" s="465"/>
      <c r="J231" s="465"/>
      <c r="K231" s="465"/>
      <c r="L231" s="465"/>
      <c r="M231" s="465"/>
      <c r="N231" s="465"/>
      <c r="O231" s="465"/>
      <c r="P231" s="465"/>
      <c r="Q231" s="465"/>
      <c r="R231" s="465"/>
      <c r="S231" s="609"/>
      <c r="T231" s="610"/>
      <c r="U231" s="465"/>
      <c r="V231" s="596"/>
      <c r="W231" s="601"/>
      <c r="X231" s="406"/>
    </row>
    <row r="232" spans="1:25" s="426" customFormat="1" x14ac:dyDescent="0.3">
      <c r="A232" s="588"/>
      <c r="B232" s="444" t="s">
        <v>295</v>
      </c>
      <c r="C232" s="482"/>
      <c r="D232" s="482"/>
      <c r="E232" s="482"/>
      <c r="F232" s="605"/>
      <c r="G232" s="444"/>
      <c r="H232" s="444"/>
      <c r="I232" s="444"/>
      <c r="J232" s="444"/>
      <c r="K232" s="444"/>
      <c r="L232" s="444"/>
      <c r="M232" s="444"/>
      <c r="N232" s="444"/>
      <c r="O232" s="444"/>
      <c r="P232" s="444"/>
      <c r="Q232" s="444"/>
      <c r="R232" s="444"/>
      <c r="S232" s="450">
        <v>3</v>
      </c>
      <c r="T232" s="589">
        <v>768</v>
      </c>
      <c r="U232" s="444"/>
      <c r="V232" s="590"/>
      <c r="W232" s="603"/>
      <c r="X232" s="425"/>
    </row>
    <row r="233" spans="1:25" s="426" customFormat="1" x14ac:dyDescent="0.3">
      <c r="A233" s="588"/>
      <c r="B233" s="444" t="s">
        <v>221</v>
      </c>
      <c r="C233" s="482"/>
      <c r="D233" s="482"/>
      <c r="E233" s="482"/>
      <c r="F233" s="605"/>
      <c r="G233" s="444"/>
      <c r="H233" s="444"/>
      <c r="I233" s="444"/>
      <c r="J233" s="444"/>
      <c r="K233" s="444"/>
      <c r="L233" s="444"/>
      <c r="M233" s="444"/>
      <c r="N233" s="444"/>
      <c r="O233" s="444"/>
      <c r="P233" s="444"/>
      <c r="Q233" s="444"/>
      <c r="R233" s="444"/>
      <c r="S233" s="444"/>
      <c r="T233" s="606">
        <v>2</v>
      </c>
      <c r="U233" s="444"/>
      <c r="V233" s="590"/>
      <c r="W233" s="603"/>
      <c r="X233" s="425"/>
    </row>
    <row r="234" spans="1:25" x14ac:dyDescent="0.3">
      <c r="A234" s="593"/>
      <c r="B234" s="599"/>
      <c r="C234" s="607"/>
      <c r="D234" s="607"/>
      <c r="E234" s="607"/>
      <c r="F234" s="608"/>
      <c r="G234" s="465"/>
      <c r="H234" s="465"/>
      <c r="I234" s="465"/>
      <c r="J234" s="465"/>
      <c r="K234" s="465"/>
      <c r="L234" s="465"/>
      <c r="M234" s="465"/>
      <c r="N234" s="465"/>
      <c r="O234" s="465"/>
      <c r="P234" s="465"/>
      <c r="Q234" s="465"/>
      <c r="R234" s="465"/>
      <c r="S234" s="465"/>
      <c r="T234" s="611"/>
      <c r="U234" s="465"/>
      <c r="V234" s="596"/>
      <c r="W234" s="601"/>
      <c r="X234" s="406"/>
    </row>
    <row r="235" spans="1:25" x14ac:dyDescent="0.3">
      <c r="A235" s="593"/>
      <c r="B235" s="599"/>
      <c r="C235" s="607"/>
      <c r="D235" s="607"/>
      <c r="E235" s="607"/>
      <c r="F235" s="608"/>
      <c r="G235" s="465"/>
      <c r="H235" s="465"/>
      <c r="I235" s="465"/>
      <c r="J235" s="465"/>
      <c r="K235" s="465"/>
      <c r="L235" s="465"/>
      <c r="M235" s="465"/>
      <c r="N235" s="465"/>
      <c r="O235" s="465"/>
      <c r="P235" s="465"/>
      <c r="Q235" s="465"/>
      <c r="R235" s="465"/>
      <c r="S235" s="465"/>
      <c r="T235" s="611"/>
      <c r="U235" s="465"/>
      <c r="V235" s="596"/>
      <c r="W235" s="601"/>
      <c r="X235" s="406"/>
    </row>
    <row r="236" spans="1:25" ht="18" x14ac:dyDescent="0.35">
      <c r="A236" s="593"/>
      <c r="B236" s="612" t="s">
        <v>171</v>
      </c>
      <c r="C236" s="607"/>
      <c r="D236" s="607"/>
      <c r="E236" s="607"/>
      <c r="F236" s="608"/>
      <c r="G236" s="465"/>
      <c r="H236" s="465"/>
      <c r="I236" s="465"/>
      <c r="J236" s="465"/>
      <c r="K236" s="465"/>
      <c r="L236" s="465"/>
      <c r="M236" s="465"/>
      <c r="N236" s="465"/>
      <c r="O236" s="465"/>
      <c r="P236" s="613" t="s">
        <v>370</v>
      </c>
      <c r="Q236" s="465"/>
      <c r="R236" s="465"/>
      <c r="S236" s="465"/>
      <c r="T236" s="611"/>
      <c r="U236" s="465"/>
      <c r="V236" s="596"/>
      <c r="W236" s="601"/>
      <c r="X236" s="406"/>
    </row>
    <row r="237" spans="1:25" x14ac:dyDescent="0.3">
      <c r="A237" s="614"/>
      <c r="B237" s="615"/>
      <c r="C237" s="616"/>
      <c r="D237" s="616"/>
      <c r="E237" s="616"/>
      <c r="F237" s="617"/>
      <c r="G237" s="518"/>
      <c r="H237" s="518"/>
      <c r="I237" s="518"/>
      <c r="J237" s="518"/>
      <c r="K237" s="518"/>
      <c r="L237" s="518"/>
      <c r="M237" s="518"/>
      <c r="N237" s="518"/>
      <c r="O237" s="518"/>
      <c r="P237" s="518"/>
      <c r="Q237" s="518"/>
      <c r="R237" s="518"/>
      <c r="S237" s="518"/>
      <c r="T237" s="618"/>
      <c r="U237" s="518"/>
      <c r="V237" s="619"/>
      <c r="W237" s="620"/>
      <c r="X237" s="406"/>
    </row>
    <row r="238" spans="1:25" x14ac:dyDescent="0.3">
      <c r="A238" s="533"/>
      <c r="B238" s="534" t="s">
        <v>310</v>
      </c>
      <c r="C238" s="535"/>
      <c r="D238" s="535"/>
      <c r="E238" s="535"/>
      <c r="F238" s="621"/>
      <c r="G238" s="535"/>
      <c r="H238" s="535"/>
      <c r="I238" s="535"/>
      <c r="J238" s="535"/>
      <c r="K238" s="535"/>
      <c r="L238" s="535"/>
      <c r="M238" s="535"/>
      <c r="N238" s="535"/>
      <c r="O238" s="535"/>
      <c r="P238" s="535"/>
      <c r="Q238" s="535"/>
      <c r="R238" s="621" t="s">
        <v>103</v>
      </c>
      <c r="S238" s="535" t="s">
        <v>104</v>
      </c>
      <c r="T238" s="621" t="s">
        <v>111</v>
      </c>
      <c r="U238" s="535" t="s">
        <v>104</v>
      </c>
      <c r="V238" s="622"/>
      <c r="W238" s="623"/>
      <c r="X238" s="406"/>
    </row>
    <row r="239" spans="1:25" s="426" customFormat="1" x14ac:dyDescent="0.3">
      <c r="A239" s="421"/>
      <c r="B239" s="552" t="s">
        <v>89</v>
      </c>
      <c r="C239" s="624"/>
      <c r="D239" s="624"/>
      <c r="E239" s="624"/>
      <c r="F239" s="494"/>
      <c r="G239" s="624"/>
      <c r="H239" s="624"/>
      <c r="I239" s="624"/>
      <c r="J239" s="624"/>
      <c r="K239" s="624"/>
      <c r="L239" s="624"/>
      <c r="M239" s="624"/>
      <c r="N239" s="624"/>
      <c r="O239" s="624"/>
      <c r="P239" s="624"/>
      <c r="Q239" s="624"/>
      <c r="R239" s="539">
        <f t="shared" ref="R239:R246" si="1">+R251+R263+R275</f>
        <v>5227</v>
      </c>
      <c r="S239" s="625">
        <f t="shared" ref="S239:S246" si="2">R239/$R$248</f>
        <v>0.98771730914588063</v>
      </c>
      <c r="T239" s="540">
        <f t="shared" ref="T239:T246" si="3">+T251+T263+T275</f>
        <v>665358</v>
      </c>
      <c r="U239" s="625">
        <f t="shared" ref="U239:U246" si="4">T239/$T$248</f>
        <v>0.98588206008125812</v>
      </c>
      <c r="V239" s="585"/>
      <c r="W239" s="626"/>
      <c r="X239" s="425"/>
    </row>
    <row r="240" spans="1:25" s="426" customFormat="1" x14ac:dyDescent="0.3">
      <c r="A240" s="443"/>
      <c r="B240" s="516" t="s">
        <v>90</v>
      </c>
      <c r="C240" s="627"/>
      <c r="D240" s="627"/>
      <c r="E240" s="627"/>
      <c r="F240" s="444"/>
      <c r="G240" s="628"/>
      <c r="H240" s="627"/>
      <c r="I240" s="627"/>
      <c r="J240" s="627"/>
      <c r="K240" s="627"/>
      <c r="L240" s="627"/>
      <c r="M240" s="627"/>
      <c r="N240" s="627"/>
      <c r="O240" s="627"/>
      <c r="P240" s="627"/>
      <c r="Q240" s="627"/>
      <c r="R240" s="516">
        <f t="shared" si="1"/>
        <v>37</v>
      </c>
      <c r="S240" s="628">
        <f t="shared" si="2"/>
        <v>6.9916855631141344E-3</v>
      </c>
      <c r="T240" s="517">
        <f t="shared" si="3"/>
        <v>6843</v>
      </c>
      <c r="U240" s="628">
        <f t="shared" si="4"/>
        <v>1.013949022501578E-2</v>
      </c>
      <c r="V240" s="590"/>
      <c r="W240" s="603"/>
      <c r="X240" s="425"/>
      <c r="Y240" s="549"/>
    </row>
    <row r="241" spans="1:25" s="426" customFormat="1" x14ac:dyDescent="0.3">
      <c r="A241" s="443"/>
      <c r="B241" s="516" t="s">
        <v>91</v>
      </c>
      <c r="C241" s="627"/>
      <c r="D241" s="627"/>
      <c r="E241" s="627"/>
      <c r="F241" s="444"/>
      <c r="G241" s="628"/>
      <c r="H241" s="627"/>
      <c r="I241" s="627"/>
      <c r="J241" s="627"/>
      <c r="K241" s="627"/>
      <c r="L241" s="627"/>
      <c r="M241" s="627"/>
      <c r="N241" s="627"/>
      <c r="O241" s="627"/>
      <c r="P241" s="627"/>
      <c r="Q241" s="627"/>
      <c r="R241" s="516">
        <f t="shared" si="1"/>
        <v>16</v>
      </c>
      <c r="S241" s="628">
        <f t="shared" si="2"/>
        <v>3.0234315948601664E-3</v>
      </c>
      <c r="T241" s="517">
        <f t="shared" si="3"/>
        <v>1419</v>
      </c>
      <c r="U241" s="628">
        <f t="shared" si="4"/>
        <v>2.1025773241703043E-3</v>
      </c>
      <c r="V241" s="590"/>
      <c r="W241" s="603"/>
      <c r="X241" s="425"/>
    </row>
    <row r="242" spans="1:25" s="426" customFormat="1" x14ac:dyDescent="0.3">
      <c r="A242" s="443"/>
      <c r="B242" s="516" t="s">
        <v>159</v>
      </c>
      <c r="C242" s="627"/>
      <c r="D242" s="627"/>
      <c r="E242" s="627"/>
      <c r="F242" s="444"/>
      <c r="G242" s="628"/>
      <c r="H242" s="627"/>
      <c r="I242" s="627"/>
      <c r="J242" s="627"/>
      <c r="K242" s="627"/>
      <c r="L242" s="627"/>
      <c r="M242" s="627"/>
      <c r="N242" s="627"/>
      <c r="O242" s="627"/>
      <c r="P242" s="627"/>
      <c r="Q242" s="627"/>
      <c r="R242" s="516">
        <f t="shared" si="1"/>
        <v>3</v>
      </c>
      <c r="S242" s="628">
        <f t="shared" si="2"/>
        <v>5.6689342403628119E-4</v>
      </c>
      <c r="T242" s="517">
        <f t="shared" si="3"/>
        <v>195</v>
      </c>
      <c r="U242" s="628">
        <f t="shared" si="4"/>
        <v>2.8893768725384733E-4</v>
      </c>
      <c r="V242" s="590"/>
      <c r="W242" s="603"/>
      <c r="X242" s="425"/>
      <c r="Y242" s="549"/>
    </row>
    <row r="243" spans="1:25" s="426" customFormat="1" x14ac:dyDescent="0.3">
      <c r="A243" s="443"/>
      <c r="B243" s="516" t="s">
        <v>160</v>
      </c>
      <c r="C243" s="627"/>
      <c r="D243" s="627"/>
      <c r="E243" s="627"/>
      <c r="F243" s="444"/>
      <c r="G243" s="628"/>
      <c r="H243" s="627"/>
      <c r="I243" s="627"/>
      <c r="J243" s="627"/>
      <c r="K243" s="627"/>
      <c r="L243" s="627"/>
      <c r="M243" s="627"/>
      <c r="N243" s="627"/>
      <c r="O243" s="627"/>
      <c r="P243" s="627"/>
      <c r="Q243" s="627"/>
      <c r="R243" s="516">
        <f t="shared" si="1"/>
        <v>2</v>
      </c>
      <c r="S243" s="628">
        <f t="shared" si="2"/>
        <v>3.779289493575208E-4</v>
      </c>
      <c r="T243" s="517">
        <f t="shared" si="3"/>
        <v>292</v>
      </c>
      <c r="U243" s="628">
        <f t="shared" si="4"/>
        <v>4.3266566501601751E-4</v>
      </c>
      <c r="V243" s="590"/>
      <c r="W243" s="603"/>
      <c r="X243" s="425"/>
    </row>
    <row r="244" spans="1:25" s="426" customFormat="1" x14ac:dyDescent="0.3">
      <c r="A244" s="443"/>
      <c r="B244" s="516" t="s">
        <v>161</v>
      </c>
      <c r="C244" s="627"/>
      <c r="D244" s="627"/>
      <c r="E244" s="627"/>
      <c r="F244" s="444"/>
      <c r="G244" s="628"/>
      <c r="H244" s="627"/>
      <c r="I244" s="627"/>
      <c r="J244" s="627"/>
      <c r="K244" s="627"/>
      <c r="L244" s="627"/>
      <c r="M244" s="627"/>
      <c r="N244" s="627"/>
      <c r="O244" s="627"/>
      <c r="P244" s="627"/>
      <c r="Q244" s="627"/>
      <c r="R244" s="516">
        <f t="shared" si="1"/>
        <v>0</v>
      </c>
      <c r="S244" s="628">
        <f t="shared" si="2"/>
        <v>0</v>
      </c>
      <c r="T244" s="517">
        <f t="shared" si="3"/>
        <v>0</v>
      </c>
      <c r="U244" s="628">
        <f t="shared" si="4"/>
        <v>0</v>
      </c>
      <c r="V244" s="590"/>
      <c r="W244" s="603"/>
      <c r="X244" s="425"/>
      <c r="Y244" s="549"/>
    </row>
    <row r="245" spans="1:25" s="426" customFormat="1" x14ac:dyDescent="0.3">
      <c r="A245" s="443"/>
      <c r="B245" s="516" t="s">
        <v>162</v>
      </c>
      <c r="C245" s="627"/>
      <c r="D245" s="627"/>
      <c r="E245" s="627"/>
      <c r="F245" s="444"/>
      <c r="G245" s="628"/>
      <c r="H245" s="627"/>
      <c r="I245" s="627"/>
      <c r="J245" s="627"/>
      <c r="K245" s="627"/>
      <c r="L245" s="627"/>
      <c r="M245" s="627"/>
      <c r="N245" s="627"/>
      <c r="O245" s="627"/>
      <c r="P245" s="627"/>
      <c r="Q245" s="627"/>
      <c r="R245" s="516">
        <f t="shared" si="1"/>
        <v>1</v>
      </c>
      <c r="S245" s="628">
        <f t="shared" si="2"/>
        <v>1.889644746787604E-4</v>
      </c>
      <c r="T245" s="517">
        <f t="shared" si="3"/>
        <v>77</v>
      </c>
      <c r="U245" s="628">
        <f t="shared" si="4"/>
        <v>1.1409334317203202E-4</v>
      </c>
      <c r="V245" s="590"/>
      <c r="W245" s="603"/>
      <c r="X245" s="425"/>
    </row>
    <row r="246" spans="1:25" s="426" customFormat="1" x14ac:dyDescent="0.3">
      <c r="A246" s="443"/>
      <c r="B246" s="516" t="s">
        <v>163</v>
      </c>
      <c r="C246" s="627"/>
      <c r="D246" s="627"/>
      <c r="E246" s="627"/>
      <c r="F246" s="444"/>
      <c r="G246" s="628"/>
      <c r="H246" s="627"/>
      <c r="I246" s="627"/>
      <c r="J246" s="627"/>
      <c r="K246" s="627"/>
      <c r="L246" s="627"/>
      <c r="M246" s="627"/>
      <c r="N246" s="627"/>
      <c r="O246" s="627"/>
      <c r="P246" s="627"/>
      <c r="Q246" s="627"/>
      <c r="R246" s="516">
        <f t="shared" si="1"/>
        <v>6</v>
      </c>
      <c r="S246" s="628">
        <f t="shared" si="2"/>
        <v>1.1337868480725624E-3</v>
      </c>
      <c r="T246" s="517">
        <f t="shared" si="3"/>
        <v>702</v>
      </c>
      <c r="U246" s="628">
        <f t="shared" si="4"/>
        <v>1.0401756741138504E-3</v>
      </c>
      <c r="V246" s="590"/>
      <c r="W246" s="603"/>
      <c r="X246" s="425"/>
      <c r="Y246" s="549"/>
    </row>
    <row r="247" spans="1:25" s="426" customFormat="1" x14ac:dyDescent="0.3">
      <c r="A247" s="443"/>
      <c r="B247" s="516"/>
      <c r="C247" s="627"/>
      <c r="D247" s="627"/>
      <c r="E247" s="627"/>
      <c r="F247" s="444"/>
      <c r="G247" s="628"/>
      <c r="H247" s="627"/>
      <c r="I247" s="627"/>
      <c r="J247" s="627"/>
      <c r="K247" s="627"/>
      <c r="L247" s="627"/>
      <c r="M247" s="627"/>
      <c r="N247" s="627"/>
      <c r="O247" s="627"/>
      <c r="P247" s="627"/>
      <c r="Q247" s="627"/>
      <c r="R247" s="516"/>
      <c r="S247" s="628"/>
      <c r="T247" s="517"/>
      <c r="U247" s="628"/>
      <c r="V247" s="590"/>
      <c r="W247" s="603"/>
      <c r="X247" s="425"/>
    </row>
    <row r="248" spans="1:25" s="426" customFormat="1" x14ac:dyDescent="0.3">
      <c r="A248" s="443"/>
      <c r="B248" s="444" t="s">
        <v>117</v>
      </c>
      <c r="C248" s="444"/>
      <c r="D248" s="444"/>
      <c r="E248" s="444"/>
      <c r="F248" s="444"/>
      <c r="G248" s="444"/>
      <c r="H248" s="629"/>
      <c r="I248" s="629"/>
      <c r="J248" s="629"/>
      <c r="K248" s="629"/>
      <c r="L248" s="629"/>
      <c r="M248" s="629"/>
      <c r="N248" s="629"/>
      <c r="O248" s="629"/>
      <c r="P248" s="629"/>
      <c r="Q248" s="629"/>
      <c r="R248" s="516">
        <f>SUM(R239:R247)</f>
        <v>5292</v>
      </c>
      <c r="S248" s="628">
        <f>SUM(S239:S247)</f>
        <v>1</v>
      </c>
      <c r="T248" s="517">
        <f>SUM(T239:T247)</f>
        <v>674886</v>
      </c>
      <c r="U248" s="628">
        <f>SUM(U239:U247)</f>
        <v>0.99999999999999989</v>
      </c>
      <c r="V248" s="444"/>
      <c r="W248" s="446"/>
      <c r="X248" s="425"/>
    </row>
    <row r="249" spans="1:25" x14ac:dyDescent="0.3">
      <c r="A249" s="614"/>
      <c r="B249" s="615"/>
      <c r="C249" s="616"/>
      <c r="D249" s="616"/>
      <c r="E249" s="616"/>
      <c r="F249" s="617"/>
      <c r="G249" s="518"/>
      <c r="H249" s="518"/>
      <c r="I249" s="518"/>
      <c r="J249" s="518"/>
      <c r="K249" s="518"/>
      <c r="L249" s="518"/>
      <c r="M249" s="518"/>
      <c r="N249" s="518"/>
      <c r="O249" s="518"/>
      <c r="P249" s="518"/>
      <c r="Q249" s="518"/>
      <c r="R249" s="518"/>
      <c r="S249" s="518"/>
      <c r="T249" s="618"/>
      <c r="U249" s="518"/>
      <c r="V249" s="619"/>
      <c r="W249" s="620"/>
      <c r="X249" s="406"/>
    </row>
    <row r="250" spans="1:25" x14ac:dyDescent="0.3">
      <c r="A250" s="533"/>
      <c r="B250" s="534" t="s">
        <v>165</v>
      </c>
      <c r="C250" s="535"/>
      <c r="D250" s="535"/>
      <c r="E250" s="535"/>
      <c r="F250" s="621"/>
      <c r="G250" s="535"/>
      <c r="H250" s="535"/>
      <c r="I250" s="535"/>
      <c r="J250" s="535"/>
      <c r="K250" s="535"/>
      <c r="L250" s="535"/>
      <c r="M250" s="535"/>
      <c r="N250" s="535"/>
      <c r="O250" s="535"/>
      <c r="P250" s="535"/>
      <c r="Q250" s="535"/>
      <c r="R250" s="621" t="s">
        <v>103</v>
      </c>
      <c r="S250" s="535" t="s">
        <v>104</v>
      </c>
      <c r="T250" s="621" t="s">
        <v>111</v>
      </c>
      <c r="U250" s="535" t="s">
        <v>104</v>
      </c>
      <c r="V250" s="622"/>
      <c r="W250" s="623"/>
      <c r="X250" s="406"/>
    </row>
    <row r="251" spans="1:25" s="426" customFormat="1" x14ac:dyDescent="0.3">
      <c r="A251" s="421"/>
      <c r="B251" s="552" t="s">
        <v>89</v>
      </c>
      <c r="C251" s="624"/>
      <c r="D251" s="624"/>
      <c r="E251" s="624"/>
      <c r="F251" s="494"/>
      <c r="G251" s="624"/>
      <c r="H251" s="624"/>
      <c r="I251" s="624"/>
      <c r="J251" s="624"/>
      <c r="K251" s="624"/>
      <c r="L251" s="624"/>
      <c r="M251" s="624"/>
      <c r="N251" s="624"/>
      <c r="O251" s="624"/>
      <c r="P251" s="624"/>
      <c r="Q251" s="624"/>
      <c r="R251" s="552">
        <v>5152</v>
      </c>
      <c r="S251" s="630">
        <f t="shared" ref="S251:S258" si="5">R251/$R$260</f>
        <v>0.98943729594776264</v>
      </c>
      <c r="T251" s="631">
        <v>652258</v>
      </c>
      <c r="U251" s="630">
        <f t="shared" ref="U251:U258" si="6">T251/$T$260</f>
        <v>0.9873960011141657</v>
      </c>
      <c r="V251" s="585"/>
      <c r="W251" s="626"/>
      <c r="X251" s="425"/>
    </row>
    <row r="252" spans="1:25" s="426" customFormat="1" x14ac:dyDescent="0.3">
      <c r="A252" s="443"/>
      <c r="B252" s="516" t="s">
        <v>90</v>
      </c>
      <c r="C252" s="627"/>
      <c r="D252" s="627"/>
      <c r="E252" s="627"/>
      <c r="F252" s="444"/>
      <c r="G252" s="628"/>
      <c r="H252" s="627"/>
      <c r="I252" s="627"/>
      <c r="J252" s="627"/>
      <c r="K252" s="627"/>
      <c r="L252" s="627"/>
      <c r="M252" s="627"/>
      <c r="N252" s="627"/>
      <c r="O252" s="627"/>
      <c r="P252" s="627"/>
      <c r="Q252" s="627"/>
      <c r="R252" s="516">
        <v>36</v>
      </c>
      <c r="S252" s="628">
        <f t="shared" si="5"/>
        <v>6.913769925100826E-3</v>
      </c>
      <c r="T252" s="517">
        <v>6712</v>
      </c>
      <c r="U252" s="628">
        <f t="shared" si="6"/>
        <v>1.0160706284136461E-2</v>
      </c>
      <c r="V252" s="590"/>
      <c r="W252" s="603"/>
      <c r="X252" s="425"/>
      <c r="Y252" s="549"/>
    </row>
    <row r="253" spans="1:25" s="426" customFormat="1" x14ac:dyDescent="0.3">
      <c r="A253" s="443"/>
      <c r="B253" s="516" t="s">
        <v>91</v>
      </c>
      <c r="C253" s="627"/>
      <c r="D253" s="627"/>
      <c r="E253" s="627"/>
      <c r="F253" s="444"/>
      <c r="G253" s="628"/>
      <c r="H253" s="627"/>
      <c r="I253" s="627"/>
      <c r="J253" s="627"/>
      <c r="K253" s="627"/>
      <c r="L253" s="627"/>
      <c r="M253" s="627"/>
      <c r="N253" s="627"/>
      <c r="O253" s="627"/>
      <c r="P253" s="627"/>
      <c r="Q253" s="627"/>
      <c r="R253" s="516">
        <v>16</v>
      </c>
      <c r="S253" s="628">
        <f t="shared" si="5"/>
        <v>3.0727866333781447E-3</v>
      </c>
      <c r="T253" s="517">
        <v>1419</v>
      </c>
      <c r="U253" s="628">
        <f t="shared" si="6"/>
        <v>2.1480992576265851E-3</v>
      </c>
      <c r="V253" s="590"/>
      <c r="W253" s="603"/>
      <c r="X253" s="425"/>
    </row>
    <row r="254" spans="1:25" s="426" customFormat="1" x14ac:dyDescent="0.3">
      <c r="A254" s="443"/>
      <c r="B254" s="516" t="s">
        <v>159</v>
      </c>
      <c r="C254" s="627"/>
      <c r="D254" s="627"/>
      <c r="E254" s="627"/>
      <c r="F254" s="444"/>
      <c r="G254" s="628"/>
      <c r="H254" s="627"/>
      <c r="I254" s="627"/>
      <c r="J254" s="627"/>
      <c r="K254" s="627"/>
      <c r="L254" s="627"/>
      <c r="M254" s="627"/>
      <c r="N254" s="627"/>
      <c r="O254" s="627"/>
      <c r="P254" s="627"/>
      <c r="Q254" s="627"/>
      <c r="R254" s="516">
        <v>3</v>
      </c>
      <c r="S254" s="628">
        <f t="shared" si="5"/>
        <v>5.7614749375840216E-4</v>
      </c>
      <c r="T254" s="517">
        <v>195</v>
      </c>
      <c r="U254" s="628">
        <f t="shared" si="6"/>
        <v>2.9519334407130662E-4</v>
      </c>
      <c r="V254" s="590"/>
      <c r="W254" s="603"/>
      <c r="X254" s="425"/>
      <c r="Y254" s="549"/>
    </row>
    <row r="255" spans="1:25" s="426" customFormat="1" x14ac:dyDescent="0.3">
      <c r="A255" s="443"/>
      <c r="B255" s="516" t="s">
        <v>160</v>
      </c>
      <c r="C255" s="627"/>
      <c r="D255" s="627"/>
      <c r="E255" s="627"/>
      <c r="F255" s="444"/>
      <c r="G255" s="628"/>
      <c r="H255" s="627"/>
      <c r="I255" s="627"/>
      <c r="J255" s="627"/>
      <c r="K255" s="627"/>
      <c r="L255" s="627"/>
      <c r="M255" s="627"/>
      <c r="N255" s="627"/>
      <c r="O255" s="627"/>
      <c r="P255" s="627"/>
      <c r="Q255" s="627"/>
      <c r="R255" s="516">
        <v>0</v>
      </c>
      <c r="S255" s="628">
        <f t="shared" si="5"/>
        <v>0</v>
      </c>
      <c r="T255" s="517">
        <v>0</v>
      </c>
      <c r="U255" s="628">
        <f t="shared" si="6"/>
        <v>0</v>
      </c>
      <c r="V255" s="590"/>
      <c r="W255" s="603"/>
      <c r="X255" s="425"/>
    </row>
    <row r="256" spans="1:25" s="426" customFormat="1" x14ac:dyDescent="0.3">
      <c r="A256" s="443"/>
      <c r="B256" s="516" t="s">
        <v>161</v>
      </c>
      <c r="C256" s="627"/>
      <c r="D256" s="627"/>
      <c r="E256" s="627"/>
      <c r="F256" s="444"/>
      <c r="G256" s="628"/>
      <c r="H256" s="627"/>
      <c r="I256" s="627"/>
      <c r="J256" s="627"/>
      <c r="K256" s="627"/>
      <c r="L256" s="627"/>
      <c r="M256" s="627"/>
      <c r="N256" s="627"/>
      <c r="O256" s="627"/>
      <c r="P256" s="627"/>
      <c r="Q256" s="627"/>
      <c r="R256" s="516">
        <v>0</v>
      </c>
      <c r="S256" s="628">
        <f t="shared" si="5"/>
        <v>0</v>
      </c>
      <c r="T256" s="517">
        <v>0</v>
      </c>
      <c r="U256" s="628">
        <f t="shared" si="6"/>
        <v>0</v>
      </c>
      <c r="V256" s="590"/>
      <c r="W256" s="603"/>
      <c r="X256" s="425"/>
      <c r="Y256" s="549"/>
    </row>
    <row r="257" spans="1:25" s="426" customFormat="1" x14ac:dyDescent="0.3">
      <c r="A257" s="443"/>
      <c r="B257" s="516" t="s">
        <v>162</v>
      </c>
      <c r="C257" s="627"/>
      <c r="D257" s="627"/>
      <c r="E257" s="627"/>
      <c r="F257" s="444"/>
      <c r="G257" s="628"/>
      <c r="H257" s="627"/>
      <c r="I257" s="627"/>
      <c r="J257" s="627"/>
      <c r="K257" s="627"/>
      <c r="L257" s="627"/>
      <c r="M257" s="627"/>
      <c r="N257" s="627"/>
      <c r="O257" s="627"/>
      <c r="P257" s="627"/>
      <c r="Q257" s="627"/>
      <c r="R257" s="516">
        <v>0</v>
      </c>
      <c r="S257" s="628">
        <f t="shared" si="5"/>
        <v>0</v>
      </c>
      <c r="T257" s="517">
        <v>0</v>
      </c>
      <c r="U257" s="628">
        <f t="shared" si="6"/>
        <v>0</v>
      </c>
      <c r="V257" s="590"/>
      <c r="W257" s="603"/>
      <c r="X257" s="425"/>
    </row>
    <row r="258" spans="1:25" s="426" customFormat="1" x14ac:dyDescent="0.3">
      <c r="A258" s="443"/>
      <c r="B258" s="516" t="s">
        <v>163</v>
      </c>
      <c r="C258" s="627"/>
      <c r="D258" s="627"/>
      <c r="E258" s="627"/>
      <c r="F258" s="444"/>
      <c r="G258" s="628"/>
      <c r="H258" s="627"/>
      <c r="I258" s="627"/>
      <c r="J258" s="627"/>
      <c r="K258" s="627"/>
      <c r="L258" s="627"/>
      <c r="M258" s="627"/>
      <c r="N258" s="627"/>
      <c r="O258" s="627"/>
      <c r="P258" s="627"/>
      <c r="Q258" s="627"/>
      <c r="R258" s="516">
        <v>0</v>
      </c>
      <c r="S258" s="628">
        <f t="shared" si="5"/>
        <v>0</v>
      </c>
      <c r="T258" s="517">
        <v>0</v>
      </c>
      <c r="U258" s="628">
        <f t="shared" si="6"/>
        <v>0</v>
      </c>
      <c r="V258" s="590"/>
      <c r="W258" s="603"/>
      <c r="X258" s="425"/>
      <c r="Y258" s="549"/>
    </row>
    <row r="259" spans="1:25" s="426" customFormat="1" x14ac:dyDescent="0.3">
      <c r="A259" s="443"/>
      <c r="B259" s="516"/>
      <c r="C259" s="627"/>
      <c r="D259" s="627"/>
      <c r="E259" s="627"/>
      <c r="F259" s="444"/>
      <c r="G259" s="628"/>
      <c r="H259" s="627"/>
      <c r="I259" s="627"/>
      <c r="J259" s="627"/>
      <c r="K259" s="627"/>
      <c r="L259" s="627"/>
      <c r="M259" s="627"/>
      <c r="N259" s="627"/>
      <c r="O259" s="627"/>
      <c r="P259" s="627"/>
      <c r="Q259" s="627"/>
      <c r="R259" s="516"/>
      <c r="S259" s="628"/>
      <c r="T259" s="517"/>
      <c r="U259" s="628"/>
      <c r="V259" s="590"/>
      <c r="W259" s="603"/>
      <c r="X259" s="425"/>
    </row>
    <row r="260" spans="1:25" s="426" customFormat="1" x14ac:dyDescent="0.3">
      <c r="A260" s="443"/>
      <c r="B260" s="444" t="s">
        <v>117</v>
      </c>
      <c r="C260" s="444"/>
      <c r="D260" s="444"/>
      <c r="E260" s="444"/>
      <c r="F260" s="444"/>
      <c r="G260" s="444"/>
      <c r="H260" s="629"/>
      <c r="I260" s="629"/>
      <c r="J260" s="629"/>
      <c r="K260" s="629"/>
      <c r="L260" s="629"/>
      <c r="M260" s="629"/>
      <c r="N260" s="629"/>
      <c r="O260" s="629"/>
      <c r="P260" s="629"/>
      <c r="Q260" s="629"/>
      <c r="R260" s="516">
        <f>SUM(R251:R259)</f>
        <v>5207</v>
      </c>
      <c r="S260" s="628">
        <f>SUM(S251:S259)</f>
        <v>1</v>
      </c>
      <c r="T260" s="517">
        <f>SUM(T251:T259)</f>
        <v>660584</v>
      </c>
      <c r="U260" s="628">
        <f>SUM(U251:U259)</f>
        <v>1</v>
      </c>
      <c r="V260" s="444"/>
      <c r="W260" s="446"/>
      <c r="X260" s="425"/>
    </row>
    <row r="261" spans="1:25" x14ac:dyDescent="0.3">
      <c r="A261" s="408"/>
      <c r="B261" s="518"/>
      <c r="C261" s="518"/>
      <c r="D261" s="518"/>
      <c r="E261" s="518"/>
      <c r="F261" s="518"/>
      <c r="G261" s="518"/>
      <c r="H261" s="632"/>
      <c r="I261" s="632"/>
      <c r="J261" s="632"/>
      <c r="K261" s="632"/>
      <c r="L261" s="632"/>
      <c r="M261" s="632"/>
      <c r="N261" s="632"/>
      <c r="O261" s="632"/>
      <c r="P261" s="632"/>
      <c r="Q261" s="632"/>
      <c r="R261" s="519"/>
      <c r="S261" s="633"/>
      <c r="T261" s="634"/>
      <c r="U261" s="633"/>
      <c r="V261" s="518"/>
      <c r="W261" s="411"/>
      <c r="X261" s="406"/>
    </row>
    <row r="262" spans="1:25" x14ac:dyDescent="0.3">
      <c r="A262" s="533"/>
      <c r="B262" s="534" t="s">
        <v>279</v>
      </c>
      <c r="C262" s="535"/>
      <c r="D262" s="535"/>
      <c r="E262" s="535"/>
      <c r="F262" s="621"/>
      <c r="G262" s="535"/>
      <c r="H262" s="535"/>
      <c r="I262" s="535"/>
      <c r="J262" s="535"/>
      <c r="K262" s="535"/>
      <c r="L262" s="535"/>
      <c r="M262" s="535"/>
      <c r="N262" s="535"/>
      <c r="O262" s="535"/>
      <c r="P262" s="535"/>
      <c r="Q262" s="535"/>
      <c r="R262" s="621" t="s">
        <v>103</v>
      </c>
      <c r="S262" s="535" t="s">
        <v>104</v>
      </c>
      <c r="T262" s="621" t="s">
        <v>111</v>
      </c>
      <c r="U262" s="535" t="s">
        <v>104</v>
      </c>
      <c r="V262" s="622"/>
      <c r="W262" s="538"/>
      <c r="X262" s="406"/>
    </row>
    <row r="263" spans="1:25" s="426" customFormat="1" x14ac:dyDescent="0.3">
      <c r="A263" s="421"/>
      <c r="B263" s="552" t="s">
        <v>89</v>
      </c>
      <c r="C263" s="624"/>
      <c r="D263" s="624"/>
      <c r="E263" s="624"/>
      <c r="F263" s="494"/>
      <c r="G263" s="624"/>
      <c r="H263" s="624"/>
      <c r="I263" s="624"/>
      <c r="J263" s="624"/>
      <c r="K263" s="624"/>
      <c r="L263" s="624"/>
      <c r="M263" s="624"/>
      <c r="N263" s="624"/>
      <c r="O263" s="624"/>
      <c r="P263" s="624"/>
      <c r="Q263" s="624"/>
      <c r="R263" s="552">
        <v>75</v>
      </c>
      <c r="S263" s="630">
        <f>R263/$R$272</f>
        <v>0.88235294117647056</v>
      </c>
      <c r="T263" s="631">
        <v>13100</v>
      </c>
      <c r="U263" s="630">
        <f t="shared" ref="U263:U270" si="7">T263/$T$272</f>
        <v>0.91595581037617113</v>
      </c>
      <c r="V263" s="494"/>
      <c r="W263" s="424"/>
      <c r="X263" s="425"/>
    </row>
    <row r="264" spans="1:25" s="426" customFormat="1" x14ac:dyDescent="0.3">
      <c r="A264" s="443"/>
      <c r="B264" s="516" t="s">
        <v>90</v>
      </c>
      <c r="C264" s="627"/>
      <c r="D264" s="627"/>
      <c r="E264" s="627"/>
      <c r="F264" s="444"/>
      <c r="G264" s="628"/>
      <c r="H264" s="627"/>
      <c r="I264" s="627"/>
      <c r="J264" s="627"/>
      <c r="K264" s="627"/>
      <c r="L264" s="627"/>
      <c r="M264" s="627"/>
      <c r="N264" s="627"/>
      <c r="O264" s="627"/>
      <c r="P264" s="627"/>
      <c r="Q264" s="627"/>
      <c r="R264" s="516">
        <v>1</v>
      </c>
      <c r="S264" s="628">
        <f t="shared" ref="S264:S268" si="8">R264/$R$272</f>
        <v>1.1764705882352941E-2</v>
      </c>
      <c r="T264" s="517">
        <v>131</v>
      </c>
      <c r="U264" s="628">
        <f t="shared" si="7"/>
        <v>9.159558103761711E-3</v>
      </c>
      <c r="V264" s="444"/>
      <c r="W264" s="446"/>
      <c r="X264" s="425"/>
    </row>
    <row r="265" spans="1:25" s="426" customFormat="1" x14ac:dyDescent="0.3">
      <c r="A265" s="443"/>
      <c r="B265" s="516" t="s">
        <v>91</v>
      </c>
      <c r="C265" s="627"/>
      <c r="D265" s="627"/>
      <c r="E265" s="627"/>
      <c r="F265" s="444"/>
      <c r="G265" s="628"/>
      <c r="H265" s="627"/>
      <c r="I265" s="627"/>
      <c r="J265" s="627"/>
      <c r="K265" s="627"/>
      <c r="L265" s="627"/>
      <c r="M265" s="627"/>
      <c r="N265" s="627"/>
      <c r="O265" s="627"/>
      <c r="P265" s="627"/>
      <c r="Q265" s="627"/>
      <c r="R265" s="516">
        <v>0</v>
      </c>
      <c r="S265" s="628">
        <f t="shared" si="8"/>
        <v>0</v>
      </c>
      <c r="T265" s="517">
        <v>0</v>
      </c>
      <c r="U265" s="628">
        <f t="shared" si="7"/>
        <v>0</v>
      </c>
      <c r="V265" s="444"/>
      <c r="W265" s="446"/>
      <c r="X265" s="425"/>
    </row>
    <row r="266" spans="1:25" s="426" customFormat="1" x14ac:dyDescent="0.3">
      <c r="A266" s="443"/>
      <c r="B266" s="516" t="s">
        <v>159</v>
      </c>
      <c r="C266" s="627"/>
      <c r="D266" s="627"/>
      <c r="E266" s="627"/>
      <c r="F266" s="444"/>
      <c r="G266" s="628"/>
      <c r="H266" s="627"/>
      <c r="I266" s="627"/>
      <c r="J266" s="627"/>
      <c r="K266" s="627"/>
      <c r="L266" s="627"/>
      <c r="M266" s="627"/>
      <c r="N266" s="627"/>
      <c r="O266" s="627"/>
      <c r="P266" s="627"/>
      <c r="Q266" s="627"/>
      <c r="R266" s="516">
        <v>0</v>
      </c>
      <c r="S266" s="628">
        <f t="shared" si="8"/>
        <v>0</v>
      </c>
      <c r="T266" s="517">
        <v>0</v>
      </c>
      <c r="U266" s="628">
        <f t="shared" si="7"/>
        <v>0</v>
      </c>
      <c r="V266" s="444"/>
      <c r="W266" s="446"/>
      <c r="X266" s="425"/>
    </row>
    <row r="267" spans="1:25" s="426" customFormat="1" x14ac:dyDescent="0.3">
      <c r="A267" s="443"/>
      <c r="B267" s="516" t="s">
        <v>160</v>
      </c>
      <c r="C267" s="627"/>
      <c r="D267" s="627"/>
      <c r="E267" s="627"/>
      <c r="F267" s="444"/>
      <c r="G267" s="628"/>
      <c r="H267" s="627"/>
      <c r="I267" s="627"/>
      <c r="J267" s="627"/>
      <c r="K267" s="627"/>
      <c r="L267" s="627"/>
      <c r="M267" s="627"/>
      <c r="N267" s="627"/>
      <c r="O267" s="627"/>
      <c r="P267" s="627"/>
      <c r="Q267" s="627"/>
      <c r="R267" s="516">
        <v>2</v>
      </c>
      <c r="S267" s="628">
        <f t="shared" si="8"/>
        <v>2.3529411764705882E-2</v>
      </c>
      <c r="T267" s="517">
        <v>292</v>
      </c>
      <c r="U267" s="628">
        <f t="shared" si="7"/>
        <v>2.0416724933575724E-2</v>
      </c>
      <c r="V267" s="444"/>
      <c r="W267" s="446"/>
      <c r="X267" s="425"/>
    </row>
    <row r="268" spans="1:25" s="426" customFormat="1" x14ac:dyDescent="0.3">
      <c r="A268" s="443"/>
      <c r="B268" s="516" t="s">
        <v>161</v>
      </c>
      <c r="C268" s="627"/>
      <c r="D268" s="627"/>
      <c r="E268" s="627"/>
      <c r="F268" s="444"/>
      <c r="G268" s="628"/>
      <c r="H268" s="627"/>
      <c r="I268" s="627"/>
      <c r="J268" s="627"/>
      <c r="K268" s="627"/>
      <c r="L268" s="627"/>
      <c r="M268" s="627"/>
      <c r="N268" s="627"/>
      <c r="O268" s="627"/>
      <c r="P268" s="627"/>
      <c r="Q268" s="627"/>
      <c r="R268" s="516">
        <v>0</v>
      </c>
      <c r="S268" s="628">
        <f t="shared" si="8"/>
        <v>0</v>
      </c>
      <c r="T268" s="517">
        <v>0</v>
      </c>
      <c r="U268" s="628">
        <f t="shared" si="7"/>
        <v>0</v>
      </c>
      <c r="V268" s="444"/>
      <c r="W268" s="446"/>
      <c r="X268" s="425"/>
    </row>
    <row r="269" spans="1:25" s="426" customFormat="1" x14ac:dyDescent="0.3">
      <c r="A269" s="443"/>
      <c r="B269" s="516" t="s">
        <v>162</v>
      </c>
      <c r="C269" s="627"/>
      <c r="D269" s="627"/>
      <c r="E269" s="627"/>
      <c r="F269" s="444"/>
      <c r="G269" s="628"/>
      <c r="H269" s="627"/>
      <c r="I269" s="627"/>
      <c r="J269" s="627"/>
      <c r="K269" s="627"/>
      <c r="L269" s="627"/>
      <c r="M269" s="627"/>
      <c r="N269" s="627"/>
      <c r="O269" s="627"/>
      <c r="P269" s="627"/>
      <c r="Q269" s="627"/>
      <c r="R269" s="516">
        <v>1</v>
      </c>
      <c r="S269" s="628">
        <f>R269/$R$272</f>
        <v>1.1764705882352941E-2</v>
      </c>
      <c r="T269" s="517">
        <v>77</v>
      </c>
      <c r="U269" s="628">
        <f t="shared" si="7"/>
        <v>5.3838623968675706E-3</v>
      </c>
      <c r="V269" s="444"/>
      <c r="W269" s="446"/>
      <c r="X269" s="425"/>
    </row>
    <row r="270" spans="1:25" s="426" customFormat="1" x14ac:dyDescent="0.3">
      <c r="A270" s="443"/>
      <c r="B270" s="516" t="s">
        <v>163</v>
      </c>
      <c r="C270" s="627"/>
      <c r="D270" s="627"/>
      <c r="E270" s="627"/>
      <c r="F270" s="444"/>
      <c r="G270" s="628"/>
      <c r="H270" s="627"/>
      <c r="I270" s="627"/>
      <c r="J270" s="627"/>
      <c r="K270" s="627"/>
      <c r="L270" s="627"/>
      <c r="M270" s="627"/>
      <c r="N270" s="627"/>
      <c r="O270" s="627"/>
      <c r="P270" s="627"/>
      <c r="Q270" s="627"/>
      <c r="R270" s="516">
        <v>6</v>
      </c>
      <c r="S270" s="628">
        <f>R270/$R$272</f>
        <v>7.0588235294117646E-2</v>
      </c>
      <c r="T270" s="517">
        <v>702</v>
      </c>
      <c r="U270" s="628">
        <f t="shared" si="7"/>
        <v>4.9084044189623831E-2</v>
      </c>
      <c r="V270" s="444"/>
      <c r="W270" s="446"/>
      <c r="X270" s="425"/>
    </row>
    <row r="271" spans="1:25" s="426" customFormat="1" x14ac:dyDescent="0.3">
      <c r="A271" s="443"/>
      <c r="B271" s="516"/>
      <c r="C271" s="627"/>
      <c r="D271" s="627"/>
      <c r="E271" s="627"/>
      <c r="F271" s="444"/>
      <c r="G271" s="628"/>
      <c r="H271" s="627"/>
      <c r="I271" s="627"/>
      <c r="J271" s="627"/>
      <c r="K271" s="627"/>
      <c r="L271" s="627"/>
      <c r="M271" s="627"/>
      <c r="N271" s="627"/>
      <c r="O271" s="627"/>
      <c r="P271" s="627"/>
      <c r="Q271" s="627"/>
      <c r="R271" s="516"/>
      <c r="S271" s="628"/>
      <c r="T271" s="517"/>
      <c r="U271" s="628"/>
      <c r="V271" s="444"/>
      <c r="W271" s="446"/>
      <c r="X271" s="425"/>
    </row>
    <row r="272" spans="1:25" s="426" customFormat="1" x14ac:dyDescent="0.3">
      <c r="A272" s="443"/>
      <c r="B272" s="444" t="s">
        <v>117</v>
      </c>
      <c r="C272" s="444"/>
      <c r="D272" s="444"/>
      <c r="E272" s="444"/>
      <c r="F272" s="444"/>
      <c r="G272" s="444"/>
      <c r="H272" s="629"/>
      <c r="I272" s="629"/>
      <c r="J272" s="629"/>
      <c r="K272" s="629"/>
      <c r="L272" s="629"/>
      <c r="M272" s="629"/>
      <c r="N272" s="629"/>
      <c r="O272" s="629"/>
      <c r="P272" s="629"/>
      <c r="Q272" s="629"/>
      <c r="R272" s="516">
        <f>SUM(R263:R271)</f>
        <v>85</v>
      </c>
      <c r="S272" s="628">
        <f>SUM(S263:S271)</f>
        <v>0.99999999999999989</v>
      </c>
      <c r="T272" s="517">
        <f>SUM(T263:T271)</f>
        <v>14302</v>
      </c>
      <c r="U272" s="628">
        <f>SUM(U263:U271)</f>
        <v>1</v>
      </c>
      <c r="V272" s="444"/>
      <c r="W272" s="446"/>
      <c r="X272" s="425"/>
    </row>
    <row r="273" spans="1:24" x14ac:dyDescent="0.3">
      <c r="A273" s="408"/>
      <c r="B273" s="518"/>
      <c r="C273" s="518"/>
      <c r="D273" s="518"/>
      <c r="E273" s="518"/>
      <c r="F273" s="518"/>
      <c r="G273" s="518"/>
      <c r="H273" s="632"/>
      <c r="I273" s="632"/>
      <c r="J273" s="632"/>
      <c r="K273" s="632"/>
      <c r="L273" s="632"/>
      <c r="M273" s="632"/>
      <c r="N273" s="632"/>
      <c r="O273" s="632"/>
      <c r="P273" s="632"/>
      <c r="Q273" s="632"/>
      <c r="R273" s="519"/>
      <c r="S273" s="633"/>
      <c r="T273" s="634"/>
      <c r="U273" s="633"/>
      <c r="V273" s="518"/>
      <c r="W273" s="411"/>
      <c r="X273" s="406"/>
    </row>
    <row r="274" spans="1:24" x14ac:dyDescent="0.3">
      <c r="A274" s="533"/>
      <c r="B274" s="534" t="s">
        <v>166</v>
      </c>
      <c r="C274" s="622"/>
      <c r="D274" s="622"/>
      <c r="E274" s="622"/>
      <c r="F274" s="622"/>
      <c r="G274" s="622"/>
      <c r="H274" s="635"/>
      <c r="I274" s="635"/>
      <c r="J274" s="635"/>
      <c r="K274" s="635"/>
      <c r="L274" s="635"/>
      <c r="M274" s="635"/>
      <c r="N274" s="635"/>
      <c r="O274" s="635"/>
      <c r="P274" s="635"/>
      <c r="Q274" s="635"/>
      <c r="R274" s="621" t="s">
        <v>103</v>
      </c>
      <c r="S274" s="535" t="s">
        <v>104</v>
      </c>
      <c r="T274" s="621" t="s">
        <v>111</v>
      </c>
      <c r="U274" s="535" t="s">
        <v>104</v>
      </c>
      <c r="V274" s="622"/>
      <c r="W274" s="538"/>
      <c r="X274" s="406"/>
    </row>
    <row r="275" spans="1:24" s="426" customFormat="1" x14ac:dyDescent="0.3">
      <c r="A275" s="421"/>
      <c r="B275" s="552" t="s">
        <v>89</v>
      </c>
      <c r="C275" s="494"/>
      <c r="D275" s="494"/>
      <c r="E275" s="494"/>
      <c r="F275" s="494"/>
      <c r="G275" s="494"/>
      <c r="H275" s="636"/>
      <c r="I275" s="636"/>
      <c r="J275" s="636"/>
      <c r="K275" s="636"/>
      <c r="L275" s="636"/>
      <c r="M275" s="636"/>
      <c r="N275" s="636"/>
      <c r="O275" s="636"/>
      <c r="P275" s="636"/>
      <c r="Q275" s="636"/>
      <c r="R275" s="552">
        <v>0</v>
      </c>
      <c r="S275" s="630">
        <v>0</v>
      </c>
      <c r="T275" s="631">
        <v>0</v>
      </c>
      <c r="U275" s="630">
        <v>0</v>
      </c>
      <c r="V275" s="494"/>
      <c r="W275" s="424"/>
      <c r="X275" s="425"/>
    </row>
    <row r="276" spans="1:24" s="426" customFormat="1" x14ac:dyDescent="0.3">
      <c r="A276" s="443"/>
      <c r="B276" s="516" t="s">
        <v>90</v>
      </c>
      <c r="C276" s="444"/>
      <c r="D276" s="444"/>
      <c r="E276" s="444"/>
      <c r="F276" s="444"/>
      <c r="G276" s="444"/>
      <c r="H276" s="629"/>
      <c r="I276" s="629"/>
      <c r="J276" s="629"/>
      <c r="K276" s="629"/>
      <c r="L276" s="629"/>
      <c r="M276" s="629"/>
      <c r="N276" s="629"/>
      <c r="O276" s="629"/>
      <c r="P276" s="629"/>
      <c r="Q276" s="629"/>
      <c r="R276" s="516">
        <v>0</v>
      </c>
      <c r="S276" s="628">
        <v>0</v>
      </c>
      <c r="T276" s="517">
        <v>0</v>
      </c>
      <c r="U276" s="628">
        <v>0</v>
      </c>
      <c r="V276" s="444"/>
      <c r="W276" s="446"/>
      <c r="X276" s="425"/>
    </row>
    <row r="277" spans="1:24" s="426" customFormat="1" x14ac:dyDescent="0.3">
      <c r="A277" s="443"/>
      <c r="B277" s="516" t="s">
        <v>91</v>
      </c>
      <c r="C277" s="444"/>
      <c r="D277" s="444"/>
      <c r="E277" s="444"/>
      <c r="F277" s="444"/>
      <c r="G277" s="444"/>
      <c r="H277" s="629"/>
      <c r="I277" s="629"/>
      <c r="J277" s="629"/>
      <c r="K277" s="629"/>
      <c r="L277" s="629"/>
      <c r="M277" s="629"/>
      <c r="N277" s="629"/>
      <c r="O277" s="629"/>
      <c r="P277" s="629"/>
      <c r="Q277" s="629"/>
      <c r="R277" s="516">
        <v>0</v>
      </c>
      <c r="S277" s="628">
        <v>0</v>
      </c>
      <c r="T277" s="517">
        <v>0</v>
      </c>
      <c r="U277" s="628">
        <v>0</v>
      </c>
      <c r="V277" s="444"/>
      <c r="W277" s="446"/>
      <c r="X277" s="425"/>
    </row>
    <row r="278" spans="1:24" s="426" customFormat="1" x14ac:dyDescent="0.3">
      <c r="A278" s="443"/>
      <c r="B278" s="516" t="s">
        <v>159</v>
      </c>
      <c r="C278" s="444"/>
      <c r="D278" s="444"/>
      <c r="E278" s="444"/>
      <c r="F278" s="444"/>
      <c r="G278" s="444"/>
      <c r="H278" s="629"/>
      <c r="I278" s="629"/>
      <c r="J278" s="629"/>
      <c r="K278" s="629"/>
      <c r="L278" s="629"/>
      <c r="M278" s="629"/>
      <c r="N278" s="629"/>
      <c r="O278" s="629"/>
      <c r="P278" s="629"/>
      <c r="Q278" s="629"/>
      <c r="R278" s="516">
        <v>0</v>
      </c>
      <c r="S278" s="628">
        <v>0</v>
      </c>
      <c r="T278" s="517">
        <v>0</v>
      </c>
      <c r="U278" s="628">
        <v>0</v>
      </c>
      <c r="V278" s="444"/>
      <c r="W278" s="446"/>
      <c r="X278" s="425"/>
    </row>
    <row r="279" spans="1:24" s="426" customFormat="1" x14ac:dyDescent="0.3">
      <c r="A279" s="443"/>
      <c r="B279" s="516" t="s">
        <v>160</v>
      </c>
      <c r="C279" s="444"/>
      <c r="D279" s="444"/>
      <c r="E279" s="444"/>
      <c r="F279" s="444"/>
      <c r="G279" s="444"/>
      <c r="H279" s="629"/>
      <c r="I279" s="629"/>
      <c r="J279" s="629"/>
      <c r="K279" s="629"/>
      <c r="L279" s="629"/>
      <c r="M279" s="629"/>
      <c r="N279" s="629"/>
      <c r="O279" s="629"/>
      <c r="P279" s="629"/>
      <c r="Q279" s="629"/>
      <c r="R279" s="516">
        <v>0</v>
      </c>
      <c r="S279" s="628">
        <v>0</v>
      </c>
      <c r="T279" s="517">
        <v>0</v>
      </c>
      <c r="U279" s="628">
        <v>0</v>
      </c>
      <c r="V279" s="444"/>
      <c r="W279" s="446"/>
      <c r="X279" s="425"/>
    </row>
    <row r="280" spans="1:24" s="426" customFormat="1" x14ac:dyDescent="0.3">
      <c r="A280" s="443"/>
      <c r="B280" s="516" t="s">
        <v>161</v>
      </c>
      <c r="C280" s="444"/>
      <c r="D280" s="444"/>
      <c r="E280" s="444"/>
      <c r="F280" s="444"/>
      <c r="G280" s="444"/>
      <c r="H280" s="629"/>
      <c r="I280" s="629"/>
      <c r="J280" s="629"/>
      <c r="K280" s="629"/>
      <c r="L280" s="629"/>
      <c r="M280" s="629"/>
      <c r="N280" s="629"/>
      <c r="O280" s="629"/>
      <c r="P280" s="629"/>
      <c r="Q280" s="629"/>
      <c r="R280" s="516">
        <v>0</v>
      </c>
      <c r="S280" s="628">
        <v>0</v>
      </c>
      <c r="T280" s="517">
        <v>0</v>
      </c>
      <c r="U280" s="628">
        <v>0</v>
      </c>
      <c r="V280" s="444"/>
      <c r="W280" s="446"/>
      <c r="X280" s="425"/>
    </row>
    <row r="281" spans="1:24" s="426" customFormat="1" x14ac:dyDescent="0.3">
      <c r="A281" s="443"/>
      <c r="B281" s="516" t="s">
        <v>162</v>
      </c>
      <c r="C281" s="444"/>
      <c r="D281" s="444"/>
      <c r="E281" s="444"/>
      <c r="F281" s="444"/>
      <c r="G281" s="444"/>
      <c r="H281" s="629"/>
      <c r="I281" s="629"/>
      <c r="J281" s="629"/>
      <c r="K281" s="629"/>
      <c r="L281" s="629"/>
      <c r="M281" s="629"/>
      <c r="N281" s="629"/>
      <c r="O281" s="629"/>
      <c r="P281" s="629"/>
      <c r="Q281" s="629"/>
      <c r="R281" s="516">
        <v>0</v>
      </c>
      <c r="S281" s="628">
        <v>0</v>
      </c>
      <c r="T281" s="517">
        <v>0</v>
      </c>
      <c r="U281" s="628">
        <v>0</v>
      </c>
      <c r="V281" s="444"/>
      <c r="W281" s="446"/>
      <c r="X281" s="425"/>
    </row>
    <row r="282" spans="1:24" s="426" customFormat="1" x14ac:dyDescent="0.3">
      <c r="A282" s="443"/>
      <c r="B282" s="516" t="s">
        <v>163</v>
      </c>
      <c r="C282" s="444"/>
      <c r="D282" s="444"/>
      <c r="E282" s="444"/>
      <c r="F282" s="444"/>
      <c r="G282" s="444"/>
      <c r="H282" s="629"/>
      <c r="I282" s="629"/>
      <c r="J282" s="629"/>
      <c r="K282" s="629"/>
      <c r="L282" s="629"/>
      <c r="M282" s="629"/>
      <c r="N282" s="629"/>
      <c r="O282" s="629"/>
      <c r="P282" s="629"/>
      <c r="Q282" s="629"/>
      <c r="R282" s="516">
        <v>0</v>
      </c>
      <c r="S282" s="628">
        <v>0</v>
      </c>
      <c r="T282" s="517">
        <v>0</v>
      </c>
      <c r="U282" s="628">
        <v>0</v>
      </c>
      <c r="V282" s="444"/>
      <c r="W282" s="446"/>
      <c r="X282" s="425"/>
    </row>
    <row r="283" spans="1:24" s="426" customFormat="1" x14ac:dyDescent="0.3">
      <c r="A283" s="443"/>
      <c r="B283" s="516"/>
      <c r="C283" s="444"/>
      <c r="D283" s="444"/>
      <c r="E283" s="444"/>
      <c r="F283" s="444"/>
      <c r="G283" s="444"/>
      <c r="H283" s="629"/>
      <c r="I283" s="629"/>
      <c r="J283" s="629"/>
      <c r="K283" s="629"/>
      <c r="L283" s="629"/>
      <c r="M283" s="629"/>
      <c r="N283" s="629"/>
      <c r="O283" s="629"/>
      <c r="P283" s="629"/>
      <c r="Q283" s="629"/>
      <c r="R283" s="516"/>
      <c r="S283" s="628"/>
      <c r="T283" s="517"/>
      <c r="U283" s="628"/>
      <c r="V283" s="444"/>
      <c r="W283" s="446"/>
      <c r="X283" s="425"/>
    </row>
    <row r="284" spans="1:24" s="426" customFormat="1" x14ac:dyDescent="0.3">
      <c r="A284" s="443"/>
      <c r="B284" s="444" t="s">
        <v>117</v>
      </c>
      <c r="C284" s="444"/>
      <c r="D284" s="444"/>
      <c r="E284" s="444"/>
      <c r="F284" s="444"/>
      <c r="G284" s="444"/>
      <c r="H284" s="629"/>
      <c r="I284" s="629"/>
      <c r="J284" s="629"/>
      <c r="K284" s="629"/>
      <c r="L284" s="629"/>
      <c r="M284" s="629"/>
      <c r="N284" s="629"/>
      <c r="O284" s="629"/>
      <c r="P284" s="629"/>
      <c r="Q284" s="629"/>
      <c r="R284" s="516">
        <f>SUM(R275:R282)</f>
        <v>0</v>
      </c>
      <c r="S284" s="628">
        <f>SUM(S275:S282)</f>
        <v>0</v>
      </c>
      <c r="T284" s="517">
        <f>SUM(T275:T282)</f>
        <v>0</v>
      </c>
      <c r="U284" s="628">
        <f>SUM(U275:U282)</f>
        <v>0</v>
      </c>
      <c r="V284" s="444"/>
      <c r="W284" s="446"/>
      <c r="X284" s="425"/>
    </row>
    <row r="285" spans="1:24" s="426" customFormat="1" x14ac:dyDescent="0.3">
      <c r="A285" s="443"/>
      <c r="B285" s="444"/>
      <c r="C285" s="444"/>
      <c r="D285" s="444"/>
      <c r="E285" s="444"/>
      <c r="F285" s="444"/>
      <c r="G285" s="444"/>
      <c r="H285" s="629"/>
      <c r="I285" s="629"/>
      <c r="J285" s="629"/>
      <c r="K285" s="629"/>
      <c r="L285" s="629"/>
      <c r="M285" s="629"/>
      <c r="N285" s="629"/>
      <c r="O285" s="629"/>
      <c r="P285" s="629"/>
      <c r="Q285" s="629"/>
      <c r="R285" s="516"/>
      <c r="S285" s="628"/>
      <c r="T285" s="517"/>
      <c r="U285" s="628"/>
      <c r="V285" s="444"/>
      <c r="W285" s="446"/>
      <c r="X285" s="425"/>
    </row>
    <row r="286" spans="1:24" s="426" customFormat="1" x14ac:dyDescent="0.3">
      <c r="A286" s="443"/>
      <c r="B286" s="449" t="s">
        <v>167</v>
      </c>
      <c r="C286" s="444"/>
      <c r="D286" s="444"/>
      <c r="E286" s="444"/>
      <c r="F286" s="444"/>
      <c r="G286" s="444"/>
      <c r="H286" s="629"/>
      <c r="I286" s="629"/>
      <c r="J286" s="629"/>
      <c r="K286" s="629"/>
      <c r="L286" s="629"/>
      <c r="M286" s="629"/>
      <c r="N286" s="629"/>
      <c r="O286" s="629"/>
      <c r="P286" s="629"/>
      <c r="Q286" s="629"/>
      <c r="R286" s="637">
        <f>R284+R272+R260</f>
        <v>5292</v>
      </c>
      <c r="S286" s="628"/>
      <c r="T286" s="638">
        <f>+T284+T272+T260</f>
        <v>674886</v>
      </c>
      <c r="U286" s="628"/>
      <c r="V286" s="444"/>
      <c r="W286" s="446"/>
      <c r="X286" s="425"/>
    </row>
    <row r="287" spans="1:24" s="426" customFormat="1" x14ac:dyDescent="0.3">
      <c r="A287" s="421"/>
      <c r="B287" s="650"/>
      <c r="C287" s="494"/>
      <c r="D287" s="494"/>
      <c r="E287" s="494"/>
      <c r="F287" s="494"/>
      <c r="G287" s="494"/>
      <c r="H287" s="636"/>
      <c r="I287" s="636"/>
      <c r="J287" s="636"/>
      <c r="K287" s="636"/>
      <c r="L287" s="636"/>
      <c r="M287" s="636"/>
      <c r="N287" s="636"/>
      <c r="O287" s="636"/>
      <c r="P287" s="636"/>
      <c r="Q287" s="636"/>
      <c r="R287" s="651"/>
      <c r="S287" s="630"/>
      <c r="T287" s="652"/>
      <c r="U287" s="630"/>
      <c r="V287" s="494"/>
      <c r="W287" s="424"/>
      <c r="X287" s="425"/>
    </row>
    <row r="288" spans="1:24" s="426" customFormat="1" x14ac:dyDescent="0.3">
      <c r="A288" s="653" t="s">
        <v>390</v>
      </c>
      <c r="B288" s="654" t="s">
        <v>389</v>
      </c>
      <c r="C288" s="655"/>
      <c r="D288" s="655"/>
      <c r="E288" s="655"/>
      <c r="F288" s="655"/>
      <c r="G288" s="655"/>
      <c r="H288" s="656"/>
      <c r="I288" s="656"/>
      <c r="J288" s="656"/>
      <c r="K288" s="656"/>
      <c r="L288" s="656"/>
      <c r="M288" s="656"/>
      <c r="N288" s="656"/>
      <c r="O288" s="635"/>
      <c r="P288" s="635"/>
      <c r="Q288" s="635"/>
      <c r="R288" s="657" t="s">
        <v>103</v>
      </c>
      <c r="S288" s="658" t="s">
        <v>104</v>
      </c>
      <c r="T288" s="657" t="s">
        <v>111</v>
      </c>
      <c r="U288" s="658" t="s">
        <v>104</v>
      </c>
      <c r="V288" s="622"/>
      <c r="W288" s="538"/>
      <c r="X288" s="425"/>
    </row>
    <row r="289" spans="1:24" s="426" customFormat="1" x14ac:dyDescent="0.3">
      <c r="A289" s="659"/>
      <c r="B289" s="660" t="s">
        <v>89</v>
      </c>
      <c r="C289" s="661"/>
      <c r="D289" s="661"/>
      <c r="E289" s="661"/>
      <c r="F289" s="661"/>
      <c r="G289" s="661"/>
      <c r="H289" s="662"/>
      <c r="I289" s="662"/>
      <c r="J289" s="662"/>
      <c r="K289" s="662"/>
      <c r="L289" s="662"/>
      <c r="M289" s="662"/>
      <c r="N289" s="662"/>
      <c r="O289" s="636"/>
      <c r="P289" s="636"/>
      <c r="Q289" s="636"/>
      <c r="R289" s="660">
        <v>329</v>
      </c>
      <c r="S289" s="663">
        <f>R289/$R$298</f>
        <v>0.9939577039274925</v>
      </c>
      <c r="T289" s="664">
        <v>44873</v>
      </c>
      <c r="U289" s="663">
        <f>T289/$T$298</f>
        <v>0.99351281937740776</v>
      </c>
      <c r="V289" s="494"/>
      <c r="W289" s="424"/>
      <c r="X289" s="425"/>
    </row>
    <row r="290" spans="1:24" s="426" customFormat="1" x14ac:dyDescent="0.3">
      <c r="A290" s="665"/>
      <c r="B290" s="666" t="s">
        <v>90</v>
      </c>
      <c r="C290" s="667"/>
      <c r="D290" s="667"/>
      <c r="E290" s="667"/>
      <c r="F290" s="667"/>
      <c r="G290" s="667"/>
      <c r="H290" s="668"/>
      <c r="I290" s="668"/>
      <c r="J290" s="668"/>
      <c r="K290" s="668"/>
      <c r="L290" s="668"/>
      <c r="M290" s="668"/>
      <c r="N290" s="668"/>
      <c r="O290" s="629"/>
      <c r="P290" s="629"/>
      <c r="Q290" s="629"/>
      <c r="R290" s="666">
        <v>2</v>
      </c>
      <c r="S290" s="672">
        <f t="shared" ref="S290:S296" si="9">R290/$R$298</f>
        <v>6.0422960725075529E-3</v>
      </c>
      <c r="T290" s="670">
        <v>293</v>
      </c>
      <c r="U290" s="669">
        <f t="shared" ref="U290:U296" si="10">T290/$T$298</f>
        <v>6.4871806225922151E-3</v>
      </c>
      <c r="V290" s="444"/>
      <c r="W290" s="446"/>
      <c r="X290" s="425"/>
    </row>
    <row r="291" spans="1:24" s="426" customFormat="1" x14ac:dyDescent="0.3">
      <c r="A291" s="665"/>
      <c r="B291" s="666" t="s">
        <v>91</v>
      </c>
      <c r="C291" s="667"/>
      <c r="D291" s="667"/>
      <c r="E291" s="667"/>
      <c r="F291" s="667"/>
      <c r="G291" s="667"/>
      <c r="H291" s="668"/>
      <c r="I291" s="668"/>
      <c r="J291" s="668"/>
      <c r="K291" s="668"/>
      <c r="L291" s="668"/>
      <c r="M291" s="668"/>
      <c r="N291" s="668"/>
      <c r="O291" s="629"/>
      <c r="P291" s="629"/>
      <c r="Q291" s="629"/>
      <c r="R291" s="666">
        <v>0</v>
      </c>
      <c r="S291" s="672">
        <f t="shared" si="9"/>
        <v>0</v>
      </c>
      <c r="T291" s="670">
        <v>0</v>
      </c>
      <c r="U291" s="669">
        <f t="shared" si="10"/>
        <v>0</v>
      </c>
      <c r="V291" s="444"/>
      <c r="W291" s="446"/>
      <c r="X291" s="425"/>
    </row>
    <row r="292" spans="1:24" s="426" customFormat="1" x14ac:dyDescent="0.3">
      <c r="A292" s="665"/>
      <c r="B292" s="666" t="s">
        <v>159</v>
      </c>
      <c r="C292" s="667"/>
      <c r="D292" s="667"/>
      <c r="E292" s="667"/>
      <c r="F292" s="667"/>
      <c r="G292" s="667"/>
      <c r="H292" s="668"/>
      <c r="I292" s="668"/>
      <c r="J292" s="668"/>
      <c r="K292" s="668"/>
      <c r="L292" s="668"/>
      <c r="M292" s="668"/>
      <c r="N292" s="668"/>
      <c r="O292" s="629"/>
      <c r="P292" s="629"/>
      <c r="Q292" s="629"/>
      <c r="R292" s="666">
        <v>0</v>
      </c>
      <c r="S292" s="672">
        <f t="shared" si="9"/>
        <v>0</v>
      </c>
      <c r="T292" s="670">
        <v>0</v>
      </c>
      <c r="U292" s="669">
        <f t="shared" si="10"/>
        <v>0</v>
      </c>
      <c r="V292" s="444"/>
      <c r="W292" s="446"/>
      <c r="X292" s="425"/>
    </row>
    <row r="293" spans="1:24" s="426" customFormat="1" x14ac:dyDescent="0.3">
      <c r="A293" s="665"/>
      <c r="B293" s="666" t="s">
        <v>160</v>
      </c>
      <c r="C293" s="667"/>
      <c r="D293" s="667"/>
      <c r="E293" s="667"/>
      <c r="F293" s="667"/>
      <c r="G293" s="667"/>
      <c r="H293" s="668"/>
      <c r="I293" s="668"/>
      <c r="J293" s="668"/>
      <c r="K293" s="668"/>
      <c r="L293" s="668"/>
      <c r="M293" s="668"/>
      <c r="N293" s="668"/>
      <c r="O293" s="629"/>
      <c r="P293" s="629"/>
      <c r="Q293" s="629"/>
      <c r="R293" s="666">
        <v>0</v>
      </c>
      <c r="S293" s="672">
        <f t="shared" si="9"/>
        <v>0</v>
      </c>
      <c r="T293" s="670">
        <v>0</v>
      </c>
      <c r="U293" s="669">
        <f t="shared" si="10"/>
        <v>0</v>
      </c>
      <c r="V293" s="444"/>
      <c r="W293" s="446"/>
      <c r="X293" s="425"/>
    </row>
    <row r="294" spans="1:24" s="426" customFormat="1" x14ac:dyDescent="0.3">
      <c r="A294" s="665"/>
      <c r="B294" s="666" t="s">
        <v>161</v>
      </c>
      <c r="C294" s="667"/>
      <c r="D294" s="667"/>
      <c r="E294" s="667"/>
      <c r="F294" s="667"/>
      <c r="G294" s="667"/>
      <c r="H294" s="668"/>
      <c r="I294" s="668"/>
      <c r="J294" s="668"/>
      <c r="K294" s="668"/>
      <c r="L294" s="668"/>
      <c r="M294" s="668"/>
      <c r="N294" s="668"/>
      <c r="O294" s="629"/>
      <c r="P294" s="629"/>
      <c r="Q294" s="629"/>
      <c r="R294" s="666">
        <v>0</v>
      </c>
      <c r="S294" s="672">
        <f t="shared" si="9"/>
        <v>0</v>
      </c>
      <c r="T294" s="670">
        <v>0</v>
      </c>
      <c r="U294" s="669">
        <f t="shared" si="10"/>
        <v>0</v>
      </c>
      <c r="V294" s="444"/>
      <c r="W294" s="446"/>
      <c r="X294" s="425"/>
    </row>
    <row r="295" spans="1:24" s="426" customFormat="1" x14ac:dyDescent="0.3">
      <c r="A295" s="665"/>
      <c r="B295" s="666" t="s">
        <v>162</v>
      </c>
      <c r="C295" s="667"/>
      <c r="D295" s="667"/>
      <c r="E295" s="667"/>
      <c r="F295" s="667"/>
      <c r="G295" s="667"/>
      <c r="H295" s="668"/>
      <c r="I295" s="668"/>
      <c r="J295" s="668"/>
      <c r="K295" s="668"/>
      <c r="L295" s="668"/>
      <c r="M295" s="668"/>
      <c r="N295" s="668"/>
      <c r="O295" s="629"/>
      <c r="P295" s="629"/>
      <c r="Q295" s="629"/>
      <c r="R295" s="666">
        <v>0</v>
      </c>
      <c r="S295" s="672">
        <f t="shared" si="9"/>
        <v>0</v>
      </c>
      <c r="T295" s="670">
        <v>0</v>
      </c>
      <c r="U295" s="669">
        <f t="shared" si="10"/>
        <v>0</v>
      </c>
      <c r="V295" s="444"/>
      <c r="W295" s="446"/>
      <c r="X295" s="425"/>
    </row>
    <row r="296" spans="1:24" s="426" customFormat="1" x14ac:dyDescent="0.3">
      <c r="A296" s="665"/>
      <c r="B296" s="666" t="s">
        <v>163</v>
      </c>
      <c r="C296" s="667"/>
      <c r="D296" s="667"/>
      <c r="E296" s="667"/>
      <c r="F296" s="667"/>
      <c r="G296" s="667"/>
      <c r="H296" s="668"/>
      <c r="I296" s="668"/>
      <c r="J296" s="668"/>
      <c r="K296" s="668"/>
      <c r="L296" s="668"/>
      <c r="M296" s="668"/>
      <c r="N296" s="668"/>
      <c r="O296" s="629"/>
      <c r="P296" s="629"/>
      <c r="Q296" s="629"/>
      <c r="R296" s="666">
        <v>0</v>
      </c>
      <c r="S296" s="663">
        <f t="shared" si="9"/>
        <v>0</v>
      </c>
      <c r="T296" s="670">
        <v>0</v>
      </c>
      <c r="U296" s="669">
        <f t="shared" si="10"/>
        <v>0</v>
      </c>
      <c r="V296" s="444"/>
      <c r="W296" s="446"/>
      <c r="X296" s="425"/>
    </row>
    <row r="297" spans="1:24" s="426" customFormat="1" x14ac:dyDescent="0.3">
      <c r="A297" s="665"/>
      <c r="B297" s="666"/>
      <c r="C297" s="667"/>
      <c r="D297" s="667"/>
      <c r="E297" s="667"/>
      <c r="F297" s="667"/>
      <c r="G297" s="667"/>
      <c r="H297" s="668"/>
      <c r="I297" s="668"/>
      <c r="J297" s="668"/>
      <c r="K297" s="668"/>
      <c r="L297" s="668"/>
      <c r="M297" s="668"/>
      <c r="N297" s="668"/>
      <c r="O297" s="629"/>
      <c r="P297" s="629"/>
      <c r="Q297" s="629"/>
      <c r="R297" s="666"/>
      <c r="S297" s="669"/>
      <c r="T297" s="670"/>
      <c r="U297" s="669"/>
      <c r="V297" s="444"/>
      <c r="W297" s="446"/>
      <c r="X297" s="425"/>
    </row>
    <row r="298" spans="1:24" s="426" customFormat="1" x14ac:dyDescent="0.3">
      <c r="A298" s="665"/>
      <c r="B298" s="667" t="s">
        <v>117</v>
      </c>
      <c r="C298" s="667"/>
      <c r="D298" s="667"/>
      <c r="E298" s="667"/>
      <c r="F298" s="667"/>
      <c r="G298" s="667"/>
      <c r="H298" s="668"/>
      <c r="I298" s="668"/>
      <c r="J298" s="668"/>
      <c r="K298" s="668"/>
      <c r="L298" s="668"/>
      <c r="M298" s="668"/>
      <c r="N298" s="668"/>
      <c r="O298" s="629"/>
      <c r="P298" s="629"/>
      <c r="Q298" s="629"/>
      <c r="R298" s="666">
        <f>SUM(R289:R296)</f>
        <v>331</v>
      </c>
      <c r="S298" s="669">
        <f>SUM(S289:S297)</f>
        <v>1</v>
      </c>
      <c r="T298" s="670">
        <f>SUM(T289:T296)</f>
        <v>45166</v>
      </c>
      <c r="U298" s="669">
        <f>SUM(U289:U297)</f>
        <v>1</v>
      </c>
      <c r="V298" s="444"/>
      <c r="W298" s="446"/>
      <c r="X298" s="425"/>
    </row>
    <row r="299" spans="1:24" s="426" customFormat="1" x14ac:dyDescent="0.3">
      <c r="A299" s="665"/>
      <c r="B299" s="667" t="s">
        <v>411</v>
      </c>
      <c r="C299" s="667"/>
      <c r="D299" s="667"/>
      <c r="E299" s="667"/>
      <c r="F299" s="667"/>
      <c r="G299" s="667"/>
      <c r="H299" s="668"/>
      <c r="I299" s="668"/>
      <c r="J299" s="668"/>
      <c r="K299" s="668"/>
      <c r="L299" s="668"/>
      <c r="M299" s="668"/>
      <c r="N299" s="668"/>
      <c r="O299" s="629"/>
      <c r="P299" s="629"/>
      <c r="Q299" s="629"/>
      <c r="R299" s="681">
        <f>+R298/R286</f>
        <v>6.2547241118669689E-2</v>
      </c>
      <c r="S299" s="669"/>
      <c r="T299" s="682">
        <f>+T298/T286</f>
        <v>6.6923895294909067E-2</v>
      </c>
      <c r="U299" s="669"/>
      <c r="V299" s="444"/>
      <c r="W299" s="446"/>
      <c r="X299" s="425"/>
    </row>
    <row r="300" spans="1:24" s="426" customFormat="1" x14ac:dyDescent="0.3">
      <c r="A300" s="421"/>
      <c r="B300" s="494"/>
      <c r="C300" s="494"/>
      <c r="D300" s="494"/>
      <c r="E300" s="494"/>
      <c r="F300" s="494"/>
      <c r="G300" s="494"/>
      <c r="H300" s="636"/>
      <c r="I300" s="636"/>
      <c r="J300" s="636"/>
      <c r="K300" s="636"/>
      <c r="L300" s="636"/>
      <c r="M300" s="636"/>
      <c r="N300" s="636"/>
      <c r="O300" s="671"/>
      <c r="P300" s="671"/>
      <c r="Q300" s="636"/>
      <c r="R300" s="636"/>
      <c r="S300" s="636"/>
      <c r="T300" s="631"/>
      <c r="U300" s="636"/>
      <c r="V300" s="494"/>
      <c r="W300" s="424"/>
      <c r="X300" s="425"/>
    </row>
    <row r="301" spans="1:24" s="426" customFormat="1" x14ac:dyDescent="0.3">
      <c r="A301" s="421"/>
      <c r="B301" s="420" t="s">
        <v>92</v>
      </c>
      <c r="C301" s="422"/>
      <c r="D301" s="422"/>
      <c r="E301" s="422"/>
      <c r="F301" s="429" t="s">
        <v>98</v>
      </c>
      <c r="G301" s="422"/>
      <c r="H301" s="420" t="s">
        <v>100</v>
      </c>
      <c r="I301" s="420"/>
      <c r="J301" s="420"/>
      <c r="K301" s="422"/>
      <c r="L301" s="422"/>
      <c r="M301" s="422"/>
      <c r="N301" s="422"/>
      <c r="O301" s="422"/>
      <c r="P301" s="422"/>
      <c r="Q301" s="422"/>
      <c r="R301" s="422"/>
      <c r="S301" s="422"/>
      <c r="T301" s="422"/>
      <c r="U301" s="422"/>
      <c r="V301" s="422"/>
      <c r="W301" s="424"/>
      <c r="X301" s="425"/>
    </row>
    <row r="302" spans="1:24" s="426" customFormat="1" x14ac:dyDescent="0.3">
      <c r="A302" s="421"/>
      <c r="B302" s="420" t="s">
        <v>336</v>
      </c>
      <c r="C302" s="420"/>
      <c r="D302" s="420"/>
      <c r="E302" s="420"/>
      <c r="F302" s="641" t="s">
        <v>282</v>
      </c>
      <c r="G302" s="420"/>
      <c r="H302" s="420" t="s">
        <v>371</v>
      </c>
      <c r="I302" s="422"/>
      <c r="J302" s="420"/>
      <c r="K302" s="422"/>
      <c r="L302" s="422"/>
      <c r="M302" s="422"/>
      <c r="N302" s="422"/>
      <c r="O302" s="422"/>
      <c r="P302" s="422"/>
      <c r="Q302" s="422"/>
      <c r="R302" s="422"/>
      <c r="S302" s="422"/>
      <c r="T302" s="422"/>
      <c r="U302" s="422"/>
      <c r="V302" s="422"/>
      <c r="W302" s="424"/>
      <c r="X302" s="425"/>
    </row>
    <row r="303" spans="1:24" s="426" customFormat="1" x14ac:dyDescent="0.3">
      <c r="A303" s="421"/>
      <c r="B303" s="420" t="s">
        <v>337</v>
      </c>
      <c r="C303" s="420"/>
      <c r="D303" s="420"/>
      <c r="E303" s="420"/>
      <c r="F303" s="641" t="s">
        <v>150</v>
      </c>
      <c r="G303" s="420"/>
      <c r="H303" s="420" t="s">
        <v>372</v>
      </c>
      <c r="I303" s="420"/>
      <c r="J303" s="420"/>
      <c r="K303" s="422"/>
      <c r="L303" s="422"/>
      <c r="M303" s="422"/>
      <c r="N303" s="422"/>
      <c r="O303" s="422"/>
      <c r="P303" s="422"/>
      <c r="Q303" s="422"/>
      <c r="R303" s="422"/>
      <c r="S303" s="422"/>
      <c r="T303" s="422"/>
      <c r="U303" s="422"/>
      <c r="V303" s="422"/>
      <c r="W303" s="424"/>
      <c r="X303" s="425"/>
    </row>
    <row r="304" spans="1:24" s="426" customFormat="1" x14ac:dyDescent="0.3">
      <c r="A304" s="421"/>
      <c r="B304" s="420"/>
      <c r="C304" s="420"/>
      <c r="D304" s="420"/>
      <c r="E304" s="420"/>
      <c r="F304" s="641"/>
      <c r="G304" s="420"/>
      <c r="H304" s="420"/>
      <c r="I304" s="420"/>
      <c r="J304" s="420"/>
      <c r="K304" s="422"/>
      <c r="L304" s="422"/>
      <c r="M304" s="422"/>
      <c r="N304" s="422"/>
      <c r="O304" s="422"/>
      <c r="P304" s="422"/>
      <c r="Q304" s="422"/>
      <c r="R304" s="422"/>
      <c r="S304" s="422"/>
      <c r="T304" s="422"/>
      <c r="U304" s="422"/>
      <c r="V304" s="422"/>
      <c r="W304" s="424"/>
      <c r="X304" s="425"/>
    </row>
    <row r="305" spans="1:24" s="426" customFormat="1" x14ac:dyDescent="0.3">
      <c r="A305" s="421"/>
      <c r="B305" s="494" t="s">
        <v>367</v>
      </c>
      <c r="C305" s="420"/>
      <c r="D305" s="420"/>
      <c r="E305" s="420"/>
      <c r="F305" s="641"/>
      <c r="G305" s="420"/>
      <c r="H305" s="420"/>
      <c r="I305" s="420"/>
      <c r="J305" s="420"/>
      <c r="K305" s="422"/>
      <c r="L305" s="422"/>
      <c r="M305" s="422"/>
      <c r="N305" s="422"/>
      <c r="O305" s="422"/>
      <c r="P305" s="422"/>
      <c r="Q305" s="422"/>
      <c r="R305" s="422"/>
      <c r="S305" s="422"/>
      <c r="T305" s="422"/>
      <c r="U305" s="422"/>
      <c r="V305" s="422"/>
      <c r="W305" s="424"/>
      <c r="X305" s="425"/>
    </row>
    <row r="306" spans="1:24" s="426" customFormat="1" x14ac:dyDescent="0.3">
      <c r="A306" s="421"/>
      <c r="B306" s="494" t="s">
        <v>373</v>
      </c>
      <c r="C306" s="420"/>
      <c r="D306" s="420"/>
      <c r="E306" s="420"/>
      <c r="F306" s="641"/>
      <c r="G306" s="420"/>
      <c r="H306" s="420"/>
      <c r="I306" s="420"/>
      <c r="J306" s="420"/>
      <c r="K306" s="422"/>
      <c r="L306" s="422"/>
      <c r="M306" s="422"/>
      <c r="N306" s="422"/>
      <c r="O306" s="422"/>
      <c r="P306" s="422"/>
      <c r="Q306" s="422"/>
      <c r="R306" s="422"/>
      <c r="S306" s="422"/>
      <c r="T306" s="422"/>
      <c r="U306" s="422"/>
      <c r="V306" s="422"/>
      <c r="W306" s="424"/>
      <c r="X306" s="425"/>
    </row>
    <row r="307" spans="1:24" s="426" customFormat="1" x14ac:dyDescent="0.3">
      <c r="A307" s="421"/>
      <c r="B307" s="494" t="s">
        <v>365</v>
      </c>
      <c r="C307" s="420"/>
      <c r="D307" s="420"/>
      <c r="E307" s="420"/>
      <c r="F307" s="641"/>
      <c r="G307" s="420"/>
      <c r="H307" s="420"/>
      <c r="I307" s="420"/>
      <c r="J307" s="420"/>
      <c r="K307" s="422"/>
      <c r="L307" s="422"/>
      <c r="M307" s="422"/>
      <c r="N307" s="422"/>
      <c r="O307" s="422"/>
      <c r="P307" s="422"/>
      <c r="Q307" s="422"/>
      <c r="R307" s="422"/>
      <c r="S307" s="422"/>
      <c r="T307" s="422"/>
      <c r="U307" s="422"/>
      <c r="V307" s="422"/>
      <c r="W307" s="424"/>
      <c r="X307" s="425"/>
    </row>
    <row r="308" spans="1:24" s="426" customFormat="1" x14ac:dyDescent="0.3">
      <c r="A308" s="421"/>
      <c r="B308" s="494" t="s">
        <v>366</v>
      </c>
      <c r="C308" s="420"/>
      <c r="D308" s="420"/>
      <c r="E308" s="420"/>
      <c r="F308" s="641"/>
      <c r="G308" s="420"/>
      <c r="H308" s="420"/>
      <c r="I308" s="420"/>
      <c r="J308" s="420"/>
      <c r="K308" s="422"/>
      <c r="L308" s="422"/>
      <c r="M308" s="422"/>
      <c r="N308" s="422"/>
      <c r="O308" s="422"/>
      <c r="P308" s="422"/>
      <c r="Q308" s="422"/>
      <c r="R308" s="422"/>
      <c r="S308" s="422"/>
      <c r="T308" s="422"/>
      <c r="U308" s="422"/>
      <c r="V308" s="422"/>
      <c r="W308" s="424"/>
      <c r="X308" s="425"/>
    </row>
    <row r="309" spans="1:24" s="426" customFormat="1" x14ac:dyDescent="0.3">
      <c r="A309" s="421"/>
      <c r="B309" s="494"/>
      <c r="C309" s="420"/>
      <c r="D309" s="420"/>
      <c r="E309" s="420"/>
      <c r="F309" s="641"/>
      <c r="G309" s="420"/>
      <c r="H309" s="420"/>
      <c r="I309" s="420"/>
      <c r="J309" s="420"/>
      <c r="K309" s="422"/>
      <c r="L309" s="422"/>
      <c r="M309" s="422"/>
      <c r="N309" s="422"/>
      <c r="O309" s="422"/>
      <c r="P309" s="422"/>
      <c r="Q309" s="422"/>
      <c r="R309" s="422"/>
      <c r="S309" s="422"/>
      <c r="T309" s="422"/>
      <c r="U309" s="422"/>
      <c r="V309" s="422"/>
      <c r="W309" s="424"/>
      <c r="X309" s="425"/>
    </row>
    <row r="310" spans="1:24" s="426" customFormat="1" x14ac:dyDescent="0.3">
      <c r="A310" s="421"/>
      <c r="B310" s="494" t="s">
        <v>391</v>
      </c>
      <c r="C310" s="420"/>
      <c r="D310" s="420"/>
      <c r="E310" s="420"/>
      <c r="F310" s="641"/>
      <c r="G310" s="420"/>
      <c r="H310" s="420"/>
      <c r="I310" s="420"/>
      <c r="J310" s="420"/>
      <c r="K310" s="422"/>
      <c r="L310" s="422"/>
      <c r="M310" s="422"/>
      <c r="N310" s="422"/>
      <c r="O310" s="422"/>
      <c r="P310" s="422"/>
      <c r="Q310" s="422"/>
      <c r="R310" s="422"/>
      <c r="S310" s="422"/>
      <c r="T310" s="422"/>
      <c r="U310" s="422"/>
      <c r="V310" s="422"/>
      <c r="W310" s="424"/>
      <c r="X310" s="425"/>
    </row>
    <row r="311" spans="1:24" x14ac:dyDescent="0.3">
      <c r="A311" s="408"/>
      <c r="B311" s="642"/>
      <c r="C311" s="642"/>
      <c r="D311" s="642"/>
      <c r="E311" s="642"/>
      <c r="F311" s="643"/>
      <c r="G311" s="642"/>
      <c r="H311" s="642"/>
      <c r="I311" s="642"/>
      <c r="J311" s="642"/>
      <c r="K311" s="531"/>
      <c r="L311" s="531"/>
      <c r="M311" s="531"/>
      <c r="N311" s="531"/>
      <c r="O311" s="531"/>
      <c r="P311" s="531"/>
      <c r="Q311" s="531"/>
      <c r="R311" s="531"/>
      <c r="S311" s="531"/>
      <c r="T311" s="531"/>
      <c r="U311" s="531"/>
      <c r="V311" s="531"/>
      <c r="W311" s="532"/>
      <c r="X311" s="406"/>
    </row>
    <row r="312" spans="1:24" ht="18" x14ac:dyDescent="0.35">
      <c r="A312" s="408"/>
      <c r="B312" s="644" t="s">
        <v>368</v>
      </c>
      <c r="C312" s="642"/>
      <c r="D312" s="642"/>
      <c r="E312" s="642"/>
      <c r="F312" s="642"/>
      <c r="G312" s="642"/>
      <c r="H312" s="531"/>
      <c r="I312" s="531"/>
      <c r="J312" s="531"/>
      <c r="K312" s="531"/>
      <c r="L312" s="410"/>
      <c r="M312" s="410"/>
      <c r="N312" s="645"/>
      <c r="O312" s="410"/>
      <c r="P312" s="646" t="s">
        <v>370</v>
      </c>
      <c r="Q312" s="531"/>
      <c r="R312" s="531"/>
      <c r="S312" s="531"/>
      <c r="T312" s="531"/>
      <c r="U312" s="531"/>
      <c r="V312" s="531"/>
      <c r="W312" s="532"/>
      <c r="X312" s="406"/>
    </row>
    <row r="313" spans="1:24" x14ac:dyDescent="0.3">
      <c r="A313" s="408"/>
      <c r="B313" s="642"/>
      <c r="C313" s="642"/>
      <c r="D313" s="642"/>
      <c r="E313" s="642"/>
      <c r="F313" s="642"/>
      <c r="G313" s="642"/>
      <c r="H313" s="531"/>
      <c r="I313" s="531"/>
      <c r="J313" s="531"/>
      <c r="K313" s="531"/>
      <c r="L313" s="531"/>
      <c r="M313" s="531"/>
      <c r="N313" s="531"/>
      <c r="O313" s="531"/>
      <c r="P313" s="531"/>
      <c r="Q313" s="531"/>
      <c r="R313" s="531"/>
      <c r="S313" s="531"/>
      <c r="T313" s="531"/>
      <c r="U313" s="531"/>
      <c r="V313" s="531"/>
      <c r="W313" s="532"/>
      <c r="X313" s="406"/>
    </row>
    <row r="314" spans="1:24" ht="18.600000000000001" thickBot="1" x14ac:dyDescent="0.4">
      <c r="A314" s="408"/>
      <c r="B314" s="647" t="str">
        <f>B200</f>
        <v>PM13 INVESTOR REPORT QUARTER ENDING MARCH 2020</v>
      </c>
      <c r="C314" s="642"/>
      <c r="D314" s="642"/>
      <c r="E314" s="642"/>
      <c r="F314" s="642"/>
      <c r="G314" s="642"/>
      <c r="H314" s="531"/>
      <c r="I314" s="531"/>
      <c r="J314" s="531"/>
      <c r="K314" s="531"/>
      <c r="L314" s="531"/>
      <c r="M314" s="531"/>
      <c r="N314" s="531"/>
      <c r="O314" s="531"/>
      <c r="P314" s="531"/>
      <c r="Q314" s="531"/>
      <c r="R314" s="531"/>
      <c r="S314" s="531"/>
      <c r="T314" s="531"/>
      <c r="U314" s="531"/>
      <c r="V314" s="531"/>
      <c r="W314" s="648"/>
      <c r="X314" s="406"/>
    </row>
    <row r="315" spans="1:24" x14ac:dyDescent="0.3">
      <c r="A315" s="649"/>
      <c r="B315" s="649"/>
      <c r="C315" s="649"/>
      <c r="D315" s="649"/>
      <c r="E315" s="649"/>
      <c r="F315" s="649"/>
      <c r="G315" s="649"/>
      <c r="H315" s="649"/>
      <c r="I315" s="649"/>
      <c r="J315" s="649"/>
      <c r="K315" s="649"/>
      <c r="L315" s="649"/>
      <c r="M315" s="649"/>
      <c r="N315" s="649"/>
      <c r="O315" s="649"/>
      <c r="P315" s="649"/>
      <c r="Q315" s="649"/>
      <c r="R315" s="649"/>
      <c r="S315" s="649"/>
      <c r="T315" s="649"/>
      <c r="U315" s="649"/>
      <c r="V315" s="649"/>
      <c r="W315" s="649"/>
    </row>
  </sheetData>
  <hyperlinks>
    <hyperlink ref="P236" r:id="rId1" display="http://www.paragon-group.co.uk" xr:uid="{709D2CA8-C26B-43D1-A5FE-6066A2CDFD9F}"/>
    <hyperlink ref="I9" r:id="rId2" display="http://www.paragon-group.co.uk" xr:uid="{0D6683E3-13B9-427F-AFBD-187875AC23E1}"/>
    <hyperlink ref="P312" r:id="rId3" display="http://www.paragon-group.co.uk" xr:uid="{7EA98104-88A1-43AA-9302-07E57507D303}"/>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40" max="22" man="1"/>
    <brk id="200" max="22" man="1"/>
  </rowBreaks>
  <drawing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DE3D7-4D67-4266-AE8C-E1E562C475BC}">
  <sheetPr>
    <tabColor rgb="FF89CB31"/>
  </sheetPr>
  <dimension ref="A1:Z344"/>
  <sheetViews>
    <sheetView showGridLines="0" showOutlineSymbols="0" zoomScale="70" zoomScaleNormal="70" workbookViewId="0"/>
  </sheetViews>
  <sheetFormatPr defaultColWidth="9.81640625" defaultRowHeight="15.6" x14ac:dyDescent="0.3"/>
  <cols>
    <col min="1" max="1" width="4" style="407" customWidth="1"/>
    <col min="2" max="2" width="71.08984375" style="407" customWidth="1"/>
    <col min="3" max="3" width="2.08984375" style="407" customWidth="1"/>
    <col min="4" max="4" width="19.1796875" style="407" customWidth="1"/>
    <col min="5" max="5" width="2.08984375" style="407" customWidth="1"/>
    <col min="6" max="6" width="25.08984375" style="407" customWidth="1"/>
    <col min="7" max="7" width="2.08984375" style="407" customWidth="1"/>
    <col min="8" max="8" width="16.08984375" style="407" customWidth="1"/>
    <col min="9" max="9" width="2.81640625" style="407" customWidth="1"/>
    <col min="10" max="10" width="16.08984375" style="407" customWidth="1"/>
    <col min="11" max="11" width="2.08984375" style="407" customWidth="1"/>
    <col min="12" max="12" width="17.81640625" style="407" customWidth="1"/>
    <col min="13" max="13" width="2.1796875" style="407" customWidth="1"/>
    <col min="14" max="14" width="14.81640625" style="407" customWidth="1"/>
    <col min="15" max="15" width="2.1796875" style="407" customWidth="1"/>
    <col min="16" max="16" width="15.54296875" style="407" customWidth="1"/>
    <col min="17" max="17" width="2.08984375" style="407" customWidth="1"/>
    <col min="18" max="18" width="15.54296875" style="407" customWidth="1"/>
    <col min="19" max="20" width="12.81640625" style="407" customWidth="1"/>
    <col min="21" max="21" width="7.81640625" style="407" customWidth="1"/>
    <col min="22" max="22" width="14.81640625" style="407" customWidth="1"/>
    <col min="23" max="23" width="11.81640625" style="407" customWidth="1"/>
    <col min="24" max="16384" width="9.81640625" style="407"/>
  </cols>
  <sheetData>
    <row r="1" spans="1:24" ht="21" x14ac:dyDescent="0.4">
      <c r="A1" s="402"/>
      <c r="B1" s="403" t="s">
        <v>238</v>
      </c>
      <c r="C1" s="404"/>
      <c r="D1" s="404"/>
      <c r="E1" s="404"/>
      <c r="F1" s="404"/>
      <c r="G1" s="404"/>
      <c r="H1" s="404"/>
      <c r="I1" s="404"/>
      <c r="J1" s="404"/>
      <c r="K1" s="404"/>
      <c r="L1" s="404"/>
      <c r="M1" s="404"/>
      <c r="N1" s="404"/>
      <c r="O1" s="404"/>
      <c r="P1" s="404"/>
      <c r="Q1" s="404"/>
      <c r="R1" s="404"/>
      <c r="S1" s="404"/>
      <c r="T1" s="404"/>
      <c r="U1" s="404"/>
      <c r="V1" s="404"/>
      <c r="W1" s="405"/>
      <c r="X1" s="406"/>
    </row>
    <row r="2" spans="1:24" x14ac:dyDescent="0.3">
      <c r="A2" s="408"/>
      <c r="B2" s="409"/>
      <c r="C2" s="410"/>
      <c r="D2" s="410"/>
      <c r="E2" s="410"/>
      <c r="F2" s="410"/>
      <c r="G2" s="410"/>
      <c r="H2" s="410"/>
      <c r="I2" s="410"/>
      <c r="J2" s="410"/>
      <c r="K2" s="410"/>
      <c r="L2" s="410"/>
      <c r="M2" s="410"/>
      <c r="N2" s="410"/>
      <c r="O2" s="410"/>
      <c r="P2" s="410"/>
      <c r="Q2" s="410"/>
      <c r="R2" s="410"/>
      <c r="S2" s="410"/>
      <c r="T2" s="410"/>
      <c r="U2" s="410"/>
      <c r="V2" s="410"/>
      <c r="W2" s="411"/>
      <c r="X2" s="406"/>
    </row>
    <row r="3" spans="1:24" x14ac:dyDescent="0.3">
      <c r="A3" s="412"/>
      <c r="B3" s="413" t="s">
        <v>239</v>
      </c>
      <c r="C3" s="410"/>
      <c r="D3" s="410"/>
      <c r="E3" s="410"/>
      <c r="F3" s="410"/>
      <c r="G3" s="410"/>
      <c r="H3" s="410"/>
      <c r="I3" s="410"/>
      <c r="J3" s="410"/>
      <c r="K3" s="410"/>
      <c r="L3" s="410"/>
      <c r="M3" s="410"/>
      <c r="N3" s="410"/>
      <c r="O3" s="410"/>
      <c r="P3" s="410"/>
      <c r="Q3" s="410"/>
      <c r="R3" s="410"/>
      <c r="S3" s="410"/>
      <c r="T3" s="410"/>
      <c r="U3" s="410"/>
      <c r="V3" s="410"/>
      <c r="W3" s="411"/>
      <c r="X3" s="406"/>
    </row>
    <row r="4" spans="1:24" x14ac:dyDescent="0.3">
      <c r="A4" s="408"/>
      <c r="B4" s="409"/>
      <c r="C4" s="410"/>
      <c r="D4" s="410"/>
      <c r="E4" s="410"/>
      <c r="F4" s="410"/>
      <c r="G4" s="410"/>
      <c r="H4" s="410"/>
      <c r="I4" s="410"/>
      <c r="J4" s="410"/>
      <c r="K4" s="410"/>
      <c r="L4" s="410"/>
      <c r="M4" s="410"/>
      <c r="N4" s="410"/>
      <c r="O4" s="410"/>
      <c r="P4" s="410"/>
      <c r="Q4" s="410"/>
      <c r="R4" s="410"/>
      <c r="S4" s="410"/>
      <c r="T4" s="410"/>
      <c r="U4" s="410"/>
      <c r="V4" s="410"/>
      <c r="W4" s="411"/>
      <c r="X4" s="406"/>
    </row>
    <row r="5" spans="1:24" x14ac:dyDescent="0.3">
      <c r="A5" s="408"/>
      <c r="B5" s="414" t="s">
        <v>140</v>
      </c>
      <c r="C5" s="410"/>
      <c r="D5" s="410"/>
      <c r="E5" s="410"/>
      <c r="F5" s="410"/>
      <c r="G5" s="410"/>
      <c r="H5" s="410"/>
      <c r="I5" s="410"/>
      <c r="J5" s="410"/>
      <c r="K5" s="410"/>
      <c r="L5" s="410"/>
      <c r="M5" s="410"/>
      <c r="N5" s="410"/>
      <c r="O5" s="410"/>
      <c r="P5" s="410"/>
      <c r="Q5" s="410"/>
      <c r="R5" s="410"/>
      <c r="S5" s="410"/>
      <c r="T5" s="410"/>
      <c r="U5" s="410"/>
      <c r="V5" s="410"/>
      <c r="W5" s="411"/>
      <c r="X5" s="406"/>
    </row>
    <row r="6" spans="1:24" x14ac:dyDescent="0.3">
      <c r="A6" s="408"/>
      <c r="B6" s="414" t="s">
        <v>142</v>
      </c>
      <c r="C6" s="410"/>
      <c r="D6" s="410"/>
      <c r="E6" s="410"/>
      <c r="F6" s="410"/>
      <c r="G6" s="410"/>
      <c r="H6" s="410"/>
      <c r="I6" s="410"/>
      <c r="J6" s="410"/>
      <c r="K6" s="410"/>
      <c r="L6" s="410"/>
      <c r="M6" s="410"/>
      <c r="N6" s="410"/>
      <c r="O6" s="410"/>
      <c r="P6" s="410"/>
      <c r="Q6" s="410"/>
      <c r="R6" s="410"/>
      <c r="S6" s="410"/>
      <c r="T6" s="410"/>
      <c r="U6" s="410"/>
      <c r="V6" s="410"/>
      <c r="W6" s="411"/>
      <c r="X6" s="406"/>
    </row>
    <row r="7" spans="1:24" x14ac:dyDescent="0.3">
      <c r="A7" s="408"/>
      <c r="B7" s="414" t="s">
        <v>141</v>
      </c>
      <c r="C7" s="410"/>
      <c r="D7" s="410"/>
      <c r="E7" s="410"/>
      <c r="F7" s="410"/>
      <c r="G7" s="410"/>
      <c r="H7" s="410"/>
      <c r="I7" s="410"/>
      <c r="J7" s="410"/>
      <c r="K7" s="410"/>
      <c r="L7" s="410"/>
      <c r="M7" s="410"/>
      <c r="N7" s="410"/>
      <c r="O7" s="410"/>
      <c r="P7" s="410"/>
      <c r="Q7" s="410"/>
      <c r="R7" s="410"/>
      <c r="S7" s="410"/>
      <c r="T7" s="410"/>
      <c r="U7" s="410"/>
      <c r="V7" s="410"/>
      <c r="W7" s="411"/>
      <c r="X7" s="406"/>
    </row>
    <row r="8" spans="1:24" x14ac:dyDescent="0.3">
      <c r="A8" s="408"/>
      <c r="B8" s="415"/>
      <c r="C8" s="410"/>
      <c r="D8" s="410"/>
      <c r="E8" s="410"/>
      <c r="F8" s="410"/>
      <c r="G8" s="410"/>
      <c r="H8" s="410"/>
      <c r="I8" s="410"/>
      <c r="J8" s="410"/>
      <c r="K8" s="410"/>
      <c r="L8" s="410"/>
      <c r="M8" s="410"/>
      <c r="N8" s="410"/>
      <c r="O8" s="410"/>
      <c r="P8" s="410"/>
      <c r="Q8" s="410"/>
      <c r="R8" s="410"/>
      <c r="S8" s="410"/>
      <c r="T8" s="410"/>
      <c r="U8" s="410"/>
      <c r="V8" s="410"/>
      <c r="W8" s="411"/>
      <c r="X8" s="406"/>
    </row>
    <row r="9" spans="1:24" ht="18" x14ac:dyDescent="0.35">
      <c r="A9" s="408"/>
      <c r="B9" s="413" t="s">
        <v>169</v>
      </c>
      <c r="C9" s="410"/>
      <c r="D9" s="410"/>
      <c r="E9" s="410"/>
      <c r="F9" s="410"/>
      <c r="G9" s="410"/>
      <c r="H9" s="410"/>
      <c r="I9" s="416" t="s">
        <v>370</v>
      </c>
      <c r="J9" s="410"/>
      <c r="K9" s="410"/>
      <c r="L9" s="417"/>
      <c r="M9" s="410"/>
      <c r="N9" s="418"/>
      <c r="O9" s="410"/>
      <c r="P9" s="410"/>
      <c r="Q9" s="410"/>
      <c r="R9" s="410"/>
      <c r="S9" s="410"/>
      <c r="T9" s="410"/>
      <c r="U9" s="410"/>
      <c r="V9" s="410"/>
      <c r="W9" s="411"/>
      <c r="X9" s="406"/>
    </row>
    <row r="10" spans="1:24" x14ac:dyDescent="0.3">
      <c r="A10" s="408"/>
      <c r="B10" s="415"/>
      <c r="C10" s="419"/>
      <c r="D10" s="419"/>
      <c r="E10" s="419"/>
      <c r="F10" s="410"/>
      <c r="G10" s="410"/>
      <c r="H10" s="410"/>
      <c r="I10" s="410"/>
      <c r="J10" s="410"/>
      <c r="K10" s="410"/>
      <c r="L10" s="410"/>
      <c r="M10" s="410"/>
      <c r="N10" s="410"/>
      <c r="O10" s="410"/>
      <c r="P10" s="410"/>
      <c r="Q10" s="410"/>
      <c r="R10" s="410"/>
      <c r="S10" s="410"/>
      <c r="T10" s="410"/>
      <c r="U10" s="410"/>
      <c r="V10" s="410"/>
      <c r="W10" s="411"/>
      <c r="X10" s="406"/>
    </row>
    <row r="11" spans="1:24" x14ac:dyDescent="0.3">
      <c r="A11" s="408"/>
      <c r="B11" s="420" t="s">
        <v>0</v>
      </c>
      <c r="C11" s="410"/>
      <c r="D11" s="410"/>
      <c r="E11" s="410"/>
      <c r="F11" s="410"/>
      <c r="G11" s="410"/>
      <c r="H11" s="410"/>
      <c r="I11" s="410"/>
      <c r="J11" s="410"/>
      <c r="K11" s="410"/>
      <c r="L11" s="410"/>
      <c r="M11" s="410"/>
      <c r="N11" s="410"/>
      <c r="O11" s="410"/>
      <c r="P11" s="410"/>
      <c r="Q11" s="410"/>
      <c r="R11" s="410"/>
      <c r="S11" s="410"/>
      <c r="T11" s="410"/>
      <c r="U11" s="410"/>
      <c r="V11" s="410"/>
      <c r="W11" s="411"/>
      <c r="X11" s="406"/>
    </row>
    <row r="12" spans="1:24" ht="16.2" thickBot="1" x14ac:dyDescent="0.35">
      <c r="A12" s="408"/>
      <c r="B12" s="419"/>
      <c r="C12" s="410"/>
      <c r="D12" s="410"/>
      <c r="E12" s="410"/>
      <c r="F12" s="410"/>
      <c r="G12" s="410"/>
      <c r="H12" s="410"/>
      <c r="I12" s="410"/>
      <c r="J12" s="410"/>
      <c r="K12" s="410"/>
      <c r="L12" s="410"/>
      <c r="M12" s="410"/>
      <c r="N12" s="410"/>
      <c r="O12" s="410"/>
      <c r="P12" s="410"/>
      <c r="Q12" s="410"/>
      <c r="R12" s="410"/>
      <c r="S12" s="410"/>
      <c r="T12" s="410"/>
      <c r="U12" s="410"/>
      <c r="V12" s="410"/>
      <c r="W12" s="411"/>
      <c r="X12" s="406"/>
    </row>
    <row r="13" spans="1:24" x14ac:dyDescent="0.3">
      <c r="A13" s="402"/>
      <c r="B13" s="404"/>
      <c r="C13" s="404"/>
      <c r="D13" s="404"/>
      <c r="E13" s="404"/>
      <c r="F13" s="404"/>
      <c r="G13" s="404"/>
      <c r="H13" s="404"/>
      <c r="I13" s="404"/>
      <c r="J13" s="404"/>
      <c r="K13" s="404"/>
      <c r="L13" s="404"/>
      <c r="M13" s="404"/>
      <c r="N13" s="404"/>
      <c r="O13" s="404"/>
      <c r="P13" s="404"/>
      <c r="Q13" s="404"/>
      <c r="R13" s="404"/>
      <c r="S13" s="404"/>
      <c r="T13" s="404"/>
      <c r="U13" s="404"/>
      <c r="V13" s="404"/>
      <c r="W13" s="405"/>
      <c r="X13" s="406"/>
    </row>
    <row r="14" spans="1:24" s="426" customFormat="1" x14ac:dyDescent="0.3">
      <c r="A14" s="421"/>
      <c r="B14" s="420" t="s">
        <v>1</v>
      </c>
      <c r="C14" s="422"/>
      <c r="D14" s="422"/>
      <c r="E14" s="422"/>
      <c r="F14" s="422"/>
      <c r="G14" s="422"/>
      <c r="H14" s="422"/>
      <c r="I14" s="422"/>
      <c r="J14" s="422"/>
      <c r="K14" s="422"/>
      <c r="L14" s="422"/>
      <c r="M14" s="422"/>
      <c r="N14" s="422"/>
      <c r="O14" s="422"/>
      <c r="P14" s="422"/>
      <c r="Q14" s="422"/>
      <c r="R14" s="422"/>
      <c r="S14" s="422"/>
      <c r="T14" s="422"/>
      <c r="U14" s="422"/>
      <c r="V14" s="423" t="s">
        <v>240</v>
      </c>
      <c r="W14" s="424"/>
      <c r="X14" s="425"/>
    </row>
    <row r="15" spans="1:24" s="426" customFormat="1" x14ac:dyDescent="0.3">
      <c r="A15" s="421"/>
      <c r="B15" s="420" t="s">
        <v>2</v>
      </c>
      <c r="C15" s="422"/>
      <c r="D15" s="422"/>
      <c r="E15" s="422"/>
      <c r="F15" s="422"/>
      <c r="G15" s="422"/>
      <c r="H15" s="427"/>
      <c r="I15" s="427"/>
      <c r="J15" s="427"/>
      <c r="K15" s="427"/>
      <c r="L15" s="427"/>
      <c r="M15" s="427"/>
      <c r="N15" s="427"/>
      <c r="O15" s="427"/>
      <c r="P15" s="427"/>
      <c r="Q15" s="427"/>
      <c r="R15" s="427" t="s">
        <v>105</v>
      </c>
      <c r="S15" s="428">
        <v>0.57609999999999995</v>
      </c>
      <c r="T15" s="429" t="s">
        <v>143</v>
      </c>
      <c r="U15" s="428">
        <v>0.4239</v>
      </c>
      <c r="V15" s="423"/>
      <c r="W15" s="424"/>
      <c r="X15" s="425"/>
    </row>
    <row r="16" spans="1:24" s="426" customFormat="1" x14ac:dyDescent="0.3">
      <c r="A16" s="421"/>
      <c r="B16" s="420" t="s">
        <v>3</v>
      </c>
      <c r="C16" s="422"/>
      <c r="D16" s="422"/>
      <c r="E16" s="422"/>
      <c r="F16" s="422"/>
      <c r="G16" s="422"/>
      <c r="H16" s="427"/>
      <c r="I16" s="427"/>
      <c r="J16" s="427"/>
      <c r="K16" s="427"/>
      <c r="L16" s="427"/>
      <c r="M16" s="427"/>
      <c r="N16" s="427"/>
      <c r="O16" s="427"/>
      <c r="P16" s="427"/>
      <c r="Q16" s="427"/>
      <c r="R16" s="427" t="s">
        <v>105</v>
      </c>
      <c r="S16" s="428">
        <v>0.69350000000000001</v>
      </c>
      <c r="T16" s="429" t="s">
        <v>143</v>
      </c>
      <c r="U16" s="428">
        <v>0.30649999999999999</v>
      </c>
      <c r="V16" s="423"/>
      <c r="W16" s="424"/>
      <c r="X16" s="425"/>
    </row>
    <row r="17" spans="1:24" s="426" customFormat="1" x14ac:dyDescent="0.3">
      <c r="A17" s="421"/>
      <c r="B17" s="420" t="s">
        <v>4</v>
      </c>
      <c r="C17" s="422"/>
      <c r="D17" s="422"/>
      <c r="E17" s="422"/>
      <c r="F17" s="422"/>
      <c r="G17" s="422"/>
      <c r="H17" s="422"/>
      <c r="I17" s="422"/>
      <c r="J17" s="422"/>
      <c r="K17" s="422"/>
      <c r="L17" s="422"/>
      <c r="M17" s="422"/>
      <c r="N17" s="422"/>
      <c r="O17" s="422"/>
      <c r="P17" s="422"/>
      <c r="Q17" s="422"/>
      <c r="R17" s="422"/>
      <c r="S17" s="422"/>
      <c r="T17" s="422"/>
      <c r="U17" s="422"/>
      <c r="V17" s="430">
        <v>39016</v>
      </c>
      <c r="W17" s="424"/>
      <c r="X17" s="425"/>
    </row>
    <row r="18" spans="1:24" s="426" customFormat="1" x14ac:dyDescent="0.3">
      <c r="A18" s="421"/>
      <c r="B18" s="420" t="s">
        <v>5</v>
      </c>
      <c r="C18" s="422"/>
      <c r="D18" s="422"/>
      <c r="E18" s="422"/>
      <c r="F18" s="422"/>
      <c r="G18" s="422"/>
      <c r="H18" s="422"/>
      <c r="I18" s="422"/>
      <c r="J18" s="422"/>
      <c r="K18" s="422"/>
      <c r="L18" s="422"/>
      <c r="M18" s="422"/>
      <c r="N18" s="422"/>
      <c r="O18" s="422"/>
      <c r="P18" s="422"/>
      <c r="Q18" s="422"/>
      <c r="R18" s="422"/>
      <c r="S18" s="422"/>
      <c r="T18" s="422"/>
      <c r="U18" s="422"/>
      <c r="V18" s="430">
        <v>44034</v>
      </c>
      <c r="W18" s="424"/>
      <c r="X18" s="425"/>
    </row>
    <row r="19" spans="1:24" s="426" customFormat="1" x14ac:dyDescent="0.3">
      <c r="A19" s="421"/>
      <c r="B19" s="422"/>
      <c r="C19" s="422"/>
      <c r="D19" s="422"/>
      <c r="E19" s="422"/>
      <c r="F19" s="422"/>
      <c r="G19" s="422"/>
      <c r="H19" s="422"/>
      <c r="I19" s="422"/>
      <c r="J19" s="422"/>
      <c r="K19" s="422"/>
      <c r="L19" s="422"/>
      <c r="M19" s="422"/>
      <c r="N19" s="422"/>
      <c r="O19" s="422"/>
      <c r="P19" s="422"/>
      <c r="Q19" s="422"/>
      <c r="R19" s="422"/>
      <c r="S19" s="422"/>
      <c r="T19" s="422"/>
      <c r="U19" s="422"/>
      <c r="V19" s="431"/>
      <c r="W19" s="424"/>
      <c r="X19" s="425"/>
    </row>
    <row r="20" spans="1:24" s="426" customFormat="1" x14ac:dyDescent="0.3">
      <c r="A20" s="421"/>
      <c r="B20" s="432" t="s">
        <v>6</v>
      </c>
      <c r="C20" s="422"/>
      <c r="D20" s="422"/>
      <c r="E20" s="422"/>
      <c r="F20" s="422"/>
      <c r="G20" s="422"/>
      <c r="H20" s="422"/>
      <c r="I20" s="422"/>
      <c r="J20" s="422"/>
      <c r="K20" s="422"/>
      <c r="L20" s="422"/>
      <c r="M20" s="422"/>
      <c r="N20" s="422"/>
      <c r="O20" s="422"/>
      <c r="P20" s="422"/>
      <c r="Q20" s="422"/>
      <c r="R20" s="422"/>
      <c r="S20" s="422"/>
      <c r="T20" s="431" t="s">
        <v>106</v>
      </c>
      <c r="U20" s="422"/>
      <c r="V20" s="422"/>
      <c r="W20" s="424"/>
      <c r="X20" s="425"/>
    </row>
    <row r="21" spans="1:24" x14ac:dyDescent="0.3">
      <c r="A21" s="408"/>
      <c r="B21" s="410"/>
      <c r="C21" s="410"/>
      <c r="D21" s="410"/>
      <c r="E21" s="410"/>
      <c r="F21" s="410"/>
      <c r="G21" s="410"/>
      <c r="H21" s="410"/>
      <c r="I21" s="410"/>
      <c r="J21" s="410"/>
      <c r="K21" s="410"/>
      <c r="L21" s="410"/>
      <c r="M21" s="410"/>
      <c r="N21" s="410"/>
      <c r="O21" s="410"/>
      <c r="P21" s="410"/>
      <c r="Q21" s="410"/>
      <c r="R21" s="410"/>
      <c r="S21" s="410"/>
      <c r="T21" s="410"/>
      <c r="U21" s="410"/>
      <c r="V21" s="433"/>
      <c r="W21" s="411"/>
      <c r="X21" s="406"/>
    </row>
    <row r="22" spans="1:24" x14ac:dyDescent="0.3">
      <c r="A22" s="434"/>
      <c r="B22" s="435"/>
      <c r="C22" s="436"/>
      <c r="D22" s="436" t="s">
        <v>180</v>
      </c>
      <c r="E22" s="436"/>
      <c r="F22" s="436" t="s">
        <v>181</v>
      </c>
      <c r="G22" s="436"/>
      <c r="H22" s="436" t="s">
        <v>182</v>
      </c>
      <c r="I22" s="436"/>
      <c r="J22" s="436" t="s">
        <v>223</v>
      </c>
      <c r="K22" s="436"/>
      <c r="L22" s="436" t="s">
        <v>183</v>
      </c>
      <c r="M22" s="436"/>
      <c r="N22" s="436" t="s">
        <v>184</v>
      </c>
      <c r="O22" s="436"/>
      <c r="P22" s="436" t="s">
        <v>224</v>
      </c>
      <c r="Q22" s="436"/>
      <c r="R22" s="436" t="s">
        <v>185</v>
      </c>
      <c r="S22" s="437"/>
      <c r="T22" s="437"/>
      <c r="U22" s="435"/>
      <c r="V22" s="435"/>
      <c r="W22" s="438"/>
      <c r="X22" s="406"/>
    </row>
    <row r="23" spans="1:24" s="426" customFormat="1" x14ac:dyDescent="0.3">
      <c r="A23" s="439"/>
      <c r="B23" s="440" t="s">
        <v>7</v>
      </c>
      <c r="C23" s="441"/>
      <c r="D23" s="441" t="s">
        <v>216</v>
      </c>
      <c r="E23" s="441"/>
      <c r="F23" s="441" t="s">
        <v>144</v>
      </c>
      <c r="G23" s="441"/>
      <c r="H23" s="441" t="s">
        <v>144</v>
      </c>
      <c r="I23" s="441"/>
      <c r="J23" s="441" t="s">
        <v>144</v>
      </c>
      <c r="K23" s="441"/>
      <c r="L23" s="441" t="s">
        <v>186</v>
      </c>
      <c r="M23" s="441"/>
      <c r="N23" s="441" t="s">
        <v>186</v>
      </c>
      <c r="O23" s="441"/>
      <c r="P23" s="441" t="s">
        <v>145</v>
      </c>
      <c r="Q23" s="441"/>
      <c r="R23" s="441" t="s">
        <v>145</v>
      </c>
      <c r="S23" s="441"/>
      <c r="T23" s="441"/>
      <c r="U23" s="440"/>
      <c r="V23" s="440"/>
      <c r="W23" s="442"/>
      <c r="X23" s="425"/>
    </row>
    <row r="24" spans="1:24" s="426" customFormat="1" x14ac:dyDescent="0.3">
      <c r="A24" s="443"/>
      <c r="B24" s="444" t="s">
        <v>8</v>
      </c>
      <c r="C24" s="445"/>
      <c r="D24" s="445" t="s">
        <v>217</v>
      </c>
      <c r="E24" s="445"/>
      <c r="F24" s="445" t="s">
        <v>146</v>
      </c>
      <c r="G24" s="445"/>
      <c r="H24" s="445" t="s">
        <v>146</v>
      </c>
      <c r="I24" s="445"/>
      <c r="J24" s="445" t="s">
        <v>146</v>
      </c>
      <c r="K24" s="445"/>
      <c r="L24" s="445" t="s">
        <v>168</v>
      </c>
      <c r="M24" s="445"/>
      <c r="N24" s="445" t="s">
        <v>168</v>
      </c>
      <c r="O24" s="445"/>
      <c r="P24" s="445" t="s">
        <v>147</v>
      </c>
      <c r="Q24" s="445"/>
      <c r="R24" s="445" t="s">
        <v>147</v>
      </c>
      <c r="S24" s="445"/>
      <c r="T24" s="445"/>
      <c r="U24" s="444"/>
      <c r="V24" s="444"/>
      <c r="W24" s="446"/>
      <c r="X24" s="425"/>
    </row>
    <row r="25" spans="1:24" s="426" customFormat="1" x14ac:dyDescent="0.3">
      <c r="A25" s="447"/>
      <c r="B25" s="444" t="s">
        <v>193</v>
      </c>
      <c r="C25" s="448"/>
      <c r="D25" s="445" t="s">
        <v>218</v>
      </c>
      <c r="E25" s="445"/>
      <c r="F25" s="445" t="s">
        <v>146</v>
      </c>
      <c r="G25" s="445"/>
      <c r="H25" s="445" t="s">
        <v>146</v>
      </c>
      <c r="I25" s="445"/>
      <c r="J25" s="445" t="s">
        <v>146</v>
      </c>
      <c r="K25" s="445"/>
      <c r="L25" s="445" t="s">
        <v>168</v>
      </c>
      <c r="M25" s="445"/>
      <c r="N25" s="445" t="s">
        <v>168</v>
      </c>
      <c r="O25" s="445"/>
      <c r="P25" s="445" t="s">
        <v>147</v>
      </c>
      <c r="Q25" s="445"/>
      <c r="R25" s="445" t="s">
        <v>147</v>
      </c>
      <c r="S25" s="448"/>
      <c r="T25" s="445"/>
      <c r="U25" s="444"/>
      <c r="V25" s="444"/>
      <c r="W25" s="446"/>
      <c r="X25" s="425"/>
    </row>
    <row r="26" spans="1:24" s="426" customFormat="1" x14ac:dyDescent="0.3">
      <c r="A26" s="447"/>
      <c r="B26" s="449" t="s">
        <v>9</v>
      </c>
      <c r="C26" s="448"/>
      <c r="D26" s="448" t="s">
        <v>144</v>
      </c>
      <c r="E26" s="448"/>
      <c r="F26" s="448" t="s">
        <v>144</v>
      </c>
      <c r="G26" s="448"/>
      <c r="H26" s="448" t="s">
        <v>144</v>
      </c>
      <c r="I26" s="448"/>
      <c r="J26" s="448" t="s">
        <v>144</v>
      </c>
      <c r="K26" s="448"/>
      <c r="L26" s="448" t="s">
        <v>186</v>
      </c>
      <c r="M26" s="448"/>
      <c r="N26" s="448" t="s">
        <v>186</v>
      </c>
      <c r="O26" s="448"/>
      <c r="P26" s="448" t="s">
        <v>145</v>
      </c>
      <c r="Q26" s="448"/>
      <c r="R26" s="448" t="s">
        <v>145</v>
      </c>
      <c r="S26" s="448"/>
      <c r="T26" s="445"/>
      <c r="U26" s="444"/>
      <c r="V26" s="444"/>
      <c r="W26" s="446"/>
      <c r="X26" s="425"/>
    </row>
    <row r="27" spans="1:24" s="426" customFormat="1" x14ac:dyDescent="0.3">
      <c r="A27" s="443"/>
      <c r="B27" s="449" t="s">
        <v>194</v>
      </c>
      <c r="C27" s="445"/>
      <c r="D27" s="448" t="s">
        <v>168</v>
      </c>
      <c r="E27" s="448"/>
      <c r="F27" s="448" t="s">
        <v>168</v>
      </c>
      <c r="G27" s="448"/>
      <c r="H27" s="448" t="s">
        <v>168</v>
      </c>
      <c r="I27" s="448"/>
      <c r="J27" s="448" t="s">
        <v>168</v>
      </c>
      <c r="K27" s="448"/>
      <c r="L27" s="448" t="s">
        <v>168</v>
      </c>
      <c r="M27" s="448"/>
      <c r="N27" s="448" t="s">
        <v>168</v>
      </c>
      <c r="O27" s="448"/>
      <c r="P27" s="448" t="s">
        <v>360</v>
      </c>
      <c r="Q27" s="448"/>
      <c r="R27" s="448" t="s">
        <v>360</v>
      </c>
      <c r="S27" s="445"/>
      <c r="T27" s="450"/>
      <c r="U27" s="444"/>
      <c r="V27" s="444"/>
      <c r="W27" s="446"/>
      <c r="X27" s="425"/>
    </row>
    <row r="28" spans="1:24" s="426" customFormat="1" x14ac:dyDescent="0.3">
      <c r="A28" s="443"/>
      <c r="B28" s="449" t="s">
        <v>195</v>
      </c>
      <c r="C28" s="445"/>
      <c r="D28" s="448" t="s">
        <v>146</v>
      </c>
      <c r="E28" s="448"/>
      <c r="F28" s="448" t="s">
        <v>146</v>
      </c>
      <c r="G28" s="448"/>
      <c r="H28" s="448" t="s">
        <v>146</v>
      </c>
      <c r="I28" s="448"/>
      <c r="J28" s="448" t="s">
        <v>146</v>
      </c>
      <c r="K28" s="448"/>
      <c r="L28" s="448" t="s">
        <v>146</v>
      </c>
      <c r="M28" s="448"/>
      <c r="N28" s="448" t="s">
        <v>146</v>
      </c>
      <c r="O28" s="448"/>
      <c r="P28" s="448" t="s">
        <v>360</v>
      </c>
      <c r="Q28" s="448"/>
      <c r="R28" s="448" t="s">
        <v>360</v>
      </c>
      <c r="S28" s="445"/>
      <c r="T28" s="450"/>
      <c r="U28" s="444"/>
      <c r="V28" s="444"/>
      <c r="W28" s="446"/>
      <c r="X28" s="425"/>
    </row>
    <row r="29" spans="1:24" s="426" customFormat="1" x14ac:dyDescent="0.3">
      <c r="A29" s="443"/>
      <c r="B29" s="444" t="s">
        <v>10</v>
      </c>
      <c r="C29" s="451"/>
      <c r="D29" s="445" t="s">
        <v>348</v>
      </c>
      <c r="E29" s="445"/>
      <c r="F29" s="450" t="s">
        <v>242</v>
      </c>
      <c r="G29" s="445"/>
      <c r="H29" s="445" t="s">
        <v>243</v>
      </c>
      <c r="I29" s="445"/>
      <c r="J29" s="445" t="s">
        <v>245</v>
      </c>
      <c r="K29" s="445"/>
      <c r="L29" s="445" t="s">
        <v>246</v>
      </c>
      <c r="M29" s="445"/>
      <c r="N29" s="445" t="s">
        <v>247</v>
      </c>
      <c r="O29" s="445"/>
      <c r="P29" s="445" t="s">
        <v>248</v>
      </c>
      <c r="Q29" s="445"/>
      <c r="R29" s="445" t="s">
        <v>249</v>
      </c>
      <c r="S29" s="452"/>
      <c r="T29" s="452"/>
      <c r="U29" s="451"/>
      <c r="V29" s="452"/>
      <c r="W29" s="453"/>
      <c r="X29" s="425"/>
    </row>
    <row r="30" spans="1:24" s="426" customFormat="1" x14ac:dyDescent="0.3">
      <c r="A30" s="443"/>
      <c r="B30" s="444" t="s">
        <v>10</v>
      </c>
      <c r="C30" s="451"/>
      <c r="D30" s="445" t="s">
        <v>241</v>
      </c>
      <c r="E30" s="445"/>
      <c r="F30" s="450" t="s">
        <v>121</v>
      </c>
      <c r="G30" s="445"/>
      <c r="H30" s="445" t="s">
        <v>121</v>
      </c>
      <c r="I30" s="445"/>
      <c r="J30" s="445" t="s">
        <v>244</v>
      </c>
      <c r="K30" s="445"/>
      <c r="L30" s="445" t="s">
        <v>121</v>
      </c>
      <c r="M30" s="445"/>
      <c r="N30" s="445" t="s">
        <v>121</v>
      </c>
      <c r="O30" s="445"/>
      <c r="P30" s="445" t="s">
        <v>121</v>
      </c>
      <c r="Q30" s="445"/>
      <c r="R30" s="445" t="s">
        <v>121</v>
      </c>
      <c r="S30" s="452"/>
      <c r="T30" s="452"/>
      <c r="U30" s="451"/>
      <c r="V30" s="452"/>
      <c r="W30" s="453"/>
      <c r="X30" s="425"/>
    </row>
    <row r="31" spans="1:24" s="426" customFormat="1" x14ac:dyDescent="0.3">
      <c r="A31" s="447"/>
      <c r="B31" s="444" t="s">
        <v>136</v>
      </c>
      <c r="C31" s="454"/>
      <c r="D31" s="455">
        <v>1500000</v>
      </c>
      <c r="E31" s="451"/>
      <c r="F31" s="452">
        <v>125000</v>
      </c>
      <c r="G31" s="452"/>
      <c r="H31" s="456">
        <v>315000</v>
      </c>
      <c r="I31" s="456"/>
      <c r="J31" s="455">
        <v>350000</v>
      </c>
      <c r="K31" s="452"/>
      <c r="L31" s="452">
        <v>56000</v>
      </c>
      <c r="M31" s="452"/>
      <c r="N31" s="456">
        <v>84000</v>
      </c>
      <c r="O31" s="452"/>
      <c r="P31" s="452">
        <v>13000</v>
      </c>
      <c r="Q31" s="452"/>
      <c r="R31" s="456">
        <v>81000</v>
      </c>
      <c r="S31" s="457"/>
      <c r="T31" s="457"/>
      <c r="U31" s="454"/>
      <c r="V31" s="457"/>
      <c r="W31" s="453"/>
      <c r="X31" s="425"/>
    </row>
    <row r="32" spans="1:24" s="426" customFormat="1" x14ac:dyDescent="0.3">
      <c r="A32" s="443"/>
      <c r="B32" s="444" t="s">
        <v>135</v>
      </c>
      <c r="C32" s="451"/>
      <c r="D32" s="458">
        <f>D34*D38</f>
        <v>309922.52734080004</v>
      </c>
      <c r="E32" s="451"/>
      <c r="F32" s="452">
        <f>F31*F38</f>
        <v>48554.75</v>
      </c>
      <c r="G32" s="452"/>
      <c r="H32" s="456">
        <f>H31*H38</f>
        <v>122357.97</v>
      </c>
      <c r="I32" s="456"/>
      <c r="J32" s="455">
        <f>J31*J38</f>
        <v>135952.35499999998</v>
      </c>
      <c r="K32" s="452"/>
      <c r="L32" s="452">
        <f>L31*L38</f>
        <v>50464.881600000001</v>
      </c>
      <c r="M32" s="452"/>
      <c r="N32" s="456">
        <f>N31*N38</f>
        <v>75697.322400000005</v>
      </c>
      <c r="O32" s="452"/>
      <c r="P32" s="452">
        <f>P31*P38</f>
        <v>11715.061800000001</v>
      </c>
      <c r="Q32" s="452"/>
      <c r="R32" s="456">
        <f>R31*R38</f>
        <v>72993.846600000004</v>
      </c>
      <c r="S32" s="452"/>
      <c r="T32" s="452"/>
      <c r="U32" s="451"/>
      <c r="V32" s="452"/>
      <c r="W32" s="453"/>
      <c r="X32" s="425"/>
    </row>
    <row r="33" spans="1:24" s="426" customFormat="1" x14ac:dyDescent="0.3">
      <c r="A33" s="443"/>
      <c r="B33" s="449" t="s">
        <v>137</v>
      </c>
      <c r="C33" s="451"/>
      <c r="D33" s="459">
        <f>D34*D37</f>
        <v>306759.20422240003</v>
      </c>
      <c r="E33" s="454"/>
      <c r="F33" s="457">
        <f>F37*F31</f>
        <v>48059.15</v>
      </c>
      <c r="G33" s="457"/>
      <c r="H33" s="460">
        <f>H31*H37</f>
        <v>121109.058</v>
      </c>
      <c r="I33" s="460"/>
      <c r="J33" s="461">
        <f>J37*J31</f>
        <v>134564.67499999999</v>
      </c>
      <c r="K33" s="457"/>
      <c r="L33" s="457">
        <f>L31*L37</f>
        <v>49949.782399999996</v>
      </c>
      <c r="M33" s="457"/>
      <c r="N33" s="460">
        <f>N31*N37</f>
        <v>74924.673599999995</v>
      </c>
      <c r="O33" s="457"/>
      <c r="P33" s="457">
        <f>P31*P37</f>
        <v>11595.485199999999</v>
      </c>
      <c r="Q33" s="457"/>
      <c r="R33" s="460">
        <f>R31*R37</f>
        <v>72248.792400000006</v>
      </c>
      <c r="S33" s="452"/>
      <c r="T33" s="452"/>
      <c r="U33" s="451"/>
      <c r="V33" s="452"/>
      <c r="W33" s="453"/>
      <c r="X33" s="425"/>
    </row>
    <row r="34" spans="1:24" s="426" customFormat="1" x14ac:dyDescent="0.3">
      <c r="A34" s="447"/>
      <c r="B34" s="444" t="s">
        <v>298</v>
      </c>
      <c r="C34" s="454"/>
      <c r="D34" s="452">
        <v>797872</v>
      </c>
      <c r="E34" s="451"/>
      <c r="F34" s="452">
        <v>125000</v>
      </c>
      <c r="G34" s="452"/>
      <c r="H34" s="452">
        <v>211409</v>
      </c>
      <c r="I34" s="452"/>
      <c r="J34" s="452">
        <v>186170</v>
      </c>
      <c r="K34" s="452"/>
      <c r="L34" s="452">
        <v>56000</v>
      </c>
      <c r="M34" s="452"/>
      <c r="N34" s="452">
        <v>56376</v>
      </c>
      <c r="O34" s="452"/>
      <c r="P34" s="452">
        <v>13000</v>
      </c>
      <c r="Q34" s="452"/>
      <c r="R34" s="452">
        <v>54363</v>
      </c>
      <c r="S34" s="457"/>
      <c r="T34" s="457"/>
      <c r="U34" s="454"/>
      <c r="V34" s="452">
        <f>SUM(C34:R34)</f>
        <v>1500190</v>
      </c>
      <c r="W34" s="453"/>
      <c r="X34" s="425"/>
    </row>
    <row r="35" spans="1:24" s="426" customFormat="1" x14ac:dyDescent="0.3">
      <c r="A35" s="447"/>
      <c r="B35" s="444" t="s">
        <v>299</v>
      </c>
      <c r="C35" s="454"/>
      <c r="D35" s="452">
        <f>D34*D38</f>
        <v>309922.52734080004</v>
      </c>
      <c r="E35" s="451"/>
      <c r="F35" s="452">
        <f>F34*F38</f>
        <v>48554.75</v>
      </c>
      <c r="G35" s="452"/>
      <c r="H35" s="452">
        <f>H34*H38</f>
        <v>82119.289141999994</v>
      </c>
      <c r="I35" s="452"/>
      <c r="J35" s="452">
        <f>J34*J38</f>
        <v>72314.999800999998</v>
      </c>
      <c r="K35" s="452"/>
      <c r="L35" s="452">
        <f>L34*L38</f>
        <v>50464.881600000001</v>
      </c>
      <c r="M35" s="452"/>
      <c r="N35" s="452">
        <f>N34*N38</f>
        <v>50803.7172336</v>
      </c>
      <c r="O35" s="452"/>
      <c r="P35" s="452">
        <f>P34*P38</f>
        <v>11715.061800000001</v>
      </c>
      <c r="Q35" s="452"/>
      <c r="R35" s="452">
        <f>R34*R38</f>
        <v>48989.684971800001</v>
      </c>
      <c r="S35" s="452"/>
      <c r="T35" s="452"/>
      <c r="U35" s="451"/>
      <c r="V35" s="452">
        <f>SUM(C35:R35)+1</f>
        <v>674885.91188919998</v>
      </c>
      <c r="W35" s="453"/>
      <c r="X35" s="425"/>
    </row>
    <row r="36" spans="1:24" s="426" customFormat="1" x14ac:dyDescent="0.3">
      <c r="A36" s="447"/>
      <c r="B36" s="449" t="s">
        <v>304</v>
      </c>
      <c r="C36" s="454"/>
      <c r="D36" s="457">
        <f>D34*D37</f>
        <v>306759.20422240003</v>
      </c>
      <c r="E36" s="454"/>
      <c r="F36" s="457">
        <f>F34*F37</f>
        <v>48059.15</v>
      </c>
      <c r="G36" s="457"/>
      <c r="H36" s="457">
        <f>H34*H37</f>
        <v>81281.094738800006</v>
      </c>
      <c r="I36" s="457"/>
      <c r="J36" s="457">
        <f>J34*J37</f>
        <v>71576.872984999995</v>
      </c>
      <c r="K36" s="457"/>
      <c r="L36" s="457">
        <f>L34*L37</f>
        <v>49949.782399999996</v>
      </c>
      <c r="M36" s="457"/>
      <c r="N36" s="457">
        <f>N34*N37</f>
        <v>50285.159510400001</v>
      </c>
      <c r="O36" s="457"/>
      <c r="P36" s="457">
        <f>P34*P37</f>
        <v>11595.485199999999</v>
      </c>
      <c r="Q36" s="457"/>
      <c r="R36" s="457">
        <f>R34*R37</f>
        <v>48489.643225200001</v>
      </c>
      <c r="S36" s="462"/>
      <c r="T36" s="462"/>
      <c r="U36" s="451"/>
      <c r="V36" s="457">
        <f>SUM(C36:R36)+1</f>
        <v>667997.39228180016</v>
      </c>
      <c r="W36" s="453"/>
      <c r="X36" s="425"/>
    </row>
    <row r="37" spans="1:24" s="473" customFormat="1" x14ac:dyDescent="0.3">
      <c r="A37" s="463"/>
      <c r="B37" s="464" t="s">
        <v>133</v>
      </c>
      <c r="C37" s="465"/>
      <c r="D37" s="466">
        <v>0.38447170000000003</v>
      </c>
      <c r="E37" s="467"/>
      <c r="F37" s="466">
        <v>0.38447320000000001</v>
      </c>
      <c r="G37" s="468"/>
      <c r="H37" s="466">
        <v>0.38447320000000001</v>
      </c>
      <c r="I37" s="468"/>
      <c r="J37" s="466">
        <v>0.38447049999999999</v>
      </c>
      <c r="K37" s="468"/>
      <c r="L37" s="466">
        <v>0.89196039999999999</v>
      </c>
      <c r="M37" s="468"/>
      <c r="N37" s="466">
        <v>0.89196039999999999</v>
      </c>
      <c r="O37" s="468"/>
      <c r="P37" s="466">
        <v>0.89196039999999999</v>
      </c>
      <c r="Q37" s="468"/>
      <c r="R37" s="466">
        <v>0.89196039999999999</v>
      </c>
      <c r="S37" s="469"/>
      <c r="T37" s="469"/>
      <c r="U37" s="470"/>
      <c r="V37" s="470"/>
      <c r="W37" s="471"/>
      <c r="X37" s="472"/>
    </row>
    <row r="38" spans="1:24" s="473" customFormat="1" x14ac:dyDescent="0.3">
      <c r="A38" s="463"/>
      <c r="B38" s="465" t="s">
        <v>134</v>
      </c>
      <c r="C38" s="465"/>
      <c r="D38" s="474">
        <v>0.38843640000000001</v>
      </c>
      <c r="E38" s="475"/>
      <c r="F38" s="474">
        <v>0.38843800000000001</v>
      </c>
      <c r="G38" s="476"/>
      <c r="H38" s="474">
        <v>0.38843800000000001</v>
      </c>
      <c r="I38" s="476"/>
      <c r="J38" s="474">
        <v>0.38843529999999998</v>
      </c>
      <c r="K38" s="476"/>
      <c r="L38" s="474">
        <v>0.90115860000000003</v>
      </c>
      <c r="M38" s="476"/>
      <c r="N38" s="474">
        <v>0.90115860000000003</v>
      </c>
      <c r="O38" s="476"/>
      <c r="P38" s="474">
        <v>0.90115860000000003</v>
      </c>
      <c r="Q38" s="476"/>
      <c r="R38" s="474">
        <v>0.90115860000000003</v>
      </c>
      <c r="S38" s="477"/>
      <c r="T38" s="478"/>
      <c r="U38" s="470"/>
      <c r="V38" s="477"/>
      <c r="W38" s="471"/>
      <c r="X38" s="472"/>
    </row>
    <row r="39" spans="1:24" s="426" customFormat="1" x14ac:dyDescent="0.3">
      <c r="A39" s="443"/>
      <c r="B39" s="444" t="s">
        <v>11</v>
      </c>
      <c r="C39" s="444"/>
      <c r="D39" s="450" t="s">
        <v>226</v>
      </c>
      <c r="E39" s="444"/>
      <c r="F39" s="450" t="s">
        <v>226</v>
      </c>
      <c r="G39" s="450"/>
      <c r="H39" s="450" t="s">
        <v>226</v>
      </c>
      <c r="I39" s="450"/>
      <c r="J39" s="450" t="s">
        <v>256</v>
      </c>
      <c r="K39" s="450"/>
      <c r="L39" s="450" t="s">
        <v>254</v>
      </c>
      <c r="M39" s="450"/>
      <c r="N39" s="450" t="s">
        <v>257</v>
      </c>
      <c r="O39" s="450"/>
      <c r="P39" s="450" t="s">
        <v>258</v>
      </c>
      <c r="Q39" s="450"/>
      <c r="R39" s="450" t="s">
        <v>259</v>
      </c>
      <c r="S39" s="479"/>
      <c r="T39" s="480"/>
      <c r="U39" s="444"/>
      <c r="V39" s="444"/>
      <c r="W39" s="446"/>
      <c r="X39" s="425"/>
    </row>
    <row r="40" spans="1:24" s="426" customFormat="1" x14ac:dyDescent="0.3">
      <c r="A40" s="443"/>
      <c r="B40" s="444" t="s">
        <v>12</v>
      </c>
      <c r="C40" s="444"/>
      <c r="D40" s="480">
        <v>9.0775000000000005E-3</v>
      </c>
      <c r="E40" s="444"/>
      <c r="F40" s="480">
        <v>9.0775000000000005E-3</v>
      </c>
      <c r="G40" s="479"/>
      <c r="H40" s="480">
        <v>2.0000000000000001E-4</v>
      </c>
      <c r="I40" s="480"/>
      <c r="J40" s="480">
        <v>1.3988799999999999E-2</v>
      </c>
      <c r="K40" s="479"/>
      <c r="L40" s="480">
        <v>1.0677499999999999E-2</v>
      </c>
      <c r="M40" s="479"/>
      <c r="N40" s="480">
        <v>1.6000000000000001E-3</v>
      </c>
      <c r="O40" s="479"/>
      <c r="P40" s="480">
        <v>1.46775E-2</v>
      </c>
      <c r="Q40" s="479"/>
      <c r="R40" s="480">
        <v>5.5999999999999999E-3</v>
      </c>
      <c r="S40" s="479"/>
      <c r="T40" s="480"/>
      <c r="U40" s="444"/>
      <c r="V40" s="450"/>
      <c r="W40" s="446"/>
      <c r="X40" s="425"/>
    </row>
    <row r="41" spans="1:24" s="426" customFormat="1" x14ac:dyDescent="0.3">
      <c r="A41" s="443"/>
      <c r="B41" s="444" t="s">
        <v>13</v>
      </c>
      <c r="C41" s="444"/>
      <c r="D41" s="480">
        <v>9.6500000000000006E-3</v>
      </c>
      <c r="E41" s="444"/>
      <c r="F41" s="480">
        <v>9.6500000000000006E-3</v>
      </c>
      <c r="G41" s="479"/>
      <c r="H41" s="480">
        <v>0</v>
      </c>
      <c r="I41" s="480"/>
      <c r="J41" s="480">
        <v>2.0112499999999998E-2</v>
      </c>
      <c r="K41" s="479"/>
      <c r="L41" s="480">
        <v>1.125E-2</v>
      </c>
      <c r="M41" s="479"/>
      <c r="N41" s="480">
        <v>0</v>
      </c>
      <c r="O41" s="479"/>
      <c r="P41" s="480">
        <v>1.525E-2</v>
      </c>
      <c r="Q41" s="479"/>
      <c r="R41" s="480">
        <v>3.9100000000000003E-3</v>
      </c>
      <c r="S41" s="479"/>
      <c r="T41" s="480"/>
      <c r="U41" s="444"/>
      <c r="V41" s="479" t="s">
        <v>196</v>
      </c>
      <c r="W41" s="446"/>
      <c r="X41" s="425"/>
    </row>
    <row r="42" spans="1:24" s="426" customFormat="1" x14ac:dyDescent="0.3">
      <c r="A42" s="443"/>
      <c r="B42" s="444" t="s">
        <v>300</v>
      </c>
      <c r="C42" s="444"/>
      <c r="D42" s="450" t="s">
        <v>226</v>
      </c>
      <c r="E42" s="444"/>
      <c r="F42" s="450" t="s">
        <v>226</v>
      </c>
      <c r="G42" s="450"/>
      <c r="H42" s="450" t="s">
        <v>227</v>
      </c>
      <c r="I42" s="450"/>
      <c r="J42" s="450" t="s">
        <v>237</v>
      </c>
      <c r="K42" s="450"/>
      <c r="L42" s="450" t="s">
        <v>254</v>
      </c>
      <c r="M42" s="450"/>
      <c r="N42" s="450" t="s">
        <v>260</v>
      </c>
      <c r="O42" s="450"/>
      <c r="P42" s="450" t="s">
        <v>258</v>
      </c>
      <c r="Q42" s="450"/>
      <c r="R42" s="450" t="s">
        <v>261</v>
      </c>
      <c r="S42" s="479"/>
      <c r="T42" s="480"/>
      <c r="U42" s="444"/>
      <c r="V42" s="444"/>
      <c r="W42" s="446"/>
      <c r="X42" s="425"/>
    </row>
    <row r="43" spans="1:24" s="426" customFormat="1" x14ac:dyDescent="0.3">
      <c r="A43" s="443"/>
      <c r="B43" s="444" t="s">
        <v>301</v>
      </c>
      <c r="C43" s="481"/>
      <c r="D43" s="480">
        <f>+D40</f>
        <v>9.0775000000000005E-3</v>
      </c>
      <c r="E43" s="480"/>
      <c r="F43" s="480">
        <f>+F40</f>
        <v>9.0775000000000005E-3</v>
      </c>
      <c r="G43" s="480"/>
      <c r="H43" s="480">
        <v>9.3214999999999999E-3</v>
      </c>
      <c r="I43" s="480"/>
      <c r="J43" s="480">
        <v>9.1575000000000007E-3</v>
      </c>
      <c r="K43" s="480"/>
      <c r="L43" s="480">
        <f>+L40</f>
        <v>1.0677499999999999E-2</v>
      </c>
      <c r="M43" s="480"/>
      <c r="N43" s="480">
        <v>1.0857500000000001E-2</v>
      </c>
      <c r="O43" s="480"/>
      <c r="P43" s="480">
        <f>+P40</f>
        <v>1.46775E-2</v>
      </c>
      <c r="Q43" s="479"/>
      <c r="R43" s="480">
        <v>1.5077500000000001E-2</v>
      </c>
      <c r="S43" s="450"/>
      <c r="T43" s="450"/>
      <c r="U43" s="444"/>
      <c r="V43" s="479">
        <f>SUMPRODUCT(D43:R43,D35:R35)/V35</f>
        <v>9.902128433305785E-3</v>
      </c>
      <c r="W43" s="446"/>
      <c r="X43" s="425"/>
    </row>
    <row r="44" spans="1:24" s="426" customFormat="1" x14ac:dyDescent="0.3">
      <c r="A44" s="443"/>
      <c r="B44" s="444" t="s">
        <v>302</v>
      </c>
      <c r="C44" s="481"/>
      <c r="D44" s="480">
        <f>+D41</f>
        <v>9.6500000000000006E-3</v>
      </c>
      <c r="E44" s="480"/>
      <c r="F44" s="480">
        <f>+F41</f>
        <v>9.6500000000000006E-3</v>
      </c>
      <c r="G44" s="480"/>
      <c r="H44" s="480">
        <v>9.894E-3</v>
      </c>
      <c r="I44" s="480"/>
      <c r="J44" s="480">
        <v>9.7300000000000008E-3</v>
      </c>
      <c r="K44" s="480"/>
      <c r="L44" s="480">
        <f>+L41</f>
        <v>1.125E-2</v>
      </c>
      <c r="M44" s="480"/>
      <c r="N44" s="480">
        <v>1.1429999999999999E-2</v>
      </c>
      <c r="O44" s="480"/>
      <c r="P44" s="480">
        <f>+P41</f>
        <v>1.525E-2</v>
      </c>
      <c r="Q44" s="479"/>
      <c r="R44" s="480">
        <v>1.5650000000000001E-2</v>
      </c>
      <c r="S44" s="450"/>
      <c r="T44" s="450"/>
      <c r="U44" s="444"/>
      <c r="V44" s="444"/>
      <c r="W44" s="446"/>
      <c r="X44" s="425"/>
    </row>
    <row r="45" spans="1:24" s="426" customFormat="1" x14ac:dyDescent="0.3">
      <c r="A45" s="443"/>
      <c r="B45" s="444" t="s">
        <v>14</v>
      </c>
      <c r="C45" s="444"/>
      <c r="D45" s="481">
        <v>40466</v>
      </c>
      <c r="E45" s="481"/>
      <c r="F45" s="481">
        <v>40466</v>
      </c>
      <c r="G45" s="481"/>
      <c r="H45" s="481">
        <v>40466</v>
      </c>
      <c r="I45" s="481"/>
      <c r="J45" s="481">
        <v>40466</v>
      </c>
      <c r="K45" s="481"/>
      <c r="L45" s="481">
        <v>40466</v>
      </c>
      <c r="M45" s="481"/>
      <c r="N45" s="481">
        <v>40466</v>
      </c>
      <c r="O45" s="481"/>
      <c r="P45" s="481">
        <v>40466</v>
      </c>
      <c r="Q45" s="481"/>
      <c r="R45" s="481">
        <v>40466</v>
      </c>
      <c r="S45" s="450"/>
      <c r="T45" s="450"/>
      <c r="U45" s="444"/>
      <c r="V45" s="444"/>
      <c r="W45" s="446"/>
      <c r="X45" s="425"/>
    </row>
    <row r="46" spans="1:24" s="426" customFormat="1" x14ac:dyDescent="0.3">
      <c r="A46" s="443"/>
      <c r="B46" s="444" t="s">
        <v>15</v>
      </c>
      <c r="C46" s="444"/>
      <c r="D46" s="481">
        <v>41105</v>
      </c>
      <c r="E46" s="481"/>
      <c r="F46" s="481">
        <v>40831</v>
      </c>
      <c r="G46" s="481"/>
      <c r="H46" s="481">
        <v>40831</v>
      </c>
      <c r="I46" s="481"/>
      <c r="J46" s="481">
        <v>40831</v>
      </c>
      <c r="K46" s="450"/>
      <c r="L46" s="481">
        <v>40831</v>
      </c>
      <c r="M46" s="450"/>
      <c r="N46" s="481">
        <v>40831</v>
      </c>
      <c r="O46" s="450"/>
      <c r="P46" s="481">
        <v>40831</v>
      </c>
      <c r="Q46" s="450"/>
      <c r="R46" s="481">
        <v>40831</v>
      </c>
      <c r="S46" s="450"/>
      <c r="T46" s="450"/>
      <c r="U46" s="444"/>
      <c r="V46" s="444"/>
      <c r="W46" s="446"/>
      <c r="X46" s="425"/>
    </row>
    <row r="47" spans="1:24" s="426" customFormat="1" x14ac:dyDescent="0.3">
      <c r="A47" s="443"/>
      <c r="B47" s="444" t="s">
        <v>122</v>
      </c>
      <c r="C47" s="444"/>
      <c r="D47" s="450" t="s">
        <v>226</v>
      </c>
      <c r="E47" s="444"/>
      <c r="F47" s="450" t="s">
        <v>226</v>
      </c>
      <c r="G47" s="450"/>
      <c r="H47" s="450" t="s">
        <v>226</v>
      </c>
      <c r="I47" s="450"/>
      <c r="J47" s="450" t="s">
        <v>256</v>
      </c>
      <c r="K47" s="450"/>
      <c r="L47" s="450" t="s">
        <v>254</v>
      </c>
      <c r="M47" s="450"/>
      <c r="N47" s="450" t="s">
        <v>257</v>
      </c>
      <c r="O47" s="450"/>
      <c r="P47" s="450" t="s">
        <v>258</v>
      </c>
      <c r="Q47" s="450"/>
      <c r="R47" s="450" t="s">
        <v>259</v>
      </c>
      <c r="S47" s="482"/>
      <c r="T47" s="482"/>
      <c r="U47" s="482"/>
      <c r="V47" s="482"/>
      <c r="W47" s="446"/>
      <c r="X47" s="425"/>
    </row>
    <row r="48" spans="1:24" s="426" customFormat="1" x14ac:dyDescent="0.3">
      <c r="A48" s="443"/>
      <c r="B48" s="444" t="s">
        <v>303</v>
      </c>
      <c r="C48" s="444"/>
      <c r="D48" s="450" t="s">
        <v>226</v>
      </c>
      <c r="E48" s="444"/>
      <c r="F48" s="450" t="s">
        <v>226</v>
      </c>
      <c r="G48" s="450"/>
      <c r="H48" s="450" t="s">
        <v>227</v>
      </c>
      <c r="I48" s="450"/>
      <c r="J48" s="450" t="s">
        <v>237</v>
      </c>
      <c r="K48" s="450"/>
      <c r="L48" s="450" t="s">
        <v>254</v>
      </c>
      <c r="M48" s="450"/>
      <c r="N48" s="450" t="s">
        <v>260</v>
      </c>
      <c r="O48" s="450"/>
      <c r="P48" s="450" t="s">
        <v>258</v>
      </c>
      <c r="Q48" s="450"/>
      <c r="R48" s="450" t="s">
        <v>261</v>
      </c>
      <c r="S48" s="444"/>
      <c r="T48" s="444"/>
      <c r="U48" s="444"/>
      <c r="V48" s="479"/>
      <c r="W48" s="446"/>
      <c r="X48" s="425"/>
    </row>
    <row r="49" spans="1:25" s="426" customFormat="1" x14ac:dyDescent="0.3">
      <c r="A49" s="443"/>
      <c r="B49" s="444"/>
      <c r="C49" s="444"/>
      <c r="D49" s="450"/>
      <c r="E49" s="444"/>
      <c r="F49" s="450"/>
      <c r="G49" s="450"/>
      <c r="H49" s="450"/>
      <c r="I49" s="450"/>
      <c r="J49" s="450"/>
      <c r="K49" s="450"/>
      <c r="L49" s="450"/>
      <c r="M49" s="450"/>
      <c r="N49" s="450"/>
      <c r="O49" s="450"/>
      <c r="P49" s="450"/>
      <c r="Q49" s="450"/>
      <c r="R49" s="450"/>
      <c r="S49" s="444"/>
      <c r="T49" s="444"/>
      <c r="U49" s="444"/>
      <c r="V49" s="479" t="s">
        <v>196</v>
      </c>
      <c r="W49" s="446"/>
      <c r="X49" s="425"/>
    </row>
    <row r="50" spans="1:25" s="426" customFormat="1" x14ac:dyDescent="0.3">
      <c r="A50" s="443"/>
      <c r="B50" s="444" t="s">
        <v>172</v>
      </c>
      <c r="C50" s="444"/>
      <c r="D50" s="450"/>
      <c r="E50" s="444"/>
      <c r="F50" s="450"/>
      <c r="G50" s="450"/>
      <c r="H50" s="450"/>
      <c r="I50" s="450"/>
      <c r="J50" s="450"/>
      <c r="K50" s="450"/>
      <c r="L50" s="450"/>
      <c r="M50" s="450"/>
      <c r="N50" s="450"/>
      <c r="O50" s="450"/>
      <c r="P50" s="450"/>
      <c r="Q50" s="450"/>
      <c r="R50" s="450"/>
      <c r="S50" s="444"/>
      <c r="T50" s="444"/>
      <c r="U50" s="444"/>
      <c r="V50" s="479">
        <f>SUM(L34:R34)/SUM(D34:J34)</f>
        <v>0.13611940162868597</v>
      </c>
      <c r="W50" s="446"/>
      <c r="X50" s="425"/>
    </row>
    <row r="51" spans="1:25" s="426" customFormat="1" x14ac:dyDescent="0.3">
      <c r="A51" s="443"/>
      <c r="B51" s="444" t="s">
        <v>173</v>
      </c>
      <c r="C51" s="444"/>
      <c r="D51" s="444"/>
      <c r="E51" s="444"/>
      <c r="F51" s="483"/>
      <c r="G51" s="444"/>
      <c r="H51" s="444"/>
      <c r="I51" s="444"/>
      <c r="J51" s="444"/>
      <c r="K51" s="444"/>
      <c r="L51" s="444"/>
      <c r="M51" s="444"/>
      <c r="N51" s="444"/>
      <c r="O51" s="444"/>
      <c r="P51" s="444"/>
      <c r="Q51" s="444"/>
      <c r="R51" s="444"/>
      <c r="S51" s="444"/>
      <c r="T51" s="444"/>
      <c r="U51" s="444"/>
      <c r="V51" s="479">
        <f>SUM(L36:R36)/SUM(D36:J36)</f>
        <v>0.31579190008508923</v>
      </c>
      <c r="W51" s="446"/>
      <c r="X51" s="425"/>
    </row>
    <row r="52" spans="1:25" s="426" customFormat="1" x14ac:dyDescent="0.3">
      <c r="A52" s="443"/>
      <c r="B52" s="444" t="s">
        <v>174</v>
      </c>
      <c r="C52" s="444"/>
      <c r="D52" s="444"/>
      <c r="E52" s="444"/>
      <c r="F52" s="444"/>
      <c r="G52" s="444"/>
      <c r="H52" s="444"/>
      <c r="I52" s="444"/>
      <c r="J52" s="444"/>
      <c r="K52" s="444"/>
      <c r="L52" s="444"/>
      <c r="M52" s="444"/>
      <c r="N52" s="444"/>
      <c r="O52" s="444"/>
      <c r="P52" s="444"/>
      <c r="Q52" s="444"/>
      <c r="R52" s="444"/>
      <c r="S52" s="444"/>
      <c r="T52" s="450" t="s">
        <v>107</v>
      </c>
      <c r="U52" s="450" t="s">
        <v>112</v>
      </c>
      <c r="V52" s="452">
        <f>+V34/2-SUM(L34:R34)</f>
        <v>570356</v>
      </c>
      <c r="W52" s="446"/>
      <c r="X52" s="425"/>
    </row>
    <row r="53" spans="1:25" s="426" customFormat="1" x14ac:dyDescent="0.3">
      <c r="A53" s="443"/>
      <c r="B53" s="444"/>
      <c r="C53" s="444"/>
      <c r="D53" s="444"/>
      <c r="E53" s="444"/>
      <c r="F53" s="444"/>
      <c r="G53" s="444"/>
      <c r="H53" s="444"/>
      <c r="I53" s="444"/>
      <c r="J53" s="444"/>
      <c r="K53" s="444"/>
      <c r="L53" s="444"/>
      <c r="M53" s="444"/>
      <c r="N53" s="444"/>
      <c r="O53" s="444"/>
      <c r="P53" s="444"/>
      <c r="Q53" s="444"/>
      <c r="R53" s="444"/>
      <c r="S53" s="444"/>
      <c r="T53" s="444"/>
      <c r="U53" s="444"/>
      <c r="V53" s="484"/>
      <c r="W53" s="446"/>
      <c r="X53" s="425"/>
    </row>
    <row r="54" spans="1:25" s="426" customFormat="1" x14ac:dyDescent="0.3">
      <c r="A54" s="443"/>
      <c r="B54" s="444" t="s">
        <v>358</v>
      </c>
      <c r="C54" s="444"/>
      <c r="D54" s="444"/>
      <c r="E54" s="444"/>
      <c r="F54" s="444"/>
      <c r="G54" s="444"/>
      <c r="H54" s="444"/>
      <c r="I54" s="444"/>
      <c r="J54" s="444"/>
      <c r="K54" s="444"/>
      <c r="L54" s="444"/>
      <c r="M54" s="444"/>
      <c r="N54" s="444"/>
      <c r="O54" s="444"/>
      <c r="P54" s="444"/>
      <c r="Q54" s="444"/>
      <c r="R54" s="444"/>
      <c r="S54" s="444"/>
      <c r="T54" s="450"/>
      <c r="U54" s="450"/>
      <c r="V54" s="485" t="s">
        <v>114</v>
      </c>
      <c r="W54" s="486"/>
      <c r="X54" s="487"/>
    </row>
    <row r="55" spans="1:25" s="426" customFormat="1" x14ac:dyDescent="0.3">
      <c r="A55" s="443"/>
      <c r="B55" s="449" t="s">
        <v>204</v>
      </c>
      <c r="C55" s="449"/>
      <c r="D55" s="449"/>
      <c r="E55" s="449"/>
      <c r="F55" s="449"/>
      <c r="G55" s="449"/>
      <c r="H55" s="449"/>
      <c r="I55" s="449"/>
      <c r="J55" s="449"/>
      <c r="K55" s="449"/>
      <c r="L55" s="449"/>
      <c r="M55" s="449"/>
      <c r="N55" s="449"/>
      <c r="O55" s="449"/>
      <c r="P55" s="449"/>
      <c r="Q55" s="449"/>
      <c r="R55" s="449"/>
      <c r="S55" s="449"/>
      <c r="T55" s="488"/>
      <c r="U55" s="488"/>
      <c r="V55" s="489">
        <v>44027</v>
      </c>
      <c r="W55" s="486"/>
      <c r="X55" s="487"/>
    </row>
    <row r="56" spans="1:25" s="426" customFormat="1" x14ac:dyDescent="0.3">
      <c r="A56" s="443"/>
      <c r="B56" s="444" t="s">
        <v>124</v>
      </c>
      <c r="C56" s="444"/>
      <c r="D56" s="444"/>
      <c r="E56" s="444"/>
      <c r="F56" s="444"/>
      <c r="G56" s="444"/>
      <c r="H56" s="490"/>
      <c r="I56" s="490"/>
      <c r="J56" s="490"/>
      <c r="K56" s="490"/>
      <c r="L56" s="490"/>
      <c r="M56" s="490"/>
      <c r="N56" s="490"/>
      <c r="O56" s="490"/>
      <c r="P56" s="490"/>
      <c r="Q56" s="490"/>
      <c r="R56" s="444">
        <f>+V56-T56+1</f>
        <v>91</v>
      </c>
      <c r="S56" s="490"/>
      <c r="T56" s="491">
        <v>43845</v>
      </c>
      <c r="U56" s="492"/>
      <c r="V56" s="491">
        <v>43935</v>
      </c>
      <c r="W56" s="486"/>
      <c r="X56" s="487"/>
    </row>
    <row r="57" spans="1:25" s="426" customFormat="1" x14ac:dyDescent="0.3">
      <c r="A57" s="443"/>
      <c r="B57" s="444" t="s">
        <v>125</v>
      </c>
      <c r="C57" s="444"/>
      <c r="D57" s="444"/>
      <c r="E57" s="444"/>
      <c r="F57" s="444"/>
      <c r="G57" s="444"/>
      <c r="H57" s="444"/>
      <c r="I57" s="444"/>
      <c r="J57" s="444"/>
      <c r="K57" s="444"/>
      <c r="L57" s="444"/>
      <c r="M57" s="444"/>
      <c r="N57" s="444"/>
      <c r="O57" s="444"/>
      <c r="P57" s="444"/>
      <c r="Q57" s="444"/>
      <c r="R57" s="444">
        <f>+V57-T57+1</f>
        <v>91</v>
      </c>
      <c r="S57" s="444"/>
      <c r="T57" s="491">
        <v>43936</v>
      </c>
      <c r="U57" s="492"/>
      <c r="V57" s="491">
        <v>44026</v>
      </c>
      <c r="W57" s="486"/>
      <c r="X57" s="487"/>
    </row>
    <row r="58" spans="1:25" s="426" customFormat="1" x14ac:dyDescent="0.3">
      <c r="A58" s="443"/>
      <c r="B58" s="444" t="s">
        <v>357</v>
      </c>
      <c r="C58" s="444"/>
      <c r="D58" s="444"/>
      <c r="E58" s="444"/>
      <c r="F58" s="444"/>
      <c r="G58" s="444"/>
      <c r="H58" s="444"/>
      <c r="I58" s="444"/>
      <c r="J58" s="444"/>
      <c r="K58" s="444"/>
      <c r="L58" s="444"/>
      <c r="M58" s="444"/>
      <c r="N58" s="444"/>
      <c r="O58" s="444"/>
      <c r="P58" s="444"/>
      <c r="Q58" s="444"/>
      <c r="R58" s="444"/>
      <c r="S58" s="444"/>
      <c r="T58" s="491"/>
      <c r="U58" s="492"/>
      <c r="V58" s="491" t="s">
        <v>123</v>
      </c>
      <c r="W58" s="486"/>
      <c r="X58" s="487"/>
    </row>
    <row r="59" spans="1:25" s="426" customFormat="1" x14ac:dyDescent="0.3">
      <c r="A59" s="443"/>
      <c r="B59" s="444" t="s">
        <v>356</v>
      </c>
      <c r="C59" s="444"/>
      <c r="D59" s="444"/>
      <c r="E59" s="444"/>
      <c r="F59" s="444"/>
      <c r="G59" s="444"/>
      <c r="H59" s="444"/>
      <c r="I59" s="444"/>
      <c r="J59" s="444"/>
      <c r="K59" s="444"/>
      <c r="L59" s="444"/>
      <c r="M59" s="444"/>
      <c r="N59" s="444"/>
      <c r="O59" s="444"/>
      <c r="P59" s="444"/>
      <c r="Q59" s="444"/>
      <c r="R59" s="444"/>
      <c r="S59" s="444"/>
      <c r="T59" s="491"/>
      <c r="U59" s="492"/>
      <c r="V59" s="491" t="s">
        <v>157</v>
      </c>
      <c r="W59" s="486"/>
      <c r="X59" s="487"/>
      <c r="Y59" s="493"/>
    </row>
    <row r="60" spans="1:25" s="426" customFormat="1" x14ac:dyDescent="0.3">
      <c r="A60" s="443"/>
      <c r="B60" s="444" t="s">
        <v>16</v>
      </c>
      <c r="C60" s="444"/>
      <c r="D60" s="444"/>
      <c r="E60" s="444"/>
      <c r="F60" s="444"/>
      <c r="G60" s="444"/>
      <c r="H60" s="444"/>
      <c r="I60" s="444"/>
      <c r="J60" s="444"/>
      <c r="K60" s="444"/>
      <c r="L60" s="444"/>
      <c r="M60" s="444"/>
      <c r="N60" s="444"/>
      <c r="O60" s="444"/>
      <c r="P60" s="444"/>
      <c r="Q60" s="444"/>
      <c r="R60" s="444"/>
      <c r="S60" s="444"/>
      <c r="T60" s="491"/>
      <c r="U60" s="492"/>
      <c r="V60" s="491">
        <v>44013</v>
      </c>
      <c r="W60" s="486"/>
      <c r="X60" s="487"/>
    </row>
    <row r="61" spans="1:25" s="426" customFormat="1" x14ac:dyDescent="0.3">
      <c r="A61" s="421"/>
      <c r="B61" s="494"/>
      <c r="C61" s="494"/>
      <c r="D61" s="494"/>
      <c r="E61" s="494"/>
      <c r="F61" s="494"/>
      <c r="G61" s="494"/>
      <c r="H61" s="494"/>
      <c r="I61" s="494"/>
      <c r="J61" s="494"/>
      <c r="K61" s="494"/>
      <c r="L61" s="494"/>
      <c r="M61" s="494"/>
      <c r="N61" s="494"/>
      <c r="O61" s="494"/>
      <c r="P61" s="494"/>
      <c r="Q61" s="494"/>
      <c r="R61" s="494"/>
      <c r="S61" s="494"/>
      <c r="T61" s="495"/>
      <c r="U61" s="496"/>
      <c r="V61" s="495"/>
      <c r="W61" s="497"/>
      <c r="X61" s="487"/>
    </row>
    <row r="62" spans="1:25" s="426" customFormat="1" x14ac:dyDescent="0.3">
      <c r="A62" s="421"/>
      <c r="B62" s="422"/>
      <c r="C62" s="422"/>
      <c r="D62" s="422"/>
      <c r="E62" s="422"/>
      <c r="F62" s="422"/>
      <c r="G62" s="422"/>
      <c r="H62" s="422"/>
      <c r="I62" s="422"/>
      <c r="J62" s="422"/>
      <c r="K62" s="422"/>
      <c r="L62" s="422"/>
      <c r="M62" s="422"/>
      <c r="N62" s="422"/>
      <c r="O62" s="422"/>
      <c r="P62" s="422"/>
      <c r="Q62" s="422"/>
      <c r="R62" s="422"/>
      <c r="S62" s="422"/>
      <c r="T62" s="498"/>
      <c r="U62" s="499"/>
      <c r="V62" s="498"/>
      <c r="W62" s="497"/>
      <c r="X62" s="487"/>
    </row>
    <row r="63" spans="1:25" s="426" customFormat="1" ht="18.600000000000001" thickBot="1" x14ac:dyDescent="0.4">
      <c r="A63" s="500"/>
      <c r="B63" s="501" t="s">
        <v>392</v>
      </c>
      <c r="C63" s="502"/>
      <c r="D63" s="502"/>
      <c r="E63" s="502"/>
      <c r="F63" s="502"/>
      <c r="G63" s="502"/>
      <c r="H63" s="502"/>
      <c r="I63" s="502"/>
      <c r="J63" s="502"/>
      <c r="K63" s="502"/>
      <c r="L63" s="502"/>
      <c r="M63" s="502"/>
      <c r="N63" s="502"/>
      <c r="O63" s="502"/>
      <c r="P63" s="502"/>
      <c r="Q63" s="502"/>
      <c r="R63" s="502"/>
      <c r="S63" s="502"/>
      <c r="T63" s="502"/>
      <c r="U63" s="502"/>
      <c r="V63" s="503"/>
      <c r="W63" s="504"/>
      <c r="X63" s="487"/>
    </row>
    <row r="64" spans="1:25" x14ac:dyDescent="0.3">
      <c r="A64" s="505"/>
      <c r="B64" s="506" t="s">
        <v>17</v>
      </c>
      <c r="C64" s="507"/>
      <c r="D64" s="507"/>
      <c r="E64" s="507"/>
      <c r="F64" s="507"/>
      <c r="G64" s="507"/>
      <c r="H64" s="507"/>
      <c r="I64" s="507"/>
      <c r="J64" s="507"/>
      <c r="K64" s="507"/>
      <c r="L64" s="507"/>
      <c r="M64" s="507"/>
      <c r="N64" s="507"/>
      <c r="O64" s="507"/>
      <c r="P64" s="507"/>
      <c r="Q64" s="507"/>
      <c r="R64" s="507"/>
      <c r="S64" s="507"/>
      <c r="T64" s="507"/>
      <c r="U64" s="507"/>
      <c r="V64" s="508"/>
      <c r="W64" s="509"/>
      <c r="X64" s="406"/>
    </row>
    <row r="65" spans="1:24" x14ac:dyDescent="0.3">
      <c r="A65" s="408"/>
      <c r="B65" s="419"/>
      <c r="C65" s="410"/>
      <c r="D65" s="410"/>
      <c r="E65" s="410"/>
      <c r="F65" s="410"/>
      <c r="G65" s="410"/>
      <c r="H65" s="410"/>
      <c r="I65" s="410"/>
      <c r="J65" s="410"/>
      <c r="K65" s="410"/>
      <c r="L65" s="410"/>
      <c r="M65" s="410"/>
      <c r="N65" s="410"/>
      <c r="O65" s="410"/>
      <c r="P65" s="410"/>
      <c r="Q65" s="410"/>
      <c r="R65" s="410"/>
      <c r="S65" s="410"/>
      <c r="T65" s="410"/>
      <c r="U65" s="410"/>
      <c r="V65" s="510"/>
      <c r="W65" s="411"/>
      <c r="X65" s="406"/>
    </row>
    <row r="66" spans="1:24" s="473" customFormat="1" ht="46.8" x14ac:dyDescent="0.3">
      <c r="A66" s="511"/>
      <c r="B66" s="512" t="s">
        <v>18</v>
      </c>
      <c r="C66" s="513"/>
      <c r="D66" s="513"/>
      <c r="E66" s="513"/>
      <c r="F66" s="513"/>
      <c r="G66" s="513"/>
      <c r="H66" s="513"/>
      <c r="I66" s="513"/>
      <c r="J66" s="513"/>
      <c r="K66" s="513"/>
      <c r="L66" s="513" t="s">
        <v>95</v>
      </c>
      <c r="M66" s="513"/>
      <c r="N66" s="513" t="s">
        <v>97</v>
      </c>
      <c r="O66" s="513"/>
      <c r="P66" s="513" t="s">
        <v>99</v>
      </c>
      <c r="Q66" s="513"/>
      <c r="R66" s="513" t="s">
        <v>101</v>
      </c>
      <c r="S66" s="513"/>
      <c r="T66" s="513" t="s">
        <v>108</v>
      </c>
      <c r="U66" s="513"/>
      <c r="V66" s="514" t="s">
        <v>115</v>
      </c>
      <c r="W66" s="515"/>
      <c r="X66" s="472"/>
    </row>
    <row r="67" spans="1:24" s="426" customFormat="1" x14ac:dyDescent="0.3">
      <c r="A67" s="443"/>
      <c r="B67" s="444" t="s">
        <v>19</v>
      </c>
      <c r="C67" s="516"/>
      <c r="D67" s="516"/>
      <c r="E67" s="516"/>
      <c r="F67" s="516"/>
      <c r="G67" s="516"/>
      <c r="H67" s="516"/>
      <c r="I67" s="516"/>
      <c r="J67" s="516"/>
      <c r="K67" s="516"/>
      <c r="L67" s="516">
        <f>1085286</f>
        <v>1085286</v>
      </c>
      <c r="M67" s="516"/>
      <c r="N67" s="517">
        <v>674886</v>
      </c>
      <c r="O67" s="516"/>
      <c r="P67" s="516">
        <v>6889</v>
      </c>
      <c r="Q67" s="516"/>
      <c r="R67" s="516">
        <v>0</v>
      </c>
      <c r="S67" s="516"/>
      <c r="T67" s="516">
        <v>0</v>
      </c>
      <c r="U67" s="516"/>
      <c r="V67" s="517">
        <f>+N67-P67+R67-T67</f>
        <v>667997</v>
      </c>
      <c r="W67" s="446"/>
      <c r="X67" s="425"/>
    </row>
    <row r="68" spans="1:24" s="426" customFormat="1" x14ac:dyDescent="0.3">
      <c r="A68" s="443"/>
      <c r="B68" s="444" t="s">
        <v>20</v>
      </c>
      <c r="C68" s="516"/>
      <c r="D68" s="516"/>
      <c r="E68" s="516"/>
      <c r="F68" s="516"/>
      <c r="G68" s="516"/>
      <c r="H68" s="516"/>
      <c r="I68" s="516"/>
      <c r="J68" s="516"/>
      <c r="K68" s="516"/>
      <c r="L68" s="516">
        <v>35</v>
      </c>
      <c r="M68" s="516"/>
      <c r="N68" s="517">
        <v>0</v>
      </c>
      <c r="O68" s="516"/>
      <c r="P68" s="516">
        <v>0</v>
      </c>
      <c r="Q68" s="516"/>
      <c r="R68" s="516">
        <v>0</v>
      </c>
      <c r="S68" s="516"/>
      <c r="T68" s="516">
        <v>0</v>
      </c>
      <c r="U68" s="516"/>
      <c r="V68" s="517">
        <f>+N68-P68</f>
        <v>0</v>
      </c>
      <c r="W68" s="446"/>
      <c r="X68" s="425"/>
    </row>
    <row r="69" spans="1:24" s="426" customFormat="1" x14ac:dyDescent="0.3">
      <c r="A69" s="443"/>
      <c r="B69" s="444"/>
      <c r="C69" s="516"/>
      <c r="D69" s="516"/>
      <c r="E69" s="516"/>
      <c r="F69" s="516"/>
      <c r="G69" s="516"/>
      <c r="H69" s="516"/>
      <c r="I69" s="516"/>
      <c r="J69" s="516"/>
      <c r="K69" s="516"/>
      <c r="L69" s="516"/>
      <c r="M69" s="516"/>
      <c r="N69" s="517"/>
      <c r="O69" s="516"/>
      <c r="P69" s="516"/>
      <c r="Q69" s="516"/>
      <c r="R69" s="516"/>
      <c r="S69" s="516"/>
      <c r="T69" s="516"/>
      <c r="U69" s="516"/>
      <c r="V69" s="517"/>
      <c r="W69" s="446"/>
      <c r="X69" s="425"/>
    </row>
    <row r="70" spans="1:24" s="426" customFormat="1" x14ac:dyDescent="0.3">
      <c r="A70" s="443"/>
      <c r="B70" s="444" t="s">
        <v>21</v>
      </c>
      <c r="C70" s="516"/>
      <c r="D70" s="516"/>
      <c r="E70" s="516"/>
      <c r="F70" s="516"/>
      <c r="G70" s="516"/>
      <c r="H70" s="516"/>
      <c r="I70" s="516"/>
      <c r="J70" s="516"/>
      <c r="K70" s="516"/>
      <c r="L70" s="516">
        <f>SUM(L67:L69)</f>
        <v>1085321</v>
      </c>
      <c r="M70" s="516"/>
      <c r="N70" s="516">
        <f>N67+N68</f>
        <v>674886</v>
      </c>
      <c r="O70" s="516"/>
      <c r="P70" s="516">
        <f>SUM(P67:P69)</f>
        <v>6889</v>
      </c>
      <c r="Q70" s="516"/>
      <c r="R70" s="516">
        <f>SUM(R67:R69)</f>
        <v>0</v>
      </c>
      <c r="S70" s="516"/>
      <c r="T70" s="516">
        <f>SUM(T67:T69)</f>
        <v>0</v>
      </c>
      <c r="U70" s="516"/>
      <c r="V70" s="516">
        <f>SUM(V67:V69)</f>
        <v>667997</v>
      </c>
      <c r="W70" s="446"/>
      <c r="X70" s="425"/>
    </row>
    <row r="71" spans="1:24" x14ac:dyDescent="0.3">
      <c r="A71" s="408"/>
      <c r="B71" s="518"/>
      <c r="C71" s="519"/>
      <c r="D71" s="519"/>
      <c r="E71" s="519"/>
      <c r="F71" s="519"/>
      <c r="G71" s="519"/>
      <c r="H71" s="519"/>
      <c r="I71" s="519"/>
      <c r="J71" s="519"/>
      <c r="K71" s="519"/>
      <c r="L71" s="519"/>
      <c r="M71" s="519"/>
      <c r="N71" s="519"/>
      <c r="O71" s="519"/>
      <c r="P71" s="519"/>
      <c r="Q71" s="519"/>
      <c r="R71" s="519"/>
      <c r="S71" s="519"/>
      <c r="T71" s="519"/>
      <c r="U71" s="519"/>
      <c r="V71" s="520"/>
      <c r="W71" s="411"/>
      <c r="X71" s="406"/>
    </row>
    <row r="72" spans="1:24" x14ac:dyDescent="0.3">
      <c r="A72" s="408"/>
      <c r="B72" s="413" t="s">
        <v>22</v>
      </c>
      <c r="C72" s="521"/>
      <c r="D72" s="521"/>
      <c r="E72" s="521"/>
      <c r="F72" s="521"/>
      <c r="G72" s="521"/>
      <c r="H72" s="521"/>
      <c r="I72" s="521"/>
      <c r="J72" s="521"/>
      <c r="K72" s="521"/>
      <c r="L72" s="521"/>
      <c r="M72" s="521"/>
      <c r="N72" s="521"/>
      <c r="O72" s="521"/>
      <c r="P72" s="521"/>
      <c r="Q72" s="521"/>
      <c r="R72" s="521"/>
      <c r="S72" s="521"/>
      <c r="T72" s="521"/>
      <c r="U72" s="521"/>
      <c r="V72" s="522"/>
      <c r="W72" s="411"/>
      <c r="X72" s="406"/>
    </row>
    <row r="73" spans="1:24" x14ac:dyDescent="0.3">
      <c r="A73" s="408"/>
      <c r="B73" s="410"/>
      <c r="C73" s="521"/>
      <c r="D73" s="521"/>
      <c r="E73" s="521"/>
      <c r="F73" s="521"/>
      <c r="G73" s="521"/>
      <c r="H73" s="521"/>
      <c r="I73" s="521"/>
      <c r="J73" s="521"/>
      <c r="K73" s="521"/>
      <c r="L73" s="521"/>
      <c r="M73" s="521"/>
      <c r="N73" s="521"/>
      <c r="O73" s="521"/>
      <c r="P73" s="521"/>
      <c r="Q73" s="521"/>
      <c r="R73" s="521"/>
      <c r="S73" s="521"/>
      <c r="T73" s="521"/>
      <c r="U73" s="521"/>
      <c r="V73" s="522"/>
      <c r="W73" s="411"/>
      <c r="X73" s="406"/>
    </row>
    <row r="74" spans="1:24" s="426" customFormat="1" x14ac:dyDescent="0.3">
      <c r="A74" s="443"/>
      <c r="B74" s="444" t="s">
        <v>19</v>
      </c>
      <c r="C74" s="516"/>
      <c r="D74" s="516"/>
      <c r="E74" s="516"/>
      <c r="F74" s="516"/>
      <c r="G74" s="516"/>
      <c r="H74" s="516"/>
      <c r="I74" s="516"/>
      <c r="J74" s="516"/>
      <c r="K74" s="516"/>
      <c r="L74" s="516"/>
      <c r="M74" s="516"/>
      <c r="N74" s="516"/>
      <c r="O74" s="516"/>
      <c r="P74" s="516"/>
      <c r="Q74" s="516"/>
      <c r="R74" s="516"/>
      <c r="S74" s="516"/>
      <c r="T74" s="516"/>
      <c r="U74" s="516"/>
      <c r="V74" s="516"/>
      <c r="W74" s="446"/>
      <c r="X74" s="425"/>
    </row>
    <row r="75" spans="1:24" s="426" customFormat="1" x14ac:dyDescent="0.3">
      <c r="A75" s="443"/>
      <c r="B75" s="444" t="s">
        <v>20</v>
      </c>
      <c r="C75" s="516"/>
      <c r="D75" s="516"/>
      <c r="E75" s="516"/>
      <c r="F75" s="516"/>
      <c r="G75" s="516"/>
      <c r="H75" s="516"/>
      <c r="I75" s="516"/>
      <c r="J75" s="516"/>
      <c r="K75" s="516"/>
      <c r="L75" s="516"/>
      <c r="M75" s="516"/>
      <c r="N75" s="516"/>
      <c r="O75" s="516"/>
      <c r="P75" s="516"/>
      <c r="Q75" s="516"/>
      <c r="R75" s="516"/>
      <c r="S75" s="516"/>
      <c r="T75" s="516"/>
      <c r="U75" s="516"/>
      <c r="V75" s="516"/>
      <c r="W75" s="446"/>
      <c r="X75" s="425"/>
    </row>
    <row r="76" spans="1:24" s="426" customFormat="1" x14ac:dyDescent="0.3">
      <c r="A76" s="443"/>
      <c r="B76" s="444"/>
      <c r="C76" s="516"/>
      <c r="D76" s="516"/>
      <c r="E76" s="516"/>
      <c r="F76" s="516"/>
      <c r="G76" s="516"/>
      <c r="H76" s="516"/>
      <c r="I76" s="516"/>
      <c r="J76" s="516"/>
      <c r="K76" s="516"/>
      <c r="L76" s="516"/>
      <c r="M76" s="516"/>
      <c r="N76" s="516"/>
      <c r="O76" s="516"/>
      <c r="P76" s="516"/>
      <c r="Q76" s="516"/>
      <c r="R76" s="516"/>
      <c r="S76" s="516"/>
      <c r="T76" s="516"/>
      <c r="U76" s="516"/>
      <c r="V76" s="516"/>
      <c r="W76" s="446"/>
      <c r="X76" s="425"/>
    </row>
    <row r="77" spans="1:24" s="426" customFormat="1" x14ac:dyDescent="0.3">
      <c r="A77" s="443"/>
      <c r="B77" s="444" t="s">
        <v>21</v>
      </c>
      <c r="C77" s="516"/>
      <c r="D77" s="516"/>
      <c r="E77" s="516"/>
      <c r="F77" s="516"/>
      <c r="G77" s="516"/>
      <c r="H77" s="516"/>
      <c r="I77" s="516"/>
      <c r="J77" s="516"/>
      <c r="K77" s="516"/>
      <c r="L77" s="516"/>
      <c r="M77" s="516"/>
      <c r="N77" s="516"/>
      <c r="O77" s="516"/>
      <c r="P77" s="516"/>
      <c r="Q77" s="516"/>
      <c r="R77" s="516"/>
      <c r="S77" s="516"/>
      <c r="T77" s="516"/>
      <c r="U77" s="516"/>
      <c r="V77" s="516"/>
      <c r="W77" s="446"/>
      <c r="X77" s="425"/>
    </row>
    <row r="78" spans="1:24" s="426" customFormat="1" x14ac:dyDescent="0.3">
      <c r="A78" s="443"/>
      <c r="B78" s="444"/>
      <c r="C78" s="516"/>
      <c r="D78" s="516"/>
      <c r="E78" s="516"/>
      <c r="F78" s="516"/>
      <c r="G78" s="516"/>
      <c r="H78" s="516"/>
      <c r="I78" s="516"/>
      <c r="J78" s="516"/>
      <c r="K78" s="516"/>
      <c r="L78" s="516"/>
      <c r="M78" s="516"/>
      <c r="N78" s="516"/>
      <c r="O78" s="516"/>
      <c r="P78" s="516"/>
      <c r="Q78" s="516"/>
      <c r="R78" s="516"/>
      <c r="S78" s="516"/>
      <c r="T78" s="516"/>
      <c r="U78" s="516"/>
      <c r="V78" s="516"/>
      <c r="W78" s="446"/>
      <c r="X78" s="425"/>
    </row>
    <row r="79" spans="1:24" s="426" customFormat="1" x14ac:dyDescent="0.3">
      <c r="A79" s="443"/>
      <c r="B79" s="444" t="s">
        <v>23</v>
      </c>
      <c r="C79" s="516"/>
      <c r="D79" s="516"/>
      <c r="E79" s="516"/>
      <c r="F79" s="516"/>
      <c r="G79" s="516"/>
      <c r="H79" s="516"/>
      <c r="I79" s="516"/>
      <c r="J79" s="516"/>
      <c r="K79" s="516"/>
      <c r="L79" s="516">
        <v>0</v>
      </c>
      <c r="M79" s="516"/>
      <c r="N79" s="516">
        <v>0</v>
      </c>
      <c r="O79" s="516"/>
      <c r="P79" s="516"/>
      <c r="Q79" s="516"/>
      <c r="R79" s="516"/>
      <c r="S79" s="516"/>
      <c r="T79" s="516"/>
      <c r="U79" s="516"/>
      <c r="V79" s="517">
        <v>0</v>
      </c>
      <c r="W79" s="446"/>
      <c r="X79" s="425"/>
    </row>
    <row r="80" spans="1:24" s="426" customFormat="1" x14ac:dyDescent="0.3">
      <c r="A80" s="443"/>
      <c r="B80" s="444" t="s">
        <v>120</v>
      </c>
      <c r="C80" s="516"/>
      <c r="D80" s="516"/>
      <c r="E80" s="516"/>
      <c r="F80" s="516"/>
      <c r="G80" s="516"/>
      <c r="H80" s="516"/>
      <c r="I80" s="516"/>
      <c r="J80" s="516"/>
      <c r="K80" s="516"/>
      <c r="L80" s="516">
        <f>414862+7</f>
        <v>414869</v>
      </c>
      <c r="M80" s="516"/>
      <c r="N80" s="516">
        <v>0</v>
      </c>
      <c r="O80" s="516"/>
      <c r="P80" s="516">
        <v>0</v>
      </c>
      <c r="Q80" s="516"/>
      <c r="R80" s="516"/>
      <c r="S80" s="516"/>
      <c r="T80" s="516"/>
      <c r="U80" s="516"/>
      <c r="V80" s="516">
        <f>SUM(N80:R80)</f>
        <v>0</v>
      </c>
      <c r="W80" s="446"/>
      <c r="X80" s="425"/>
    </row>
    <row r="81" spans="1:24" s="426" customFormat="1" x14ac:dyDescent="0.3">
      <c r="A81" s="443"/>
      <c r="B81" s="444" t="s">
        <v>149</v>
      </c>
      <c r="C81" s="516"/>
      <c r="D81" s="516"/>
      <c r="E81" s="516"/>
      <c r="F81" s="516"/>
      <c r="G81" s="516"/>
      <c r="H81" s="516"/>
      <c r="I81" s="516"/>
      <c r="J81" s="516"/>
      <c r="K81" s="516"/>
      <c r="L81" s="516">
        <v>0</v>
      </c>
      <c r="M81" s="516"/>
      <c r="N81" s="516">
        <v>0</v>
      </c>
      <c r="O81" s="516"/>
      <c r="P81" s="516">
        <v>0</v>
      </c>
      <c r="Q81" s="516"/>
      <c r="R81" s="516"/>
      <c r="S81" s="516"/>
      <c r="T81" s="516"/>
      <c r="U81" s="516"/>
      <c r="V81" s="516">
        <f>+N81+P81</f>
        <v>0</v>
      </c>
      <c r="W81" s="446"/>
      <c r="X81" s="425"/>
    </row>
    <row r="82" spans="1:24" s="426" customFormat="1" x14ac:dyDescent="0.3">
      <c r="A82" s="443"/>
      <c r="B82" s="444" t="s">
        <v>25</v>
      </c>
      <c r="C82" s="516"/>
      <c r="D82" s="516"/>
      <c r="E82" s="516"/>
      <c r="F82" s="516"/>
      <c r="G82" s="516"/>
      <c r="H82" s="516"/>
      <c r="I82" s="516"/>
      <c r="J82" s="516"/>
      <c r="K82" s="516"/>
      <c r="L82" s="516">
        <v>0</v>
      </c>
      <c r="M82" s="516"/>
      <c r="N82" s="516">
        <v>0</v>
      </c>
      <c r="O82" s="516"/>
      <c r="P82" s="516"/>
      <c r="Q82" s="516"/>
      <c r="R82" s="516"/>
      <c r="S82" s="516"/>
      <c r="T82" s="516"/>
      <c r="U82" s="516"/>
      <c r="V82" s="516">
        <v>0</v>
      </c>
      <c r="W82" s="446"/>
      <c r="X82" s="425"/>
    </row>
    <row r="83" spans="1:24" s="426" customFormat="1" x14ac:dyDescent="0.3">
      <c r="A83" s="523"/>
      <c r="B83" s="524" t="s">
        <v>26</v>
      </c>
      <c r="C83" s="525"/>
      <c r="D83" s="525"/>
      <c r="E83" s="525"/>
      <c r="F83" s="525"/>
      <c r="G83" s="525"/>
      <c r="H83" s="525"/>
      <c r="I83" s="525"/>
      <c r="J83" s="525"/>
      <c r="K83" s="525"/>
      <c r="L83" s="525">
        <f>SUM(L70:L82)</f>
        <v>1500190</v>
      </c>
      <c r="M83" s="525"/>
      <c r="N83" s="525">
        <f>SUM(N70:N82)</f>
        <v>674886</v>
      </c>
      <c r="O83" s="525"/>
      <c r="P83" s="525"/>
      <c r="Q83" s="525"/>
      <c r="R83" s="525"/>
      <c r="S83" s="525"/>
      <c r="T83" s="525"/>
      <c r="U83" s="525"/>
      <c r="V83" s="525">
        <f>SUM(V70:V82)</f>
        <v>667997</v>
      </c>
      <c r="W83" s="526"/>
      <c r="X83" s="425"/>
    </row>
    <row r="84" spans="1:24" x14ac:dyDescent="0.3">
      <c r="A84" s="527"/>
      <c r="B84" s="528"/>
      <c r="C84" s="529"/>
      <c r="D84" s="529"/>
      <c r="E84" s="529"/>
      <c r="F84" s="529"/>
      <c r="G84" s="529"/>
      <c r="H84" s="529"/>
      <c r="I84" s="529"/>
      <c r="J84" s="529"/>
      <c r="K84" s="529"/>
      <c r="L84" s="529"/>
      <c r="M84" s="529"/>
      <c r="N84" s="529"/>
      <c r="O84" s="529"/>
      <c r="P84" s="529"/>
      <c r="Q84" s="529"/>
      <c r="R84" s="529"/>
      <c r="S84" s="529"/>
      <c r="T84" s="529"/>
      <c r="U84" s="529"/>
      <c r="V84" s="529"/>
      <c r="W84" s="530"/>
      <c r="X84" s="406"/>
    </row>
    <row r="85" spans="1:24" x14ac:dyDescent="0.3">
      <c r="A85" s="408"/>
      <c r="B85" s="531"/>
      <c r="C85" s="531"/>
      <c r="D85" s="531"/>
      <c r="E85" s="531"/>
      <c r="F85" s="531"/>
      <c r="G85" s="531"/>
      <c r="H85" s="531"/>
      <c r="I85" s="531"/>
      <c r="J85" s="531"/>
      <c r="K85" s="531"/>
      <c r="L85" s="531"/>
      <c r="M85" s="531"/>
      <c r="N85" s="531"/>
      <c r="O85" s="531"/>
      <c r="P85" s="531"/>
      <c r="Q85" s="531"/>
      <c r="R85" s="531"/>
      <c r="S85" s="531"/>
      <c r="T85" s="531"/>
      <c r="U85" s="531"/>
      <c r="V85" s="531"/>
      <c r="W85" s="532"/>
      <c r="X85" s="406"/>
    </row>
    <row r="86" spans="1:24" x14ac:dyDescent="0.3">
      <c r="A86" s="533"/>
      <c r="B86" s="534" t="s">
        <v>27</v>
      </c>
      <c r="C86" s="534"/>
      <c r="D86" s="534"/>
      <c r="E86" s="534"/>
      <c r="F86" s="534"/>
      <c r="G86" s="534"/>
      <c r="H86" s="535"/>
      <c r="I86" s="535"/>
      <c r="J86" s="535"/>
      <c r="K86" s="535"/>
      <c r="L86" s="536" t="s">
        <v>96</v>
      </c>
      <c r="M86" s="535"/>
      <c r="N86" s="537">
        <f>+T201</f>
        <v>44012</v>
      </c>
      <c r="O86" s="535"/>
      <c r="P86" s="535"/>
      <c r="Q86" s="535"/>
      <c r="R86" s="535"/>
      <c r="S86" s="535"/>
      <c r="T86" s="535" t="s">
        <v>109</v>
      </c>
      <c r="U86" s="535"/>
      <c r="V86" s="535" t="s">
        <v>116</v>
      </c>
      <c r="W86" s="538"/>
      <c r="X86" s="406"/>
    </row>
    <row r="87" spans="1:24" s="426" customFormat="1" x14ac:dyDescent="0.3">
      <c r="A87" s="439"/>
      <c r="B87" s="440" t="s">
        <v>28</v>
      </c>
      <c r="C87" s="440"/>
      <c r="D87" s="440"/>
      <c r="E87" s="440"/>
      <c r="F87" s="440"/>
      <c r="G87" s="440"/>
      <c r="H87" s="440"/>
      <c r="I87" s="440"/>
      <c r="J87" s="440"/>
      <c r="K87" s="440"/>
      <c r="L87" s="440"/>
      <c r="M87" s="440"/>
      <c r="N87" s="440"/>
      <c r="O87" s="440"/>
      <c r="P87" s="440"/>
      <c r="Q87" s="440"/>
      <c r="R87" s="440"/>
      <c r="S87" s="440"/>
      <c r="T87" s="539">
        <v>0</v>
      </c>
      <c r="U87" s="440"/>
      <c r="V87" s="540">
        <v>0</v>
      </c>
      <c r="W87" s="442"/>
      <c r="X87" s="425"/>
    </row>
    <row r="88" spans="1:24" s="426" customFormat="1" x14ac:dyDescent="0.3">
      <c r="A88" s="443"/>
      <c r="B88" s="444" t="s">
        <v>29</v>
      </c>
      <c r="C88" s="444"/>
      <c r="D88" s="444"/>
      <c r="E88" s="444"/>
      <c r="F88" s="444"/>
      <c r="G88" s="444"/>
      <c r="H88" s="482"/>
      <c r="I88" s="482"/>
      <c r="J88" s="482"/>
      <c r="K88" s="541"/>
      <c r="L88" s="482"/>
      <c r="M88" s="444"/>
      <c r="N88" s="542"/>
      <c r="O88" s="444"/>
      <c r="P88" s="444"/>
      <c r="Q88" s="444"/>
      <c r="R88" s="444"/>
      <c r="S88" s="444"/>
      <c r="T88" s="516">
        <f>6889+99</f>
        <v>6988</v>
      </c>
      <c r="U88" s="444"/>
      <c r="V88" s="517"/>
      <c r="W88" s="446"/>
      <c r="X88" s="425"/>
    </row>
    <row r="89" spans="1:24" s="426" customFormat="1" x14ac:dyDescent="0.3">
      <c r="A89" s="443"/>
      <c r="B89" s="444" t="s">
        <v>219</v>
      </c>
      <c r="C89" s="444"/>
      <c r="D89" s="444"/>
      <c r="E89" s="444"/>
      <c r="F89" s="444"/>
      <c r="G89" s="444"/>
      <c r="H89" s="482"/>
      <c r="I89" s="482"/>
      <c r="J89" s="482"/>
      <c r="K89" s="541"/>
      <c r="L89" s="482"/>
      <c r="M89" s="444"/>
      <c r="N89" s="542"/>
      <c r="O89" s="444"/>
      <c r="P89" s="444"/>
      <c r="Q89" s="444"/>
      <c r="R89" s="444"/>
      <c r="S89" s="444"/>
      <c r="T89" s="516"/>
      <c r="U89" s="444"/>
      <c r="V89" s="517">
        <f>2652+1902-512-839</f>
        <v>3203</v>
      </c>
      <c r="W89" s="446"/>
      <c r="X89" s="425"/>
    </row>
    <row r="90" spans="1:24" s="426" customFormat="1" x14ac:dyDescent="0.3">
      <c r="A90" s="443"/>
      <c r="B90" s="444" t="s">
        <v>214</v>
      </c>
      <c r="C90" s="444"/>
      <c r="D90" s="444"/>
      <c r="E90" s="444"/>
      <c r="F90" s="444"/>
      <c r="G90" s="444"/>
      <c r="H90" s="482"/>
      <c r="I90" s="482"/>
      <c r="J90" s="482"/>
      <c r="K90" s="541"/>
      <c r="L90" s="482"/>
      <c r="M90" s="444"/>
      <c r="N90" s="542"/>
      <c r="O90" s="444"/>
      <c r="P90" s="444"/>
      <c r="Q90" s="444"/>
      <c r="R90" s="444"/>
      <c r="S90" s="444"/>
      <c r="T90" s="516"/>
      <c r="U90" s="444"/>
      <c r="V90" s="517">
        <f>81+13</f>
        <v>94</v>
      </c>
      <c r="W90" s="446"/>
      <c r="X90" s="425"/>
    </row>
    <row r="91" spans="1:24" s="426" customFormat="1" x14ac:dyDescent="0.3">
      <c r="A91" s="443"/>
      <c r="B91" s="444" t="s">
        <v>215</v>
      </c>
      <c r="C91" s="444"/>
      <c r="D91" s="444"/>
      <c r="E91" s="444"/>
      <c r="F91" s="444"/>
      <c r="G91" s="444"/>
      <c r="H91" s="482"/>
      <c r="I91" s="482"/>
      <c r="J91" s="482"/>
      <c r="K91" s="541"/>
      <c r="L91" s="482"/>
      <c r="M91" s="444"/>
      <c r="N91" s="542"/>
      <c r="O91" s="444"/>
      <c r="P91" s="444"/>
      <c r="Q91" s="444"/>
      <c r="R91" s="444"/>
      <c r="S91" s="444"/>
      <c r="T91" s="516"/>
      <c r="U91" s="444"/>
      <c r="V91" s="517">
        <v>54</v>
      </c>
      <c r="W91" s="446"/>
      <c r="X91" s="425"/>
    </row>
    <row r="92" spans="1:24" s="426" customFormat="1" x14ac:dyDescent="0.3">
      <c r="A92" s="443"/>
      <c r="B92" s="444" t="s">
        <v>277</v>
      </c>
      <c r="C92" s="444"/>
      <c r="D92" s="444"/>
      <c r="E92" s="444"/>
      <c r="F92" s="444"/>
      <c r="G92" s="444"/>
      <c r="H92" s="482"/>
      <c r="I92" s="482"/>
      <c r="J92" s="482"/>
      <c r="K92" s="541"/>
      <c r="L92" s="482"/>
      <c r="M92" s="444"/>
      <c r="N92" s="542"/>
      <c r="O92" s="444"/>
      <c r="P92" s="444"/>
      <c r="Q92" s="444"/>
      <c r="R92" s="444"/>
      <c r="S92" s="444"/>
      <c r="T92" s="516"/>
      <c r="U92" s="444"/>
      <c r="V92" s="517">
        <v>0</v>
      </c>
      <c r="W92" s="446"/>
      <c r="X92" s="425"/>
    </row>
    <row r="93" spans="1:24" s="426" customFormat="1" x14ac:dyDescent="0.3">
      <c r="A93" s="443"/>
      <c r="B93" s="444" t="s">
        <v>138</v>
      </c>
      <c r="C93" s="444"/>
      <c r="D93" s="444"/>
      <c r="E93" s="444"/>
      <c r="F93" s="444"/>
      <c r="G93" s="444"/>
      <c r="H93" s="444"/>
      <c r="I93" s="444"/>
      <c r="J93" s="444"/>
      <c r="K93" s="444"/>
      <c r="L93" s="444"/>
      <c r="M93" s="444"/>
      <c r="N93" s="444"/>
      <c r="O93" s="444"/>
      <c r="P93" s="444"/>
      <c r="Q93" s="444"/>
      <c r="R93" s="444"/>
      <c r="S93" s="444"/>
      <c r="T93" s="516"/>
      <c r="U93" s="444"/>
      <c r="V93" s="517">
        <v>0</v>
      </c>
      <c r="W93" s="446"/>
      <c r="X93" s="425"/>
    </row>
    <row r="94" spans="1:24" s="426" customFormat="1" x14ac:dyDescent="0.3">
      <c r="A94" s="443"/>
      <c r="B94" s="444" t="s">
        <v>265</v>
      </c>
      <c r="C94" s="444"/>
      <c r="D94" s="444"/>
      <c r="E94" s="444"/>
      <c r="F94" s="444"/>
      <c r="G94" s="444"/>
      <c r="H94" s="444"/>
      <c r="I94" s="444"/>
      <c r="J94" s="444"/>
      <c r="K94" s="444"/>
      <c r="L94" s="444"/>
      <c r="M94" s="444"/>
      <c r="N94" s="444"/>
      <c r="O94" s="444"/>
      <c r="P94" s="444"/>
      <c r="Q94" s="444"/>
      <c r="R94" s="444"/>
      <c r="S94" s="444"/>
      <c r="T94" s="516"/>
      <c r="U94" s="444"/>
      <c r="V94" s="517">
        <v>593</v>
      </c>
      <c r="W94" s="446"/>
      <c r="X94" s="425"/>
    </row>
    <row r="95" spans="1:24" s="426" customFormat="1" x14ac:dyDescent="0.3">
      <c r="A95" s="443"/>
      <c r="B95" s="444" t="s">
        <v>30</v>
      </c>
      <c r="C95" s="444"/>
      <c r="D95" s="444"/>
      <c r="E95" s="444"/>
      <c r="F95" s="444"/>
      <c r="G95" s="444"/>
      <c r="H95" s="444"/>
      <c r="I95" s="444"/>
      <c r="J95" s="444"/>
      <c r="K95" s="444"/>
      <c r="L95" s="444"/>
      <c r="M95" s="444"/>
      <c r="N95" s="444"/>
      <c r="O95" s="444"/>
      <c r="P95" s="444"/>
      <c r="Q95" s="444"/>
      <c r="R95" s="444"/>
      <c r="S95" s="444"/>
      <c r="T95" s="516">
        <f>SUM(T87:T94)</f>
        <v>6988</v>
      </c>
      <c r="U95" s="444"/>
      <c r="V95" s="516">
        <f>SUM(V87:V94)</f>
        <v>3944</v>
      </c>
      <c r="W95" s="446"/>
      <c r="X95" s="425"/>
    </row>
    <row r="96" spans="1:24" s="426" customFormat="1" x14ac:dyDescent="0.3">
      <c r="A96" s="443"/>
      <c r="B96" s="444" t="s">
        <v>164</v>
      </c>
      <c r="C96" s="444"/>
      <c r="D96" s="444"/>
      <c r="E96" s="444"/>
      <c r="F96" s="444"/>
      <c r="G96" s="444"/>
      <c r="H96" s="444"/>
      <c r="I96" s="444"/>
      <c r="J96" s="444"/>
      <c r="K96" s="444"/>
      <c r="L96" s="444"/>
      <c r="M96" s="444"/>
      <c r="N96" s="444"/>
      <c r="O96" s="444"/>
      <c r="P96" s="444"/>
      <c r="Q96" s="444"/>
      <c r="R96" s="444"/>
      <c r="S96" s="444"/>
      <c r="T96" s="516">
        <f>-V96</f>
        <v>0</v>
      </c>
      <c r="U96" s="444"/>
      <c r="V96" s="516">
        <v>0</v>
      </c>
      <c r="W96" s="446"/>
      <c r="X96" s="425"/>
    </row>
    <row r="97" spans="1:26" s="426" customFormat="1" x14ac:dyDescent="0.3">
      <c r="A97" s="443"/>
      <c r="B97" s="444" t="s">
        <v>31</v>
      </c>
      <c r="C97" s="444"/>
      <c r="D97" s="444"/>
      <c r="E97" s="444"/>
      <c r="F97" s="444"/>
      <c r="G97" s="444"/>
      <c r="H97" s="444"/>
      <c r="I97" s="444"/>
      <c r="J97" s="444"/>
      <c r="K97" s="444"/>
      <c r="L97" s="444"/>
      <c r="M97" s="444"/>
      <c r="N97" s="444"/>
      <c r="O97" s="444"/>
      <c r="P97" s="444"/>
      <c r="Q97" s="444"/>
      <c r="R97" s="444"/>
      <c r="S97" s="444"/>
      <c r="T97" s="516">
        <f>-V97</f>
        <v>0</v>
      </c>
      <c r="U97" s="444"/>
      <c r="V97" s="517">
        <v>0</v>
      </c>
      <c r="W97" s="446"/>
      <c r="X97" s="425"/>
    </row>
    <row r="98" spans="1:26" s="426" customFormat="1" x14ac:dyDescent="0.3">
      <c r="A98" s="443"/>
      <c r="B98" s="444" t="s">
        <v>288</v>
      </c>
      <c r="C98" s="444"/>
      <c r="D98" s="444"/>
      <c r="E98" s="444"/>
      <c r="F98" s="444"/>
      <c r="G98" s="444"/>
      <c r="H98" s="444"/>
      <c r="I98" s="444"/>
      <c r="J98" s="444"/>
      <c r="K98" s="444"/>
      <c r="L98" s="444"/>
      <c r="M98" s="444"/>
      <c r="N98" s="444"/>
      <c r="O98" s="444"/>
      <c r="P98" s="444"/>
      <c r="Q98" s="444"/>
      <c r="R98" s="444"/>
      <c r="S98" s="444"/>
      <c r="T98" s="516"/>
      <c r="U98" s="444"/>
      <c r="V98" s="517">
        <v>0</v>
      </c>
      <c r="W98" s="446"/>
      <c r="X98" s="425"/>
    </row>
    <row r="99" spans="1:26" s="426" customFormat="1" x14ac:dyDescent="0.3">
      <c r="A99" s="443"/>
      <c r="B99" s="444" t="s">
        <v>32</v>
      </c>
      <c r="C99" s="444"/>
      <c r="D99" s="444"/>
      <c r="E99" s="444"/>
      <c r="F99" s="444"/>
      <c r="G99" s="444"/>
      <c r="H99" s="444"/>
      <c r="I99" s="444"/>
      <c r="J99" s="444"/>
      <c r="K99" s="444"/>
      <c r="L99" s="444"/>
      <c r="M99" s="444"/>
      <c r="N99" s="444"/>
      <c r="O99" s="444"/>
      <c r="P99" s="444"/>
      <c r="Q99" s="444"/>
      <c r="R99" s="444"/>
      <c r="S99" s="444"/>
      <c r="T99" s="516">
        <f>T95+T97+T96</f>
        <v>6988</v>
      </c>
      <c r="U99" s="444"/>
      <c r="V99" s="516">
        <f>V95+V97+V96+V98</f>
        <v>3944</v>
      </c>
      <c r="W99" s="446"/>
      <c r="X99" s="425"/>
    </row>
    <row r="100" spans="1:26" x14ac:dyDescent="0.3">
      <c r="A100" s="543"/>
      <c r="B100" s="544" t="s">
        <v>33</v>
      </c>
      <c r="C100" s="465"/>
      <c r="D100" s="465"/>
      <c r="E100" s="465"/>
      <c r="F100" s="465"/>
      <c r="G100" s="465"/>
      <c r="H100" s="465"/>
      <c r="I100" s="465"/>
      <c r="J100" s="465"/>
      <c r="K100" s="465"/>
      <c r="L100" s="465"/>
      <c r="M100" s="465"/>
      <c r="N100" s="465"/>
      <c r="O100" s="465"/>
      <c r="P100" s="465"/>
      <c r="Q100" s="465"/>
      <c r="R100" s="465"/>
      <c r="S100" s="465"/>
      <c r="T100" s="545"/>
      <c r="U100" s="465"/>
      <c r="V100" s="546"/>
      <c r="W100" s="547"/>
      <c r="X100" s="406"/>
    </row>
    <row r="101" spans="1:26" s="426" customFormat="1" x14ac:dyDescent="0.3">
      <c r="A101" s="443">
        <v>1</v>
      </c>
      <c r="B101" s="444" t="s">
        <v>34</v>
      </c>
      <c r="C101" s="444"/>
      <c r="D101" s="444"/>
      <c r="E101" s="444"/>
      <c r="F101" s="444"/>
      <c r="G101" s="444"/>
      <c r="H101" s="444"/>
      <c r="I101" s="444"/>
      <c r="J101" s="444"/>
      <c r="K101" s="444"/>
      <c r="L101" s="444"/>
      <c r="M101" s="444"/>
      <c r="N101" s="444"/>
      <c r="O101" s="444"/>
      <c r="P101" s="444"/>
      <c r="Q101" s="444"/>
      <c r="R101" s="444"/>
      <c r="S101" s="444"/>
      <c r="T101" s="444"/>
      <c r="U101" s="444"/>
      <c r="V101" s="517">
        <v>0</v>
      </c>
      <c r="W101" s="446"/>
      <c r="X101" s="425"/>
    </row>
    <row r="102" spans="1:26" s="426" customFormat="1" x14ac:dyDescent="0.3">
      <c r="A102" s="443">
        <f>+A101+1</f>
        <v>2</v>
      </c>
      <c r="B102" s="444" t="s">
        <v>416</v>
      </c>
      <c r="C102" s="444"/>
      <c r="D102" s="444"/>
      <c r="E102" s="444"/>
      <c r="F102" s="444"/>
      <c r="G102" s="444"/>
      <c r="H102" s="444"/>
      <c r="I102" s="444"/>
      <c r="J102" s="444"/>
      <c r="K102" s="444"/>
      <c r="L102" s="444"/>
      <c r="M102" s="444"/>
      <c r="N102" s="444"/>
      <c r="O102" s="444"/>
      <c r="P102" s="444"/>
      <c r="Q102" s="444"/>
      <c r="R102" s="444"/>
      <c r="S102" s="444"/>
      <c r="T102" s="444"/>
      <c r="U102" s="444"/>
      <c r="V102" s="517">
        <f>-2</f>
        <v>-2</v>
      </c>
      <c r="W102" s="446"/>
      <c r="X102" s="425"/>
    </row>
    <row r="103" spans="1:26" s="426" customFormat="1" x14ac:dyDescent="0.3">
      <c r="A103" s="443">
        <f>+A102+1</f>
        <v>3</v>
      </c>
      <c r="B103" s="548" t="s">
        <v>332</v>
      </c>
      <c r="C103" s="444"/>
      <c r="D103" s="444"/>
      <c r="E103" s="444"/>
      <c r="F103" s="444"/>
      <c r="G103" s="444"/>
      <c r="H103" s="444"/>
      <c r="I103" s="444"/>
      <c r="J103" s="444"/>
      <c r="K103" s="444"/>
      <c r="L103" s="444"/>
      <c r="M103" s="444"/>
      <c r="N103" s="444"/>
      <c r="O103" s="444"/>
      <c r="P103" s="444"/>
      <c r="Q103" s="444"/>
      <c r="R103" s="444"/>
      <c r="S103" s="444"/>
      <c r="T103" s="444"/>
      <c r="U103" s="444"/>
      <c r="V103" s="517">
        <f>-257-65-9</f>
        <v>-331</v>
      </c>
      <c r="W103" s="446"/>
      <c r="X103" s="425"/>
    </row>
    <row r="104" spans="1:26" s="426" customFormat="1" x14ac:dyDescent="0.3">
      <c r="A104" s="443" t="s">
        <v>130</v>
      </c>
      <c r="B104" s="444" t="s">
        <v>119</v>
      </c>
      <c r="C104" s="444"/>
      <c r="D104" s="444"/>
      <c r="E104" s="444"/>
      <c r="F104" s="444"/>
      <c r="G104" s="444"/>
      <c r="H104" s="444"/>
      <c r="I104" s="444"/>
      <c r="J104" s="444"/>
      <c r="K104" s="444"/>
      <c r="L104" s="444"/>
      <c r="M104" s="444"/>
      <c r="N104" s="444"/>
      <c r="O104" s="444"/>
      <c r="P104" s="444"/>
      <c r="Q104" s="444"/>
      <c r="R104" s="444"/>
      <c r="S104" s="444"/>
      <c r="T104" s="444"/>
      <c r="U104" s="444"/>
      <c r="V104" s="517">
        <v>0</v>
      </c>
      <c r="W104" s="446"/>
      <c r="X104" s="425"/>
    </row>
    <row r="105" spans="1:26" s="426" customFormat="1" x14ac:dyDescent="0.3">
      <c r="A105" s="443" t="s">
        <v>131</v>
      </c>
      <c r="B105" s="444" t="s">
        <v>362</v>
      </c>
      <c r="C105" s="444"/>
      <c r="D105" s="444"/>
      <c r="E105" s="444"/>
      <c r="F105" s="444"/>
      <c r="G105" s="444"/>
      <c r="H105" s="444"/>
      <c r="I105" s="444"/>
      <c r="J105" s="444"/>
      <c r="K105" s="444"/>
      <c r="L105" s="444"/>
      <c r="M105" s="444"/>
      <c r="N105" s="444"/>
      <c r="O105" s="444"/>
      <c r="P105" s="444"/>
      <c r="Q105" s="444"/>
      <c r="R105" s="444"/>
      <c r="S105" s="444"/>
      <c r="T105" s="444"/>
      <c r="U105" s="444"/>
      <c r="V105" s="517">
        <f>-701-110</f>
        <v>-811</v>
      </c>
      <c r="W105" s="446"/>
      <c r="X105" s="425"/>
      <c r="Y105" s="549"/>
      <c r="Z105" s="549"/>
    </row>
    <row r="106" spans="1:26" s="426" customFormat="1" x14ac:dyDescent="0.3">
      <c r="A106" s="443" t="s">
        <v>153</v>
      </c>
      <c r="B106" s="444" t="s">
        <v>363</v>
      </c>
      <c r="C106" s="444"/>
      <c r="D106" s="444"/>
      <c r="E106" s="444"/>
      <c r="F106" s="444"/>
      <c r="G106" s="444"/>
      <c r="H106" s="444"/>
      <c r="I106" s="444"/>
      <c r="J106" s="444"/>
      <c r="K106" s="444"/>
      <c r="L106" s="444"/>
      <c r="M106" s="444"/>
      <c r="N106" s="444"/>
      <c r="O106" s="444"/>
      <c r="P106" s="444"/>
      <c r="Q106" s="444"/>
      <c r="R106" s="444"/>
      <c r="S106" s="444"/>
      <c r="T106" s="444"/>
      <c r="U106" s="444"/>
      <c r="V106" s="517">
        <f>-191-165</f>
        <v>-356</v>
      </c>
      <c r="W106" s="446"/>
      <c r="X106" s="425"/>
      <c r="Y106" s="549"/>
    </row>
    <row r="107" spans="1:26" s="426" customFormat="1" x14ac:dyDescent="0.3">
      <c r="A107" s="443" t="s">
        <v>266</v>
      </c>
      <c r="B107" s="444" t="s">
        <v>269</v>
      </c>
      <c r="C107" s="444"/>
      <c r="D107" s="444"/>
      <c r="E107" s="444"/>
      <c r="F107" s="444"/>
      <c r="G107" s="444"/>
      <c r="H107" s="444"/>
      <c r="I107" s="444"/>
      <c r="J107" s="444"/>
      <c r="K107" s="444"/>
      <c r="L107" s="444"/>
      <c r="M107" s="444"/>
      <c r="N107" s="444"/>
      <c r="O107" s="444"/>
      <c r="P107" s="444"/>
      <c r="Q107" s="444"/>
      <c r="R107" s="444"/>
      <c r="S107" s="444"/>
      <c r="T107" s="444"/>
      <c r="U107" s="444"/>
      <c r="V107" s="517">
        <v>0</v>
      </c>
      <c r="W107" s="446"/>
      <c r="X107" s="425"/>
    </row>
    <row r="108" spans="1:26" s="426" customFormat="1" x14ac:dyDescent="0.3">
      <c r="A108" s="443" t="s">
        <v>208</v>
      </c>
      <c r="B108" s="444" t="s">
        <v>188</v>
      </c>
      <c r="C108" s="444"/>
      <c r="D108" s="444"/>
      <c r="E108" s="444"/>
      <c r="F108" s="444"/>
      <c r="G108" s="444"/>
      <c r="H108" s="444"/>
      <c r="I108" s="444"/>
      <c r="J108" s="444"/>
      <c r="K108" s="444"/>
      <c r="L108" s="444"/>
      <c r="M108" s="444"/>
      <c r="N108" s="444"/>
      <c r="O108" s="444"/>
      <c r="P108" s="444"/>
      <c r="Q108" s="444"/>
      <c r="R108" s="444"/>
      <c r="S108" s="444"/>
      <c r="T108" s="444"/>
      <c r="U108" s="444"/>
      <c r="V108" s="517">
        <v>-138</v>
      </c>
      <c r="W108" s="446"/>
      <c r="X108" s="425"/>
      <c r="Y108" s="549"/>
    </row>
    <row r="109" spans="1:26" s="426" customFormat="1" x14ac:dyDescent="0.3">
      <c r="A109" s="443" t="s">
        <v>209</v>
      </c>
      <c r="B109" s="444" t="s">
        <v>189</v>
      </c>
      <c r="C109" s="444"/>
      <c r="D109" s="444"/>
      <c r="E109" s="444"/>
      <c r="F109" s="444"/>
      <c r="G109" s="444"/>
      <c r="H109" s="444"/>
      <c r="I109" s="444"/>
      <c r="J109" s="444"/>
      <c r="K109" s="444"/>
      <c r="L109" s="444"/>
      <c r="M109" s="444"/>
      <c r="N109" s="444"/>
      <c r="O109" s="444"/>
      <c r="P109" s="444"/>
      <c r="Q109" s="444"/>
      <c r="R109" s="444"/>
      <c r="S109" s="444"/>
      <c r="T109" s="444"/>
      <c r="U109" s="444"/>
      <c r="V109" s="517">
        <v>-134</v>
      </c>
      <c r="W109" s="446"/>
      <c r="X109" s="425"/>
      <c r="Y109" s="549"/>
    </row>
    <row r="110" spans="1:26" s="426" customFormat="1" x14ac:dyDescent="0.3">
      <c r="A110" s="443" t="s">
        <v>210</v>
      </c>
      <c r="B110" s="444" t="s">
        <v>199</v>
      </c>
      <c r="C110" s="444"/>
      <c r="D110" s="444"/>
      <c r="E110" s="444"/>
      <c r="F110" s="444"/>
      <c r="G110" s="444"/>
      <c r="H110" s="444"/>
      <c r="I110" s="444"/>
      <c r="J110" s="444"/>
      <c r="K110" s="444"/>
      <c r="L110" s="444"/>
      <c r="M110" s="444"/>
      <c r="N110" s="444"/>
      <c r="O110" s="444"/>
      <c r="P110" s="444"/>
      <c r="Q110" s="444"/>
      <c r="R110" s="444"/>
      <c r="S110" s="444"/>
      <c r="T110" s="444"/>
      <c r="U110" s="444"/>
      <c r="V110" s="517">
        <v>-184</v>
      </c>
      <c r="W110" s="446"/>
      <c r="X110" s="425"/>
      <c r="Y110" s="549"/>
    </row>
    <row r="111" spans="1:26" s="426" customFormat="1" x14ac:dyDescent="0.3">
      <c r="A111" s="443" t="s">
        <v>230</v>
      </c>
      <c r="B111" s="444" t="s">
        <v>229</v>
      </c>
      <c r="C111" s="444"/>
      <c r="D111" s="444"/>
      <c r="E111" s="444"/>
      <c r="F111" s="444"/>
      <c r="G111" s="444"/>
      <c r="H111" s="444"/>
      <c r="I111" s="444"/>
      <c r="J111" s="444"/>
      <c r="K111" s="444"/>
      <c r="L111" s="444"/>
      <c r="M111" s="444"/>
      <c r="N111" s="444"/>
      <c r="O111" s="444"/>
      <c r="P111" s="444"/>
      <c r="Q111" s="444"/>
      <c r="R111" s="444"/>
      <c r="S111" s="444"/>
      <c r="T111" s="444"/>
      <c r="U111" s="444"/>
      <c r="V111" s="517">
        <v>-43</v>
      </c>
      <c r="W111" s="446"/>
      <c r="X111" s="425"/>
      <c r="Y111" s="549"/>
    </row>
    <row r="112" spans="1:26" s="426" customFormat="1" x14ac:dyDescent="0.3">
      <c r="A112" s="550">
        <v>7</v>
      </c>
      <c r="B112" s="548" t="s">
        <v>333</v>
      </c>
      <c r="C112" s="548"/>
      <c r="D112" s="548"/>
      <c r="E112" s="548"/>
      <c r="F112" s="548"/>
      <c r="G112" s="444"/>
      <c r="H112" s="444"/>
      <c r="I112" s="444"/>
      <c r="J112" s="444"/>
      <c r="K112" s="444"/>
      <c r="L112" s="444"/>
      <c r="M112" s="444"/>
      <c r="N112" s="444"/>
      <c r="O112" s="444"/>
      <c r="P112" s="444"/>
      <c r="Q112" s="444"/>
      <c r="R112" s="444"/>
      <c r="S112" s="444"/>
      <c r="T112" s="444"/>
      <c r="U112" s="444"/>
      <c r="V112" s="517">
        <v>0</v>
      </c>
      <c r="W112" s="446"/>
      <c r="X112" s="425"/>
      <c r="Y112" s="549"/>
    </row>
    <row r="113" spans="1:24" s="426" customFormat="1" x14ac:dyDescent="0.3">
      <c r="A113" s="443">
        <f t="shared" ref="A113:A123" si="0">+A112+1</f>
        <v>8</v>
      </c>
      <c r="B113" s="444" t="s">
        <v>35</v>
      </c>
      <c r="C113" s="444"/>
      <c r="D113" s="444"/>
      <c r="E113" s="444"/>
      <c r="F113" s="444"/>
      <c r="G113" s="444"/>
      <c r="H113" s="444"/>
      <c r="I113" s="444"/>
      <c r="J113" s="444"/>
      <c r="K113" s="444"/>
      <c r="L113" s="444"/>
      <c r="M113" s="444"/>
      <c r="N113" s="444"/>
      <c r="O113" s="444"/>
      <c r="P113" s="444"/>
      <c r="Q113" s="444"/>
      <c r="R113" s="444"/>
      <c r="S113" s="444"/>
      <c r="T113" s="444"/>
      <c r="U113" s="444"/>
      <c r="V113" s="517">
        <v>-11</v>
      </c>
      <c r="W113" s="446"/>
      <c r="X113" s="425"/>
    </row>
    <row r="114" spans="1:24" s="426" customFormat="1" x14ac:dyDescent="0.3">
      <c r="A114" s="443">
        <f t="shared" si="0"/>
        <v>9</v>
      </c>
      <c r="B114" s="444" t="s">
        <v>45</v>
      </c>
      <c r="C114" s="444"/>
      <c r="D114" s="444"/>
      <c r="E114" s="444"/>
      <c r="F114" s="444"/>
      <c r="G114" s="444"/>
      <c r="H114" s="444"/>
      <c r="I114" s="444"/>
      <c r="J114" s="444"/>
      <c r="K114" s="444"/>
      <c r="L114" s="444"/>
      <c r="M114" s="444"/>
      <c r="N114" s="444"/>
      <c r="O114" s="444"/>
      <c r="P114" s="444"/>
      <c r="Q114" s="444"/>
      <c r="R114" s="444"/>
      <c r="S114" s="444"/>
      <c r="T114" s="516">
        <f>-V114</f>
        <v>-99</v>
      </c>
      <c r="U114" s="444"/>
      <c r="V114" s="517">
        <v>99</v>
      </c>
      <c r="W114" s="446"/>
      <c r="X114" s="425"/>
    </row>
    <row r="115" spans="1:24" s="426" customFormat="1" x14ac:dyDescent="0.3">
      <c r="A115" s="443">
        <f t="shared" si="0"/>
        <v>10</v>
      </c>
      <c r="B115" s="444" t="s">
        <v>128</v>
      </c>
      <c r="C115" s="444"/>
      <c r="D115" s="444"/>
      <c r="E115" s="444"/>
      <c r="F115" s="444"/>
      <c r="G115" s="444"/>
      <c r="H115" s="444"/>
      <c r="I115" s="444"/>
      <c r="J115" s="444"/>
      <c r="K115" s="444"/>
      <c r="L115" s="444"/>
      <c r="M115" s="444"/>
      <c r="N115" s="444"/>
      <c r="O115" s="444"/>
      <c r="P115" s="444"/>
      <c r="Q115" s="444"/>
      <c r="R115" s="444"/>
      <c r="S115" s="444"/>
      <c r="T115" s="444"/>
      <c r="U115" s="444"/>
      <c r="V115" s="517">
        <v>0</v>
      </c>
      <c r="W115" s="446"/>
      <c r="X115" s="425"/>
    </row>
    <row r="116" spans="1:24" s="426" customFormat="1" x14ac:dyDescent="0.3">
      <c r="A116" s="443">
        <f t="shared" si="0"/>
        <v>11</v>
      </c>
      <c r="B116" s="444" t="s">
        <v>271</v>
      </c>
      <c r="C116" s="444"/>
      <c r="D116" s="444"/>
      <c r="E116" s="444"/>
      <c r="F116" s="444"/>
      <c r="G116" s="444"/>
      <c r="H116" s="444"/>
      <c r="I116" s="444"/>
      <c r="J116" s="444"/>
      <c r="K116" s="444"/>
      <c r="L116" s="444"/>
      <c r="M116" s="444"/>
      <c r="N116" s="444"/>
      <c r="O116" s="444"/>
      <c r="P116" s="444"/>
      <c r="Q116" s="444"/>
      <c r="R116" s="444"/>
      <c r="S116" s="444"/>
      <c r="T116" s="444"/>
      <c r="U116" s="444"/>
      <c r="V116" s="517">
        <v>0</v>
      </c>
      <c r="W116" s="446"/>
      <c r="X116" s="425"/>
    </row>
    <row r="117" spans="1:24" s="426" customFormat="1" x14ac:dyDescent="0.3">
      <c r="A117" s="443">
        <f t="shared" si="0"/>
        <v>12</v>
      </c>
      <c r="B117" s="444" t="s">
        <v>36</v>
      </c>
      <c r="C117" s="444"/>
      <c r="D117" s="444"/>
      <c r="E117" s="444"/>
      <c r="F117" s="444"/>
      <c r="G117" s="444"/>
      <c r="H117" s="444"/>
      <c r="I117" s="444"/>
      <c r="J117" s="444"/>
      <c r="K117" s="444"/>
      <c r="L117" s="444"/>
      <c r="M117" s="444"/>
      <c r="N117" s="444"/>
      <c r="O117" s="444"/>
      <c r="P117" s="444"/>
      <c r="Q117" s="444"/>
      <c r="R117" s="444"/>
      <c r="S117" s="444"/>
      <c r="T117" s="444"/>
      <c r="U117" s="444"/>
      <c r="V117" s="517">
        <v>0</v>
      </c>
      <c r="W117" s="446"/>
      <c r="X117" s="425"/>
    </row>
    <row r="118" spans="1:24" s="426" customFormat="1" x14ac:dyDescent="0.3">
      <c r="A118" s="443">
        <f t="shared" si="0"/>
        <v>13</v>
      </c>
      <c r="B118" s="444" t="s">
        <v>270</v>
      </c>
      <c r="C118" s="444"/>
      <c r="D118" s="444"/>
      <c r="E118" s="444"/>
      <c r="F118" s="444"/>
      <c r="G118" s="444"/>
      <c r="H118" s="444"/>
      <c r="I118" s="444"/>
      <c r="J118" s="444"/>
      <c r="K118" s="444"/>
      <c r="L118" s="444"/>
      <c r="M118" s="444"/>
      <c r="N118" s="444"/>
      <c r="O118" s="444"/>
      <c r="P118" s="444"/>
      <c r="Q118" s="444"/>
      <c r="R118" s="444"/>
      <c r="S118" s="444"/>
      <c r="T118" s="444"/>
      <c r="U118" s="444"/>
      <c r="V118" s="517">
        <v>0</v>
      </c>
      <c r="W118" s="446"/>
      <c r="X118" s="425"/>
    </row>
    <row r="119" spans="1:24" s="426" customFormat="1" x14ac:dyDescent="0.3">
      <c r="A119" s="443">
        <f t="shared" si="0"/>
        <v>14</v>
      </c>
      <c r="B119" s="444" t="s">
        <v>152</v>
      </c>
      <c r="C119" s="444"/>
      <c r="D119" s="444"/>
      <c r="E119" s="444"/>
      <c r="F119" s="444"/>
      <c r="G119" s="444"/>
      <c r="H119" s="444"/>
      <c r="I119" s="444"/>
      <c r="J119" s="444"/>
      <c r="K119" s="444"/>
      <c r="L119" s="444"/>
      <c r="M119" s="444"/>
      <c r="N119" s="444"/>
      <c r="O119" s="444"/>
      <c r="P119" s="444"/>
      <c r="Q119" s="444"/>
      <c r="R119" s="444"/>
      <c r="S119" s="444"/>
      <c r="T119" s="444"/>
      <c r="U119" s="444"/>
      <c r="V119" s="517">
        <v>-257</v>
      </c>
      <c r="W119" s="446"/>
      <c r="X119" s="425"/>
    </row>
    <row r="120" spans="1:24" s="426" customFormat="1" x14ac:dyDescent="0.3">
      <c r="A120" s="443">
        <f t="shared" si="0"/>
        <v>15</v>
      </c>
      <c r="B120" s="548" t="s">
        <v>382</v>
      </c>
      <c r="C120" s="444"/>
      <c r="D120" s="444"/>
      <c r="E120" s="444"/>
      <c r="F120" s="444"/>
      <c r="G120" s="444"/>
      <c r="H120" s="444"/>
      <c r="I120" s="444"/>
      <c r="J120" s="444"/>
      <c r="K120" s="444"/>
      <c r="L120" s="444"/>
      <c r="M120" s="444"/>
      <c r="N120" s="444"/>
      <c r="O120" s="444"/>
      <c r="P120" s="444"/>
      <c r="Q120" s="444"/>
      <c r="R120" s="444"/>
      <c r="S120" s="444"/>
      <c r="T120" s="444"/>
      <c r="U120" s="444"/>
      <c r="V120" s="517">
        <v>-332</v>
      </c>
      <c r="W120" s="446"/>
      <c r="X120" s="425"/>
    </row>
    <row r="121" spans="1:24" s="426" customFormat="1" x14ac:dyDescent="0.3">
      <c r="A121" s="443">
        <f t="shared" si="0"/>
        <v>16</v>
      </c>
      <c r="B121" s="444" t="s">
        <v>383</v>
      </c>
      <c r="C121" s="444"/>
      <c r="D121" s="444"/>
      <c r="E121" s="444"/>
      <c r="F121" s="444"/>
      <c r="G121" s="444"/>
      <c r="H121" s="444"/>
      <c r="I121" s="444"/>
      <c r="J121" s="444"/>
      <c r="K121" s="444"/>
      <c r="L121" s="444"/>
      <c r="M121" s="444"/>
      <c r="N121" s="444"/>
      <c r="O121" s="444"/>
      <c r="P121" s="444"/>
      <c r="Q121" s="444"/>
      <c r="R121" s="444"/>
      <c r="S121" s="444"/>
      <c r="T121" s="444"/>
      <c r="U121" s="444"/>
      <c r="V121" s="517">
        <v>-593</v>
      </c>
      <c r="W121" s="446"/>
      <c r="X121" s="425"/>
    </row>
    <row r="122" spans="1:24" s="426" customFormat="1" x14ac:dyDescent="0.3">
      <c r="A122" s="443">
        <f t="shared" si="0"/>
        <v>17</v>
      </c>
      <c r="B122" s="444" t="s">
        <v>384</v>
      </c>
      <c r="C122" s="444"/>
      <c r="D122" s="444"/>
      <c r="E122" s="444"/>
      <c r="F122" s="444"/>
      <c r="G122" s="444"/>
      <c r="H122" s="444"/>
      <c r="I122" s="444"/>
      <c r="J122" s="444"/>
      <c r="K122" s="444"/>
      <c r="L122" s="444"/>
      <c r="M122" s="444"/>
      <c r="N122" s="444"/>
      <c r="O122" s="444"/>
      <c r="P122" s="444"/>
      <c r="Q122" s="444"/>
      <c r="R122" s="444"/>
      <c r="S122" s="444"/>
      <c r="T122" s="444"/>
      <c r="U122" s="444"/>
      <c r="V122" s="517">
        <v>0</v>
      </c>
      <c r="W122" s="446"/>
      <c r="X122" s="425"/>
    </row>
    <row r="123" spans="1:24" s="426" customFormat="1" x14ac:dyDescent="0.3">
      <c r="A123" s="443">
        <f t="shared" si="0"/>
        <v>18</v>
      </c>
      <c r="B123" s="444" t="s">
        <v>385</v>
      </c>
      <c r="C123" s="444"/>
      <c r="D123" s="444"/>
      <c r="E123" s="444"/>
      <c r="F123" s="444"/>
      <c r="G123" s="444"/>
      <c r="H123" s="444"/>
      <c r="I123" s="444"/>
      <c r="J123" s="444"/>
      <c r="K123" s="444"/>
      <c r="L123" s="444"/>
      <c r="M123" s="444"/>
      <c r="N123" s="444"/>
      <c r="O123" s="444"/>
      <c r="P123" s="444"/>
      <c r="Q123" s="444"/>
      <c r="R123" s="444"/>
      <c r="S123" s="444"/>
      <c r="T123" s="444"/>
      <c r="U123" s="444"/>
      <c r="V123" s="517">
        <f>-V99-SUM(V101:V122)</f>
        <v>-851</v>
      </c>
      <c r="W123" s="446"/>
      <c r="X123" s="425"/>
    </row>
    <row r="124" spans="1:24" x14ac:dyDescent="0.3">
      <c r="A124" s="543"/>
      <c r="B124" s="544" t="s">
        <v>37</v>
      </c>
      <c r="C124" s="465"/>
      <c r="D124" s="465"/>
      <c r="E124" s="465"/>
      <c r="F124" s="465"/>
      <c r="G124" s="465"/>
      <c r="H124" s="465"/>
      <c r="I124" s="465"/>
      <c r="J124" s="465"/>
      <c r="K124" s="465"/>
      <c r="L124" s="465"/>
      <c r="M124" s="465"/>
      <c r="N124" s="465"/>
      <c r="O124" s="465"/>
      <c r="P124" s="465"/>
      <c r="Q124" s="465"/>
      <c r="R124" s="465"/>
      <c r="S124" s="465"/>
      <c r="T124" s="465"/>
      <c r="U124" s="465"/>
      <c r="V124" s="551"/>
      <c r="W124" s="547"/>
      <c r="X124" s="406"/>
    </row>
    <row r="125" spans="1:24" s="426" customFormat="1" x14ac:dyDescent="0.3">
      <c r="A125" s="443"/>
      <c r="B125" s="444" t="s">
        <v>176</v>
      </c>
      <c r="C125" s="444"/>
      <c r="D125" s="444"/>
      <c r="E125" s="444"/>
      <c r="F125" s="444"/>
      <c r="G125" s="444"/>
      <c r="H125" s="444"/>
      <c r="I125" s="444"/>
      <c r="J125" s="444"/>
      <c r="K125" s="444"/>
      <c r="L125" s="444"/>
      <c r="M125" s="444"/>
      <c r="N125" s="444"/>
      <c r="O125" s="444"/>
      <c r="P125" s="444"/>
      <c r="Q125" s="444"/>
      <c r="R125" s="444"/>
      <c r="S125" s="444"/>
      <c r="T125" s="516">
        <f>-T185</f>
        <v>0</v>
      </c>
      <c r="U125" s="516"/>
      <c r="V125" s="517"/>
      <c r="W125" s="446"/>
      <c r="X125" s="425"/>
    </row>
    <row r="126" spans="1:24" s="426" customFormat="1" x14ac:dyDescent="0.3">
      <c r="A126" s="443"/>
      <c r="B126" s="444" t="s">
        <v>177</v>
      </c>
      <c r="C126" s="444"/>
      <c r="D126" s="444"/>
      <c r="E126" s="444"/>
      <c r="F126" s="444"/>
      <c r="G126" s="444"/>
      <c r="H126" s="444"/>
      <c r="I126" s="444"/>
      <c r="J126" s="444"/>
      <c r="K126" s="444"/>
      <c r="L126" s="444"/>
      <c r="M126" s="444"/>
      <c r="N126" s="444"/>
      <c r="O126" s="444"/>
      <c r="P126" s="444"/>
      <c r="Q126" s="444"/>
      <c r="R126" s="444"/>
      <c r="S126" s="444"/>
      <c r="T126" s="516">
        <v>0</v>
      </c>
      <c r="U126" s="516"/>
      <c r="V126" s="517"/>
      <c r="W126" s="446"/>
      <c r="X126" s="425"/>
    </row>
    <row r="127" spans="1:24" s="426" customFormat="1" x14ac:dyDescent="0.3">
      <c r="A127" s="443"/>
      <c r="B127" s="444" t="s">
        <v>38</v>
      </c>
      <c r="C127" s="444"/>
      <c r="D127" s="444"/>
      <c r="E127" s="444"/>
      <c r="F127" s="444"/>
      <c r="G127" s="444"/>
      <c r="H127" s="444"/>
      <c r="I127" s="444"/>
      <c r="J127" s="444"/>
      <c r="K127" s="444"/>
      <c r="L127" s="444"/>
      <c r="M127" s="444"/>
      <c r="N127" s="444"/>
      <c r="O127" s="444"/>
      <c r="P127" s="444"/>
      <c r="Q127" s="444"/>
      <c r="R127" s="444"/>
      <c r="S127" s="444"/>
      <c r="T127" s="516">
        <f>-S185</f>
        <v>0</v>
      </c>
      <c r="U127" s="516"/>
      <c r="V127" s="517"/>
      <c r="W127" s="446"/>
      <c r="X127" s="425"/>
    </row>
    <row r="128" spans="1:24" s="426" customFormat="1" x14ac:dyDescent="0.3">
      <c r="A128" s="443"/>
      <c r="B128" s="444" t="s">
        <v>386</v>
      </c>
      <c r="C128" s="444"/>
      <c r="D128" s="444"/>
      <c r="E128" s="444"/>
      <c r="F128" s="444"/>
      <c r="G128" s="444"/>
      <c r="H128" s="444"/>
      <c r="I128" s="444"/>
      <c r="J128" s="444"/>
      <c r="K128" s="444"/>
      <c r="L128" s="444"/>
      <c r="M128" s="444"/>
      <c r="N128" s="444"/>
      <c r="O128" s="444"/>
      <c r="P128" s="444"/>
      <c r="Q128" s="444"/>
      <c r="R128" s="444"/>
      <c r="S128" s="444"/>
      <c r="T128" s="516">
        <v>-3163</v>
      </c>
      <c r="U128" s="516"/>
      <c r="V128" s="517"/>
      <c r="W128" s="446"/>
      <c r="X128" s="425"/>
    </row>
    <row r="129" spans="1:24" s="426" customFormat="1" x14ac:dyDescent="0.3">
      <c r="A129" s="443"/>
      <c r="B129" s="444" t="s">
        <v>198</v>
      </c>
      <c r="C129" s="444"/>
      <c r="D129" s="444"/>
      <c r="E129" s="444"/>
      <c r="F129" s="444"/>
      <c r="G129" s="444"/>
      <c r="H129" s="444"/>
      <c r="I129" s="444"/>
      <c r="J129" s="444"/>
      <c r="K129" s="444"/>
      <c r="L129" s="444"/>
      <c r="M129" s="444"/>
      <c r="N129" s="444"/>
      <c r="O129" s="444"/>
      <c r="P129" s="444"/>
      <c r="Q129" s="444"/>
      <c r="R129" s="444"/>
      <c r="S129" s="444"/>
      <c r="T129" s="516">
        <v>-496</v>
      </c>
      <c r="U129" s="516"/>
      <c r="V129" s="517"/>
      <c r="W129" s="446"/>
      <c r="X129" s="425"/>
    </row>
    <row r="130" spans="1:24" s="426" customFormat="1" x14ac:dyDescent="0.3">
      <c r="A130" s="443"/>
      <c r="B130" s="444" t="s">
        <v>197</v>
      </c>
      <c r="C130" s="444"/>
      <c r="D130" s="444"/>
      <c r="E130" s="444"/>
      <c r="F130" s="444"/>
      <c r="G130" s="444"/>
      <c r="H130" s="444"/>
      <c r="I130" s="444"/>
      <c r="J130" s="444"/>
      <c r="K130" s="444"/>
      <c r="L130" s="444"/>
      <c r="M130" s="444"/>
      <c r="N130" s="444"/>
      <c r="O130" s="444"/>
      <c r="P130" s="444"/>
      <c r="Q130" s="444"/>
      <c r="R130" s="444"/>
      <c r="S130" s="444"/>
      <c r="T130" s="516">
        <v>-838</v>
      </c>
      <c r="U130" s="516"/>
      <c r="V130" s="517"/>
      <c r="W130" s="446"/>
      <c r="X130" s="425"/>
    </row>
    <row r="131" spans="1:24" s="426" customFormat="1" x14ac:dyDescent="0.3">
      <c r="A131" s="443"/>
      <c r="B131" s="444" t="s">
        <v>232</v>
      </c>
      <c r="C131" s="444"/>
      <c r="D131" s="444"/>
      <c r="E131" s="444"/>
      <c r="F131" s="444"/>
      <c r="G131" s="444"/>
      <c r="H131" s="444"/>
      <c r="I131" s="444"/>
      <c r="J131" s="444"/>
      <c r="K131" s="444"/>
      <c r="L131" s="444"/>
      <c r="M131" s="444"/>
      <c r="N131" s="444"/>
      <c r="O131" s="444"/>
      <c r="P131" s="444"/>
      <c r="Q131" s="444"/>
      <c r="R131" s="444"/>
      <c r="S131" s="444"/>
      <c r="T131" s="516">
        <v>-738</v>
      </c>
      <c r="U131" s="516"/>
      <c r="V131" s="517"/>
      <c r="W131" s="446"/>
      <c r="X131" s="425"/>
    </row>
    <row r="132" spans="1:24" s="426" customFormat="1" x14ac:dyDescent="0.3">
      <c r="A132" s="443"/>
      <c r="B132" s="444" t="s">
        <v>192</v>
      </c>
      <c r="C132" s="444"/>
      <c r="D132" s="444"/>
      <c r="E132" s="444"/>
      <c r="F132" s="444"/>
      <c r="G132" s="444"/>
      <c r="H132" s="444"/>
      <c r="I132" s="444"/>
      <c r="J132" s="444"/>
      <c r="K132" s="444"/>
      <c r="L132" s="444"/>
      <c r="M132" s="444"/>
      <c r="N132" s="444"/>
      <c r="O132" s="444"/>
      <c r="P132" s="444"/>
      <c r="Q132" s="444"/>
      <c r="R132" s="444"/>
      <c r="S132" s="444"/>
      <c r="T132" s="516">
        <v>-515</v>
      </c>
      <c r="U132" s="516"/>
      <c r="V132" s="517"/>
      <c r="W132" s="446"/>
      <c r="X132" s="425"/>
    </row>
    <row r="133" spans="1:24" s="426" customFormat="1" x14ac:dyDescent="0.3">
      <c r="A133" s="443"/>
      <c r="B133" s="444" t="s">
        <v>191</v>
      </c>
      <c r="C133" s="444"/>
      <c r="D133" s="444"/>
      <c r="E133" s="444"/>
      <c r="F133" s="444"/>
      <c r="G133" s="444"/>
      <c r="H133" s="444"/>
      <c r="I133" s="444"/>
      <c r="J133" s="444"/>
      <c r="K133" s="444"/>
      <c r="L133" s="444"/>
      <c r="M133" s="444"/>
      <c r="N133" s="444"/>
      <c r="O133" s="444"/>
      <c r="P133" s="444"/>
      <c r="Q133" s="444"/>
      <c r="R133" s="444"/>
      <c r="S133" s="444"/>
      <c r="T133" s="516">
        <v>-519</v>
      </c>
      <c r="U133" s="516"/>
      <c r="V133" s="517"/>
      <c r="W133" s="446"/>
      <c r="X133" s="425"/>
    </row>
    <row r="134" spans="1:24" s="426" customFormat="1" x14ac:dyDescent="0.3">
      <c r="A134" s="443"/>
      <c r="B134" s="444" t="s">
        <v>233</v>
      </c>
      <c r="C134" s="444"/>
      <c r="D134" s="444"/>
      <c r="E134" s="444"/>
      <c r="F134" s="444"/>
      <c r="G134" s="444"/>
      <c r="H134" s="444"/>
      <c r="I134" s="444"/>
      <c r="J134" s="444"/>
      <c r="K134" s="444"/>
      <c r="L134" s="444"/>
      <c r="M134" s="444"/>
      <c r="N134" s="444"/>
      <c r="O134" s="444"/>
      <c r="P134" s="444"/>
      <c r="Q134" s="444"/>
      <c r="R134" s="444"/>
      <c r="S134" s="444"/>
      <c r="T134" s="516">
        <v>-120</v>
      </c>
      <c r="U134" s="516"/>
      <c r="V134" s="517"/>
      <c r="W134" s="446"/>
      <c r="X134" s="425"/>
    </row>
    <row r="135" spans="1:24" s="426" customFormat="1" x14ac:dyDescent="0.3">
      <c r="A135" s="443"/>
      <c r="B135" s="444" t="s">
        <v>190</v>
      </c>
      <c r="C135" s="444"/>
      <c r="D135" s="444"/>
      <c r="E135" s="444"/>
      <c r="F135" s="444"/>
      <c r="G135" s="444"/>
      <c r="H135" s="444"/>
      <c r="I135" s="444"/>
      <c r="J135" s="444"/>
      <c r="K135" s="444"/>
      <c r="L135" s="444"/>
      <c r="M135" s="444"/>
      <c r="N135" s="444"/>
      <c r="O135" s="444"/>
      <c r="P135" s="444"/>
      <c r="Q135" s="444"/>
      <c r="R135" s="444"/>
      <c r="S135" s="444"/>
      <c r="T135" s="516">
        <v>-500</v>
      </c>
      <c r="U135" s="516"/>
      <c r="V135" s="517"/>
      <c r="W135" s="446"/>
      <c r="X135" s="425"/>
    </row>
    <row r="136" spans="1:24" s="426" customFormat="1" x14ac:dyDescent="0.3">
      <c r="A136" s="443"/>
      <c r="B136" s="444" t="s">
        <v>39</v>
      </c>
      <c r="C136" s="444"/>
      <c r="D136" s="444"/>
      <c r="E136" s="444"/>
      <c r="F136" s="444"/>
      <c r="G136" s="444"/>
      <c r="H136" s="444"/>
      <c r="I136" s="444"/>
      <c r="J136" s="444"/>
      <c r="K136" s="444"/>
      <c r="L136" s="444"/>
      <c r="M136" s="444"/>
      <c r="N136" s="444"/>
      <c r="O136" s="444"/>
      <c r="P136" s="444"/>
      <c r="Q136" s="444"/>
      <c r="R136" s="444"/>
      <c r="S136" s="444"/>
      <c r="T136" s="516">
        <f>SUM(T125:T135)</f>
        <v>-6889</v>
      </c>
      <c r="U136" s="516"/>
      <c r="V136" s="516">
        <f>SUM(V100:V133)</f>
        <v>-3944</v>
      </c>
      <c r="W136" s="446"/>
      <c r="X136" s="425"/>
    </row>
    <row r="137" spans="1:24" s="426" customFormat="1" x14ac:dyDescent="0.3">
      <c r="A137" s="443"/>
      <c r="B137" s="444" t="s">
        <v>40</v>
      </c>
      <c r="C137" s="444"/>
      <c r="D137" s="444"/>
      <c r="E137" s="444"/>
      <c r="F137" s="444"/>
      <c r="G137" s="444"/>
      <c r="H137" s="444"/>
      <c r="I137" s="444"/>
      <c r="J137" s="444"/>
      <c r="K137" s="444"/>
      <c r="L137" s="444"/>
      <c r="M137" s="444"/>
      <c r="N137" s="444"/>
      <c r="O137" s="444"/>
      <c r="P137" s="444"/>
      <c r="Q137" s="444"/>
      <c r="R137" s="444"/>
      <c r="S137" s="444"/>
      <c r="T137" s="516">
        <f>T99+T136+T114</f>
        <v>0</v>
      </c>
      <c r="U137" s="516"/>
      <c r="V137" s="516">
        <f>V99+V136</f>
        <v>0</v>
      </c>
      <c r="W137" s="446"/>
      <c r="X137" s="425"/>
    </row>
    <row r="138" spans="1:24" s="426" customFormat="1" x14ac:dyDescent="0.3">
      <c r="A138" s="421"/>
      <c r="B138" s="494"/>
      <c r="C138" s="494"/>
      <c r="D138" s="494"/>
      <c r="E138" s="494"/>
      <c r="F138" s="494"/>
      <c r="G138" s="494"/>
      <c r="H138" s="494"/>
      <c r="I138" s="494"/>
      <c r="J138" s="494"/>
      <c r="K138" s="494"/>
      <c r="L138" s="494"/>
      <c r="M138" s="494"/>
      <c r="N138" s="494"/>
      <c r="O138" s="494"/>
      <c r="P138" s="494"/>
      <c r="Q138" s="494"/>
      <c r="R138" s="494"/>
      <c r="S138" s="494"/>
      <c r="T138" s="552"/>
      <c r="U138" s="552"/>
      <c r="V138" s="552"/>
      <c r="W138" s="424"/>
      <c r="X138" s="425"/>
    </row>
    <row r="139" spans="1:24" s="426" customFormat="1" x14ac:dyDescent="0.3">
      <c r="A139" s="421"/>
      <c r="B139" s="422"/>
      <c r="C139" s="422"/>
      <c r="D139" s="422"/>
      <c r="E139" s="422"/>
      <c r="F139" s="422"/>
      <c r="G139" s="422"/>
      <c r="H139" s="422"/>
      <c r="I139" s="422"/>
      <c r="J139" s="422"/>
      <c r="K139" s="422"/>
      <c r="L139" s="422"/>
      <c r="M139" s="422"/>
      <c r="N139" s="422"/>
      <c r="O139" s="422"/>
      <c r="P139" s="422"/>
      <c r="Q139" s="422"/>
      <c r="R139" s="422"/>
      <c r="S139" s="422"/>
      <c r="T139" s="422"/>
      <c r="U139" s="422"/>
      <c r="V139" s="553"/>
      <c r="W139" s="424"/>
      <c r="X139" s="425"/>
    </row>
    <row r="140" spans="1:24" s="426" customFormat="1" ht="18.600000000000001" thickBot="1" x14ac:dyDescent="0.4">
      <c r="A140" s="500"/>
      <c r="B140" s="501" t="str">
        <f>B63</f>
        <v>PM13 INVESTOR REPORT QUARTER ENDING JUNE 2020</v>
      </c>
      <c r="C140" s="502"/>
      <c r="D140" s="502"/>
      <c r="E140" s="502"/>
      <c r="F140" s="502"/>
      <c r="G140" s="502"/>
      <c r="H140" s="502"/>
      <c r="I140" s="502"/>
      <c r="J140" s="502"/>
      <c r="K140" s="502"/>
      <c r="L140" s="502"/>
      <c r="M140" s="502"/>
      <c r="N140" s="502"/>
      <c r="O140" s="502"/>
      <c r="P140" s="502"/>
      <c r="Q140" s="502"/>
      <c r="R140" s="502"/>
      <c r="S140" s="502"/>
      <c r="T140" s="502"/>
      <c r="U140" s="502"/>
      <c r="V140" s="554"/>
      <c r="W140" s="555"/>
      <c r="X140" s="425"/>
    </row>
    <row r="141" spans="1:24" x14ac:dyDescent="0.3">
      <c r="A141" s="505"/>
      <c r="B141" s="506" t="s">
        <v>41</v>
      </c>
      <c r="C141" s="507"/>
      <c r="D141" s="507"/>
      <c r="E141" s="507"/>
      <c r="F141" s="507"/>
      <c r="G141" s="507"/>
      <c r="H141" s="507"/>
      <c r="I141" s="507"/>
      <c r="J141" s="507"/>
      <c r="K141" s="507"/>
      <c r="L141" s="507"/>
      <c r="M141" s="507"/>
      <c r="N141" s="507"/>
      <c r="O141" s="507"/>
      <c r="P141" s="507"/>
      <c r="Q141" s="507"/>
      <c r="R141" s="507"/>
      <c r="S141" s="507"/>
      <c r="T141" s="507"/>
      <c r="U141" s="507"/>
      <c r="V141" s="508"/>
      <c r="W141" s="509"/>
      <c r="X141" s="406"/>
    </row>
    <row r="142" spans="1:24" x14ac:dyDescent="0.3">
      <c r="A142" s="408"/>
      <c r="B142" s="556"/>
      <c r="C142" s="410"/>
      <c r="D142" s="410"/>
      <c r="E142" s="410"/>
      <c r="F142" s="410"/>
      <c r="G142" s="410"/>
      <c r="H142" s="410"/>
      <c r="I142" s="410"/>
      <c r="J142" s="410"/>
      <c r="K142" s="410"/>
      <c r="L142" s="410"/>
      <c r="M142" s="410"/>
      <c r="N142" s="410"/>
      <c r="O142" s="410"/>
      <c r="P142" s="410"/>
      <c r="Q142" s="410"/>
      <c r="R142" s="410"/>
      <c r="S142" s="410"/>
      <c r="T142" s="410"/>
      <c r="U142" s="410"/>
      <c r="V142" s="510"/>
      <c r="W142" s="411"/>
      <c r="X142" s="406"/>
    </row>
    <row r="143" spans="1:24" x14ac:dyDescent="0.3">
      <c r="A143" s="408"/>
      <c r="B143" s="557" t="s">
        <v>42</v>
      </c>
      <c r="C143" s="410"/>
      <c r="D143" s="410"/>
      <c r="E143" s="410"/>
      <c r="F143" s="410"/>
      <c r="G143" s="410"/>
      <c r="H143" s="410"/>
      <c r="I143" s="410"/>
      <c r="J143" s="410"/>
      <c r="K143" s="410"/>
      <c r="L143" s="410"/>
      <c r="M143" s="410"/>
      <c r="N143" s="410"/>
      <c r="O143" s="410"/>
      <c r="P143" s="410"/>
      <c r="Q143" s="410"/>
      <c r="R143" s="410"/>
      <c r="S143" s="410"/>
      <c r="T143" s="410"/>
      <c r="U143" s="410"/>
      <c r="V143" s="510"/>
      <c r="W143" s="411"/>
      <c r="X143" s="406"/>
    </row>
    <row r="144" spans="1:24" x14ac:dyDescent="0.3">
      <c r="A144" s="543"/>
      <c r="B144" s="444" t="s">
        <v>43</v>
      </c>
      <c r="C144" s="444"/>
      <c r="D144" s="444"/>
      <c r="E144" s="444"/>
      <c r="F144" s="444"/>
      <c r="G144" s="444"/>
      <c r="H144" s="444"/>
      <c r="I144" s="444"/>
      <c r="J144" s="444"/>
      <c r="K144" s="444"/>
      <c r="L144" s="444"/>
      <c r="M144" s="444"/>
      <c r="N144" s="444"/>
      <c r="O144" s="444"/>
      <c r="P144" s="444"/>
      <c r="Q144" s="444"/>
      <c r="R144" s="444"/>
      <c r="S144" s="444"/>
      <c r="T144" s="444"/>
      <c r="U144" s="444"/>
      <c r="V144" s="517">
        <f>+V34*0.019</f>
        <v>28503.61</v>
      </c>
      <c r="W144" s="558"/>
      <c r="X144" s="406"/>
    </row>
    <row r="145" spans="1:25" x14ac:dyDescent="0.3">
      <c r="A145" s="543"/>
      <c r="B145" s="444" t="s">
        <v>44</v>
      </c>
      <c r="C145" s="444"/>
      <c r="D145" s="444"/>
      <c r="E145" s="444"/>
      <c r="F145" s="444"/>
      <c r="G145" s="444"/>
      <c r="H145" s="444"/>
      <c r="I145" s="444"/>
      <c r="J145" s="444"/>
      <c r="K145" s="444"/>
      <c r="L145" s="444"/>
      <c r="M145" s="444"/>
      <c r="N145" s="444"/>
      <c r="O145" s="444"/>
      <c r="P145" s="444"/>
      <c r="Q145" s="444"/>
      <c r="R145" s="444"/>
      <c r="S145" s="444"/>
      <c r="T145" s="444"/>
      <c r="U145" s="444"/>
      <c r="V145" s="517">
        <v>28504</v>
      </c>
      <c r="W145" s="558"/>
      <c r="X145" s="406"/>
    </row>
    <row r="146" spans="1:25" x14ac:dyDescent="0.3">
      <c r="A146" s="543"/>
      <c r="B146" s="444" t="s">
        <v>139</v>
      </c>
      <c r="C146" s="444"/>
      <c r="D146" s="444"/>
      <c r="E146" s="444"/>
      <c r="F146" s="444"/>
      <c r="G146" s="444"/>
      <c r="H146" s="444"/>
      <c r="I146" s="444"/>
      <c r="J146" s="444"/>
      <c r="K146" s="444"/>
      <c r="L146" s="444"/>
      <c r="M146" s="444"/>
      <c r="N146" s="444"/>
      <c r="O146" s="444"/>
      <c r="P146" s="444"/>
      <c r="Q146" s="444"/>
      <c r="R146" s="444"/>
      <c r="S146" s="444"/>
      <c r="T146" s="444"/>
      <c r="U146" s="444"/>
      <c r="V146" s="517"/>
      <c r="W146" s="558"/>
      <c r="X146" s="406"/>
    </row>
    <row r="147" spans="1:25" x14ac:dyDescent="0.3">
      <c r="A147" s="543"/>
      <c r="B147" s="444" t="s">
        <v>126</v>
      </c>
      <c r="C147" s="444"/>
      <c r="D147" s="444"/>
      <c r="E147" s="444"/>
      <c r="F147" s="444"/>
      <c r="G147" s="444"/>
      <c r="H147" s="444"/>
      <c r="I147" s="444"/>
      <c r="J147" s="444"/>
      <c r="K147" s="444"/>
      <c r="L147" s="444"/>
      <c r="M147" s="444"/>
      <c r="N147" s="444"/>
      <c r="O147" s="444"/>
      <c r="P147" s="444"/>
      <c r="Q147" s="444"/>
      <c r="R147" s="444"/>
      <c r="S147" s="444"/>
      <c r="T147" s="444"/>
      <c r="U147" s="444"/>
      <c r="V147" s="517">
        <v>0</v>
      </c>
      <c r="W147" s="558"/>
      <c r="X147" s="406"/>
    </row>
    <row r="148" spans="1:25" x14ac:dyDescent="0.3">
      <c r="A148" s="543"/>
      <c r="B148" s="444" t="s">
        <v>127</v>
      </c>
      <c r="C148" s="444"/>
      <c r="D148" s="444"/>
      <c r="E148" s="444"/>
      <c r="F148" s="444"/>
      <c r="G148" s="444"/>
      <c r="H148" s="444"/>
      <c r="I148" s="444"/>
      <c r="J148" s="444"/>
      <c r="K148" s="444"/>
      <c r="L148" s="444"/>
      <c r="M148" s="444"/>
      <c r="N148" s="444"/>
      <c r="O148" s="444"/>
      <c r="P148" s="444"/>
      <c r="Q148" s="444"/>
      <c r="R148" s="444"/>
      <c r="S148" s="444"/>
      <c r="T148" s="444"/>
      <c r="U148" s="444"/>
      <c r="V148" s="517">
        <v>0</v>
      </c>
      <c r="W148" s="558"/>
      <c r="X148" s="406"/>
    </row>
    <row r="149" spans="1:25" x14ac:dyDescent="0.3">
      <c r="A149" s="543"/>
      <c r="B149" s="444" t="s">
        <v>178</v>
      </c>
      <c r="C149" s="444"/>
      <c r="D149" s="444"/>
      <c r="E149" s="444"/>
      <c r="F149" s="444"/>
      <c r="G149" s="444"/>
      <c r="H149" s="444"/>
      <c r="I149" s="444"/>
      <c r="J149" s="444"/>
      <c r="K149" s="444"/>
      <c r="L149" s="444"/>
      <c r="M149" s="444"/>
      <c r="N149" s="444"/>
      <c r="O149" s="444"/>
      <c r="P149" s="444"/>
      <c r="Q149" s="444"/>
      <c r="R149" s="444"/>
      <c r="S149" s="444"/>
      <c r="T149" s="444"/>
      <c r="U149" s="444"/>
      <c r="V149" s="517">
        <v>0</v>
      </c>
      <c r="W149" s="558"/>
      <c r="X149" s="406"/>
    </row>
    <row r="150" spans="1:25" x14ac:dyDescent="0.3">
      <c r="A150" s="543"/>
      <c r="B150" s="444" t="s">
        <v>45</v>
      </c>
      <c r="C150" s="444"/>
      <c r="D150" s="444"/>
      <c r="E150" s="444"/>
      <c r="F150" s="444"/>
      <c r="G150" s="444"/>
      <c r="H150" s="444"/>
      <c r="I150" s="444"/>
      <c r="J150" s="444"/>
      <c r="K150" s="444"/>
      <c r="L150" s="444"/>
      <c r="M150" s="444"/>
      <c r="N150" s="444"/>
      <c r="O150" s="444"/>
      <c r="P150" s="444"/>
      <c r="Q150" s="444"/>
      <c r="R150" s="444"/>
      <c r="S150" s="444"/>
      <c r="T150" s="444"/>
      <c r="U150" s="444"/>
      <c r="V150" s="517">
        <v>0</v>
      </c>
      <c r="W150" s="558"/>
      <c r="X150" s="406"/>
    </row>
    <row r="151" spans="1:25" x14ac:dyDescent="0.3">
      <c r="A151" s="543"/>
      <c r="B151" s="444" t="s">
        <v>132</v>
      </c>
      <c r="C151" s="444"/>
      <c r="D151" s="444"/>
      <c r="E151" s="444"/>
      <c r="F151" s="444"/>
      <c r="G151" s="444"/>
      <c r="H151" s="444"/>
      <c r="I151" s="444"/>
      <c r="J151" s="444"/>
      <c r="K151" s="444"/>
      <c r="L151" s="444"/>
      <c r="M151" s="444"/>
      <c r="N151" s="444"/>
      <c r="O151" s="444"/>
      <c r="P151" s="444"/>
      <c r="Q151" s="444"/>
      <c r="R151" s="444"/>
      <c r="S151" s="444"/>
      <c r="T151" s="444"/>
      <c r="U151" s="444"/>
      <c r="V151" s="517">
        <v>0</v>
      </c>
      <c r="W151" s="558"/>
      <c r="X151" s="406"/>
    </row>
    <row r="152" spans="1:25" x14ac:dyDescent="0.3">
      <c r="A152" s="543"/>
      <c r="B152" s="444" t="s">
        <v>267</v>
      </c>
      <c r="C152" s="444"/>
      <c r="D152" s="444"/>
      <c r="E152" s="444"/>
      <c r="F152" s="444"/>
      <c r="G152" s="444"/>
      <c r="H152" s="444"/>
      <c r="I152" s="444"/>
      <c r="J152" s="444"/>
      <c r="K152" s="444"/>
      <c r="L152" s="444"/>
      <c r="M152" s="444"/>
      <c r="N152" s="444"/>
      <c r="O152" s="444"/>
      <c r="P152" s="444"/>
      <c r="Q152" s="444"/>
      <c r="R152" s="444"/>
      <c r="S152" s="444"/>
      <c r="T152" s="444"/>
      <c r="U152" s="444"/>
      <c r="V152" s="517">
        <v>0</v>
      </c>
      <c r="W152" s="558"/>
      <c r="X152" s="406"/>
      <c r="Y152" s="559"/>
    </row>
    <row r="153" spans="1:25" x14ac:dyDescent="0.3">
      <c r="A153" s="543"/>
      <c r="B153" s="444" t="s">
        <v>46</v>
      </c>
      <c r="C153" s="444"/>
      <c r="D153" s="444"/>
      <c r="E153" s="444"/>
      <c r="F153" s="444"/>
      <c r="G153" s="444"/>
      <c r="H153" s="444"/>
      <c r="I153" s="444"/>
      <c r="J153" s="444"/>
      <c r="K153" s="444"/>
      <c r="L153" s="444"/>
      <c r="M153" s="444"/>
      <c r="N153" s="444"/>
      <c r="O153" s="444"/>
      <c r="P153" s="444"/>
      <c r="Q153" s="444"/>
      <c r="R153" s="444"/>
      <c r="S153" s="444"/>
      <c r="T153" s="444"/>
      <c r="U153" s="444"/>
      <c r="V153" s="517">
        <f>SUM(V145:V152)</f>
        <v>28504</v>
      </c>
      <c r="W153" s="558"/>
      <c r="X153" s="406"/>
    </row>
    <row r="154" spans="1:25" x14ac:dyDescent="0.3">
      <c r="A154" s="543"/>
      <c r="B154" s="465"/>
      <c r="C154" s="465"/>
      <c r="D154" s="465"/>
      <c r="E154" s="465"/>
      <c r="F154" s="465"/>
      <c r="G154" s="465"/>
      <c r="H154" s="465"/>
      <c r="I154" s="465"/>
      <c r="J154" s="465"/>
      <c r="K154" s="465"/>
      <c r="L154" s="465"/>
      <c r="M154" s="465"/>
      <c r="N154" s="465"/>
      <c r="O154" s="465"/>
      <c r="P154" s="465"/>
      <c r="Q154" s="465"/>
      <c r="R154" s="465"/>
      <c r="S154" s="465"/>
      <c r="T154" s="465"/>
      <c r="U154" s="465"/>
      <c r="V154" s="546"/>
      <c r="W154" s="547"/>
      <c r="X154" s="406"/>
    </row>
    <row r="155" spans="1:25" x14ac:dyDescent="0.3">
      <c r="A155" s="543"/>
      <c r="B155" s="544" t="s">
        <v>417</v>
      </c>
      <c r="C155" s="465"/>
      <c r="D155" s="465"/>
      <c r="E155" s="465"/>
      <c r="F155" s="465"/>
      <c r="G155" s="465"/>
      <c r="H155" s="465"/>
      <c r="I155" s="465"/>
      <c r="J155" s="465"/>
      <c r="K155" s="465"/>
      <c r="L155" s="465"/>
      <c r="M155" s="465"/>
      <c r="N155" s="465"/>
      <c r="O155" s="465"/>
      <c r="P155" s="465"/>
      <c r="Q155" s="465"/>
      <c r="R155" s="465"/>
      <c r="S155" s="465"/>
      <c r="T155" s="465"/>
      <c r="U155" s="465"/>
      <c r="V155" s="546"/>
      <c r="W155" s="547"/>
      <c r="X155" s="406"/>
    </row>
    <row r="156" spans="1:25" x14ac:dyDescent="0.3">
      <c r="A156" s="543"/>
      <c r="B156" s="444" t="s">
        <v>158</v>
      </c>
      <c r="C156" s="444"/>
      <c r="D156" s="444"/>
      <c r="E156" s="444"/>
      <c r="F156" s="444"/>
      <c r="G156" s="444"/>
      <c r="H156" s="444"/>
      <c r="I156" s="444"/>
      <c r="J156" s="444"/>
      <c r="K156" s="444"/>
      <c r="L156" s="444"/>
      <c r="M156" s="444"/>
      <c r="N156" s="444"/>
      <c r="O156" s="444"/>
      <c r="P156" s="444"/>
      <c r="Q156" s="444"/>
      <c r="R156" s="444"/>
      <c r="S156" s="444"/>
      <c r="T156" s="444"/>
      <c r="U156" s="444"/>
      <c r="V156" s="517">
        <v>15000</v>
      </c>
      <c r="W156" s="558"/>
      <c r="X156" s="406"/>
    </row>
    <row r="157" spans="1:25" x14ac:dyDescent="0.3">
      <c r="A157" s="543"/>
      <c r="B157" s="444" t="s">
        <v>175</v>
      </c>
      <c r="C157" s="444"/>
      <c r="D157" s="444"/>
      <c r="E157" s="444"/>
      <c r="F157" s="444"/>
      <c r="G157" s="444"/>
      <c r="H157" s="444"/>
      <c r="I157" s="444"/>
      <c r="J157" s="444"/>
      <c r="K157" s="444"/>
      <c r="L157" s="444"/>
      <c r="M157" s="444"/>
      <c r="N157" s="444"/>
      <c r="O157" s="444"/>
      <c r="P157" s="444"/>
      <c r="Q157" s="444"/>
      <c r="R157" s="444"/>
      <c r="S157" s="444"/>
      <c r="T157" s="444"/>
      <c r="U157" s="444"/>
      <c r="V157" s="517">
        <v>0</v>
      </c>
      <c r="W157" s="558"/>
      <c r="X157" s="406"/>
    </row>
    <row r="158" spans="1:25" x14ac:dyDescent="0.3">
      <c r="A158" s="543"/>
      <c r="B158" s="444" t="s">
        <v>341</v>
      </c>
      <c r="C158" s="444"/>
      <c r="D158" s="444"/>
      <c r="E158" s="444"/>
      <c r="F158" s="444"/>
      <c r="G158" s="444"/>
      <c r="H158" s="444"/>
      <c r="I158" s="444"/>
      <c r="J158" s="444"/>
      <c r="K158" s="444"/>
      <c r="L158" s="444"/>
      <c r="M158" s="444"/>
      <c r="N158" s="444"/>
      <c r="O158" s="444"/>
      <c r="P158" s="444"/>
      <c r="Q158" s="444"/>
      <c r="R158" s="444"/>
      <c r="S158" s="444"/>
      <c r="T158" s="444"/>
      <c r="U158" s="444"/>
      <c r="V158" s="517">
        <v>0</v>
      </c>
      <c r="W158" s="558"/>
      <c r="X158" s="406"/>
    </row>
    <row r="159" spans="1:25" x14ac:dyDescent="0.3">
      <c r="A159" s="543"/>
      <c r="B159" s="465"/>
      <c r="C159" s="465"/>
      <c r="D159" s="465"/>
      <c r="E159" s="465"/>
      <c r="F159" s="465"/>
      <c r="G159" s="465"/>
      <c r="H159" s="465"/>
      <c r="I159" s="465"/>
      <c r="J159" s="465"/>
      <c r="K159" s="465"/>
      <c r="L159" s="465"/>
      <c r="M159" s="465"/>
      <c r="N159" s="465"/>
      <c r="O159" s="465"/>
      <c r="P159" s="465"/>
      <c r="Q159" s="465"/>
      <c r="R159" s="465"/>
      <c r="S159" s="465"/>
      <c r="T159" s="465"/>
      <c r="U159" s="465"/>
      <c r="V159" s="546"/>
      <c r="W159" s="547"/>
      <c r="X159" s="406"/>
    </row>
    <row r="160" spans="1:25" x14ac:dyDescent="0.3">
      <c r="A160" s="408"/>
      <c r="B160" s="518"/>
      <c r="C160" s="518"/>
      <c r="D160" s="518"/>
      <c r="E160" s="518"/>
      <c r="F160" s="518"/>
      <c r="G160" s="518"/>
      <c r="H160" s="518"/>
      <c r="I160" s="518"/>
      <c r="J160" s="518"/>
      <c r="K160" s="518"/>
      <c r="L160" s="518"/>
      <c r="M160" s="518"/>
      <c r="N160" s="518"/>
      <c r="O160" s="518"/>
      <c r="P160" s="518"/>
      <c r="Q160" s="518"/>
      <c r="R160" s="518"/>
      <c r="S160" s="518"/>
      <c r="T160" s="518"/>
      <c r="U160" s="518"/>
      <c r="V160" s="560"/>
      <c r="W160" s="411"/>
      <c r="X160" s="406"/>
    </row>
    <row r="161" spans="1:24" x14ac:dyDescent="0.3">
      <c r="A161" s="408"/>
      <c r="B161" s="557" t="s">
        <v>24</v>
      </c>
      <c r="C161" s="410"/>
      <c r="D161" s="410"/>
      <c r="E161" s="410"/>
      <c r="F161" s="410"/>
      <c r="G161" s="410"/>
      <c r="H161" s="410"/>
      <c r="I161" s="410"/>
      <c r="J161" s="410"/>
      <c r="K161" s="410"/>
      <c r="L161" s="410"/>
      <c r="M161" s="410"/>
      <c r="N161" s="410"/>
      <c r="O161" s="410"/>
      <c r="P161" s="410"/>
      <c r="Q161" s="410"/>
      <c r="R161" s="410"/>
      <c r="S161" s="410"/>
      <c r="T161" s="410"/>
      <c r="U161" s="410"/>
      <c r="V161" s="510"/>
      <c r="W161" s="411"/>
      <c r="X161" s="406"/>
    </row>
    <row r="162" spans="1:24" x14ac:dyDescent="0.3">
      <c r="A162" s="543"/>
      <c r="B162" s="444" t="s">
        <v>47</v>
      </c>
      <c r="C162" s="444"/>
      <c r="D162" s="444"/>
      <c r="E162" s="444"/>
      <c r="F162" s="444"/>
      <c r="G162" s="444"/>
      <c r="H162" s="444"/>
      <c r="I162" s="444"/>
      <c r="J162" s="444"/>
      <c r="K162" s="444"/>
      <c r="L162" s="444"/>
      <c r="M162" s="444"/>
      <c r="N162" s="444"/>
      <c r="O162" s="444"/>
      <c r="P162" s="444"/>
      <c r="Q162" s="444"/>
      <c r="R162" s="444"/>
      <c r="S162" s="444"/>
      <c r="T162" s="444"/>
      <c r="U162" s="444"/>
      <c r="V162" s="561" t="s">
        <v>121</v>
      </c>
      <c r="W162" s="558"/>
      <c r="X162" s="406"/>
    </row>
    <row r="163" spans="1:24" x14ac:dyDescent="0.3">
      <c r="A163" s="543"/>
      <c r="B163" s="444" t="s">
        <v>48</v>
      </c>
      <c r="C163" s="444"/>
      <c r="D163" s="444"/>
      <c r="E163" s="444"/>
      <c r="F163" s="444"/>
      <c r="G163" s="444"/>
      <c r="H163" s="444"/>
      <c r="I163" s="444"/>
      <c r="J163" s="444"/>
      <c r="K163" s="444"/>
      <c r="L163" s="444"/>
      <c r="M163" s="444"/>
      <c r="N163" s="444"/>
      <c r="O163" s="444"/>
      <c r="P163" s="444"/>
      <c r="Q163" s="444"/>
      <c r="R163" s="444"/>
      <c r="S163" s="444"/>
      <c r="T163" s="444"/>
      <c r="U163" s="444"/>
      <c r="V163" s="561" t="s">
        <v>121</v>
      </c>
      <c r="W163" s="558"/>
      <c r="X163" s="406"/>
    </row>
    <row r="164" spans="1:24" x14ac:dyDescent="0.3">
      <c r="A164" s="543"/>
      <c r="B164" s="444" t="s">
        <v>49</v>
      </c>
      <c r="C164" s="444"/>
      <c r="D164" s="444"/>
      <c r="E164" s="444"/>
      <c r="F164" s="444"/>
      <c r="G164" s="444"/>
      <c r="H164" s="444"/>
      <c r="I164" s="444"/>
      <c r="J164" s="444"/>
      <c r="K164" s="444"/>
      <c r="L164" s="444"/>
      <c r="M164" s="444"/>
      <c r="N164" s="444"/>
      <c r="O164" s="444"/>
      <c r="P164" s="444"/>
      <c r="Q164" s="444"/>
      <c r="R164" s="444"/>
      <c r="S164" s="444"/>
      <c r="T164" s="444"/>
      <c r="U164" s="444"/>
      <c r="V164" s="561" t="s">
        <v>121</v>
      </c>
      <c r="W164" s="558"/>
      <c r="X164" s="406"/>
    </row>
    <row r="165" spans="1:24" x14ac:dyDescent="0.3">
      <c r="A165" s="543"/>
      <c r="B165" s="444" t="s">
        <v>50</v>
      </c>
      <c r="C165" s="444"/>
      <c r="D165" s="444"/>
      <c r="E165" s="444"/>
      <c r="F165" s="444"/>
      <c r="G165" s="444"/>
      <c r="H165" s="444"/>
      <c r="I165" s="444"/>
      <c r="J165" s="444"/>
      <c r="K165" s="444"/>
      <c r="L165" s="444"/>
      <c r="M165" s="444"/>
      <c r="N165" s="444"/>
      <c r="O165" s="444"/>
      <c r="P165" s="444"/>
      <c r="Q165" s="444"/>
      <c r="R165" s="444"/>
      <c r="S165" s="444"/>
      <c r="T165" s="444"/>
      <c r="U165" s="444"/>
      <c r="V165" s="561" t="s">
        <v>121</v>
      </c>
      <c r="W165" s="558"/>
      <c r="X165" s="406"/>
    </row>
    <row r="166" spans="1:24" x14ac:dyDescent="0.3">
      <c r="A166" s="408"/>
      <c r="B166" s="518"/>
      <c r="C166" s="518"/>
      <c r="D166" s="518"/>
      <c r="E166" s="518"/>
      <c r="F166" s="518"/>
      <c r="G166" s="518"/>
      <c r="H166" s="518"/>
      <c r="I166" s="518"/>
      <c r="J166" s="518"/>
      <c r="K166" s="518"/>
      <c r="L166" s="518"/>
      <c r="M166" s="518"/>
      <c r="N166" s="518"/>
      <c r="O166" s="518"/>
      <c r="P166" s="518"/>
      <c r="Q166" s="518"/>
      <c r="R166" s="518"/>
      <c r="S166" s="518"/>
      <c r="T166" s="518"/>
      <c r="U166" s="518"/>
      <c r="V166" s="560"/>
      <c r="W166" s="411"/>
      <c r="X166" s="406"/>
    </row>
    <row r="167" spans="1:24" x14ac:dyDescent="0.3">
      <c r="A167" s="408"/>
      <c r="B167" s="557" t="s">
        <v>51</v>
      </c>
      <c r="C167" s="410"/>
      <c r="D167" s="410"/>
      <c r="E167" s="410"/>
      <c r="F167" s="410"/>
      <c r="G167" s="410"/>
      <c r="H167" s="410"/>
      <c r="I167" s="410"/>
      <c r="J167" s="410"/>
      <c r="K167" s="410"/>
      <c r="L167" s="410"/>
      <c r="M167" s="410"/>
      <c r="N167" s="410"/>
      <c r="O167" s="410"/>
      <c r="P167" s="410"/>
      <c r="Q167" s="410"/>
      <c r="R167" s="410"/>
      <c r="S167" s="410"/>
      <c r="T167" s="410"/>
      <c r="U167" s="410"/>
      <c r="V167" s="562"/>
      <c r="W167" s="411"/>
      <c r="X167" s="406"/>
    </row>
    <row r="168" spans="1:24" x14ac:dyDescent="0.3">
      <c r="A168" s="563"/>
      <c r="B168" s="548" t="s">
        <v>52</v>
      </c>
      <c r="C168" s="548"/>
      <c r="D168" s="548"/>
      <c r="E168" s="548"/>
      <c r="F168" s="548"/>
      <c r="G168" s="548"/>
      <c r="H168" s="548"/>
      <c r="I168" s="548"/>
      <c r="J168" s="548"/>
      <c r="K168" s="548"/>
      <c r="L168" s="548"/>
      <c r="M168" s="548"/>
      <c r="N168" s="548"/>
      <c r="O168" s="548"/>
      <c r="P168" s="548"/>
      <c r="Q168" s="548"/>
      <c r="R168" s="548"/>
      <c r="S168" s="548"/>
      <c r="T168" s="548"/>
      <c r="U168" s="548"/>
      <c r="V168" s="564">
        <v>0</v>
      </c>
      <c r="W168" s="565"/>
      <c r="X168" s="406"/>
    </row>
    <row r="169" spans="1:24" x14ac:dyDescent="0.3">
      <c r="A169" s="563"/>
      <c r="B169" s="548" t="s">
        <v>53</v>
      </c>
      <c r="C169" s="548"/>
      <c r="D169" s="548"/>
      <c r="E169" s="548"/>
      <c r="F169" s="548"/>
      <c r="G169" s="548"/>
      <c r="H169" s="548"/>
      <c r="I169" s="548"/>
      <c r="J169" s="548"/>
      <c r="K169" s="548"/>
      <c r="L169" s="548"/>
      <c r="M169" s="548"/>
      <c r="N169" s="548"/>
      <c r="O169" s="548"/>
      <c r="P169" s="548"/>
      <c r="Q169" s="548"/>
      <c r="R169" s="548"/>
      <c r="S169" s="548"/>
      <c r="T169" s="548"/>
      <c r="U169" s="548"/>
      <c r="V169" s="564">
        <v>-99</v>
      </c>
      <c r="W169" s="565"/>
      <c r="X169" s="406"/>
    </row>
    <row r="170" spans="1:24" x14ac:dyDescent="0.3">
      <c r="A170" s="563"/>
      <c r="B170" s="548" t="s">
        <v>54</v>
      </c>
      <c r="C170" s="548"/>
      <c r="D170" s="548"/>
      <c r="E170" s="548"/>
      <c r="F170" s="548"/>
      <c r="G170" s="548"/>
      <c r="H170" s="548"/>
      <c r="I170" s="548"/>
      <c r="J170" s="548"/>
      <c r="K170" s="548"/>
      <c r="L170" s="548"/>
      <c r="M170" s="548"/>
      <c r="N170" s="548"/>
      <c r="O170" s="548"/>
      <c r="P170" s="548"/>
      <c r="Q170" s="548"/>
      <c r="R170" s="548"/>
      <c r="S170" s="548"/>
      <c r="T170" s="548"/>
      <c r="U170" s="548"/>
      <c r="V170" s="564">
        <f>V169+V168</f>
        <v>-99</v>
      </c>
      <c r="W170" s="565"/>
      <c r="X170" s="406"/>
    </row>
    <row r="171" spans="1:24" x14ac:dyDescent="0.3">
      <c r="A171" s="563"/>
      <c r="B171" s="444" t="s">
        <v>318</v>
      </c>
      <c r="C171" s="548"/>
      <c r="D171" s="548"/>
      <c r="E171" s="548"/>
      <c r="F171" s="548"/>
      <c r="G171" s="548"/>
      <c r="H171" s="548"/>
      <c r="I171" s="548"/>
      <c r="J171" s="548"/>
      <c r="K171" s="548"/>
      <c r="L171" s="548"/>
      <c r="M171" s="548"/>
      <c r="N171" s="548"/>
      <c r="O171" s="548"/>
      <c r="P171" s="548"/>
      <c r="Q171" s="548"/>
      <c r="R171" s="548"/>
      <c r="S171" s="548"/>
      <c r="T171" s="548"/>
      <c r="U171" s="548"/>
      <c r="V171" s="564">
        <f>V114</f>
        <v>99</v>
      </c>
      <c r="W171" s="565"/>
      <c r="X171" s="406"/>
    </row>
    <row r="172" spans="1:24" x14ac:dyDescent="0.3">
      <c r="A172" s="563"/>
      <c r="B172" s="548" t="s">
        <v>55</v>
      </c>
      <c r="C172" s="548"/>
      <c r="D172" s="548"/>
      <c r="E172" s="548"/>
      <c r="F172" s="548"/>
      <c r="G172" s="548"/>
      <c r="H172" s="548"/>
      <c r="I172" s="548"/>
      <c r="J172" s="548"/>
      <c r="K172" s="548"/>
      <c r="L172" s="548"/>
      <c r="M172" s="548"/>
      <c r="N172" s="548"/>
      <c r="O172" s="548"/>
      <c r="P172" s="548"/>
      <c r="Q172" s="548"/>
      <c r="R172" s="548"/>
      <c r="S172" s="548"/>
      <c r="T172" s="548"/>
      <c r="U172" s="548"/>
      <c r="V172" s="564">
        <f>V170+V171</f>
        <v>0</v>
      </c>
      <c r="W172" s="565"/>
      <c r="X172" s="406"/>
    </row>
    <row r="173" spans="1:24" x14ac:dyDescent="0.3">
      <c r="A173" s="563"/>
      <c r="B173" s="548" t="s">
        <v>288</v>
      </c>
      <c r="C173" s="548"/>
      <c r="D173" s="548"/>
      <c r="E173" s="548"/>
      <c r="F173" s="548"/>
      <c r="G173" s="548"/>
      <c r="H173" s="548"/>
      <c r="I173" s="548"/>
      <c r="J173" s="548"/>
      <c r="K173" s="548"/>
      <c r="L173" s="548"/>
      <c r="M173" s="548"/>
      <c r="N173" s="548"/>
      <c r="O173" s="548"/>
      <c r="P173" s="548"/>
      <c r="Q173" s="548"/>
      <c r="R173" s="548"/>
      <c r="S173" s="548"/>
      <c r="T173" s="548"/>
      <c r="U173" s="548"/>
      <c r="V173" s="564">
        <v>0</v>
      </c>
      <c r="W173" s="565"/>
      <c r="X173" s="406"/>
    </row>
    <row r="174" spans="1:24" ht="16.2" thickBot="1" x14ac:dyDescent="0.35">
      <c r="A174" s="408"/>
      <c r="B174" s="518"/>
      <c r="C174" s="518"/>
      <c r="D174" s="518"/>
      <c r="E174" s="518"/>
      <c r="F174" s="518"/>
      <c r="G174" s="518"/>
      <c r="H174" s="518"/>
      <c r="I174" s="518"/>
      <c r="J174" s="518"/>
      <c r="K174" s="518"/>
      <c r="L174" s="518"/>
      <c r="M174" s="518"/>
      <c r="N174" s="518"/>
      <c r="O174" s="518"/>
      <c r="P174" s="518"/>
      <c r="Q174" s="518"/>
      <c r="R174" s="518"/>
      <c r="S174" s="518"/>
      <c r="T174" s="518"/>
      <c r="U174" s="518"/>
      <c r="V174" s="560"/>
      <c r="W174" s="411"/>
      <c r="X174" s="406"/>
    </row>
    <row r="175" spans="1:24" x14ac:dyDescent="0.3">
      <c r="A175" s="402"/>
      <c r="B175" s="404"/>
      <c r="C175" s="404"/>
      <c r="D175" s="404"/>
      <c r="E175" s="404"/>
      <c r="F175" s="404"/>
      <c r="G175" s="404"/>
      <c r="H175" s="404"/>
      <c r="I175" s="404"/>
      <c r="J175" s="404"/>
      <c r="K175" s="404"/>
      <c r="L175" s="404"/>
      <c r="M175" s="404"/>
      <c r="N175" s="404"/>
      <c r="O175" s="404"/>
      <c r="P175" s="404"/>
      <c r="Q175" s="404"/>
      <c r="R175" s="404"/>
      <c r="S175" s="404"/>
      <c r="T175" s="404"/>
      <c r="U175" s="404"/>
      <c r="V175" s="566"/>
      <c r="W175" s="405"/>
      <c r="X175" s="406"/>
    </row>
    <row r="176" spans="1:24" x14ac:dyDescent="0.3">
      <c r="A176" s="408"/>
      <c r="B176" s="557" t="s">
        <v>56</v>
      </c>
      <c r="C176" s="410"/>
      <c r="D176" s="410"/>
      <c r="E176" s="410"/>
      <c r="F176" s="410"/>
      <c r="G176" s="410"/>
      <c r="H176" s="410"/>
      <c r="I176" s="410"/>
      <c r="J176" s="410"/>
      <c r="K176" s="410"/>
      <c r="L176" s="410"/>
      <c r="M176" s="410"/>
      <c r="N176" s="410"/>
      <c r="O176" s="410"/>
      <c r="P176" s="410"/>
      <c r="Q176" s="410"/>
      <c r="R176" s="410"/>
      <c r="S176" s="410"/>
      <c r="T176" s="410"/>
      <c r="U176" s="410"/>
      <c r="V176" s="510"/>
      <c r="W176" s="411"/>
      <c r="X176" s="406"/>
    </row>
    <row r="177" spans="1:24" x14ac:dyDescent="0.3">
      <c r="A177" s="408"/>
      <c r="B177" s="556"/>
      <c r="C177" s="410"/>
      <c r="D177" s="410"/>
      <c r="E177" s="410"/>
      <c r="F177" s="410"/>
      <c r="G177" s="410"/>
      <c r="H177" s="410"/>
      <c r="I177" s="410"/>
      <c r="J177" s="410"/>
      <c r="K177" s="410"/>
      <c r="L177" s="410"/>
      <c r="M177" s="410"/>
      <c r="N177" s="410"/>
      <c r="O177" s="410"/>
      <c r="P177" s="410"/>
      <c r="Q177" s="410"/>
      <c r="R177" s="410"/>
      <c r="S177" s="410"/>
      <c r="T177" s="410"/>
      <c r="U177" s="410"/>
      <c r="V177" s="510"/>
      <c r="W177" s="411"/>
      <c r="X177" s="406"/>
    </row>
    <row r="178" spans="1:24" x14ac:dyDescent="0.3">
      <c r="A178" s="543"/>
      <c r="B178" s="444" t="s">
        <v>57</v>
      </c>
      <c r="C178" s="444"/>
      <c r="D178" s="444"/>
      <c r="E178" s="444"/>
      <c r="F178" s="444"/>
      <c r="G178" s="444"/>
      <c r="H178" s="444"/>
      <c r="I178" s="444"/>
      <c r="J178" s="444"/>
      <c r="K178" s="444"/>
      <c r="L178" s="444"/>
      <c r="M178" s="444"/>
      <c r="N178" s="444"/>
      <c r="O178" s="444"/>
      <c r="P178" s="444"/>
      <c r="Q178" s="444"/>
      <c r="R178" s="444"/>
      <c r="S178" s="444"/>
      <c r="T178" s="444"/>
      <c r="U178" s="444"/>
      <c r="V178" s="517">
        <f>V70</f>
        <v>667997</v>
      </c>
      <c r="W178" s="558"/>
      <c r="X178" s="406"/>
    </row>
    <row r="179" spans="1:24" x14ac:dyDescent="0.3">
      <c r="A179" s="543"/>
      <c r="B179" s="444" t="s">
        <v>58</v>
      </c>
      <c r="C179" s="444"/>
      <c r="D179" s="444"/>
      <c r="E179" s="444"/>
      <c r="F179" s="444"/>
      <c r="G179" s="444"/>
      <c r="H179" s="444"/>
      <c r="I179" s="444"/>
      <c r="J179" s="444"/>
      <c r="K179" s="444"/>
      <c r="L179" s="444"/>
      <c r="M179" s="444"/>
      <c r="N179" s="444"/>
      <c r="O179" s="444"/>
      <c r="P179" s="444"/>
      <c r="Q179" s="444"/>
      <c r="R179" s="444"/>
      <c r="S179" s="444"/>
      <c r="T179" s="444"/>
      <c r="U179" s="444"/>
      <c r="V179" s="517">
        <f>V83</f>
        <v>667997</v>
      </c>
      <c r="W179" s="558"/>
      <c r="X179" s="406"/>
    </row>
    <row r="180" spans="1:24" ht="16.2" thickBot="1" x14ac:dyDescent="0.35">
      <c r="A180" s="408"/>
      <c r="B180" s="518"/>
      <c r="C180" s="518"/>
      <c r="D180" s="518"/>
      <c r="E180" s="518"/>
      <c r="F180" s="518"/>
      <c r="G180" s="518"/>
      <c r="H180" s="518"/>
      <c r="I180" s="518"/>
      <c r="J180" s="518"/>
      <c r="K180" s="518"/>
      <c r="L180" s="518"/>
      <c r="M180" s="518"/>
      <c r="N180" s="518"/>
      <c r="O180" s="518"/>
      <c r="P180" s="518"/>
      <c r="Q180" s="518"/>
      <c r="R180" s="518"/>
      <c r="S180" s="518"/>
      <c r="T180" s="518"/>
      <c r="U180" s="518"/>
      <c r="V180" s="560"/>
      <c r="W180" s="411"/>
      <c r="X180" s="406"/>
    </row>
    <row r="181" spans="1:24" x14ac:dyDescent="0.3">
      <c r="A181" s="402"/>
      <c r="B181" s="404"/>
      <c r="C181" s="404"/>
      <c r="D181" s="404"/>
      <c r="E181" s="404"/>
      <c r="F181" s="404"/>
      <c r="G181" s="404"/>
      <c r="H181" s="404"/>
      <c r="I181" s="404"/>
      <c r="J181" s="404"/>
      <c r="K181" s="404"/>
      <c r="L181" s="404"/>
      <c r="M181" s="404"/>
      <c r="N181" s="404"/>
      <c r="O181" s="404"/>
      <c r="P181" s="404"/>
      <c r="Q181" s="404"/>
      <c r="R181" s="404"/>
      <c r="S181" s="404"/>
      <c r="T181" s="404"/>
      <c r="U181" s="404"/>
      <c r="V181" s="566"/>
      <c r="W181" s="405"/>
      <c r="X181" s="406"/>
    </row>
    <row r="182" spans="1:24" s="473" customFormat="1" x14ac:dyDescent="0.3">
      <c r="A182" s="511"/>
      <c r="B182" s="557" t="s">
        <v>59</v>
      </c>
      <c r="C182" s="567"/>
      <c r="D182" s="567"/>
      <c r="E182" s="567"/>
      <c r="F182" s="567"/>
      <c r="G182" s="567"/>
      <c r="H182" s="568"/>
      <c r="I182" s="568"/>
      <c r="J182" s="568"/>
      <c r="K182" s="568"/>
      <c r="L182" s="568"/>
      <c r="M182" s="568"/>
      <c r="N182" s="568"/>
      <c r="O182" s="568"/>
      <c r="P182" s="568"/>
      <c r="Q182" s="568"/>
      <c r="R182" s="568"/>
      <c r="S182" s="568" t="s">
        <v>102</v>
      </c>
      <c r="T182" s="568" t="s">
        <v>179</v>
      </c>
      <c r="U182" s="413"/>
      <c r="V182" s="569" t="s">
        <v>117</v>
      </c>
      <c r="W182" s="570"/>
      <c r="X182" s="472"/>
    </row>
    <row r="183" spans="1:24" s="426" customFormat="1" x14ac:dyDescent="0.3">
      <c r="A183" s="443"/>
      <c r="B183" s="444" t="s">
        <v>60</v>
      </c>
      <c r="C183" s="444"/>
      <c r="D183" s="444"/>
      <c r="E183" s="444"/>
      <c r="F183" s="444"/>
      <c r="G183" s="444"/>
      <c r="H183" s="444"/>
      <c r="I183" s="444"/>
      <c r="J183" s="444"/>
      <c r="K183" s="444"/>
      <c r="L183" s="444"/>
      <c r="M183" s="444"/>
      <c r="N183" s="444"/>
      <c r="O183" s="444"/>
      <c r="P183" s="444"/>
      <c r="Q183" s="444"/>
      <c r="R183" s="444"/>
      <c r="S183" s="517">
        <f>+V34*0.16</f>
        <v>240030.4</v>
      </c>
      <c r="T183" s="482"/>
      <c r="U183" s="444"/>
      <c r="V183" s="517"/>
      <c r="W183" s="446"/>
      <c r="X183" s="425"/>
    </row>
    <row r="184" spans="1:24" s="426" customFormat="1" x14ac:dyDescent="0.3">
      <c r="A184" s="443"/>
      <c r="B184" s="444" t="s">
        <v>61</v>
      </c>
      <c r="C184" s="444"/>
      <c r="D184" s="444"/>
      <c r="E184" s="444"/>
      <c r="F184" s="444"/>
      <c r="G184" s="444"/>
      <c r="H184" s="444"/>
      <c r="I184" s="444"/>
      <c r="J184" s="444"/>
      <c r="K184" s="444"/>
      <c r="L184" s="444"/>
      <c r="M184" s="444"/>
      <c r="N184" s="444"/>
      <c r="O184" s="444"/>
      <c r="P184" s="444"/>
      <c r="Q184" s="444"/>
      <c r="R184" s="444"/>
      <c r="S184" s="517">
        <f>+'Mar 20'!S186</f>
        <v>55845</v>
      </c>
      <c r="T184" s="517">
        <f>+'Mar 20'!T186</f>
        <v>9760</v>
      </c>
      <c r="U184" s="444"/>
      <c r="V184" s="517">
        <f>S184+T184</f>
        <v>65605</v>
      </c>
      <c r="W184" s="446"/>
      <c r="X184" s="425"/>
    </row>
    <row r="185" spans="1:24" s="426" customFormat="1" x14ac:dyDescent="0.3">
      <c r="A185" s="443"/>
      <c r="B185" s="444" t="s">
        <v>62</v>
      </c>
      <c r="C185" s="444"/>
      <c r="D185" s="444"/>
      <c r="E185" s="444"/>
      <c r="F185" s="444"/>
      <c r="G185" s="444"/>
      <c r="H185" s="444"/>
      <c r="I185" s="444"/>
      <c r="J185" s="444"/>
      <c r="K185" s="444"/>
      <c r="L185" s="444"/>
      <c r="M185" s="444"/>
      <c r="N185" s="444"/>
      <c r="O185" s="444"/>
      <c r="P185" s="444"/>
      <c r="Q185" s="444"/>
      <c r="R185" s="444"/>
      <c r="S185" s="516">
        <v>0</v>
      </c>
      <c r="T185" s="516">
        <v>0</v>
      </c>
      <c r="U185" s="444"/>
      <c r="V185" s="517">
        <f>S185+T185</f>
        <v>0</v>
      </c>
      <c r="W185" s="446"/>
      <c r="X185" s="425"/>
    </row>
    <row r="186" spans="1:24" s="426" customFormat="1" x14ac:dyDescent="0.3">
      <c r="A186" s="443"/>
      <c r="B186" s="444" t="s">
        <v>63</v>
      </c>
      <c r="C186" s="444"/>
      <c r="D186" s="444"/>
      <c r="E186" s="444"/>
      <c r="F186" s="444"/>
      <c r="G186" s="444"/>
      <c r="H186" s="444"/>
      <c r="I186" s="444"/>
      <c r="J186" s="444"/>
      <c r="K186" s="444"/>
      <c r="L186" s="444"/>
      <c r="M186" s="444"/>
      <c r="N186" s="444"/>
      <c r="O186" s="444"/>
      <c r="P186" s="444"/>
      <c r="Q186" s="444"/>
      <c r="R186" s="444"/>
      <c r="S186" s="517">
        <f>+S184+S185</f>
        <v>55845</v>
      </c>
      <c r="T186" s="517">
        <f>T185+T184</f>
        <v>9760</v>
      </c>
      <c r="U186" s="444"/>
      <c r="V186" s="517">
        <f>S186+T186</f>
        <v>65605</v>
      </c>
      <c r="W186" s="446"/>
      <c r="X186" s="425"/>
    </row>
    <row r="187" spans="1:24" s="426" customFormat="1" x14ac:dyDescent="0.3">
      <c r="A187" s="443"/>
      <c r="B187" s="444" t="s">
        <v>64</v>
      </c>
      <c r="C187" s="444"/>
      <c r="D187" s="444"/>
      <c r="E187" s="444"/>
      <c r="F187" s="444"/>
      <c r="G187" s="444"/>
      <c r="H187" s="444"/>
      <c r="I187" s="444"/>
      <c r="J187" s="444"/>
      <c r="K187" s="444"/>
      <c r="L187" s="444"/>
      <c r="M187" s="444"/>
      <c r="N187" s="444"/>
      <c r="O187" s="444"/>
      <c r="P187" s="444"/>
      <c r="Q187" s="444"/>
      <c r="R187" s="444"/>
      <c r="S187" s="517">
        <f>S183-S186-T186</f>
        <v>174425.4</v>
      </c>
      <c r="T187" s="482"/>
      <c r="U187" s="444"/>
      <c r="V187" s="517"/>
      <c r="W187" s="446"/>
      <c r="X187" s="425"/>
    </row>
    <row r="188" spans="1:24" ht="16.2" thickBot="1" x14ac:dyDescent="0.35">
      <c r="A188" s="408"/>
      <c r="B188" s="518"/>
      <c r="C188" s="518"/>
      <c r="D188" s="518"/>
      <c r="E188" s="518"/>
      <c r="F188" s="518"/>
      <c r="G188" s="518"/>
      <c r="H188" s="518"/>
      <c r="I188" s="518"/>
      <c r="J188" s="518"/>
      <c r="K188" s="518"/>
      <c r="L188" s="518"/>
      <c r="M188" s="518"/>
      <c r="N188" s="518"/>
      <c r="O188" s="518"/>
      <c r="P188" s="518"/>
      <c r="Q188" s="518"/>
      <c r="R188" s="518"/>
      <c r="S188" s="518"/>
      <c r="T188" s="518"/>
      <c r="U188" s="518"/>
      <c r="V188" s="560"/>
      <c r="W188" s="411"/>
      <c r="X188" s="406"/>
    </row>
    <row r="189" spans="1:24" x14ac:dyDescent="0.3">
      <c r="A189" s="402"/>
      <c r="B189" s="404"/>
      <c r="C189" s="404"/>
      <c r="D189" s="404"/>
      <c r="E189" s="404"/>
      <c r="F189" s="404"/>
      <c r="G189" s="404"/>
      <c r="H189" s="404"/>
      <c r="I189" s="404"/>
      <c r="J189" s="404"/>
      <c r="K189" s="404"/>
      <c r="L189" s="404"/>
      <c r="M189" s="404"/>
      <c r="N189" s="404"/>
      <c r="O189" s="404"/>
      <c r="P189" s="404"/>
      <c r="Q189" s="404"/>
      <c r="R189" s="404"/>
      <c r="S189" s="404"/>
      <c r="T189" s="404"/>
      <c r="U189" s="404"/>
      <c r="V189" s="566"/>
      <c r="W189" s="405"/>
      <c r="X189" s="406"/>
    </row>
    <row r="190" spans="1:24" x14ac:dyDescent="0.3">
      <c r="A190" s="408"/>
      <c r="B190" s="557" t="s">
        <v>65</v>
      </c>
      <c r="C190" s="410"/>
      <c r="D190" s="410"/>
      <c r="E190" s="410"/>
      <c r="F190" s="410"/>
      <c r="G190" s="410"/>
      <c r="H190" s="410"/>
      <c r="I190" s="410"/>
      <c r="J190" s="410"/>
      <c r="K190" s="410"/>
      <c r="L190" s="410"/>
      <c r="M190" s="410"/>
      <c r="N190" s="410"/>
      <c r="O190" s="410"/>
      <c r="P190" s="410"/>
      <c r="Q190" s="410"/>
      <c r="R190" s="410"/>
      <c r="S190" s="410"/>
      <c r="T190" s="410"/>
      <c r="U190" s="410"/>
      <c r="V190" s="571"/>
      <c r="W190" s="411"/>
      <c r="X190" s="406"/>
    </row>
    <row r="191" spans="1:24" s="426" customFormat="1" x14ac:dyDescent="0.3">
      <c r="A191" s="443"/>
      <c r="B191" s="444" t="s">
        <v>66</v>
      </c>
      <c r="C191" s="444"/>
      <c r="D191" s="444"/>
      <c r="E191" s="444"/>
      <c r="F191" s="444"/>
      <c r="G191" s="444"/>
      <c r="H191" s="444"/>
      <c r="I191" s="444"/>
      <c r="J191" s="444"/>
      <c r="K191" s="444"/>
      <c r="L191" s="444"/>
      <c r="M191" s="444"/>
      <c r="N191" s="444"/>
      <c r="O191" s="444"/>
      <c r="P191" s="444"/>
      <c r="Q191" s="444"/>
      <c r="R191" s="444"/>
      <c r="S191" s="444"/>
      <c r="T191" s="444"/>
      <c r="U191" s="444"/>
      <c r="V191" s="561">
        <f>(V99+V101+V102+V103+V104)/-(V105+V106)</f>
        <v>3.0942587832047987</v>
      </c>
      <c r="W191" s="446" t="s">
        <v>118</v>
      </c>
      <c r="X191" s="425"/>
    </row>
    <row r="192" spans="1:24" s="426" customFormat="1" x14ac:dyDescent="0.3">
      <c r="A192" s="443"/>
      <c r="B192" s="444" t="s">
        <v>67</v>
      </c>
      <c r="C192" s="444"/>
      <c r="D192" s="444"/>
      <c r="E192" s="444"/>
      <c r="F192" s="444"/>
      <c r="G192" s="444"/>
      <c r="H192" s="444"/>
      <c r="I192" s="444"/>
      <c r="J192" s="444"/>
      <c r="K192" s="444"/>
      <c r="L192" s="444"/>
      <c r="M192" s="444"/>
      <c r="N192" s="444"/>
      <c r="O192" s="444"/>
      <c r="P192" s="444"/>
      <c r="Q192" s="444"/>
      <c r="R192" s="444"/>
      <c r="S192" s="444"/>
      <c r="T192" s="444"/>
      <c r="U192" s="444"/>
      <c r="V192" s="572">
        <v>1.99</v>
      </c>
      <c r="W192" s="446" t="s">
        <v>118</v>
      </c>
      <c r="X192" s="425"/>
    </row>
    <row r="193" spans="1:24" s="426" customFormat="1" x14ac:dyDescent="0.3">
      <c r="A193" s="443"/>
      <c r="B193" s="444" t="s">
        <v>68</v>
      </c>
      <c r="C193" s="444"/>
      <c r="D193" s="444"/>
      <c r="E193" s="444"/>
      <c r="F193" s="444"/>
      <c r="G193" s="444"/>
      <c r="H193" s="444"/>
      <c r="I193" s="444"/>
      <c r="J193" s="444"/>
      <c r="K193" s="444"/>
      <c r="L193" s="444"/>
      <c r="M193" s="444"/>
      <c r="N193" s="444"/>
      <c r="O193" s="444"/>
      <c r="P193" s="444"/>
      <c r="Q193" s="444"/>
      <c r="R193" s="444"/>
      <c r="S193" s="444"/>
      <c r="T193" s="444"/>
      <c r="U193" s="444"/>
      <c r="V193" s="561">
        <f>(V99+V101+V102+V103+V104+V105+V106)/-(V108+V109)</f>
        <v>8.985294117647058</v>
      </c>
      <c r="W193" s="446" t="s">
        <v>118</v>
      </c>
      <c r="X193" s="425"/>
    </row>
    <row r="194" spans="1:24" s="426" customFormat="1" x14ac:dyDescent="0.3">
      <c r="A194" s="443"/>
      <c r="B194" s="444" t="s">
        <v>69</v>
      </c>
      <c r="C194" s="444"/>
      <c r="D194" s="444"/>
      <c r="E194" s="444"/>
      <c r="F194" s="444"/>
      <c r="G194" s="444"/>
      <c r="H194" s="444"/>
      <c r="I194" s="444"/>
      <c r="J194" s="444"/>
      <c r="K194" s="444"/>
      <c r="L194" s="444"/>
      <c r="M194" s="444"/>
      <c r="N194" s="444"/>
      <c r="O194" s="444"/>
      <c r="P194" s="444"/>
      <c r="Q194" s="444"/>
      <c r="R194" s="444"/>
      <c r="S194" s="444"/>
      <c r="T194" s="444"/>
      <c r="U194" s="444"/>
      <c r="V194" s="572">
        <v>8.1300000000000008</v>
      </c>
      <c r="W194" s="446" t="s">
        <v>118</v>
      </c>
      <c r="X194" s="425"/>
    </row>
    <row r="195" spans="1:24" s="426" customFormat="1" x14ac:dyDescent="0.3">
      <c r="A195" s="443"/>
      <c r="B195" s="444" t="s">
        <v>201</v>
      </c>
      <c r="C195" s="444"/>
      <c r="D195" s="444"/>
      <c r="E195" s="444"/>
      <c r="F195" s="444"/>
      <c r="G195" s="444"/>
      <c r="H195" s="444"/>
      <c r="I195" s="444"/>
      <c r="J195" s="444"/>
      <c r="K195" s="444"/>
      <c r="L195" s="444"/>
      <c r="M195" s="444"/>
      <c r="N195" s="444"/>
      <c r="O195" s="444"/>
      <c r="P195" s="444"/>
      <c r="Q195" s="444"/>
      <c r="R195" s="444"/>
      <c r="S195" s="444"/>
      <c r="T195" s="444"/>
      <c r="U195" s="444"/>
      <c r="V195" s="561">
        <f>(V99+V101+V102+V103+V104+V105+V106+V108+V109)/-(V110+V111)</f>
        <v>9.5682819383259918</v>
      </c>
      <c r="W195" s="446" t="s">
        <v>118</v>
      </c>
      <c r="X195" s="425"/>
    </row>
    <row r="196" spans="1:24" s="426" customFormat="1" x14ac:dyDescent="0.3">
      <c r="A196" s="443"/>
      <c r="B196" s="444" t="s">
        <v>202</v>
      </c>
      <c r="C196" s="444"/>
      <c r="D196" s="444"/>
      <c r="E196" s="444"/>
      <c r="F196" s="444"/>
      <c r="G196" s="444"/>
      <c r="H196" s="444"/>
      <c r="I196" s="444"/>
      <c r="J196" s="444"/>
      <c r="K196" s="444"/>
      <c r="L196" s="444"/>
      <c r="M196" s="444"/>
      <c r="N196" s="444"/>
      <c r="O196" s="444"/>
      <c r="P196" s="444"/>
      <c r="Q196" s="444"/>
      <c r="R196" s="444"/>
      <c r="S196" s="444"/>
      <c r="T196" s="444"/>
      <c r="U196" s="444"/>
      <c r="V196" s="572">
        <v>10.039999999999999</v>
      </c>
      <c r="W196" s="446" t="s">
        <v>118</v>
      </c>
      <c r="X196" s="425"/>
    </row>
    <row r="197" spans="1:24" x14ac:dyDescent="0.3">
      <c r="A197" s="543"/>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547"/>
      <c r="X197" s="406"/>
    </row>
    <row r="198" spans="1:24" x14ac:dyDescent="0.3">
      <c r="A198" s="408"/>
      <c r="B198" s="518"/>
      <c r="C198" s="518"/>
      <c r="D198" s="518"/>
      <c r="E198" s="518"/>
      <c r="F198" s="518"/>
      <c r="G198" s="518"/>
      <c r="H198" s="518"/>
      <c r="I198" s="518"/>
      <c r="J198" s="518"/>
      <c r="K198" s="518"/>
      <c r="L198" s="518"/>
      <c r="M198" s="518"/>
      <c r="N198" s="518"/>
      <c r="O198" s="518"/>
      <c r="P198" s="518"/>
      <c r="Q198" s="518"/>
      <c r="R198" s="518"/>
      <c r="S198" s="518"/>
      <c r="T198" s="518"/>
      <c r="U198" s="518"/>
      <c r="V198" s="518"/>
      <c r="W198" s="411"/>
      <c r="X198" s="406"/>
    </row>
    <row r="199" spans="1:24" x14ac:dyDescent="0.3">
      <c r="A199" s="408"/>
      <c r="B199" s="410"/>
      <c r="C199" s="410"/>
      <c r="D199" s="410"/>
      <c r="E199" s="410"/>
      <c r="F199" s="410"/>
      <c r="G199" s="410"/>
      <c r="H199" s="410"/>
      <c r="I199" s="410"/>
      <c r="J199" s="410"/>
      <c r="K199" s="410"/>
      <c r="L199" s="410"/>
      <c r="M199" s="410"/>
      <c r="N199" s="410"/>
      <c r="O199" s="410"/>
      <c r="P199" s="410"/>
      <c r="Q199" s="410"/>
      <c r="R199" s="410"/>
      <c r="S199" s="410"/>
      <c r="T199" s="410"/>
      <c r="U199" s="410"/>
      <c r="V199" s="410"/>
      <c r="W199" s="411"/>
      <c r="X199" s="406"/>
    </row>
    <row r="200" spans="1:24" ht="18.600000000000001" thickBot="1" x14ac:dyDescent="0.4">
      <c r="A200" s="573"/>
      <c r="B200" s="501" t="str">
        <f>B140</f>
        <v>PM13 INVESTOR REPORT QUARTER ENDING JUNE 2020</v>
      </c>
      <c r="C200" s="574"/>
      <c r="D200" s="574"/>
      <c r="E200" s="574"/>
      <c r="F200" s="574"/>
      <c r="G200" s="574"/>
      <c r="H200" s="574"/>
      <c r="I200" s="574"/>
      <c r="J200" s="574"/>
      <c r="K200" s="574"/>
      <c r="L200" s="574"/>
      <c r="M200" s="574"/>
      <c r="N200" s="574"/>
      <c r="O200" s="574"/>
      <c r="P200" s="574"/>
      <c r="Q200" s="574"/>
      <c r="R200" s="574"/>
      <c r="S200" s="574"/>
      <c r="T200" s="574"/>
      <c r="U200" s="574"/>
      <c r="V200" s="574"/>
      <c r="W200" s="575"/>
      <c r="X200" s="406"/>
    </row>
    <row r="201" spans="1:24" x14ac:dyDescent="0.3">
      <c r="A201" s="505"/>
      <c r="B201" s="506" t="s">
        <v>70</v>
      </c>
      <c r="C201" s="576"/>
      <c r="D201" s="576"/>
      <c r="E201" s="576"/>
      <c r="F201" s="576"/>
      <c r="G201" s="577"/>
      <c r="H201" s="577"/>
      <c r="I201" s="577"/>
      <c r="J201" s="577"/>
      <c r="K201" s="577"/>
      <c r="L201" s="577"/>
      <c r="M201" s="577"/>
      <c r="N201" s="577"/>
      <c r="O201" s="577"/>
      <c r="P201" s="577"/>
      <c r="Q201" s="577"/>
      <c r="R201" s="577"/>
      <c r="S201" s="577"/>
      <c r="T201" s="577">
        <v>44012</v>
      </c>
      <c r="U201" s="507"/>
      <c r="V201" s="507"/>
      <c r="W201" s="509"/>
      <c r="X201" s="406"/>
    </row>
    <row r="202" spans="1:24" x14ac:dyDescent="0.3">
      <c r="A202" s="578"/>
      <c r="B202" s="579"/>
      <c r="C202" s="580"/>
      <c r="D202" s="580"/>
      <c r="E202" s="580"/>
      <c r="F202" s="580"/>
      <c r="G202" s="581"/>
      <c r="H202" s="581"/>
      <c r="I202" s="581"/>
      <c r="J202" s="581"/>
      <c r="K202" s="581"/>
      <c r="L202" s="581"/>
      <c r="M202" s="581"/>
      <c r="N202" s="581"/>
      <c r="O202" s="581"/>
      <c r="P202" s="581"/>
      <c r="Q202" s="581"/>
      <c r="R202" s="581"/>
      <c r="S202" s="581"/>
      <c r="T202" s="581"/>
      <c r="U202" s="410"/>
      <c r="V202" s="410"/>
      <c r="W202" s="411"/>
      <c r="X202" s="406"/>
    </row>
    <row r="203" spans="1:24" s="426" customFormat="1" x14ac:dyDescent="0.3">
      <c r="A203" s="443"/>
      <c r="B203" s="444" t="s">
        <v>71</v>
      </c>
      <c r="C203" s="582"/>
      <c r="D203" s="582"/>
      <c r="E203" s="582"/>
      <c r="F203" s="582"/>
      <c r="G203" s="488"/>
      <c r="H203" s="488"/>
      <c r="I203" s="488"/>
      <c r="J203" s="488"/>
      <c r="K203" s="488"/>
      <c r="L203" s="488"/>
      <c r="M203" s="488"/>
      <c r="N203" s="488"/>
      <c r="O203" s="488"/>
      <c r="P203" s="488"/>
      <c r="Q203" s="488"/>
      <c r="R203" s="488"/>
      <c r="S203" s="488"/>
      <c r="T203" s="479">
        <v>5.4539999999999998E-2</v>
      </c>
      <c r="U203" s="444"/>
      <c r="V203" s="444"/>
      <c r="W203" s="446"/>
      <c r="X203" s="425"/>
    </row>
    <row r="204" spans="1:24" s="426" customFormat="1" x14ac:dyDescent="0.3">
      <c r="A204" s="443"/>
      <c r="B204" s="444" t="s">
        <v>154</v>
      </c>
      <c r="C204" s="582"/>
      <c r="D204" s="582"/>
      <c r="E204" s="582"/>
      <c r="F204" s="582"/>
      <c r="G204" s="488"/>
      <c r="H204" s="488"/>
      <c r="I204" s="488"/>
      <c r="J204" s="488"/>
      <c r="K204" s="488"/>
      <c r="L204" s="488"/>
      <c r="M204" s="488"/>
      <c r="N204" s="488"/>
      <c r="O204" s="488"/>
      <c r="P204" s="488"/>
      <c r="Q204" s="488"/>
      <c r="R204" s="488"/>
      <c r="S204" s="488"/>
      <c r="T204" s="479">
        <f>'Dec 06'!T199</f>
        <v>5.238600504269459E-2</v>
      </c>
      <c r="U204" s="444"/>
      <c r="V204" s="444"/>
      <c r="W204" s="446"/>
      <c r="X204" s="425"/>
    </row>
    <row r="205" spans="1:24" s="426" customFormat="1" x14ac:dyDescent="0.3">
      <c r="A205" s="443"/>
      <c r="B205" s="444" t="s">
        <v>72</v>
      </c>
      <c r="C205" s="582"/>
      <c r="D205" s="582"/>
      <c r="E205" s="582"/>
      <c r="F205" s="582"/>
      <c r="G205" s="488"/>
      <c r="H205" s="488"/>
      <c r="I205" s="488"/>
      <c r="J205" s="488"/>
      <c r="K205" s="488"/>
      <c r="L205" s="488"/>
      <c r="M205" s="488"/>
      <c r="N205" s="488"/>
      <c r="O205" s="488"/>
      <c r="P205" s="488"/>
      <c r="Q205" s="488"/>
      <c r="R205" s="488"/>
      <c r="S205" s="488"/>
      <c r="T205" s="479">
        <f>+T203-T204</f>
        <v>2.1539949573054079E-3</v>
      </c>
      <c r="U205" s="444"/>
      <c r="V205" s="444"/>
      <c r="W205" s="446"/>
      <c r="X205" s="425"/>
    </row>
    <row r="206" spans="1:24" s="426" customFormat="1" x14ac:dyDescent="0.3">
      <c r="A206" s="443"/>
      <c r="B206" s="444" t="s">
        <v>73</v>
      </c>
      <c r="C206" s="582"/>
      <c r="D206" s="582"/>
      <c r="E206" s="582"/>
      <c r="F206" s="582"/>
      <c r="G206" s="488"/>
      <c r="H206" s="488"/>
      <c r="I206" s="488"/>
      <c r="J206" s="488"/>
      <c r="K206" s="488"/>
      <c r="L206" s="488"/>
      <c r="M206" s="488"/>
      <c r="N206" s="488"/>
      <c r="O206" s="488"/>
      <c r="P206" s="488"/>
      <c r="Q206" s="488"/>
      <c r="R206" s="488"/>
      <c r="S206" s="488"/>
      <c r="T206" s="479">
        <v>2.1489999999999999E-2</v>
      </c>
      <c r="U206" s="444"/>
      <c r="V206" s="444"/>
      <c r="W206" s="446"/>
      <c r="X206" s="425"/>
    </row>
    <row r="207" spans="1:24" s="426" customFormat="1" x14ac:dyDescent="0.3">
      <c r="A207" s="443"/>
      <c r="B207" s="444" t="s">
        <v>222</v>
      </c>
      <c r="C207" s="582"/>
      <c r="D207" s="582"/>
      <c r="E207" s="582"/>
      <c r="F207" s="582"/>
      <c r="G207" s="488"/>
      <c r="H207" s="488"/>
      <c r="I207" s="488"/>
      <c r="J207" s="488"/>
      <c r="K207" s="488"/>
      <c r="L207" s="488"/>
      <c r="M207" s="488"/>
      <c r="N207" s="488"/>
      <c r="O207" s="488"/>
      <c r="P207" s="488"/>
      <c r="Q207" s="488"/>
      <c r="R207" s="488"/>
      <c r="S207" s="488"/>
      <c r="T207" s="479">
        <f>V43</f>
        <v>9.902128433305785E-3</v>
      </c>
      <c r="U207" s="444"/>
      <c r="V207" s="444"/>
      <c r="W207" s="446"/>
      <c r="X207" s="425"/>
    </row>
    <row r="208" spans="1:24" s="426" customFormat="1" x14ac:dyDescent="0.3">
      <c r="A208" s="443"/>
      <c r="B208" s="444" t="s">
        <v>74</v>
      </c>
      <c r="C208" s="582"/>
      <c r="D208" s="582"/>
      <c r="E208" s="582"/>
      <c r="F208" s="582"/>
      <c r="G208" s="488"/>
      <c r="H208" s="488"/>
      <c r="I208" s="488"/>
      <c r="J208" s="488"/>
      <c r="K208" s="488"/>
      <c r="L208" s="488"/>
      <c r="M208" s="488"/>
      <c r="N208" s="488"/>
      <c r="O208" s="488"/>
      <c r="P208" s="488"/>
      <c r="Q208" s="488"/>
      <c r="R208" s="488"/>
      <c r="S208" s="488"/>
      <c r="T208" s="479">
        <f>T206-T207</f>
        <v>1.1587871566694214E-2</v>
      </c>
      <c r="U208" s="444"/>
      <c r="V208" s="444"/>
      <c r="W208" s="446"/>
      <c r="X208" s="425"/>
    </row>
    <row r="209" spans="1:24" s="426" customFormat="1" x14ac:dyDescent="0.3">
      <c r="A209" s="443"/>
      <c r="B209" s="444" t="s">
        <v>274</v>
      </c>
      <c r="C209" s="582"/>
      <c r="D209" s="582"/>
      <c r="E209" s="582"/>
      <c r="F209" s="582"/>
      <c r="G209" s="488"/>
      <c r="H209" s="488"/>
      <c r="I209" s="488"/>
      <c r="J209" s="488"/>
      <c r="K209" s="488"/>
      <c r="L209" s="488"/>
      <c r="M209" s="488"/>
      <c r="N209" s="488"/>
      <c r="O209" s="488"/>
      <c r="P209" s="488"/>
      <c r="Q209" s="488"/>
      <c r="R209" s="488"/>
      <c r="S209" s="488"/>
      <c r="T209" s="479">
        <f>+V99/N70</f>
        <v>5.8439499411752499E-3</v>
      </c>
      <c r="U209" s="444"/>
      <c r="V209" s="444"/>
      <c r="W209" s="446"/>
      <c r="X209" s="425"/>
    </row>
    <row r="210" spans="1:24" s="426" customFormat="1" x14ac:dyDescent="0.3">
      <c r="A210" s="443"/>
      <c r="B210" s="444" t="s">
        <v>211</v>
      </c>
      <c r="C210" s="582"/>
      <c r="D210" s="582"/>
      <c r="E210" s="582"/>
      <c r="F210" s="582"/>
      <c r="G210" s="488"/>
      <c r="H210" s="488"/>
      <c r="I210" s="488"/>
      <c r="J210" s="488"/>
      <c r="K210" s="488"/>
      <c r="L210" s="488"/>
      <c r="M210" s="488"/>
      <c r="N210" s="488"/>
      <c r="O210" s="488"/>
      <c r="P210" s="488"/>
      <c r="Q210" s="488"/>
      <c r="R210" s="488"/>
      <c r="S210" s="488"/>
      <c r="T210" s="583">
        <v>50771</v>
      </c>
      <c r="U210" s="444"/>
      <c r="V210" s="444"/>
      <c r="W210" s="446"/>
      <c r="X210" s="425"/>
    </row>
    <row r="211" spans="1:24" s="426" customFormat="1" x14ac:dyDescent="0.3">
      <c r="A211" s="443"/>
      <c r="B211" s="444" t="s">
        <v>212</v>
      </c>
      <c r="C211" s="582"/>
      <c r="D211" s="582"/>
      <c r="E211" s="582"/>
      <c r="F211" s="582"/>
      <c r="G211" s="488"/>
      <c r="H211" s="488"/>
      <c r="I211" s="488"/>
      <c r="J211" s="488"/>
      <c r="K211" s="488"/>
      <c r="L211" s="488"/>
      <c r="M211" s="488"/>
      <c r="N211" s="488"/>
      <c r="O211" s="488"/>
      <c r="P211" s="488"/>
      <c r="Q211" s="488"/>
      <c r="R211" s="488"/>
      <c r="S211" s="488"/>
      <c r="T211" s="583">
        <v>50771</v>
      </c>
      <c r="U211" s="444"/>
      <c r="V211" s="444"/>
      <c r="W211" s="446"/>
      <c r="X211" s="425"/>
    </row>
    <row r="212" spans="1:24" s="426" customFormat="1" x14ac:dyDescent="0.3">
      <c r="A212" s="443"/>
      <c r="B212" s="444" t="s">
        <v>213</v>
      </c>
      <c r="C212" s="582"/>
      <c r="D212" s="582"/>
      <c r="E212" s="582"/>
      <c r="F212" s="582"/>
      <c r="G212" s="488"/>
      <c r="H212" s="488"/>
      <c r="I212" s="488"/>
      <c r="J212" s="488"/>
      <c r="K212" s="488"/>
      <c r="L212" s="488"/>
      <c r="M212" s="488"/>
      <c r="N212" s="488"/>
      <c r="O212" s="488"/>
      <c r="P212" s="488"/>
      <c r="Q212" s="488"/>
      <c r="R212" s="488"/>
      <c r="S212" s="488"/>
      <c r="T212" s="583">
        <v>50771</v>
      </c>
      <c r="U212" s="444"/>
      <c r="V212" s="444"/>
      <c r="W212" s="446"/>
      <c r="X212" s="425"/>
    </row>
    <row r="213" spans="1:24" s="426" customFormat="1" x14ac:dyDescent="0.3">
      <c r="A213" s="443"/>
      <c r="B213" s="444" t="s">
        <v>75</v>
      </c>
      <c r="C213" s="582"/>
      <c r="D213" s="582"/>
      <c r="E213" s="582"/>
      <c r="F213" s="582"/>
      <c r="G213" s="488"/>
      <c r="H213" s="488"/>
      <c r="I213" s="488"/>
      <c r="J213" s="488"/>
      <c r="K213" s="488"/>
      <c r="L213" s="488"/>
      <c r="M213" s="488"/>
      <c r="N213" s="488"/>
      <c r="O213" s="488"/>
      <c r="P213" s="488"/>
      <c r="Q213" s="488"/>
      <c r="R213" s="488"/>
      <c r="S213" s="488"/>
      <c r="T213" s="484">
        <v>20.66</v>
      </c>
      <c r="U213" s="444" t="s">
        <v>113</v>
      </c>
      <c r="V213" s="444"/>
      <c r="W213" s="446"/>
      <c r="X213" s="425"/>
    </row>
    <row r="214" spans="1:24" s="426" customFormat="1" x14ac:dyDescent="0.3">
      <c r="A214" s="443"/>
      <c r="B214" s="444" t="s">
        <v>76</v>
      </c>
      <c r="C214" s="582"/>
      <c r="D214" s="582"/>
      <c r="E214" s="582"/>
      <c r="F214" s="582"/>
      <c r="G214" s="488"/>
      <c r="H214" s="488"/>
      <c r="I214" s="488"/>
      <c r="J214" s="488"/>
      <c r="K214" s="488"/>
      <c r="L214" s="488"/>
      <c r="M214" s="488"/>
      <c r="N214" s="488"/>
      <c r="O214" s="488"/>
      <c r="P214" s="488"/>
      <c r="Q214" s="488"/>
      <c r="R214" s="488"/>
      <c r="S214" s="488"/>
      <c r="T214" s="484">
        <v>8.39</v>
      </c>
      <c r="U214" s="444" t="s">
        <v>113</v>
      </c>
      <c r="V214" s="444"/>
      <c r="W214" s="446"/>
      <c r="X214" s="425"/>
    </row>
    <row r="215" spans="1:24" s="426" customFormat="1" x14ac:dyDescent="0.3">
      <c r="A215" s="443"/>
      <c r="B215" s="444" t="s">
        <v>77</v>
      </c>
      <c r="C215" s="582"/>
      <c r="D215" s="582"/>
      <c r="E215" s="582"/>
      <c r="F215" s="582"/>
      <c r="G215" s="488"/>
      <c r="H215" s="488"/>
      <c r="I215" s="488"/>
      <c r="J215" s="488"/>
      <c r="K215" s="488"/>
      <c r="L215" s="488"/>
      <c r="M215" s="488"/>
      <c r="N215" s="488"/>
      <c r="O215" s="488"/>
      <c r="P215" s="488"/>
      <c r="Q215" s="488"/>
      <c r="R215" s="488"/>
      <c r="S215" s="488"/>
      <c r="T215" s="479">
        <f>P67/N67</f>
        <v>1.0207649884573098E-2</v>
      </c>
      <c r="U215" s="444"/>
      <c r="V215" s="444"/>
      <c r="W215" s="446"/>
      <c r="X215" s="425"/>
    </row>
    <row r="216" spans="1:24" s="426" customFormat="1" x14ac:dyDescent="0.3">
      <c r="A216" s="443"/>
      <c r="B216" s="444" t="s">
        <v>78</v>
      </c>
      <c r="C216" s="582"/>
      <c r="D216" s="582"/>
      <c r="E216" s="582"/>
      <c r="F216" s="582"/>
      <c r="G216" s="488"/>
      <c r="H216" s="488"/>
      <c r="I216" s="488"/>
      <c r="J216" s="488"/>
      <c r="K216" s="488"/>
      <c r="L216" s="488"/>
      <c r="M216" s="488"/>
      <c r="N216" s="488"/>
      <c r="O216" s="488"/>
      <c r="P216" s="488"/>
      <c r="Q216" s="488"/>
      <c r="R216" s="488"/>
      <c r="S216" s="488"/>
      <c r="T216" s="479">
        <v>6.2899999999999998E-2</v>
      </c>
      <c r="U216" s="444"/>
      <c r="V216" s="444"/>
      <c r="W216" s="446"/>
      <c r="X216" s="425"/>
    </row>
    <row r="217" spans="1:24" s="426" customFormat="1" x14ac:dyDescent="0.3">
      <c r="A217" s="421"/>
      <c r="B217" s="494"/>
      <c r="C217" s="494"/>
      <c r="D217" s="494"/>
      <c r="E217" s="494"/>
      <c r="F217" s="494"/>
      <c r="G217" s="494"/>
      <c r="H217" s="494"/>
      <c r="I217" s="494"/>
      <c r="J217" s="494"/>
      <c r="K217" s="494"/>
      <c r="L217" s="494"/>
      <c r="M217" s="494"/>
      <c r="N217" s="494"/>
      <c r="O217" s="494"/>
      <c r="P217" s="494"/>
      <c r="Q217" s="494"/>
      <c r="R217" s="494"/>
      <c r="S217" s="494"/>
      <c r="T217" s="584"/>
      <c r="U217" s="494"/>
      <c r="V217" s="585"/>
      <c r="W217" s="424"/>
      <c r="X217" s="425"/>
    </row>
    <row r="218" spans="1:24" s="426" customFormat="1" x14ac:dyDescent="0.3">
      <c r="A218" s="586"/>
      <c r="B218" s="420" t="s">
        <v>79</v>
      </c>
      <c r="C218" s="429"/>
      <c r="D218" s="429"/>
      <c r="E218" s="429"/>
      <c r="F218" s="587"/>
      <c r="G218" s="429"/>
      <c r="H218" s="429"/>
      <c r="I218" s="429"/>
      <c r="J218" s="429"/>
      <c r="K218" s="429"/>
      <c r="L218" s="429"/>
      <c r="M218" s="429"/>
      <c r="N218" s="429"/>
      <c r="O218" s="429"/>
      <c r="P218" s="429"/>
      <c r="Q218" s="429"/>
      <c r="R218" s="429"/>
      <c r="S218" s="429" t="s">
        <v>103</v>
      </c>
      <c r="T218" s="587" t="s">
        <v>110</v>
      </c>
      <c r="U218" s="422"/>
      <c r="V218" s="422"/>
      <c r="W218" s="424"/>
      <c r="X218" s="425"/>
    </row>
    <row r="219" spans="1:24" s="426" customFormat="1" x14ac:dyDescent="0.3">
      <c r="A219" s="588"/>
      <c r="B219" s="444" t="s">
        <v>80</v>
      </c>
      <c r="C219" s="516"/>
      <c r="D219" s="516"/>
      <c r="E219" s="516"/>
      <c r="F219" s="444"/>
      <c r="G219" s="444"/>
      <c r="H219" s="450"/>
      <c r="I219" s="450"/>
      <c r="J219" s="450"/>
      <c r="K219" s="450"/>
      <c r="L219" s="450"/>
      <c r="M219" s="450"/>
      <c r="N219" s="450"/>
      <c r="O219" s="450"/>
      <c r="P219" s="450"/>
      <c r="Q219" s="450"/>
      <c r="R219" s="450"/>
      <c r="S219" s="450">
        <v>0</v>
      </c>
      <c r="T219" s="589">
        <v>0</v>
      </c>
      <c r="U219" s="444"/>
      <c r="V219" s="590"/>
      <c r="W219" s="591"/>
      <c r="X219" s="425"/>
    </row>
    <row r="220" spans="1:24" s="426" customFormat="1" x14ac:dyDescent="0.3">
      <c r="A220" s="588"/>
      <c r="B220" s="444" t="s">
        <v>148</v>
      </c>
      <c r="C220" s="516"/>
      <c r="D220" s="516"/>
      <c r="E220" s="516"/>
      <c r="F220" s="444"/>
      <c r="G220" s="444"/>
      <c r="H220" s="450"/>
      <c r="I220" s="450"/>
      <c r="J220" s="450"/>
      <c r="K220" s="450"/>
      <c r="L220" s="450"/>
      <c r="M220" s="450"/>
      <c r="N220" s="450"/>
      <c r="O220" s="450"/>
      <c r="P220" s="450"/>
      <c r="Q220" s="450"/>
      <c r="R220" s="450"/>
      <c r="S220" s="592">
        <f>+R272</f>
        <v>87</v>
      </c>
      <c r="T220" s="589">
        <f>+T272</f>
        <v>14412</v>
      </c>
      <c r="U220" s="444"/>
      <c r="V220" s="590"/>
      <c r="W220" s="591"/>
      <c r="X220" s="425"/>
    </row>
    <row r="221" spans="1:24" s="426" customFormat="1" x14ac:dyDescent="0.3">
      <c r="A221" s="588"/>
      <c r="B221" s="444" t="s">
        <v>81</v>
      </c>
      <c r="C221" s="516"/>
      <c r="D221" s="516"/>
      <c r="E221" s="516"/>
      <c r="F221" s="444"/>
      <c r="G221" s="444"/>
      <c r="H221" s="450"/>
      <c r="I221" s="450"/>
      <c r="J221" s="450"/>
      <c r="K221" s="450"/>
      <c r="L221" s="450"/>
      <c r="M221" s="450"/>
      <c r="N221" s="450"/>
      <c r="O221" s="450"/>
      <c r="P221" s="450"/>
      <c r="Q221" s="450"/>
      <c r="R221" s="450"/>
      <c r="S221" s="592">
        <f>+R294</f>
        <v>0</v>
      </c>
      <c r="T221" s="589">
        <f>+T294</f>
        <v>0</v>
      </c>
      <c r="U221" s="444"/>
      <c r="V221" s="590"/>
      <c r="W221" s="591"/>
      <c r="X221" s="425"/>
    </row>
    <row r="222" spans="1:24" x14ac:dyDescent="0.3">
      <c r="A222" s="593"/>
      <c r="B222" s="594" t="s">
        <v>82</v>
      </c>
      <c r="C222" s="595"/>
      <c r="D222" s="595"/>
      <c r="E222" s="595"/>
      <c r="F222" s="465"/>
      <c r="G222" s="465"/>
      <c r="H222" s="465"/>
      <c r="I222" s="465"/>
      <c r="J222" s="465"/>
      <c r="K222" s="465"/>
      <c r="L222" s="465"/>
      <c r="M222" s="465"/>
      <c r="N222" s="465"/>
      <c r="O222" s="465"/>
      <c r="P222" s="465"/>
      <c r="Q222" s="465"/>
      <c r="R222" s="465"/>
      <c r="S222" s="465"/>
      <c r="T222" s="589">
        <v>0</v>
      </c>
      <c r="U222" s="465"/>
      <c r="V222" s="596"/>
      <c r="W222" s="597"/>
      <c r="X222" s="406"/>
    </row>
    <row r="223" spans="1:24" x14ac:dyDescent="0.3">
      <c r="A223" s="593"/>
      <c r="B223" s="594" t="s">
        <v>275</v>
      </c>
      <c r="C223" s="595"/>
      <c r="D223" s="595"/>
      <c r="E223" s="595"/>
      <c r="F223" s="465"/>
      <c r="G223" s="465"/>
      <c r="H223" s="465"/>
      <c r="I223" s="465"/>
      <c r="J223" s="465"/>
      <c r="K223" s="465"/>
      <c r="L223" s="465"/>
      <c r="M223" s="465"/>
      <c r="N223" s="465"/>
      <c r="O223" s="465"/>
      <c r="P223" s="465"/>
      <c r="Q223" s="465"/>
      <c r="R223" s="465"/>
      <c r="S223" s="465"/>
      <c r="T223" s="589">
        <f>+N80</f>
        <v>0</v>
      </c>
      <c r="U223" s="465"/>
      <c r="V223" s="596"/>
      <c r="W223" s="597"/>
      <c r="X223" s="406"/>
    </row>
    <row r="224" spans="1:24" x14ac:dyDescent="0.3">
      <c r="A224" s="598"/>
      <c r="B224" s="594" t="s">
        <v>83</v>
      </c>
      <c r="C224" s="599"/>
      <c r="D224" s="599"/>
      <c r="E224" s="599"/>
      <c r="F224" s="599"/>
      <c r="G224" s="465"/>
      <c r="H224" s="465"/>
      <c r="I224" s="465"/>
      <c r="J224" s="465"/>
      <c r="K224" s="465"/>
      <c r="L224" s="465"/>
      <c r="M224" s="465"/>
      <c r="N224" s="465"/>
      <c r="O224" s="465"/>
      <c r="P224" s="465"/>
      <c r="Q224" s="465"/>
      <c r="R224" s="465"/>
      <c r="S224" s="465"/>
      <c r="T224" s="600"/>
      <c r="U224" s="465"/>
      <c r="V224" s="596"/>
      <c r="W224" s="601"/>
      <c r="X224" s="406"/>
    </row>
    <row r="225" spans="1:25" s="426" customFormat="1" x14ac:dyDescent="0.3">
      <c r="A225" s="602"/>
      <c r="B225" s="444" t="s">
        <v>84</v>
      </c>
      <c r="C225" s="444"/>
      <c r="D225" s="444"/>
      <c r="E225" s="444"/>
      <c r="F225" s="444"/>
      <c r="G225" s="444"/>
      <c r="H225" s="444"/>
      <c r="I225" s="444"/>
      <c r="J225" s="444"/>
      <c r="K225" s="444"/>
      <c r="L225" s="444"/>
      <c r="M225" s="444"/>
      <c r="N225" s="444"/>
      <c r="O225" s="444"/>
      <c r="P225" s="444"/>
      <c r="Q225" s="444"/>
      <c r="R225" s="444"/>
      <c r="S225" s="450"/>
      <c r="T225" s="589">
        <f>V169</f>
        <v>-99</v>
      </c>
      <c r="U225" s="444"/>
      <c r="V225" s="590"/>
      <c r="W225" s="603"/>
      <c r="X225" s="425"/>
    </row>
    <row r="226" spans="1:25" s="426" customFormat="1" x14ac:dyDescent="0.3">
      <c r="A226" s="588"/>
      <c r="B226" s="444" t="s">
        <v>85</v>
      </c>
      <c r="C226" s="516"/>
      <c r="D226" s="516"/>
      <c r="E226" s="516"/>
      <c r="F226" s="516"/>
      <c r="G226" s="444"/>
      <c r="H226" s="444"/>
      <c r="I226" s="444"/>
      <c r="J226" s="444"/>
      <c r="K226" s="444"/>
      <c r="L226" s="444"/>
      <c r="M226" s="444"/>
      <c r="N226" s="444"/>
      <c r="O226" s="444"/>
      <c r="P226" s="444"/>
      <c r="Q226" s="444"/>
      <c r="R226" s="444"/>
      <c r="S226" s="450"/>
      <c r="T226" s="589">
        <f>'Mar 20'!T226+T225</f>
        <v>13090</v>
      </c>
      <c r="U226" s="444"/>
      <c r="V226" s="590"/>
      <c r="W226" s="603"/>
      <c r="X226" s="425"/>
    </row>
    <row r="227" spans="1:25" x14ac:dyDescent="0.3">
      <c r="A227" s="598"/>
      <c r="B227" s="594" t="s">
        <v>297</v>
      </c>
      <c r="C227" s="599"/>
      <c r="D227" s="599"/>
      <c r="E227" s="599"/>
      <c r="F227" s="599"/>
      <c r="G227" s="465"/>
      <c r="H227" s="465"/>
      <c r="I227" s="465"/>
      <c r="J227" s="465"/>
      <c r="K227" s="465"/>
      <c r="L227" s="465"/>
      <c r="M227" s="465"/>
      <c r="N227" s="465"/>
      <c r="O227" s="465"/>
      <c r="P227" s="465"/>
      <c r="Q227" s="465"/>
      <c r="R227" s="465"/>
      <c r="S227" s="604"/>
      <c r="T227" s="600"/>
      <c r="U227" s="465"/>
      <c r="V227" s="596"/>
      <c r="W227" s="601"/>
      <c r="X227" s="406"/>
    </row>
    <row r="228" spans="1:25" s="426" customFormat="1" x14ac:dyDescent="0.3">
      <c r="A228" s="602"/>
      <c r="B228" s="444" t="s">
        <v>295</v>
      </c>
      <c r="C228" s="444"/>
      <c r="D228" s="444"/>
      <c r="E228" s="444"/>
      <c r="F228" s="444"/>
      <c r="G228" s="444"/>
      <c r="H228" s="444"/>
      <c r="I228" s="444"/>
      <c r="J228" s="444"/>
      <c r="K228" s="444"/>
      <c r="L228" s="444"/>
      <c r="M228" s="444"/>
      <c r="N228" s="444"/>
      <c r="O228" s="444"/>
      <c r="P228" s="444"/>
      <c r="Q228" s="444"/>
      <c r="R228" s="444"/>
      <c r="S228" s="450">
        <v>0</v>
      </c>
      <c r="T228" s="589">
        <v>0</v>
      </c>
      <c r="U228" s="444"/>
      <c r="V228" s="590"/>
      <c r="W228" s="603"/>
      <c r="X228" s="425"/>
    </row>
    <row r="229" spans="1:25" s="426" customFormat="1" x14ac:dyDescent="0.3">
      <c r="A229" s="588"/>
      <c r="B229" s="444" t="s">
        <v>87</v>
      </c>
      <c r="C229" s="482"/>
      <c r="D229" s="482"/>
      <c r="E229" s="482"/>
      <c r="F229" s="605"/>
      <c r="G229" s="444"/>
      <c r="H229" s="444"/>
      <c r="I229" s="444"/>
      <c r="J229" s="444"/>
      <c r="K229" s="444"/>
      <c r="L229" s="444"/>
      <c r="M229" s="444"/>
      <c r="N229" s="444"/>
      <c r="O229" s="444"/>
      <c r="P229" s="444"/>
      <c r="Q229" s="444"/>
      <c r="R229" s="444"/>
      <c r="S229" s="444"/>
      <c r="T229" s="606">
        <v>0</v>
      </c>
      <c r="U229" s="444"/>
      <c r="V229" s="590"/>
      <c r="W229" s="603"/>
      <c r="X229" s="425"/>
    </row>
    <row r="230" spans="1:25" s="426" customFormat="1" x14ac:dyDescent="0.3">
      <c r="A230" s="588"/>
      <c r="B230" s="444" t="s">
        <v>88</v>
      </c>
      <c r="C230" s="482"/>
      <c r="D230" s="482"/>
      <c r="E230" s="482"/>
      <c r="F230" s="605"/>
      <c r="G230" s="444"/>
      <c r="H230" s="444"/>
      <c r="I230" s="444"/>
      <c r="J230" s="444"/>
      <c r="K230" s="444"/>
      <c r="L230" s="444"/>
      <c r="M230" s="444"/>
      <c r="N230" s="444"/>
      <c r="O230" s="444"/>
      <c r="P230" s="444"/>
      <c r="Q230" s="444"/>
      <c r="R230" s="444"/>
      <c r="S230" s="444"/>
      <c r="T230" s="606">
        <v>0</v>
      </c>
      <c r="U230" s="444"/>
      <c r="V230" s="590"/>
      <c r="W230" s="603"/>
      <c r="X230" s="425"/>
    </row>
    <row r="231" spans="1:25" x14ac:dyDescent="0.3">
      <c r="A231" s="593"/>
      <c r="B231" s="594" t="s">
        <v>220</v>
      </c>
      <c r="C231" s="607"/>
      <c r="D231" s="607"/>
      <c r="E231" s="607"/>
      <c r="F231" s="608"/>
      <c r="G231" s="465"/>
      <c r="H231" s="465"/>
      <c r="I231" s="465"/>
      <c r="J231" s="465"/>
      <c r="K231" s="465"/>
      <c r="L231" s="465"/>
      <c r="M231" s="465"/>
      <c r="N231" s="465"/>
      <c r="O231" s="465"/>
      <c r="P231" s="465"/>
      <c r="Q231" s="465"/>
      <c r="R231" s="465"/>
      <c r="S231" s="609"/>
      <c r="T231" s="610"/>
      <c r="U231" s="465"/>
      <c r="V231" s="596"/>
      <c r="W231" s="601"/>
      <c r="X231" s="406"/>
    </row>
    <row r="232" spans="1:25" s="426" customFormat="1" x14ac:dyDescent="0.3">
      <c r="A232" s="588"/>
      <c r="B232" s="444" t="s">
        <v>295</v>
      </c>
      <c r="C232" s="482"/>
      <c r="D232" s="482"/>
      <c r="E232" s="482"/>
      <c r="F232" s="605"/>
      <c r="G232" s="444"/>
      <c r="H232" s="444"/>
      <c r="I232" s="444"/>
      <c r="J232" s="444"/>
      <c r="K232" s="444"/>
      <c r="L232" s="444"/>
      <c r="M232" s="444"/>
      <c r="N232" s="444"/>
      <c r="O232" s="444"/>
      <c r="P232" s="444"/>
      <c r="Q232" s="444"/>
      <c r="R232" s="444"/>
      <c r="S232" s="450">
        <v>0</v>
      </c>
      <c r="T232" s="589">
        <v>0</v>
      </c>
      <c r="U232" s="444"/>
      <c r="V232" s="590"/>
      <c r="W232" s="603"/>
      <c r="X232" s="425"/>
    </row>
    <row r="233" spans="1:25" s="426" customFormat="1" x14ac:dyDescent="0.3">
      <c r="A233" s="588"/>
      <c r="B233" s="444" t="s">
        <v>221</v>
      </c>
      <c r="C233" s="482"/>
      <c r="D233" s="482"/>
      <c r="E233" s="482"/>
      <c r="F233" s="605"/>
      <c r="G233" s="444"/>
      <c r="H233" s="444"/>
      <c r="I233" s="444"/>
      <c r="J233" s="444"/>
      <c r="K233" s="444"/>
      <c r="L233" s="444"/>
      <c r="M233" s="444"/>
      <c r="N233" s="444"/>
      <c r="O233" s="444"/>
      <c r="P233" s="444"/>
      <c r="Q233" s="444"/>
      <c r="R233" s="444"/>
      <c r="S233" s="444"/>
      <c r="T233" s="606">
        <v>0</v>
      </c>
      <c r="U233" s="444"/>
      <c r="V233" s="590"/>
      <c r="W233" s="603"/>
      <c r="X233" s="425"/>
    </row>
    <row r="234" spans="1:25" x14ac:dyDescent="0.3">
      <c r="A234" s="593"/>
      <c r="B234" s="599"/>
      <c r="C234" s="607"/>
      <c r="D234" s="607"/>
      <c r="E234" s="607"/>
      <c r="F234" s="608"/>
      <c r="G234" s="465"/>
      <c r="H234" s="465"/>
      <c r="I234" s="465"/>
      <c r="J234" s="465"/>
      <c r="K234" s="465"/>
      <c r="L234" s="465"/>
      <c r="M234" s="465"/>
      <c r="N234" s="465"/>
      <c r="O234" s="465"/>
      <c r="P234" s="465"/>
      <c r="Q234" s="465"/>
      <c r="R234" s="465"/>
      <c r="S234" s="465"/>
      <c r="T234" s="611"/>
      <c r="U234" s="465"/>
      <c r="V234" s="596"/>
      <c r="W234" s="601"/>
      <c r="X234" s="406"/>
    </row>
    <row r="235" spans="1:25" x14ac:dyDescent="0.3">
      <c r="A235" s="593"/>
      <c r="B235" s="599"/>
      <c r="C235" s="607"/>
      <c r="D235" s="607"/>
      <c r="E235" s="607"/>
      <c r="F235" s="608"/>
      <c r="G235" s="465"/>
      <c r="H235" s="465"/>
      <c r="I235" s="465"/>
      <c r="J235" s="465"/>
      <c r="K235" s="465"/>
      <c r="L235" s="465"/>
      <c r="M235" s="465"/>
      <c r="N235" s="465"/>
      <c r="O235" s="465"/>
      <c r="P235" s="465"/>
      <c r="Q235" s="465"/>
      <c r="R235" s="465"/>
      <c r="S235" s="465"/>
      <c r="T235" s="611"/>
      <c r="U235" s="465"/>
      <c r="V235" s="596"/>
      <c r="W235" s="601"/>
      <c r="X235" s="406"/>
    </row>
    <row r="236" spans="1:25" ht="18" x14ac:dyDescent="0.35">
      <c r="A236" s="593"/>
      <c r="B236" s="612" t="s">
        <v>171</v>
      </c>
      <c r="C236" s="607"/>
      <c r="D236" s="607"/>
      <c r="E236" s="607"/>
      <c r="F236" s="608"/>
      <c r="G236" s="465"/>
      <c r="H236" s="465"/>
      <c r="I236" s="465"/>
      <c r="J236" s="465"/>
      <c r="K236" s="465"/>
      <c r="L236" s="465"/>
      <c r="M236" s="465"/>
      <c r="N236" s="465"/>
      <c r="O236" s="465"/>
      <c r="P236" s="613" t="s">
        <v>370</v>
      </c>
      <c r="Q236" s="465"/>
      <c r="R236" s="465"/>
      <c r="S236" s="465"/>
      <c r="T236" s="611"/>
      <c r="U236" s="465"/>
      <c r="V236" s="596"/>
      <c r="W236" s="601"/>
      <c r="X236" s="406"/>
    </row>
    <row r="237" spans="1:25" x14ac:dyDescent="0.3">
      <c r="A237" s="614"/>
      <c r="B237" s="615"/>
      <c r="C237" s="616"/>
      <c r="D237" s="616"/>
      <c r="E237" s="616"/>
      <c r="F237" s="617"/>
      <c r="G237" s="518"/>
      <c r="H237" s="518"/>
      <c r="I237" s="518"/>
      <c r="J237" s="518"/>
      <c r="K237" s="518"/>
      <c r="L237" s="518"/>
      <c r="M237" s="518"/>
      <c r="N237" s="518"/>
      <c r="O237" s="518"/>
      <c r="P237" s="518"/>
      <c r="Q237" s="518"/>
      <c r="R237" s="518"/>
      <c r="S237" s="518"/>
      <c r="T237" s="618"/>
      <c r="U237" s="518"/>
      <c r="V237" s="619"/>
      <c r="W237" s="620"/>
      <c r="X237" s="406"/>
    </row>
    <row r="238" spans="1:25" x14ac:dyDescent="0.3">
      <c r="A238" s="533"/>
      <c r="B238" s="534" t="s">
        <v>310</v>
      </c>
      <c r="C238" s="535"/>
      <c r="D238" s="535"/>
      <c r="E238" s="535"/>
      <c r="F238" s="621"/>
      <c r="G238" s="535"/>
      <c r="H238" s="535"/>
      <c r="I238" s="535"/>
      <c r="J238" s="535"/>
      <c r="K238" s="535"/>
      <c r="L238" s="535"/>
      <c r="M238" s="535"/>
      <c r="N238" s="535"/>
      <c r="O238" s="535"/>
      <c r="P238" s="535"/>
      <c r="Q238" s="535"/>
      <c r="R238" s="621" t="s">
        <v>103</v>
      </c>
      <c r="S238" s="535" t="s">
        <v>104</v>
      </c>
      <c r="T238" s="621" t="s">
        <v>111</v>
      </c>
      <c r="U238" s="535" t="s">
        <v>104</v>
      </c>
      <c r="V238" s="622"/>
      <c r="W238" s="623"/>
      <c r="X238" s="406"/>
    </row>
    <row r="239" spans="1:25" s="426" customFormat="1" x14ac:dyDescent="0.3">
      <c r="A239" s="421"/>
      <c r="B239" s="552" t="s">
        <v>89</v>
      </c>
      <c r="C239" s="624"/>
      <c r="D239" s="624"/>
      <c r="E239" s="624"/>
      <c r="F239" s="494"/>
      <c r="G239" s="624"/>
      <c r="H239" s="624"/>
      <c r="I239" s="624"/>
      <c r="J239" s="624"/>
      <c r="K239" s="624"/>
      <c r="L239" s="624"/>
      <c r="M239" s="624"/>
      <c r="N239" s="624"/>
      <c r="O239" s="624"/>
      <c r="P239" s="624"/>
      <c r="Q239" s="624"/>
      <c r="R239" s="539">
        <f t="shared" ref="R239:R246" si="1">+R251+R263+R285</f>
        <v>5176</v>
      </c>
      <c r="S239" s="625">
        <f t="shared" ref="S239:S246" si="2">R239/$R$248</f>
        <v>0.98872970391595039</v>
      </c>
      <c r="T239" s="540">
        <f t="shared" ref="T239:T246" si="3">+T251+T263+T285</f>
        <v>659343</v>
      </c>
      <c r="U239" s="625">
        <f t="shared" ref="U239:U246" si="4">T239/$T$248</f>
        <v>0.98704485199783831</v>
      </c>
      <c r="V239" s="585"/>
      <c r="W239" s="626"/>
      <c r="X239" s="425"/>
    </row>
    <row r="240" spans="1:25" s="426" customFormat="1" x14ac:dyDescent="0.3">
      <c r="A240" s="443"/>
      <c r="B240" s="516" t="s">
        <v>90</v>
      </c>
      <c r="C240" s="627"/>
      <c r="D240" s="627"/>
      <c r="E240" s="627"/>
      <c r="F240" s="444"/>
      <c r="G240" s="628"/>
      <c r="H240" s="627"/>
      <c r="I240" s="627"/>
      <c r="J240" s="627"/>
      <c r="K240" s="627"/>
      <c r="L240" s="627"/>
      <c r="M240" s="627"/>
      <c r="N240" s="627"/>
      <c r="O240" s="627"/>
      <c r="P240" s="627"/>
      <c r="Q240" s="627"/>
      <c r="R240" s="516">
        <f t="shared" si="1"/>
        <v>29</v>
      </c>
      <c r="S240" s="628">
        <f t="shared" si="2"/>
        <v>5.5396370582617002E-3</v>
      </c>
      <c r="T240" s="517">
        <f t="shared" si="3"/>
        <v>4774</v>
      </c>
      <c r="U240" s="628">
        <f t="shared" si="4"/>
        <v>7.1467386829581567E-3</v>
      </c>
      <c r="V240" s="590"/>
      <c r="W240" s="603"/>
      <c r="X240" s="425"/>
      <c r="Y240" s="549"/>
    </row>
    <row r="241" spans="1:25" s="426" customFormat="1" x14ac:dyDescent="0.3">
      <c r="A241" s="443"/>
      <c r="B241" s="516" t="s">
        <v>91</v>
      </c>
      <c r="C241" s="627"/>
      <c r="D241" s="627"/>
      <c r="E241" s="627"/>
      <c r="F241" s="444"/>
      <c r="G241" s="628"/>
      <c r="H241" s="627"/>
      <c r="I241" s="627"/>
      <c r="J241" s="627"/>
      <c r="K241" s="627"/>
      <c r="L241" s="627"/>
      <c r="M241" s="627"/>
      <c r="N241" s="627"/>
      <c r="O241" s="627"/>
      <c r="P241" s="627"/>
      <c r="Q241" s="627"/>
      <c r="R241" s="516">
        <f t="shared" si="1"/>
        <v>13</v>
      </c>
      <c r="S241" s="628">
        <f t="shared" si="2"/>
        <v>2.4832855778414518E-3</v>
      </c>
      <c r="T241" s="517">
        <f t="shared" si="3"/>
        <v>1573</v>
      </c>
      <c r="U241" s="628">
        <f t="shared" si="4"/>
        <v>2.3548009946152454E-3</v>
      </c>
      <c r="V241" s="590"/>
      <c r="W241" s="603"/>
      <c r="X241" s="425"/>
    </row>
    <row r="242" spans="1:25" s="426" customFormat="1" x14ac:dyDescent="0.3">
      <c r="A242" s="443"/>
      <c r="B242" s="516" t="s">
        <v>159</v>
      </c>
      <c r="C242" s="627"/>
      <c r="D242" s="627"/>
      <c r="E242" s="627"/>
      <c r="F242" s="444"/>
      <c r="G242" s="628"/>
      <c r="H242" s="627"/>
      <c r="I242" s="627"/>
      <c r="J242" s="627"/>
      <c r="K242" s="627"/>
      <c r="L242" s="627"/>
      <c r="M242" s="627"/>
      <c r="N242" s="627"/>
      <c r="O242" s="627"/>
      <c r="P242" s="627"/>
      <c r="Q242" s="627"/>
      <c r="R242" s="516">
        <f t="shared" si="1"/>
        <v>2</v>
      </c>
      <c r="S242" s="628">
        <f t="shared" si="2"/>
        <v>3.8204393505253105E-4</v>
      </c>
      <c r="T242" s="517">
        <f t="shared" si="3"/>
        <v>313</v>
      </c>
      <c r="U242" s="628">
        <f t="shared" si="4"/>
        <v>4.6856497858523317E-4</v>
      </c>
      <c r="V242" s="590"/>
      <c r="W242" s="603"/>
      <c r="X242" s="425"/>
      <c r="Y242" s="549"/>
    </row>
    <row r="243" spans="1:25" s="426" customFormat="1" x14ac:dyDescent="0.3">
      <c r="A243" s="443"/>
      <c r="B243" s="516" t="s">
        <v>160</v>
      </c>
      <c r="C243" s="627"/>
      <c r="D243" s="627"/>
      <c r="E243" s="627"/>
      <c r="F243" s="444"/>
      <c r="G243" s="628"/>
      <c r="H243" s="627"/>
      <c r="I243" s="627"/>
      <c r="J243" s="627"/>
      <c r="K243" s="627"/>
      <c r="L243" s="627"/>
      <c r="M243" s="627"/>
      <c r="N243" s="627"/>
      <c r="O243" s="627"/>
      <c r="P243" s="627"/>
      <c r="Q243" s="627"/>
      <c r="R243" s="516">
        <f t="shared" si="1"/>
        <v>7</v>
      </c>
      <c r="S243" s="628">
        <f t="shared" si="2"/>
        <v>1.3371537726838587E-3</v>
      </c>
      <c r="T243" s="517">
        <f t="shared" si="3"/>
        <v>1134</v>
      </c>
      <c r="U243" s="628">
        <f t="shared" si="4"/>
        <v>1.697612414427011E-3</v>
      </c>
      <c r="V243" s="590"/>
      <c r="W243" s="603"/>
      <c r="X243" s="425"/>
    </row>
    <row r="244" spans="1:25" s="426" customFormat="1" x14ac:dyDescent="0.3">
      <c r="A244" s="443"/>
      <c r="B244" s="516" t="s">
        <v>161</v>
      </c>
      <c r="C244" s="627"/>
      <c r="D244" s="627"/>
      <c r="E244" s="627"/>
      <c r="F244" s="444"/>
      <c r="G244" s="628"/>
      <c r="H244" s="627"/>
      <c r="I244" s="627"/>
      <c r="J244" s="627"/>
      <c r="K244" s="627"/>
      <c r="L244" s="627"/>
      <c r="M244" s="627"/>
      <c r="N244" s="627"/>
      <c r="O244" s="627"/>
      <c r="P244" s="627"/>
      <c r="Q244" s="627"/>
      <c r="R244" s="516">
        <f t="shared" si="1"/>
        <v>0</v>
      </c>
      <c r="S244" s="628">
        <f t="shared" si="2"/>
        <v>0</v>
      </c>
      <c r="T244" s="517">
        <f t="shared" si="3"/>
        <v>0</v>
      </c>
      <c r="U244" s="628">
        <f t="shared" si="4"/>
        <v>0</v>
      </c>
      <c r="V244" s="590"/>
      <c r="W244" s="603"/>
      <c r="X244" s="425"/>
      <c r="Y244" s="549"/>
    </row>
    <row r="245" spans="1:25" s="426" customFormat="1" x14ac:dyDescent="0.3">
      <c r="A245" s="443"/>
      <c r="B245" s="516" t="s">
        <v>162</v>
      </c>
      <c r="C245" s="627"/>
      <c r="D245" s="627"/>
      <c r="E245" s="627"/>
      <c r="F245" s="444"/>
      <c r="G245" s="628"/>
      <c r="H245" s="627"/>
      <c r="I245" s="627"/>
      <c r="J245" s="627"/>
      <c r="K245" s="627"/>
      <c r="L245" s="627"/>
      <c r="M245" s="627"/>
      <c r="N245" s="627"/>
      <c r="O245" s="627"/>
      <c r="P245" s="627"/>
      <c r="Q245" s="627"/>
      <c r="R245" s="516">
        <f t="shared" si="1"/>
        <v>1</v>
      </c>
      <c r="S245" s="628">
        <f t="shared" si="2"/>
        <v>1.9102196752626553E-4</v>
      </c>
      <c r="T245" s="517">
        <f t="shared" si="3"/>
        <v>81</v>
      </c>
      <c r="U245" s="628">
        <f t="shared" si="4"/>
        <v>1.2125802960192934E-4</v>
      </c>
      <c r="V245" s="590"/>
      <c r="W245" s="603"/>
      <c r="X245" s="425"/>
    </row>
    <row r="246" spans="1:25" s="426" customFormat="1" x14ac:dyDescent="0.3">
      <c r="A246" s="443"/>
      <c r="B246" s="516" t="s">
        <v>163</v>
      </c>
      <c r="C246" s="627"/>
      <c r="D246" s="627"/>
      <c r="E246" s="627"/>
      <c r="F246" s="444"/>
      <c r="G246" s="628"/>
      <c r="H246" s="627"/>
      <c r="I246" s="627"/>
      <c r="J246" s="627"/>
      <c r="K246" s="627"/>
      <c r="L246" s="627"/>
      <c r="M246" s="627"/>
      <c r="N246" s="627"/>
      <c r="O246" s="627"/>
      <c r="P246" s="627"/>
      <c r="Q246" s="627"/>
      <c r="R246" s="516">
        <f t="shared" si="1"/>
        <v>7</v>
      </c>
      <c r="S246" s="628">
        <f t="shared" si="2"/>
        <v>1.3371537726838587E-3</v>
      </c>
      <c r="T246" s="517">
        <f t="shared" si="3"/>
        <v>779</v>
      </c>
      <c r="U246" s="628">
        <f t="shared" si="4"/>
        <v>1.1661729019741107E-3</v>
      </c>
      <c r="V246" s="590"/>
      <c r="W246" s="603"/>
      <c r="X246" s="425"/>
      <c r="Y246" s="549"/>
    </row>
    <row r="247" spans="1:25" s="426" customFormat="1" x14ac:dyDescent="0.3">
      <c r="A247" s="443"/>
      <c r="B247" s="516"/>
      <c r="C247" s="627"/>
      <c r="D247" s="627"/>
      <c r="E247" s="627"/>
      <c r="F247" s="444"/>
      <c r="G247" s="628"/>
      <c r="H247" s="627"/>
      <c r="I247" s="627"/>
      <c r="J247" s="627"/>
      <c r="K247" s="627"/>
      <c r="L247" s="627"/>
      <c r="M247" s="627"/>
      <c r="N247" s="627"/>
      <c r="O247" s="627"/>
      <c r="P247" s="627"/>
      <c r="Q247" s="627"/>
      <c r="R247" s="516"/>
      <c r="S247" s="628"/>
      <c r="T247" s="517"/>
      <c r="U247" s="628"/>
      <c r="V247" s="590"/>
      <c r="W247" s="603"/>
      <c r="X247" s="425"/>
    </row>
    <row r="248" spans="1:25" s="426" customFormat="1" x14ac:dyDescent="0.3">
      <c r="A248" s="443"/>
      <c r="B248" s="444" t="s">
        <v>117</v>
      </c>
      <c r="C248" s="444"/>
      <c r="D248" s="444"/>
      <c r="E248" s="444"/>
      <c r="F248" s="444"/>
      <c r="G248" s="444"/>
      <c r="H248" s="629"/>
      <c r="I248" s="629"/>
      <c r="J248" s="629"/>
      <c r="K248" s="629"/>
      <c r="L248" s="629"/>
      <c r="M248" s="629"/>
      <c r="N248" s="629"/>
      <c r="O248" s="629"/>
      <c r="P248" s="629"/>
      <c r="Q248" s="629"/>
      <c r="R248" s="516">
        <f>SUM(R239:R247)</f>
        <v>5235</v>
      </c>
      <c r="S248" s="628">
        <f>SUM(S239:S247)</f>
        <v>1</v>
      </c>
      <c r="T248" s="517">
        <f>SUM(T239:T247)</f>
        <v>667997</v>
      </c>
      <c r="U248" s="628">
        <f>SUM(U239:U247)</f>
        <v>1</v>
      </c>
      <c r="V248" s="444"/>
      <c r="W248" s="446"/>
      <c r="X248" s="425"/>
    </row>
    <row r="249" spans="1:25" x14ac:dyDescent="0.3">
      <c r="A249" s="614"/>
      <c r="B249" s="615"/>
      <c r="C249" s="616"/>
      <c r="D249" s="616"/>
      <c r="E249" s="616"/>
      <c r="F249" s="617"/>
      <c r="G249" s="518"/>
      <c r="H249" s="518"/>
      <c r="I249" s="518"/>
      <c r="J249" s="518"/>
      <c r="K249" s="518"/>
      <c r="L249" s="518"/>
      <c r="M249" s="518"/>
      <c r="N249" s="518"/>
      <c r="O249" s="518"/>
      <c r="P249" s="518"/>
      <c r="Q249" s="518"/>
      <c r="R249" s="518"/>
      <c r="S249" s="518"/>
      <c r="T249" s="618"/>
      <c r="U249" s="518"/>
      <c r="V249" s="619"/>
      <c r="W249" s="620"/>
      <c r="X249" s="406"/>
    </row>
    <row r="250" spans="1:25" x14ac:dyDescent="0.3">
      <c r="A250" s="533"/>
      <c r="B250" s="534" t="s">
        <v>165</v>
      </c>
      <c r="C250" s="535"/>
      <c r="D250" s="535"/>
      <c r="E250" s="535"/>
      <c r="F250" s="621"/>
      <c r="G250" s="535"/>
      <c r="H250" s="535"/>
      <c r="I250" s="535"/>
      <c r="J250" s="535"/>
      <c r="K250" s="535"/>
      <c r="L250" s="535"/>
      <c r="M250" s="535"/>
      <c r="N250" s="535"/>
      <c r="O250" s="535"/>
      <c r="P250" s="535"/>
      <c r="Q250" s="535"/>
      <c r="R250" s="621" t="s">
        <v>103</v>
      </c>
      <c r="S250" s="535" t="s">
        <v>104</v>
      </c>
      <c r="T250" s="621" t="s">
        <v>111</v>
      </c>
      <c r="U250" s="535" t="s">
        <v>104</v>
      </c>
      <c r="V250" s="622"/>
      <c r="W250" s="623"/>
      <c r="X250" s="406"/>
    </row>
    <row r="251" spans="1:25" s="426" customFormat="1" x14ac:dyDescent="0.3">
      <c r="A251" s="421"/>
      <c r="B251" s="552" t="s">
        <v>89</v>
      </c>
      <c r="C251" s="624"/>
      <c r="D251" s="624"/>
      <c r="E251" s="624"/>
      <c r="F251" s="494"/>
      <c r="G251" s="624"/>
      <c r="H251" s="624"/>
      <c r="I251" s="624"/>
      <c r="J251" s="624"/>
      <c r="K251" s="624"/>
      <c r="L251" s="624"/>
      <c r="M251" s="624"/>
      <c r="N251" s="624"/>
      <c r="O251" s="624"/>
      <c r="P251" s="624"/>
      <c r="Q251" s="624"/>
      <c r="R251" s="552">
        <v>5102</v>
      </c>
      <c r="S251" s="630">
        <f t="shared" ref="S251:S258" si="5">R251/$R$260</f>
        <v>0.99106449106449102</v>
      </c>
      <c r="T251" s="631">
        <v>646692</v>
      </c>
      <c r="U251" s="630">
        <f t="shared" ref="U251:U258" si="6">T251/$T$260</f>
        <v>0.98945355233060739</v>
      </c>
      <c r="V251" s="585"/>
      <c r="W251" s="626"/>
      <c r="X251" s="425"/>
    </row>
    <row r="252" spans="1:25" s="426" customFormat="1" x14ac:dyDescent="0.3">
      <c r="A252" s="443"/>
      <c r="B252" s="516" t="s">
        <v>90</v>
      </c>
      <c r="C252" s="627"/>
      <c r="D252" s="627"/>
      <c r="E252" s="627"/>
      <c r="F252" s="444"/>
      <c r="G252" s="628"/>
      <c r="H252" s="627"/>
      <c r="I252" s="627"/>
      <c r="J252" s="627"/>
      <c r="K252" s="627"/>
      <c r="L252" s="627"/>
      <c r="M252" s="627"/>
      <c r="N252" s="627"/>
      <c r="O252" s="627"/>
      <c r="P252" s="627"/>
      <c r="Q252" s="627"/>
      <c r="R252" s="516">
        <v>27</v>
      </c>
      <c r="S252" s="628">
        <f t="shared" si="5"/>
        <v>5.244755244755245E-3</v>
      </c>
      <c r="T252" s="517">
        <v>4568</v>
      </c>
      <c r="U252" s="628">
        <f t="shared" si="6"/>
        <v>6.9891444877100911E-3</v>
      </c>
      <c r="V252" s="590"/>
      <c r="W252" s="603"/>
      <c r="X252" s="425"/>
      <c r="Y252" s="549"/>
    </row>
    <row r="253" spans="1:25" s="426" customFormat="1" x14ac:dyDescent="0.3">
      <c r="A253" s="443"/>
      <c r="B253" s="516" t="s">
        <v>91</v>
      </c>
      <c r="C253" s="627"/>
      <c r="D253" s="627"/>
      <c r="E253" s="627"/>
      <c r="F253" s="444"/>
      <c r="G253" s="628"/>
      <c r="H253" s="627"/>
      <c r="I253" s="627"/>
      <c r="J253" s="627"/>
      <c r="K253" s="627"/>
      <c r="L253" s="627"/>
      <c r="M253" s="627"/>
      <c r="N253" s="627"/>
      <c r="O253" s="627"/>
      <c r="P253" s="627"/>
      <c r="Q253" s="627"/>
      <c r="R253" s="516">
        <v>11</v>
      </c>
      <c r="S253" s="628">
        <f t="shared" si="5"/>
        <v>2.136752136752137E-3</v>
      </c>
      <c r="T253" s="517">
        <v>1323</v>
      </c>
      <c r="U253" s="628">
        <f t="shared" si="6"/>
        <v>2.0242202620929183E-3</v>
      </c>
      <c r="V253" s="590"/>
      <c r="W253" s="603"/>
      <c r="X253" s="425"/>
    </row>
    <row r="254" spans="1:25" s="426" customFormat="1" x14ac:dyDescent="0.3">
      <c r="A254" s="443"/>
      <c r="B254" s="516" t="s">
        <v>159</v>
      </c>
      <c r="C254" s="627"/>
      <c r="D254" s="627"/>
      <c r="E254" s="627"/>
      <c r="F254" s="444"/>
      <c r="G254" s="628"/>
      <c r="H254" s="627"/>
      <c r="I254" s="627"/>
      <c r="J254" s="627"/>
      <c r="K254" s="627"/>
      <c r="L254" s="627"/>
      <c r="M254" s="627"/>
      <c r="N254" s="627"/>
      <c r="O254" s="627"/>
      <c r="P254" s="627"/>
      <c r="Q254" s="627"/>
      <c r="R254" s="516">
        <v>2</v>
      </c>
      <c r="S254" s="628">
        <f t="shared" si="5"/>
        <v>3.885003885003885E-4</v>
      </c>
      <c r="T254" s="517">
        <v>313</v>
      </c>
      <c r="U254" s="628">
        <f t="shared" si="6"/>
        <v>4.7889715951253474E-4</v>
      </c>
      <c r="V254" s="590"/>
      <c r="W254" s="603"/>
      <c r="X254" s="425"/>
      <c r="Y254" s="549"/>
    </row>
    <row r="255" spans="1:25" s="426" customFormat="1" x14ac:dyDescent="0.3">
      <c r="A255" s="443"/>
      <c r="B255" s="516" t="s">
        <v>160</v>
      </c>
      <c r="C255" s="627"/>
      <c r="D255" s="627"/>
      <c r="E255" s="627"/>
      <c r="F255" s="444"/>
      <c r="G255" s="628"/>
      <c r="H255" s="627"/>
      <c r="I255" s="627"/>
      <c r="J255" s="627"/>
      <c r="K255" s="627"/>
      <c r="L255" s="627"/>
      <c r="M255" s="627"/>
      <c r="N255" s="627"/>
      <c r="O255" s="627"/>
      <c r="P255" s="627"/>
      <c r="Q255" s="627"/>
      <c r="R255" s="516">
        <v>6</v>
      </c>
      <c r="S255" s="628">
        <f t="shared" si="5"/>
        <v>1.1655011655011655E-3</v>
      </c>
      <c r="T255" s="517">
        <v>689</v>
      </c>
      <c r="U255" s="628">
        <f t="shared" si="6"/>
        <v>1.0541857600771132E-3</v>
      </c>
      <c r="V255" s="590"/>
      <c r="W255" s="603"/>
      <c r="X255" s="425"/>
    </row>
    <row r="256" spans="1:25" s="426" customFormat="1" x14ac:dyDescent="0.3">
      <c r="A256" s="443"/>
      <c r="B256" s="516" t="s">
        <v>161</v>
      </c>
      <c r="C256" s="627"/>
      <c r="D256" s="627"/>
      <c r="E256" s="627"/>
      <c r="F256" s="444"/>
      <c r="G256" s="628"/>
      <c r="H256" s="627"/>
      <c r="I256" s="627"/>
      <c r="J256" s="627"/>
      <c r="K256" s="627"/>
      <c r="L256" s="627"/>
      <c r="M256" s="627"/>
      <c r="N256" s="627"/>
      <c r="O256" s="627"/>
      <c r="P256" s="627"/>
      <c r="Q256" s="627"/>
      <c r="R256" s="516">
        <v>0</v>
      </c>
      <c r="S256" s="628">
        <f t="shared" si="5"/>
        <v>0</v>
      </c>
      <c r="T256" s="517">
        <v>0</v>
      </c>
      <c r="U256" s="628">
        <f t="shared" si="6"/>
        <v>0</v>
      </c>
      <c r="V256" s="590"/>
      <c r="W256" s="603"/>
      <c r="X256" s="425"/>
      <c r="Y256" s="549"/>
    </row>
    <row r="257" spans="1:25" s="426" customFormat="1" x14ac:dyDescent="0.3">
      <c r="A257" s="443"/>
      <c r="B257" s="516" t="s">
        <v>162</v>
      </c>
      <c r="C257" s="627"/>
      <c r="D257" s="627"/>
      <c r="E257" s="627"/>
      <c r="F257" s="444"/>
      <c r="G257" s="628"/>
      <c r="H257" s="627"/>
      <c r="I257" s="627"/>
      <c r="J257" s="627"/>
      <c r="K257" s="627"/>
      <c r="L257" s="627"/>
      <c r="M257" s="627"/>
      <c r="N257" s="627"/>
      <c r="O257" s="627"/>
      <c r="P257" s="627"/>
      <c r="Q257" s="627"/>
      <c r="R257" s="516">
        <v>0</v>
      </c>
      <c r="S257" s="628">
        <f t="shared" si="5"/>
        <v>0</v>
      </c>
      <c r="T257" s="517">
        <v>0</v>
      </c>
      <c r="U257" s="628">
        <f t="shared" si="6"/>
        <v>0</v>
      </c>
      <c r="V257" s="590"/>
      <c r="W257" s="603"/>
      <c r="X257" s="425"/>
    </row>
    <row r="258" spans="1:25" s="426" customFormat="1" x14ac:dyDescent="0.3">
      <c r="A258" s="443"/>
      <c r="B258" s="516" t="s">
        <v>163</v>
      </c>
      <c r="C258" s="627"/>
      <c r="D258" s="627"/>
      <c r="E258" s="627"/>
      <c r="F258" s="444"/>
      <c r="G258" s="628"/>
      <c r="H258" s="627"/>
      <c r="I258" s="627"/>
      <c r="J258" s="627"/>
      <c r="K258" s="627"/>
      <c r="L258" s="627"/>
      <c r="M258" s="627"/>
      <c r="N258" s="627"/>
      <c r="O258" s="627"/>
      <c r="P258" s="627"/>
      <c r="Q258" s="627"/>
      <c r="R258" s="516">
        <v>0</v>
      </c>
      <c r="S258" s="628">
        <f t="shared" si="5"/>
        <v>0</v>
      </c>
      <c r="T258" s="517">
        <v>0</v>
      </c>
      <c r="U258" s="628">
        <f t="shared" si="6"/>
        <v>0</v>
      </c>
      <c r="V258" s="590"/>
      <c r="W258" s="603"/>
      <c r="X258" s="425"/>
      <c r="Y258" s="549"/>
    </row>
    <row r="259" spans="1:25" s="426" customFormat="1" x14ac:dyDescent="0.3">
      <c r="A259" s="443"/>
      <c r="B259" s="516"/>
      <c r="C259" s="627"/>
      <c r="D259" s="627"/>
      <c r="E259" s="627"/>
      <c r="F259" s="444"/>
      <c r="G259" s="628"/>
      <c r="H259" s="627"/>
      <c r="I259" s="627"/>
      <c r="J259" s="627"/>
      <c r="K259" s="627"/>
      <c r="L259" s="627"/>
      <c r="M259" s="627"/>
      <c r="N259" s="627"/>
      <c r="O259" s="627"/>
      <c r="P259" s="627"/>
      <c r="Q259" s="627"/>
      <c r="R259" s="516"/>
      <c r="S259" s="628"/>
      <c r="T259" s="517"/>
      <c r="U259" s="628"/>
      <c r="V259" s="590"/>
      <c r="W259" s="603"/>
      <c r="X259" s="425"/>
    </row>
    <row r="260" spans="1:25" s="426" customFormat="1" x14ac:dyDescent="0.3">
      <c r="A260" s="443"/>
      <c r="B260" s="444" t="s">
        <v>117</v>
      </c>
      <c r="C260" s="444"/>
      <c r="D260" s="444"/>
      <c r="E260" s="444"/>
      <c r="F260" s="444"/>
      <c r="G260" s="444"/>
      <c r="H260" s="629"/>
      <c r="I260" s="629"/>
      <c r="J260" s="629"/>
      <c r="K260" s="629"/>
      <c r="L260" s="629"/>
      <c r="M260" s="629"/>
      <c r="N260" s="629"/>
      <c r="O260" s="629"/>
      <c r="P260" s="629"/>
      <c r="Q260" s="629"/>
      <c r="R260" s="516">
        <f>SUM(R251:R259)</f>
        <v>5148</v>
      </c>
      <c r="S260" s="628">
        <f>SUM(S251:S259)</f>
        <v>0.99999999999999989</v>
      </c>
      <c r="T260" s="517">
        <f>SUM(T251:T259)</f>
        <v>653585</v>
      </c>
      <c r="U260" s="628">
        <f>SUM(U251:U259)</f>
        <v>1</v>
      </c>
      <c r="V260" s="444"/>
      <c r="W260" s="446"/>
      <c r="X260" s="425"/>
    </row>
    <row r="261" spans="1:25" x14ac:dyDescent="0.3">
      <c r="A261" s="408"/>
      <c r="B261" s="518"/>
      <c r="C261" s="518"/>
      <c r="D261" s="518"/>
      <c r="E261" s="518"/>
      <c r="F261" s="518"/>
      <c r="G261" s="518"/>
      <c r="H261" s="632"/>
      <c r="I261" s="632"/>
      <c r="J261" s="632"/>
      <c r="K261" s="632"/>
      <c r="L261" s="632"/>
      <c r="M261" s="632"/>
      <c r="N261" s="632"/>
      <c r="O261" s="632"/>
      <c r="P261" s="632"/>
      <c r="Q261" s="632"/>
      <c r="R261" s="519"/>
      <c r="S261" s="633"/>
      <c r="T261" s="634"/>
      <c r="U261" s="633"/>
      <c r="V261" s="518"/>
      <c r="W261" s="411"/>
      <c r="X261" s="406"/>
    </row>
    <row r="262" spans="1:25" x14ac:dyDescent="0.3">
      <c r="A262" s="533"/>
      <c r="B262" s="534" t="s">
        <v>279</v>
      </c>
      <c r="C262" s="535"/>
      <c r="D262" s="535"/>
      <c r="E262" s="535"/>
      <c r="F262" s="621"/>
      <c r="G262" s="535"/>
      <c r="H262" s="535"/>
      <c r="I262" s="535"/>
      <c r="J262" s="535"/>
      <c r="K262" s="535"/>
      <c r="L262" s="535"/>
      <c r="M262" s="535"/>
      <c r="N262" s="535"/>
      <c r="O262" s="535"/>
      <c r="P262" s="535"/>
      <c r="Q262" s="535"/>
      <c r="R262" s="621" t="s">
        <v>103</v>
      </c>
      <c r="S262" s="535" t="s">
        <v>104</v>
      </c>
      <c r="T262" s="621" t="s">
        <v>111</v>
      </c>
      <c r="U262" s="535" t="s">
        <v>104</v>
      </c>
      <c r="V262" s="622"/>
      <c r="W262" s="538"/>
      <c r="X262" s="406"/>
    </row>
    <row r="263" spans="1:25" s="426" customFormat="1" x14ac:dyDescent="0.3">
      <c r="A263" s="421"/>
      <c r="B263" s="552" t="s">
        <v>89</v>
      </c>
      <c r="C263" s="624"/>
      <c r="D263" s="624"/>
      <c r="E263" s="624"/>
      <c r="F263" s="494"/>
      <c r="G263" s="624"/>
      <c r="H263" s="624"/>
      <c r="I263" s="624"/>
      <c r="J263" s="624"/>
      <c r="K263" s="624"/>
      <c r="L263" s="624"/>
      <c r="M263" s="624"/>
      <c r="N263" s="624"/>
      <c r="O263" s="624"/>
      <c r="P263" s="624"/>
      <c r="Q263" s="624"/>
      <c r="R263" s="552">
        <v>74</v>
      </c>
      <c r="S263" s="630">
        <f>R263/$R$272</f>
        <v>0.85057471264367812</v>
      </c>
      <c r="T263" s="631">
        <v>12651</v>
      </c>
      <c r="U263" s="630">
        <f t="shared" ref="U263:U270" si="7">T263/$T$272</f>
        <v>0.87781015820149877</v>
      </c>
      <c r="V263" s="494"/>
      <c r="W263" s="424"/>
      <c r="X263" s="425"/>
    </row>
    <row r="264" spans="1:25" s="426" customFormat="1" x14ac:dyDescent="0.3">
      <c r="A264" s="443"/>
      <c r="B264" s="516" t="s">
        <v>90</v>
      </c>
      <c r="C264" s="627"/>
      <c r="D264" s="627"/>
      <c r="E264" s="627"/>
      <c r="F264" s="444"/>
      <c r="G264" s="628"/>
      <c r="H264" s="627"/>
      <c r="I264" s="627"/>
      <c r="J264" s="627"/>
      <c r="K264" s="627"/>
      <c r="L264" s="627"/>
      <c r="M264" s="627"/>
      <c r="N264" s="627"/>
      <c r="O264" s="627"/>
      <c r="P264" s="627"/>
      <c r="Q264" s="627"/>
      <c r="R264" s="516">
        <v>2</v>
      </c>
      <c r="S264" s="628">
        <f t="shared" ref="S264:S268" si="8">R264/$R$272</f>
        <v>2.2988505747126436E-2</v>
      </c>
      <c r="T264" s="517">
        <v>206</v>
      </c>
      <c r="U264" s="628">
        <f t="shared" si="7"/>
        <v>1.4293644185401055E-2</v>
      </c>
      <c r="V264" s="444"/>
      <c r="W264" s="446"/>
      <c r="X264" s="425"/>
    </row>
    <row r="265" spans="1:25" s="426" customFormat="1" x14ac:dyDescent="0.3">
      <c r="A265" s="443"/>
      <c r="B265" s="516" t="s">
        <v>91</v>
      </c>
      <c r="C265" s="627"/>
      <c r="D265" s="627"/>
      <c r="E265" s="627"/>
      <c r="F265" s="444"/>
      <c r="G265" s="628"/>
      <c r="H265" s="627"/>
      <c r="I265" s="627"/>
      <c r="J265" s="627"/>
      <c r="K265" s="627"/>
      <c r="L265" s="627"/>
      <c r="M265" s="627"/>
      <c r="N265" s="627"/>
      <c r="O265" s="627"/>
      <c r="P265" s="627"/>
      <c r="Q265" s="627"/>
      <c r="R265" s="516">
        <v>2</v>
      </c>
      <c r="S265" s="628">
        <f t="shared" si="8"/>
        <v>2.2988505747126436E-2</v>
      </c>
      <c r="T265" s="517">
        <v>250</v>
      </c>
      <c r="U265" s="628">
        <f t="shared" si="7"/>
        <v>1.7346655564807106E-2</v>
      </c>
      <c r="V265" s="444"/>
      <c r="W265" s="446"/>
      <c r="X265" s="425"/>
    </row>
    <row r="266" spans="1:25" s="426" customFormat="1" x14ac:dyDescent="0.3">
      <c r="A266" s="443"/>
      <c r="B266" s="516" t="s">
        <v>159</v>
      </c>
      <c r="C266" s="627"/>
      <c r="D266" s="627"/>
      <c r="E266" s="627"/>
      <c r="F266" s="444"/>
      <c r="G266" s="628"/>
      <c r="H266" s="627"/>
      <c r="I266" s="627"/>
      <c r="J266" s="627"/>
      <c r="K266" s="627"/>
      <c r="L266" s="627"/>
      <c r="M266" s="627"/>
      <c r="N266" s="627"/>
      <c r="O266" s="627"/>
      <c r="P266" s="627"/>
      <c r="Q266" s="627"/>
      <c r="R266" s="516">
        <v>0</v>
      </c>
      <c r="S266" s="628">
        <f t="shared" si="8"/>
        <v>0</v>
      </c>
      <c r="T266" s="517">
        <v>0</v>
      </c>
      <c r="U266" s="628">
        <f t="shared" si="7"/>
        <v>0</v>
      </c>
      <c r="V266" s="444"/>
      <c r="W266" s="446"/>
      <c r="X266" s="425"/>
    </row>
    <row r="267" spans="1:25" s="426" customFormat="1" x14ac:dyDescent="0.3">
      <c r="A267" s="443"/>
      <c r="B267" s="516" t="s">
        <v>160</v>
      </c>
      <c r="C267" s="627"/>
      <c r="D267" s="627"/>
      <c r="E267" s="627"/>
      <c r="F267" s="444"/>
      <c r="G267" s="628"/>
      <c r="H267" s="627"/>
      <c r="I267" s="627"/>
      <c r="J267" s="627"/>
      <c r="K267" s="627"/>
      <c r="L267" s="627"/>
      <c r="M267" s="627"/>
      <c r="N267" s="627"/>
      <c r="O267" s="627"/>
      <c r="P267" s="627"/>
      <c r="Q267" s="627"/>
      <c r="R267" s="516">
        <v>1</v>
      </c>
      <c r="S267" s="628">
        <f t="shared" si="8"/>
        <v>1.1494252873563218E-2</v>
      </c>
      <c r="T267" s="517">
        <v>445</v>
      </c>
      <c r="U267" s="628">
        <f t="shared" si="7"/>
        <v>3.0877046905356646E-2</v>
      </c>
      <c r="V267" s="444"/>
      <c r="W267" s="446"/>
      <c r="X267" s="425"/>
    </row>
    <row r="268" spans="1:25" s="426" customFormat="1" x14ac:dyDescent="0.3">
      <c r="A268" s="443"/>
      <c r="B268" s="516" t="s">
        <v>161</v>
      </c>
      <c r="C268" s="627"/>
      <c r="D268" s="627"/>
      <c r="E268" s="627"/>
      <c r="F268" s="444"/>
      <c r="G268" s="628"/>
      <c r="H268" s="627"/>
      <c r="I268" s="627"/>
      <c r="J268" s="627"/>
      <c r="K268" s="627"/>
      <c r="L268" s="627"/>
      <c r="M268" s="627"/>
      <c r="N268" s="627"/>
      <c r="O268" s="627"/>
      <c r="P268" s="627"/>
      <c r="Q268" s="627"/>
      <c r="R268" s="516">
        <v>0</v>
      </c>
      <c r="S268" s="628">
        <f t="shared" si="8"/>
        <v>0</v>
      </c>
      <c r="T268" s="517">
        <v>0</v>
      </c>
      <c r="U268" s="628">
        <f t="shared" si="7"/>
        <v>0</v>
      </c>
      <c r="V268" s="444"/>
      <c r="W268" s="446"/>
      <c r="X268" s="425"/>
    </row>
    <row r="269" spans="1:25" s="426" customFormat="1" x14ac:dyDescent="0.3">
      <c r="A269" s="443"/>
      <c r="B269" s="516" t="s">
        <v>162</v>
      </c>
      <c r="C269" s="627"/>
      <c r="D269" s="627"/>
      <c r="E269" s="627"/>
      <c r="F269" s="444"/>
      <c r="G269" s="628"/>
      <c r="H269" s="627"/>
      <c r="I269" s="627"/>
      <c r="J269" s="627"/>
      <c r="K269" s="627"/>
      <c r="L269" s="627"/>
      <c r="M269" s="627"/>
      <c r="N269" s="627"/>
      <c r="O269" s="627"/>
      <c r="P269" s="627"/>
      <c r="Q269" s="627"/>
      <c r="R269" s="516">
        <v>1</v>
      </c>
      <c r="S269" s="628">
        <f>R269/$R$272</f>
        <v>1.1494252873563218E-2</v>
      </c>
      <c r="T269" s="517">
        <v>81</v>
      </c>
      <c r="U269" s="628">
        <f t="shared" si="7"/>
        <v>5.6203164029975019E-3</v>
      </c>
      <c r="V269" s="444"/>
      <c r="W269" s="446"/>
      <c r="X269" s="425"/>
    </row>
    <row r="270" spans="1:25" s="426" customFormat="1" x14ac:dyDescent="0.3">
      <c r="A270" s="443"/>
      <c r="B270" s="516" t="s">
        <v>163</v>
      </c>
      <c r="C270" s="627"/>
      <c r="D270" s="627"/>
      <c r="E270" s="627"/>
      <c r="F270" s="444"/>
      <c r="G270" s="628"/>
      <c r="H270" s="627"/>
      <c r="I270" s="627"/>
      <c r="J270" s="627"/>
      <c r="K270" s="627"/>
      <c r="L270" s="627"/>
      <c r="M270" s="627"/>
      <c r="N270" s="627"/>
      <c r="O270" s="627"/>
      <c r="P270" s="627"/>
      <c r="Q270" s="627"/>
      <c r="R270" s="516">
        <v>7</v>
      </c>
      <c r="S270" s="628">
        <f>R270/$R$272</f>
        <v>8.0459770114942528E-2</v>
      </c>
      <c r="T270" s="517">
        <v>779</v>
      </c>
      <c r="U270" s="628">
        <f t="shared" si="7"/>
        <v>5.4052178739938943E-2</v>
      </c>
      <c r="V270" s="444"/>
      <c r="W270" s="446"/>
      <c r="X270" s="425"/>
    </row>
    <row r="271" spans="1:25" s="426" customFormat="1" x14ac:dyDescent="0.3">
      <c r="A271" s="443"/>
      <c r="B271" s="516"/>
      <c r="C271" s="627"/>
      <c r="D271" s="627"/>
      <c r="E271" s="627"/>
      <c r="F271" s="444"/>
      <c r="G271" s="628"/>
      <c r="H271" s="627"/>
      <c r="I271" s="627"/>
      <c r="J271" s="627"/>
      <c r="K271" s="627"/>
      <c r="L271" s="627"/>
      <c r="M271" s="627"/>
      <c r="N271" s="627"/>
      <c r="O271" s="627"/>
      <c r="P271" s="627"/>
      <c r="Q271" s="627"/>
      <c r="R271" s="516"/>
      <c r="S271" s="628"/>
      <c r="T271" s="517"/>
      <c r="U271" s="628"/>
      <c r="V271" s="444"/>
      <c r="W271" s="446"/>
      <c r="X271" s="425"/>
    </row>
    <row r="272" spans="1:25" s="426" customFormat="1" x14ac:dyDescent="0.3">
      <c r="A272" s="443"/>
      <c r="B272" s="444" t="s">
        <v>117</v>
      </c>
      <c r="C272" s="444"/>
      <c r="D272" s="444"/>
      <c r="E272" s="444"/>
      <c r="F272" s="444"/>
      <c r="G272" s="444"/>
      <c r="H272" s="629"/>
      <c r="I272" s="629"/>
      <c r="J272" s="629"/>
      <c r="K272" s="629"/>
      <c r="L272" s="629"/>
      <c r="M272" s="629"/>
      <c r="N272" s="629"/>
      <c r="O272" s="629"/>
      <c r="P272" s="629"/>
      <c r="Q272" s="629"/>
      <c r="R272" s="516">
        <f>SUM(R263:R271)</f>
        <v>87</v>
      </c>
      <c r="S272" s="628">
        <f>SUM(S263:S271)</f>
        <v>0.99999999999999989</v>
      </c>
      <c r="T272" s="517">
        <f>SUM(T263:T271)</f>
        <v>14412</v>
      </c>
      <c r="U272" s="628">
        <f>SUM(U263:U271)</f>
        <v>1</v>
      </c>
      <c r="V272" s="444"/>
      <c r="W272" s="446"/>
      <c r="X272" s="425"/>
    </row>
    <row r="273" spans="1:24" x14ac:dyDescent="0.3">
      <c r="A273" s="408"/>
      <c r="B273" s="518"/>
      <c r="C273" s="518"/>
      <c r="D273" s="518"/>
      <c r="E273" s="518"/>
      <c r="F273" s="518"/>
      <c r="G273" s="518"/>
      <c r="H273" s="632"/>
      <c r="I273" s="632"/>
      <c r="J273" s="632"/>
      <c r="K273" s="632"/>
      <c r="L273" s="632"/>
      <c r="M273" s="632"/>
      <c r="N273" s="632"/>
      <c r="O273" s="632"/>
      <c r="P273" s="632"/>
      <c r="Q273" s="632"/>
      <c r="R273" s="519"/>
      <c r="S273" s="633"/>
      <c r="T273" s="634"/>
      <c r="U273" s="633"/>
      <c r="V273" s="518"/>
      <c r="W273" s="411"/>
      <c r="X273" s="406"/>
    </row>
    <row r="274" spans="1:24" x14ac:dyDescent="0.3">
      <c r="A274" s="653"/>
      <c r="B274" s="654" t="s">
        <v>404</v>
      </c>
      <c r="C274" s="658"/>
      <c r="D274" s="658"/>
      <c r="E274" s="658"/>
      <c r="F274" s="657"/>
      <c r="G274" s="658"/>
      <c r="H274" s="658"/>
      <c r="I274" s="658"/>
      <c r="J274" s="658"/>
      <c r="K274" s="658"/>
      <c r="L274" s="658"/>
      <c r="M274" s="658"/>
      <c r="N274" s="658"/>
      <c r="O274" s="658"/>
      <c r="P274" s="658"/>
      <c r="Q274" s="658"/>
      <c r="R274" s="657" t="s">
        <v>103</v>
      </c>
      <c r="S274" s="658" t="s">
        <v>104</v>
      </c>
      <c r="T274" s="657" t="s">
        <v>111</v>
      </c>
      <c r="U274" s="658" t="s">
        <v>104</v>
      </c>
      <c r="V274" s="658"/>
      <c r="W274" s="658"/>
      <c r="X274" s="406"/>
    </row>
    <row r="275" spans="1:24" x14ac:dyDescent="0.3">
      <c r="A275" s="675"/>
      <c r="B275" s="676" t="s">
        <v>405</v>
      </c>
      <c r="C275" s="676"/>
      <c r="D275" s="676"/>
      <c r="E275" s="676"/>
      <c r="F275" s="676"/>
      <c r="G275" s="676"/>
      <c r="H275" s="677"/>
      <c r="I275" s="677"/>
      <c r="J275" s="677"/>
      <c r="K275" s="677"/>
      <c r="L275" s="677"/>
      <c r="M275" s="677"/>
      <c r="N275" s="677"/>
      <c r="O275" s="677"/>
      <c r="P275" s="677"/>
      <c r="Q275" s="677"/>
      <c r="R275" s="679">
        <v>78</v>
      </c>
      <c r="S275" s="680">
        <f>R275/R282</f>
        <v>0.89655172413793105</v>
      </c>
      <c r="T275" s="564">
        <v>13111</v>
      </c>
      <c r="U275" s="680">
        <f>T275/T282</f>
        <v>0.90972800444074386</v>
      </c>
      <c r="V275" s="677"/>
      <c r="W275" s="677"/>
      <c r="X275" s="406"/>
    </row>
    <row r="276" spans="1:24" x14ac:dyDescent="0.3">
      <c r="A276" s="675"/>
      <c r="B276" s="676" t="s">
        <v>406</v>
      </c>
      <c r="C276" s="676"/>
      <c r="D276" s="676"/>
      <c r="E276" s="676"/>
      <c r="F276" s="676"/>
      <c r="G276" s="676"/>
      <c r="H276" s="677"/>
      <c r="I276" s="677"/>
      <c r="J276" s="677"/>
      <c r="K276" s="677"/>
      <c r="L276" s="677"/>
      <c r="M276" s="677"/>
      <c r="N276" s="677"/>
      <c r="O276" s="677"/>
      <c r="P276" s="677"/>
      <c r="Q276" s="677"/>
      <c r="R276" s="679">
        <v>2</v>
      </c>
      <c r="S276" s="680">
        <f>R276/R282</f>
        <v>2.2988505747126436E-2</v>
      </c>
      <c r="T276" s="564">
        <v>564</v>
      </c>
      <c r="U276" s="680">
        <f>T276/T282</f>
        <v>3.9134054954204828E-2</v>
      </c>
      <c r="V276" s="677"/>
      <c r="W276" s="677"/>
      <c r="X276" s="406"/>
    </row>
    <row r="277" spans="1:24" x14ac:dyDescent="0.3">
      <c r="A277" s="675"/>
      <c r="B277" s="676" t="s">
        <v>407</v>
      </c>
      <c r="C277" s="676"/>
      <c r="D277" s="676"/>
      <c r="E277" s="676"/>
      <c r="F277" s="676"/>
      <c r="G277" s="676"/>
      <c r="H277" s="677"/>
      <c r="I277" s="677"/>
      <c r="J277" s="677"/>
      <c r="K277" s="677"/>
      <c r="L277" s="677"/>
      <c r="M277" s="677"/>
      <c r="N277" s="677"/>
      <c r="O277" s="677"/>
      <c r="P277" s="677"/>
      <c r="Q277" s="677"/>
      <c r="R277" s="679">
        <v>2</v>
      </c>
      <c r="S277" s="680">
        <f>R277/R282</f>
        <v>2.2988505747126436E-2</v>
      </c>
      <c r="T277" s="564">
        <v>181</v>
      </c>
      <c r="U277" s="680">
        <f>T277/T282</f>
        <v>1.2558978628920345E-2</v>
      </c>
      <c r="V277" s="677"/>
      <c r="W277" s="677"/>
      <c r="X277" s="406"/>
    </row>
    <row r="278" spans="1:24" x14ac:dyDescent="0.3">
      <c r="A278" s="675"/>
      <c r="B278" s="676" t="s">
        <v>408</v>
      </c>
      <c r="C278" s="676"/>
      <c r="D278" s="676"/>
      <c r="E278" s="676"/>
      <c r="F278" s="676"/>
      <c r="G278" s="676"/>
      <c r="H278" s="677"/>
      <c r="I278" s="677"/>
      <c r="J278" s="677"/>
      <c r="K278" s="677"/>
      <c r="L278" s="677"/>
      <c r="M278" s="677"/>
      <c r="N278" s="677"/>
      <c r="O278" s="677"/>
      <c r="P278" s="677"/>
      <c r="Q278" s="677"/>
      <c r="R278" s="679">
        <v>3</v>
      </c>
      <c r="S278" s="680">
        <f>R278/R282</f>
        <v>3.4482758620689655E-2</v>
      </c>
      <c r="T278" s="564">
        <v>353</v>
      </c>
      <c r="U278" s="680">
        <f>T278/T282</f>
        <v>2.4493477657507631E-2</v>
      </c>
      <c r="V278" s="677"/>
      <c r="W278" s="677"/>
      <c r="X278" s="406"/>
    </row>
    <row r="279" spans="1:24" x14ac:dyDescent="0.3">
      <c r="A279" s="675"/>
      <c r="B279" s="676" t="s">
        <v>409</v>
      </c>
      <c r="C279" s="676"/>
      <c r="D279" s="676"/>
      <c r="E279" s="676"/>
      <c r="F279" s="676"/>
      <c r="G279" s="676"/>
      <c r="H279" s="677"/>
      <c r="I279" s="677"/>
      <c r="J279" s="677"/>
      <c r="K279" s="677"/>
      <c r="L279" s="677"/>
      <c r="M279" s="677"/>
      <c r="N279" s="677"/>
      <c r="O279" s="677"/>
      <c r="P279" s="677"/>
      <c r="Q279" s="677"/>
      <c r="R279" s="679">
        <v>1</v>
      </c>
      <c r="S279" s="680">
        <f>R279/R282</f>
        <v>1.1494252873563218E-2</v>
      </c>
      <c r="T279" s="564">
        <v>122</v>
      </c>
      <c r="U279" s="680">
        <f>T279/T282</f>
        <v>8.4651679156258677E-3</v>
      </c>
      <c r="V279" s="677"/>
      <c r="W279" s="677"/>
      <c r="X279" s="406"/>
    </row>
    <row r="280" spans="1:24" x14ac:dyDescent="0.3">
      <c r="A280" s="675"/>
      <c r="B280" s="678" t="s">
        <v>410</v>
      </c>
      <c r="C280" s="676"/>
      <c r="D280" s="676"/>
      <c r="E280" s="676"/>
      <c r="F280" s="676"/>
      <c r="G280" s="676"/>
      <c r="H280" s="677"/>
      <c r="I280" s="677"/>
      <c r="J280" s="677"/>
      <c r="K280" s="677"/>
      <c r="L280" s="677"/>
      <c r="M280" s="677"/>
      <c r="N280" s="677"/>
      <c r="O280" s="677"/>
      <c r="P280" s="677"/>
      <c r="Q280" s="677"/>
      <c r="R280" s="679">
        <v>1</v>
      </c>
      <c r="S280" s="680">
        <f>R280/R282</f>
        <v>1.1494252873563218E-2</v>
      </c>
      <c r="T280" s="564">
        <v>81</v>
      </c>
      <c r="U280" s="680">
        <f>T280/T282</f>
        <v>5.6203164029975019E-3</v>
      </c>
      <c r="V280" s="677"/>
      <c r="W280" s="677"/>
      <c r="X280" s="406"/>
    </row>
    <row r="281" spans="1:24" x14ac:dyDescent="0.3">
      <c r="A281" s="675"/>
      <c r="B281" s="676"/>
      <c r="C281" s="676"/>
      <c r="D281" s="676"/>
      <c r="E281" s="676"/>
      <c r="F281" s="676"/>
      <c r="G281" s="676"/>
      <c r="H281" s="677"/>
      <c r="I281" s="677"/>
      <c r="J281" s="677"/>
      <c r="K281" s="677"/>
      <c r="L281" s="677"/>
      <c r="M281" s="677"/>
      <c r="N281" s="677"/>
      <c r="O281" s="677"/>
      <c r="P281" s="677"/>
      <c r="Q281" s="677"/>
      <c r="R281" s="679"/>
      <c r="S281" s="680"/>
      <c r="T281" s="564"/>
      <c r="U281" s="680"/>
      <c r="V281" s="677"/>
      <c r="W281" s="677"/>
      <c r="X281" s="406"/>
    </row>
    <row r="282" spans="1:24" x14ac:dyDescent="0.3">
      <c r="A282" s="675"/>
      <c r="B282" s="676" t="s">
        <v>117</v>
      </c>
      <c r="C282" s="676"/>
      <c r="D282" s="676"/>
      <c r="E282" s="676"/>
      <c r="F282" s="676"/>
      <c r="G282" s="676"/>
      <c r="H282" s="677"/>
      <c r="I282" s="677"/>
      <c r="J282" s="677"/>
      <c r="K282" s="677"/>
      <c r="L282" s="677"/>
      <c r="M282" s="677"/>
      <c r="N282" s="677"/>
      <c r="O282" s="677"/>
      <c r="P282" s="677"/>
      <c r="Q282" s="677"/>
      <c r="R282" s="679">
        <f>SUM(R275:R281)</f>
        <v>87</v>
      </c>
      <c r="S282" s="680">
        <f>SUM(S275:S280)</f>
        <v>0.99999999999999989</v>
      </c>
      <c r="T282" s="564">
        <f>SUM(T275:T280)</f>
        <v>14412</v>
      </c>
      <c r="U282" s="680">
        <f>SUM(U275:U281)</f>
        <v>1</v>
      </c>
      <c r="V282" s="677"/>
      <c r="W282" s="677"/>
      <c r="X282" s="406"/>
    </row>
    <row r="283" spans="1:24" x14ac:dyDescent="0.3">
      <c r="A283" s="408"/>
      <c r="B283" s="518"/>
      <c r="C283" s="518"/>
      <c r="D283" s="518"/>
      <c r="E283" s="518"/>
      <c r="F283" s="518"/>
      <c r="G283" s="518"/>
      <c r="H283" s="632"/>
      <c r="I283" s="632"/>
      <c r="J283" s="632"/>
      <c r="K283" s="632"/>
      <c r="L283" s="632"/>
      <c r="M283" s="632"/>
      <c r="N283" s="632"/>
      <c r="O283" s="632"/>
      <c r="P283" s="632"/>
      <c r="Q283" s="632"/>
      <c r="R283" s="519"/>
      <c r="S283" s="633"/>
      <c r="T283" s="634"/>
      <c r="U283" s="633"/>
      <c r="V283" s="518"/>
      <c r="W283" s="411"/>
      <c r="X283" s="406"/>
    </row>
    <row r="284" spans="1:24" x14ac:dyDescent="0.3">
      <c r="A284" s="533"/>
      <c r="B284" s="534" t="s">
        <v>166</v>
      </c>
      <c r="C284" s="622"/>
      <c r="D284" s="622"/>
      <c r="E284" s="622"/>
      <c r="F284" s="622"/>
      <c r="G284" s="622"/>
      <c r="H284" s="635"/>
      <c r="I284" s="635"/>
      <c r="J284" s="635"/>
      <c r="K284" s="635"/>
      <c r="L284" s="635"/>
      <c r="M284" s="635"/>
      <c r="N284" s="635"/>
      <c r="O284" s="635"/>
      <c r="P284" s="635"/>
      <c r="Q284" s="635"/>
      <c r="R284" s="621" t="s">
        <v>103</v>
      </c>
      <c r="S284" s="535" t="s">
        <v>104</v>
      </c>
      <c r="T284" s="621" t="s">
        <v>111</v>
      </c>
      <c r="U284" s="535" t="s">
        <v>104</v>
      </c>
      <c r="V284" s="622"/>
      <c r="W284" s="538"/>
      <c r="X284" s="406"/>
    </row>
    <row r="285" spans="1:24" s="426" customFormat="1" x14ac:dyDescent="0.3">
      <c r="A285" s="421"/>
      <c r="B285" s="552" t="s">
        <v>89</v>
      </c>
      <c r="C285" s="494"/>
      <c r="D285" s="494"/>
      <c r="E285" s="494"/>
      <c r="F285" s="494"/>
      <c r="G285" s="494"/>
      <c r="H285" s="636"/>
      <c r="I285" s="636"/>
      <c r="J285" s="636"/>
      <c r="K285" s="636"/>
      <c r="L285" s="636"/>
      <c r="M285" s="636"/>
      <c r="N285" s="636"/>
      <c r="O285" s="636"/>
      <c r="P285" s="636"/>
      <c r="Q285" s="636"/>
      <c r="R285" s="552">
        <v>0</v>
      </c>
      <c r="S285" s="630">
        <v>0</v>
      </c>
      <c r="T285" s="631">
        <v>0</v>
      </c>
      <c r="U285" s="630">
        <v>0</v>
      </c>
      <c r="V285" s="494"/>
      <c r="W285" s="424"/>
      <c r="X285" s="425"/>
    </row>
    <row r="286" spans="1:24" s="426" customFormat="1" x14ac:dyDescent="0.3">
      <c r="A286" s="443"/>
      <c r="B286" s="516" t="s">
        <v>90</v>
      </c>
      <c r="C286" s="444"/>
      <c r="D286" s="444"/>
      <c r="E286" s="444"/>
      <c r="F286" s="444"/>
      <c r="G286" s="444"/>
      <c r="H286" s="629"/>
      <c r="I286" s="629"/>
      <c r="J286" s="629"/>
      <c r="K286" s="629"/>
      <c r="L286" s="629"/>
      <c r="M286" s="629"/>
      <c r="N286" s="629"/>
      <c r="O286" s="629"/>
      <c r="P286" s="629"/>
      <c r="Q286" s="629"/>
      <c r="R286" s="516">
        <v>0</v>
      </c>
      <c r="S286" s="628">
        <v>0</v>
      </c>
      <c r="T286" s="517">
        <v>0</v>
      </c>
      <c r="U286" s="628">
        <v>0</v>
      </c>
      <c r="V286" s="444"/>
      <c r="W286" s="446"/>
      <c r="X286" s="425"/>
    </row>
    <row r="287" spans="1:24" s="426" customFormat="1" x14ac:dyDescent="0.3">
      <c r="A287" s="443"/>
      <c r="B287" s="516" t="s">
        <v>91</v>
      </c>
      <c r="C287" s="444"/>
      <c r="D287" s="444"/>
      <c r="E287" s="444"/>
      <c r="F287" s="444"/>
      <c r="G287" s="444"/>
      <c r="H287" s="629"/>
      <c r="I287" s="629"/>
      <c r="J287" s="629"/>
      <c r="K287" s="629"/>
      <c r="L287" s="629"/>
      <c r="M287" s="629"/>
      <c r="N287" s="629"/>
      <c r="O287" s="629"/>
      <c r="P287" s="629"/>
      <c r="Q287" s="629"/>
      <c r="R287" s="516">
        <v>0</v>
      </c>
      <c r="S287" s="628">
        <v>0</v>
      </c>
      <c r="T287" s="517">
        <v>0</v>
      </c>
      <c r="U287" s="628">
        <v>0</v>
      </c>
      <c r="V287" s="444"/>
      <c r="W287" s="446"/>
      <c r="X287" s="425"/>
    </row>
    <row r="288" spans="1:24" s="426" customFormat="1" x14ac:dyDescent="0.3">
      <c r="A288" s="443"/>
      <c r="B288" s="516" t="s">
        <v>159</v>
      </c>
      <c r="C288" s="444"/>
      <c r="D288" s="444"/>
      <c r="E288" s="444"/>
      <c r="F288" s="444"/>
      <c r="G288" s="444"/>
      <c r="H288" s="629"/>
      <c r="I288" s="629"/>
      <c r="J288" s="629"/>
      <c r="K288" s="629"/>
      <c r="L288" s="629"/>
      <c r="M288" s="629"/>
      <c r="N288" s="629"/>
      <c r="O288" s="629"/>
      <c r="P288" s="629"/>
      <c r="Q288" s="629"/>
      <c r="R288" s="516">
        <v>0</v>
      </c>
      <c r="S288" s="628">
        <v>0</v>
      </c>
      <c r="T288" s="517">
        <v>0</v>
      </c>
      <c r="U288" s="628">
        <v>0</v>
      </c>
      <c r="V288" s="444"/>
      <c r="W288" s="446"/>
      <c r="X288" s="425"/>
    </row>
    <row r="289" spans="1:24" s="426" customFormat="1" x14ac:dyDescent="0.3">
      <c r="A289" s="443"/>
      <c r="B289" s="516" t="s">
        <v>160</v>
      </c>
      <c r="C289" s="444"/>
      <c r="D289" s="444"/>
      <c r="E289" s="444"/>
      <c r="F289" s="444"/>
      <c r="G289" s="444"/>
      <c r="H289" s="629"/>
      <c r="I289" s="629"/>
      <c r="J289" s="629"/>
      <c r="K289" s="629"/>
      <c r="L289" s="629"/>
      <c r="M289" s="629"/>
      <c r="N289" s="629"/>
      <c r="O289" s="629"/>
      <c r="P289" s="629"/>
      <c r="Q289" s="629"/>
      <c r="R289" s="516">
        <v>0</v>
      </c>
      <c r="S289" s="628">
        <v>0</v>
      </c>
      <c r="T289" s="517">
        <v>0</v>
      </c>
      <c r="U289" s="628">
        <v>0</v>
      </c>
      <c r="V289" s="444"/>
      <c r="W289" s="446"/>
      <c r="X289" s="425"/>
    </row>
    <row r="290" spans="1:24" s="426" customFormat="1" x14ac:dyDescent="0.3">
      <c r="A290" s="443"/>
      <c r="B290" s="516" t="s">
        <v>161</v>
      </c>
      <c r="C290" s="444"/>
      <c r="D290" s="444"/>
      <c r="E290" s="444"/>
      <c r="F290" s="444"/>
      <c r="G290" s="444"/>
      <c r="H290" s="629"/>
      <c r="I290" s="629"/>
      <c r="J290" s="629"/>
      <c r="K290" s="629"/>
      <c r="L290" s="629"/>
      <c r="M290" s="629"/>
      <c r="N290" s="629"/>
      <c r="O290" s="629"/>
      <c r="P290" s="629"/>
      <c r="Q290" s="629"/>
      <c r="R290" s="516">
        <v>0</v>
      </c>
      <c r="S290" s="628">
        <v>0</v>
      </c>
      <c r="T290" s="517">
        <v>0</v>
      </c>
      <c r="U290" s="628">
        <v>0</v>
      </c>
      <c r="V290" s="444"/>
      <c r="W290" s="446"/>
      <c r="X290" s="425"/>
    </row>
    <row r="291" spans="1:24" s="426" customFormat="1" x14ac:dyDescent="0.3">
      <c r="A291" s="443"/>
      <c r="B291" s="516" t="s">
        <v>162</v>
      </c>
      <c r="C291" s="444"/>
      <c r="D291" s="444"/>
      <c r="E291" s="444"/>
      <c r="F291" s="444"/>
      <c r="G291" s="444"/>
      <c r="H291" s="629"/>
      <c r="I291" s="629"/>
      <c r="J291" s="629"/>
      <c r="K291" s="629"/>
      <c r="L291" s="629"/>
      <c r="M291" s="629"/>
      <c r="N291" s="629"/>
      <c r="O291" s="629"/>
      <c r="P291" s="629"/>
      <c r="Q291" s="629"/>
      <c r="R291" s="516">
        <v>0</v>
      </c>
      <c r="S291" s="628">
        <v>0</v>
      </c>
      <c r="T291" s="517">
        <v>0</v>
      </c>
      <c r="U291" s="628">
        <v>0</v>
      </c>
      <c r="V291" s="444"/>
      <c r="W291" s="446"/>
      <c r="X291" s="425"/>
    </row>
    <row r="292" spans="1:24" s="426" customFormat="1" x14ac:dyDescent="0.3">
      <c r="A292" s="443"/>
      <c r="B292" s="516" t="s">
        <v>163</v>
      </c>
      <c r="C292" s="444"/>
      <c r="D292" s="444"/>
      <c r="E292" s="444"/>
      <c r="F292" s="444"/>
      <c r="G292" s="444"/>
      <c r="H292" s="629"/>
      <c r="I292" s="629"/>
      <c r="J292" s="629"/>
      <c r="K292" s="629"/>
      <c r="L292" s="629"/>
      <c r="M292" s="629"/>
      <c r="N292" s="629"/>
      <c r="O292" s="629"/>
      <c r="P292" s="629"/>
      <c r="Q292" s="629"/>
      <c r="R292" s="516">
        <v>0</v>
      </c>
      <c r="S292" s="628">
        <v>0</v>
      </c>
      <c r="T292" s="517">
        <v>0</v>
      </c>
      <c r="U292" s="628">
        <v>0</v>
      </c>
      <c r="V292" s="444"/>
      <c r="W292" s="446"/>
      <c r="X292" s="425"/>
    </row>
    <row r="293" spans="1:24" s="426" customFormat="1" x14ac:dyDescent="0.3">
      <c r="A293" s="443"/>
      <c r="B293" s="516"/>
      <c r="C293" s="444"/>
      <c r="D293" s="444"/>
      <c r="E293" s="444"/>
      <c r="F293" s="444"/>
      <c r="G293" s="444"/>
      <c r="H293" s="629"/>
      <c r="I293" s="629"/>
      <c r="J293" s="629"/>
      <c r="K293" s="629"/>
      <c r="L293" s="629"/>
      <c r="M293" s="629"/>
      <c r="N293" s="629"/>
      <c r="O293" s="629"/>
      <c r="P293" s="629"/>
      <c r="Q293" s="629"/>
      <c r="R293" s="516"/>
      <c r="S293" s="628"/>
      <c r="T293" s="517"/>
      <c r="U293" s="628"/>
      <c r="V293" s="444"/>
      <c r="W293" s="446"/>
      <c r="X293" s="425"/>
    </row>
    <row r="294" spans="1:24" s="426" customFormat="1" x14ac:dyDescent="0.3">
      <c r="A294" s="443"/>
      <c r="B294" s="444" t="s">
        <v>117</v>
      </c>
      <c r="C294" s="444"/>
      <c r="D294" s="444"/>
      <c r="E294" s="444"/>
      <c r="F294" s="444"/>
      <c r="G294" s="444"/>
      <c r="H294" s="629"/>
      <c r="I294" s="629"/>
      <c r="J294" s="629"/>
      <c r="K294" s="629"/>
      <c r="L294" s="629"/>
      <c r="M294" s="629"/>
      <c r="N294" s="629"/>
      <c r="O294" s="629"/>
      <c r="P294" s="629"/>
      <c r="Q294" s="629"/>
      <c r="R294" s="516">
        <f>SUM(R285:R292)</f>
        <v>0</v>
      </c>
      <c r="S294" s="628">
        <f>SUM(S285:S292)</f>
        <v>0</v>
      </c>
      <c r="T294" s="517">
        <f>SUM(T285:T292)</f>
        <v>0</v>
      </c>
      <c r="U294" s="628">
        <f>SUM(U285:U292)</f>
        <v>0</v>
      </c>
      <c r="V294" s="444"/>
      <c r="W294" s="446"/>
      <c r="X294" s="425"/>
    </row>
    <row r="295" spans="1:24" s="426" customFormat="1" x14ac:dyDescent="0.3">
      <c r="A295" s="443"/>
      <c r="B295" s="444"/>
      <c r="C295" s="444"/>
      <c r="D295" s="444"/>
      <c r="E295" s="444"/>
      <c r="F295" s="444"/>
      <c r="G295" s="444"/>
      <c r="H295" s="629"/>
      <c r="I295" s="629"/>
      <c r="J295" s="629"/>
      <c r="K295" s="629"/>
      <c r="L295" s="629"/>
      <c r="M295" s="629"/>
      <c r="N295" s="629"/>
      <c r="O295" s="629"/>
      <c r="P295" s="629"/>
      <c r="Q295" s="629"/>
      <c r="R295" s="516"/>
      <c r="S295" s="628"/>
      <c r="T295" s="517"/>
      <c r="U295" s="628"/>
      <c r="V295" s="444"/>
      <c r="W295" s="446"/>
      <c r="X295" s="425"/>
    </row>
    <row r="296" spans="1:24" s="426" customFormat="1" x14ac:dyDescent="0.3">
      <c r="A296" s="443"/>
      <c r="B296" s="449" t="s">
        <v>167</v>
      </c>
      <c r="C296" s="444"/>
      <c r="D296" s="444"/>
      <c r="E296" s="444"/>
      <c r="F296" s="444"/>
      <c r="G296" s="444"/>
      <c r="H296" s="629"/>
      <c r="I296" s="629"/>
      <c r="J296" s="629"/>
      <c r="K296" s="629"/>
      <c r="L296" s="629"/>
      <c r="M296" s="629"/>
      <c r="N296" s="629"/>
      <c r="O296" s="629"/>
      <c r="P296" s="629"/>
      <c r="Q296" s="629"/>
      <c r="R296" s="637">
        <f>R294+R272+R260</f>
        <v>5235</v>
      </c>
      <c r="S296" s="628"/>
      <c r="T296" s="638">
        <f>+T294+T272+T260</f>
        <v>667997</v>
      </c>
      <c r="U296" s="628"/>
      <c r="V296" s="444"/>
      <c r="W296" s="446"/>
      <c r="X296" s="425"/>
    </row>
    <row r="297" spans="1:24" s="426" customFormat="1" x14ac:dyDescent="0.3">
      <c r="A297" s="421"/>
      <c r="B297" s="650"/>
      <c r="C297" s="494"/>
      <c r="D297" s="494"/>
      <c r="E297" s="494"/>
      <c r="F297" s="494"/>
      <c r="G297" s="494"/>
      <c r="H297" s="636"/>
      <c r="I297" s="636"/>
      <c r="J297" s="636"/>
      <c r="K297" s="636"/>
      <c r="L297" s="636"/>
      <c r="M297" s="636"/>
      <c r="N297" s="636"/>
      <c r="O297" s="636"/>
      <c r="P297" s="636"/>
      <c r="Q297" s="636"/>
      <c r="R297" s="651"/>
      <c r="S297" s="630"/>
      <c r="T297" s="652"/>
      <c r="U297" s="630"/>
      <c r="V297" s="494"/>
      <c r="W297" s="424"/>
      <c r="X297" s="425"/>
    </row>
    <row r="298" spans="1:24" s="426" customFormat="1" x14ac:dyDescent="0.3">
      <c r="A298" s="653" t="s">
        <v>390</v>
      </c>
      <c r="B298" s="654" t="s">
        <v>389</v>
      </c>
      <c r="C298" s="655"/>
      <c r="D298" s="655"/>
      <c r="E298" s="655"/>
      <c r="F298" s="655"/>
      <c r="G298" s="655"/>
      <c r="H298" s="656"/>
      <c r="I298" s="656"/>
      <c r="J298" s="656"/>
      <c r="K298" s="656"/>
      <c r="L298" s="656"/>
      <c r="M298" s="656"/>
      <c r="N298" s="656"/>
      <c r="O298" s="635"/>
      <c r="P298" s="635"/>
      <c r="Q298" s="635"/>
      <c r="R298" s="657" t="s">
        <v>103</v>
      </c>
      <c r="S298" s="658" t="s">
        <v>104</v>
      </c>
      <c r="T298" s="657" t="s">
        <v>111</v>
      </c>
      <c r="U298" s="658" t="s">
        <v>104</v>
      </c>
      <c r="V298" s="654" t="s">
        <v>419</v>
      </c>
      <c r="W298" s="538"/>
      <c r="X298" s="425"/>
    </row>
    <row r="299" spans="1:24" s="426" customFormat="1" x14ac:dyDescent="0.3">
      <c r="A299" s="659"/>
      <c r="B299" s="660" t="s">
        <v>89</v>
      </c>
      <c r="C299" s="661"/>
      <c r="D299" s="661"/>
      <c r="E299" s="661"/>
      <c r="F299" s="661"/>
      <c r="G299" s="661"/>
      <c r="H299" s="662"/>
      <c r="I299" s="662"/>
      <c r="J299" s="662"/>
      <c r="K299" s="662"/>
      <c r="L299" s="662"/>
      <c r="M299" s="662"/>
      <c r="N299" s="662"/>
      <c r="O299" s="636"/>
      <c r="P299" s="636"/>
      <c r="Q299" s="636"/>
      <c r="R299" s="660">
        <v>692</v>
      </c>
      <c r="S299" s="663">
        <f>R299/$R$308</f>
        <v>0.97054698457222999</v>
      </c>
      <c r="T299" s="664">
        <v>101156</v>
      </c>
      <c r="U299" s="663">
        <f>T299/$T$308</f>
        <v>0.96098344147516224</v>
      </c>
      <c r="V299" s="494"/>
      <c r="W299" s="424"/>
      <c r="X299" s="425"/>
    </row>
    <row r="300" spans="1:24" s="426" customFormat="1" x14ac:dyDescent="0.3">
      <c r="A300" s="665"/>
      <c r="B300" s="666" t="s">
        <v>90</v>
      </c>
      <c r="C300" s="667"/>
      <c r="D300" s="667"/>
      <c r="E300" s="667"/>
      <c r="F300" s="667"/>
      <c r="G300" s="667"/>
      <c r="H300" s="668"/>
      <c r="I300" s="668"/>
      <c r="J300" s="668"/>
      <c r="K300" s="668"/>
      <c r="L300" s="668"/>
      <c r="M300" s="668"/>
      <c r="N300" s="668"/>
      <c r="O300" s="629"/>
      <c r="P300" s="629"/>
      <c r="Q300" s="629"/>
      <c r="R300" s="666">
        <v>21</v>
      </c>
      <c r="S300" s="672">
        <f t="shared" ref="S300:S306" si="9">R300/$R$308</f>
        <v>2.9453015427769985E-2</v>
      </c>
      <c r="T300" s="670">
        <v>4107</v>
      </c>
      <c r="U300" s="669">
        <f t="shared" ref="U300:U306" si="10">T300/$T$308</f>
        <v>3.9016558524837784E-2</v>
      </c>
      <c r="V300" s="444"/>
      <c r="W300" s="446"/>
      <c r="X300" s="425"/>
    </row>
    <row r="301" spans="1:24" s="426" customFormat="1" x14ac:dyDescent="0.3">
      <c r="A301" s="665"/>
      <c r="B301" s="666" t="s">
        <v>91</v>
      </c>
      <c r="C301" s="667"/>
      <c r="D301" s="667"/>
      <c r="E301" s="667"/>
      <c r="F301" s="667"/>
      <c r="G301" s="667"/>
      <c r="H301" s="668"/>
      <c r="I301" s="668"/>
      <c r="J301" s="668"/>
      <c r="K301" s="668"/>
      <c r="L301" s="668"/>
      <c r="M301" s="668"/>
      <c r="N301" s="668"/>
      <c r="O301" s="629"/>
      <c r="P301" s="629"/>
      <c r="Q301" s="629"/>
      <c r="R301" s="666">
        <v>0</v>
      </c>
      <c r="S301" s="672">
        <f t="shared" si="9"/>
        <v>0</v>
      </c>
      <c r="T301" s="670">
        <v>0</v>
      </c>
      <c r="U301" s="669">
        <f t="shared" si="10"/>
        <v>0</v>
      </c>
      <c r="V301" s="444"/>
      <c r="W301" s="446"/>
      <c r="X301" s="425"/>
    </row>
    <row r="302" spans="1:24" s="426" customFormat="1" x14ac:dyDescent="0.3">
      <c r="A302" s="665"/>
      <c r="B302" s="666" t="s">
        <v>159</v>
      </c>
      <c r="C302" s="667"/>
      <c r="D302" s="667"/>
      <c r="E302" s="667"/>
      <c r="F302" s="667"/>
      <c r="G302" s="667"/>
      <c r="H302" s="668"/>
      <c r="I302" s="668"/>
      <c r="J302" s="668"/>
      <c r="K302" s="668"/>
      <c r="L302" s="668"/>
      <c r="M302" s="668"/>
      <c r="N302" s="668"/>
      <c r="O302" s="629"/>
      <c r="P302" s="629"/>
      <c r="Q302" s="629"/>
      <c r="R302" s="666">
        <v>0</v>
      </c>
      <c r="S302" s="672">
        <f t="shared" si="9"/>
        <v>0</v>
      </c>
      <c r="T302" s="670">
        <v>0</v>
      </c>
      <c r="U302" s="669">
        <f t="shared" si="10"/>
        <v>0</v>
      </c>
      <c r="V302" s="444"/>
      <c r="W302" s="446"/>
      <c r="X302" s="425"/>
    </row>
    <row r="303" spans="1:24" s="426" customFormat="1" x14ac:dyDescent="0.3">
      <c r="A303" s="665"/>
      <c r="B303" s="666" t="s">
        <v>160</v>
      </c>
      <c r="C303" s="667"/>
      <c r="D303" s="667"/>
      <c r="E303" s="667"/>
      <c r="F303" s="667"/>
      <c r="G303" s="667"/>
      <c r="H303" s="668"/>
      <c r="I303" s="668"/>
      <c r="J303" s="668"/>
      <c r="K303" s="668"/>
      <c r="L303" s="668"/>
      <c r="M303" s="668"/>
      <c r="N303" s="668"/>
      <c r="O303" s="629"/>
      <c r="P303" s="629"/>
      <c r="Q303" s="629"/>
      <c r="R303" s="666">
        <v>0</v>
      </c>
      <c r="S303" s="672">
        <f t="shared" si="9"/>
        <v>0</v>
      </c>
      <c r="T303" s="670">
        <v>0</v>
      </c>
      <c r="U303" s="669">
        <f t="shared" si="10"/>
        <v>0</v>
      </c>
      <c r="V303" s="444"/>
      <c r="W303" s="446"/>
      <c r="X303" s="425"/>
    </row>
    <row r="304" spans="1:24" s="426" customFormat="1" x14ac:dyDescent="0.3">
      <c r="A304" s="665"/>
      <c r="B304" s="666" t="s">
        <v>161</v>
      </c>
      <c r="C304" s="667"/>
      <c r="D304" s="667"/>
      <c r="E304" s="667"/>
      <c r="F304" s="667"/>
      <c r="G304" s="667"/>
      <c r="H304" s="668"/>
      <c r="I304" s="668"/>
      <c r="J304" s="668"/>
      <c r="K304" s="668"/>
      <c r="L304" s="668"/>
      <c r="M304" s="668"/>
      <c r="N304" s="668"/>
      <c r="O304" s="629"/>
      <c r="P304" s="629"/>
      <c r="Q304" s="629"/>
      <c r="R304" s="666">
        <v>0</v>
      </c>
      <c r="S304" s="672">
        <f t="shared" si="9"/>
        <v>0</v>
      </c>
      <c r="T304" s="670">
        <v>0</v>
      </c>
      <c r="U304" s="669">
        <f t="shared" si="10"/>
        <v>0</v>
      </c>
      <c r="V304" s="444"/>
      <c r="W304" s="446"/>
      <c r="X304" s="425"/>
    </row>
    <row r="305" spans="1:24" s="426" customFormat="1" x14ac:dyDescent="0.3">
      <c r="A305" s="665"/>
      <c r="B305" s="666" t="s">
        <v>162</v>
      </c>
      <c r="C305" s="667"/>
      <c r="D305" s="667"/>
      <c r="E305" s="667"/>
      <c r="F305" s="667"/>
      <c r="G305" s="667"/>
      <c r="H305" s="668"/>
      <c r="I305" s="668"/>
      <c r="J305" s="668"/>
      <c r="K305" s="668"/>
      <c r="L305" s="668"/>
      <c r="M305" s="668"/>
      <c r="N305" s="668"/>
      <c r="O305" s="629"/>
      <c r="P305" s="629"/>
      <c r="Q305" s="629"/>
      <c r="R305" s="666">
        <v>0</v>
      </c>
      <c r="S305" s="672">
        <f t="shared" si="9"/>
        <v>0</v>
      </c>
      <c r="T305" s="670">
        <v>0</v>
      </c>
      <c r="U305" s="669">
        <f t="shared" si="10"/>
        <v>0</v>
      </c>
      <c r="V305" s="444"/>
      <c r="W305" s="446"/>
      <c r="X305" s="425"/>
    </row>
    <row r="306" spans="1:24" s="426" customFormat="1" x14ac:dyDescent="0.3">
      <c r="A306" s="665"/>
      <c r="B306" s="666" t="s">
        <v>163</v>
      </c>
      <c r="C306" s="667"/>
      <c r="D306" s="667"/>
      <c r="E306" s="667"/>
      <c r="F306" s="667"/>
      <c r="G306" s="667"/>
      <c r="H306" s="668"/>
      <c r="I306" s="668"/>
      <c r="J306" s="668"/>
      <c r="K306" s="668"/>
      <c r="L306" s="668"/>
      <c r="M306" s="668"/>
      <c r="N306" s="668"/>
      <c r="O306" s="629"/>
      <c r="P306" s="629"/>
      <c r="Q306" s="629"/>
      <c r="R306" s="666">
        <v>0</v>
      </c>
      <c r="S306" s="663">
        <f t="shared" si="9"/>
        <v>0</v>
      </c>
      <c r="T306" s="670">
        <v>0</v>
      </c>
      <c r="U306" s="669">
        <f t="shared" si="10"/>
        <v>0</v>
      </c>
      <c r="V306" s="444"/>
      <c r="W306" s="446"/>
      <c r="X306" s="425"/>
    </row>
    <row r="307" spans="1:24" s="426" customFormat="1" x14ac:dyDescent="0.3">
      <c r="A307" s="665"/>
      <c r="B307" s="666"/>
      <c r="C307" s="667"/>
      <c r="D307" s="667"/>
      <c r="E307" s="667"/>
      <c r="F307" s="667"/>
      <c r="G307" s="667"/>
      <c r="H307" s="668"/>
      <c r="I307" s="668"/>
      <c r="J307" s="668"/>
      <c r="K307" s="668"/>
      <c r="L307" s="668"/>
      <c r="M307" s="668"/>
      <c r="N307" s="668"/>
      <c r="O307" s="629"/>
      <c r="P307" s="629"/>
      <c r="Q307" s="629"/>
      <c r="R307" s="666"/>
      <c r="S307" s="669"/>
      <c r="T307" s="670"/>
      <c r="U307" s="669"/>
      <c r="V307" s="444"/>
      <c r="W307" s="446"/>
      <c r="X307" s="425"/>
    </row>
    <row r="308" spans="1:24" s="426" customFormat="1" x14ac:dyDescent="0.3">
      <c r="A308" s="665"/>
      <c r="B308" s="667" t="s">
        <v>117</v>
      </c>
      <c r="C308" s="667"/>
      <c r="D308" s="667"/>
      <c r="E308" s="667"/>
      <c r="F308" s="667"/>
      <c r="G308" s="667"/>
      <c r="H308" s="668"/>
      <c r="I308" s="668"/>
      <c r="J308" s="668"/>
      <c r="K308" s="668"/>
      <c r="L308" s="668"/>
      <c r="M308" s="668"/>
      <c r="N308" s="668"/>
      <c r="O308" s="629"/>
      <c r="P308" s="629"/>
      <c r="Q308" s="629"/>
      <c r="R308" s="666">
        <f>SUM(R299:R306)</f>
        <v>713</v>
      </c>
      <c r="S308" s="669">
        <f>SUM(S299:S307)</f>
        <v>1</v>
      </c>
      <c r="T308" s="670">
        <f>SUM(T299:T306)</f>
        <v>105263</v>
      </c>
      <c r="U308" s="669">
        <f>SUM(U299:U307)</f>
        <v>1</v>
      </c>
      <c r="V308" s="444"/>
      <c r="W308" s="446"/>
      <c r="X308" s="425"/>
    </row>
    <row r="309" spans="1:24" s="426" customFormat="1" ht="16.2" thickBot="1" x14ac:dyDescent="0.35">
      <c r="A309" s="665"/>
      <c r="B309" s="667" t="s">
        <v>411</v>
      </c>
      <c r="C309" s="667"/>
      <c r="D309" s="667"/>
      <c r="E309" s="667"/>
      <c r="F309" s="667"/>
      <c r="G309" s="667"/>
      <c r="H309" s="668"/>
      <c r="I309" s="668"/>
      <c r="J309" s="668"/>
      <c r="K309" s="668"/>
      <c r="L309" s="668"/>
      <c r="M309" s="668"/>
      <c r="N309" s="668"/>
      <c r="O309" s="629"/>
      <c r="P309" s="629"/>
      <c r="Q309" s="629"/>
      <c r="R309" s="683"/>
      <c r="S309" s="684">
        <f>R308/R296</f>
        <v>0.13619866284622731</v>
      </c>
      <c r="T309" s="685"/>
      <c r="U309" s="684">
        <f>T308/T296</f>
        <v>0.15758004901219616</v>
      </c>
      <c r="V309" s="686"/>
      <c r="W309" s="446"/>
      <c r="X309" s="425"/>
    </row>
    <row r="310" spans="1:24" s="426" customFormat="1" ht="16.2" thickTop="1" x14ac:dyDescent="0.3">
      <c r="A310" s="665"/>
      <c r="B310" s="667" t="s">
        <v>420</v>
      </c>
      <c r="C310" s="667"/>
      <c r="D310" s="667"/>
      <c r="E310" s="667"/>
      <c r="F310" s="667"/>
      <c r="G310" s="667"/>
      <c r="H310" s="668"/>
      <c r="I310" s="668"/>
      <c r="J310" s="668"/>
      <c r="K310" s="668"/>
      <c r="L310" s="668"/>
      <c r="M310" s="668"/>
      <c r="N310" s="668"/>
      <c r="O310" s="629"/>
      <c r="P310" s="629"/>
      <c r="Q310" s="629"/>
      <c r="R310" s="687">
        <v>495</v>
      </c>
      <c r="S310" s="688">
        <f>R310/R308</f>
        <v>0.69424964936886391</v>
      </c>
      <c r="T310" s="689">
        <v>74190</v>
      </c>
      <c r="U310" s="688">
        <f>T310/T308</f>
        <v>0.70480605720908585</v>
      </c>
      <c r="V310" s="690">
        <v>0.99996734907108109</v>
      </c>
      <c r="W310" s="446"/>
      <c r="X310" s="425"/>
    </row>
    <row r="311" spans="1:24" s="426" customFormat="1" ht="16.2" thickBot="1" x14ac:dyDescent="0.35">
      <c r="A311" s="665"/>
      <c r="B311" s="667" t="s">
        <v>421</v>
      </c>
      <c r="C311" s="667"/>
      <c r="D311" s="667"/>
      <c r="E311" s="667"/>
      <c r="F311" s="667"/>
      <c r="G311" s="667"/>
      <c r="H311" s="668"/>
      <c r="I311" s="668"/>
      <c r="J311" s="668"/>
      <c r="K311" s="668"/>
      <c r="L311" s="668"/>
      <c r="M311" s="668"/>
      <c r="N311" s="668"/>
      <c r="O311" s="629"/>
      <c r="P311" s="629"/>
      <c r="Q311" s="629"/>
      <c r="R311" s="691">
        <v>218</v>
      </c>
      <c r="S311" s="692">
        <f>R311/R308</f>
        <v>0.30575035063113604</v>
      </c>
      <c r="T311" s="693">
        <v>31073</v>
      </c>
      <c r="U311" s="692">
        <f>T311/T308</f>
        <v>0.29519394279091421</v>
      </c>
      <c r="V311" s="694">
        <v>2.6053566143829534</v>
      </c>
      <c r="W311" s="446"/>
      <c r="X311" s="425"/>
    </row>
    <row r="312" spans="1:24" s="426" customFormat="1" ht="16.2" thickTop="1" x14ac:dyDescent="0.3">
      <c r="A312" s="421"/>
      <c r="B312" s="494"/>
      <c r="C312" s="494"/>
      <c r="D312" s="494"/>
      <c r="E312" s="494"/>
      <c r="F312" s="494"/>
      <c r="G312" s="494"/>
      <c r="H312" s="636"/>
      <c r="I312" s="636"/>
      <c r="J312" s="636"/>
      <c r="K312" s="636"/>
      <c r="L312" s="636"/>
      <c r="M312" s="636"/>
      <c r="N312" s="636"/>
      <c r="O312" s="671"/>
      <c r="P312" s="671"/>
      <c r="Q312" s="636"/>
      <c r="R312" s="636"/>
      <c r="S312" s="636"/>
      <c r="T312" s="631"/>
      <c r="U312" s="636"/>
      <c r="V312" s="494"/>
      <c r="W312" s="424"/>
      <c r="X312" s="425"/>
    </row>
    <row r="313" spans="1:24" s="426" customFormat="1" x14ac:dyDescent="0.3">
      <c r="A313" s="421"/>
      <c r="B313" s="420" t="s">
        <v>92</v>
      </c>
      <c r="C313" s="422"/>
      <c r="D313" s="422"/>
      <c r="E313" s="422"/>
      <c r="F313" s="429" t="s">
        <v>98</v>
      </c>
      <c r="G313" s="422"/>
      <c r="H313" s="420" t="s">
        <v>100</v>
      </c>
      <c r="I313" s="420"/>
      <c r="J313" s="420"/>
      <c r="K313" s="422"/>
      <c r="L313" s="422"/>
      <c r="M313" s="422"/>
      <c r="N313" s="422"/>
      <c r="O313" s="422"/>
      <c r="P313" s="422"/>
      <c r="Q313" s="422"/>
      <c r="R313" s="422"/>
      <c r="S313" s="422"/>
      <c r="T313" s="422"/>
      <c r="U313" s="422"/>
      <c r="V313" s="422"/>
      <c r="W313" s="424"/>
      <c r="X313" s="425"/>
    </row>
    <row r="314" spans="1:24" s="426" customFormat="1" x14ac:dyDescent="0.3">
      <c r="A314" s="421"/>
      <c r="B314" s="420" t="s">
        <v>336</v>
      </c>
      <c r="C314" s="420"/>
      <c r="D314" s="420"/>
      <c r="E314" s="420"/>
      <c r="F314" s="641" t="s">
        <v>282</v>
      </c>
      <c r="G314" s="420"/>
      <c r="H314" s="420" t="s">
        <v>371</v>
      </c>
      <c r="I314" s="422"/>
      <c r="J314" s="420"/>
      <c r="K314" s="422"/>
      <c r="L314" s="422"/>
      <c r="M314" s="422"/>
      <c r="N314" s="422"/>
      <c r="O314" s="422"/>
      <c r="P314" s="422"/>
      <c r="Q314" s="422"/>
      <c r="R314" s="422"/>
      <c r="S314" s="422"/>
      <c r="T314" s="422"/>
      <c r="U314" s="422"/>
      <c r="V314" s="422"/>
      <c r="W314" s="424"/>
      <c r="X314" s="425"/>
    </row>
    <row r="315" spans="1:24" s="426" customFormat="1" x14ac:dyDescent="0.3">
      <c r="A315" s="421"/>
      <c r="B315" s="420" t="s">
        <v>337</v>
      </c>
      <c r="C315" s="420"/>
      <c r="D315" s="420"/>
      <c r="E315" s="420"/>
      <c r="F315" s="641" t="s">
        <v>150</v>
      </c>
      <c r="G315" s="420"/>
      <c r="H315" s="420" t="s">
        <v>372</v>
      </c>
      <c r="I315" s="420"/>
      <c r="J315" s="420"/>
      <c r="K315" s="422"/>
      <c r="L315" s="422"/>
      <c r="M315" s="422"/>
      <c r="N315" s="422"/>
      <c r="O315" s="422"/>
      <c r="P315" s="422"/>
      <c r="Q315" s="422"/>
      <c r="R315" s="422"/>
      <c r="S315" s="422"/>
      <c r="T315" s="422"/>
      <c r="U315" s="422"/>
      <c r="V315" s="422"/>
      <c r="W315" s="424"/>
      <c r="X315" s="425"/>
    </row>
    <row r="316" spans="1:24" s="426" customFormat="1" x14ac:dyDescent="0.3">
      <c r="A316" s="421"/>
      <c r="B316" s="420"/>
      <c r="C316" s="420"/>
      <c r="D316" s="420"/>
      <c r="E316" s="420"/>
      <c r="F316" s="641"/>
      <c r="G316" s="420"/>
      <c r="H316" s="420"/>
      <c r="I316" s="420"/>
      <c r="J316" s="420"/>
      <c r="K316" s="422"/>
      <c r="L316" s="422"/>
      <c r="M316" s="422"/>
      <c r="N316" s="422"/>
      <c r="O316" s="422"/>
      <c r="P316" s="422"/>
      <c r="Q316" s="422"/>
      <c r="R316" s="422"/>
      <c r="S316" s="422"/>
      <c r="T316" s="422"/>
      <c r="U316" s="422"/>
      <c r="V316" s="422"/>
      <c r="W316" s="424"/>
      <c r="X316" s="425"/>
    </row>
    <row r="317" spans="1:24" s="426" customFormat="1" x14ac:dyDescent="0.3">
      <c r="A317" s="421"/>
      <c r="B317" s="494" t="s">
        <v>367</v>
      </c>
      <c r="C317" s="420"/>
      <c r="D317" s="420"/>
      <c r="E317" s="420"/>
      <c r="F317" s="641"/>
      <c r="G317" s="420"/>
      <c r="H317" s="420"/>
      <c r="I317" s="420"/>
      <c r="J317" s="420"/>
      <c r="K317" s="422"/>
      <c r="L317" s="422"/>
      <c r="M317" s="422"/>
      <c r="N317" s="422"/>
      <c r="O317" s="422"/>
      <c r="P317" s="422"/>
      <c r="Q317" s="422"/>
      <c r="R317" s="422"/>
      <c r="S317" s="422"/>
      <c r="T317" s="422"/>
      <c r="U317" s="422"/>
      <c r="V317" s="422"/>
      <c r="W317" s="424"/>
      <c r="X317" s="425"/>
    </row>
    <row r="318" spans="1:24" s="426" customFormat="1" x14ac:dyDescent="0.3">
      <c r="A318" s="421"/>
      <c r="B318" s="494" t="s">
        <v>373</v>
      </c>
      <c r="C318" s="420"/>
      <c r="D318" s="420"/>
      <c r="E318" s="420"/>
      <c r="F318" s="641"/>
      <c r="G318" s="420"/>
      <c r="H318" s="420"/>
      <c r="I318" s="420"/>
      <c r="J318" s="420"/>
      <c r="K318" s="422"/>
      <c r="L318" s="422"/>
      <c r="M318" s="422"/>
      <c r="N318" s="422"/>
      <c r="O318" s="422"/>
      <c r="P318" s="422"/>
      <c r="Q318" s="422"/>
      <c r="R318" s="422"/>
      <c r="S318" s="422"/>
      <c r="T318" s="422"/>
      <c r="U318" s="422"/>
      <c r="V318" s="422"/>
      <c r="W318" s="424"/>
      <c r="X318" s="425"/>
    </row>
    <row r="319" spans="1:24" s="426" customFormat="1" x14ac:dyDescent="0.3">
      <c r="A319" s="421"/>
      <c r="B319" s="494" t="s">
        <v>365</v>
      </c>
      <c r="C319" s="420"/>
      <c r="D319" s="420"/>
      <c r="E319" s="420"/>
      <c r="F319" s="641"/>
      <c r="G319" s="420"/>
      <c r="H319" s="420"/>
      <c r="I319" s="420"/>
      <c r="J319" s="420"/>
      <c r="K319" s="422"/>
      <c r="L319" s="422"/>
      <c r="M319" s="422"/>
      <c r="N319" s="422"/>
      <c r="O319" s="422"/>
      <c r="P319" s="422"/>
      <c r="Q319" s="422"/>
      <c r="R319" s="422"/>
      <c r="S319" s="422"/>
      <c r="T319" s="422"/>
      <c r="U319" s="422"/>
      <c r="V319" s="422"/>
      <c r="W319" s="424"/>
      <c r="X319" s="425"/>
    </row>
    <row r="320" spans="1:24" s="426" customFormat="1" x14ac:dyDescent="0.3">
      <c r="A320" s="421"/>
      <c r="B320" s="494" t="s">
        <v>366</v>
      </c>
      <c r="C320" s="420"/>
      <c r="D320" s="420"/>
      <c r="E320" s="420"/>
      <c r="F320" s="641"/>
      <c r="G320" s="420"/>
      <c r="H320" s="420"/>
      <c r="I320" s="420"/>
      <c r="J320" s="420"/>
      <c r="K320" s="422"/>
      <c r="L320" s="422"/>
      <c r="M320" s="422"/>
      <c r="N320" s="422"/>
      <c r="O320" s="422"/>
      <c r="P320" s="422"/>
      <c r="Q320" s="422"/>
      <c r="R320" s="422"/>
      <c r="S320" s="422"/>
      <c r="T320" s="422"/>
      <c r="U320" s="422"/>
      <c r="V320" s="422"/>
      <c r="W320" s="424"/>
      <c r="X320" s="425"/>
    </row>
    <row r="321" spans="1:24" s="426" customFormat="1" x14ac:dyDescent="0.3">
      <c r="A321" s="421"/>
      <c r="B321" s="494"/>
      <c r="C321" s="420"/>
      <c r="D321" s="420"/>
      <c r="E321" s="420"/>
      <c r="F321" s="641"/>
      <c r="G321" s="420"/>
      <c r="H321" s="420"/>
      <c r="I321" s="420"/>
      <c r="J321" s="420"/>
      <c r="K321" s="422"/>
      <c r="L321" s="422"/>
      <c r="M321" s="422"/>
      <c r="N321" s="422"/>
      <c r="O321" s="422"/>
      <c r="P321" s="422"/>
      <c r="Q321" s="422"/>
      <c r="R321" s="422"/>
      <c r="S321" s="422"/>
      <c r="T321" s="422"/>
      <c r="U321" s="422"/>
      <c r="V321" s="422"/>
      <c r="W321" s="424"/>
      <c r="X321" s="425"/>
    </row>
    <row r="322" spans="1:24" s="426" customFormat="1" x14ac:dyDescent="0.3">
      <c r="A322" s="421"/>
      <c r="B322" s="494" t="s">
        <v>418</v>
      </c>
      <c r="C322" s="420"/>
      <c r="D322" s="420"/>
      <c r="E322" s="420"/>
      <c r="F322" s="641"/>
      <c r="G322" s="420"/>
      <c r="H322" s="420"/>
      <c r="I322" s="420"/>
      <c r="J322" s="420"/>
      <c r="K322" s="422"/>
      <c r="L322" s="422"/>
      <c r="M322" s="422"/>
      <c r="N322" s="422"/>
      <c r="O322" s="422"/>
      <c r="P322" s="422"/>
      <c r="Q322" s="422"/>
      <c r="R322" s="422"/>
      <c r="S322" s="422"/>
      <c r="T322" s="422"/>
      <c r="U322" s="422"/>
      <c r="V322" s="422"/>
      <c r="W322" s="424"/>
      <c r="X322" s="425"/>
    </row>
    <row r="323" spans="1:24" x14ac:dyDescent="0.3">
      <c r="A323" s="408"/>
      <c r="B323" s="642"/>
      <c r="C323" s="642"/>
      <c r="D323" s="642"/>
      <c r="E323" s="642"/>
      <c r="F323" s="643"/>
      <c r="G323" s="642"/>
      <c r="H323" s="642"/>
      <c r="I323" s="642"/>
      <c r="J323" s="642"/>
      <c r="K323" s="531"/>
      <c r="L323" s="531"/>
      <c r="M323" s="531"/>
      <c r="N323" s="531"/>
      <c r="O323" s="531"/>
      <c r="P323" s="531"/>
      <c r="Q323" s="531"/>
      <c r="R323" s="531"/>
      <c r="S323" s="531"/>
      <c r="T323" s="531"/>
      <c r="U323" s="531"/>
      <c r="V323" s="531"/>
      <c r="W323" s="532"/>
      <c r="X323" s="406"/>
    </row>
    <row r="324" spans="1:24" ht="18" x14ac:dyDescent="0.35">
      <c r="A324" s="408"/>
      <c r="B324" s="644" t="s">
        <v>368</v>
      </c>
      <c r="C324" s="642"/>
      <c r="D324" s="642"/>
      <c r="E324" s="642"/>
      <c r="F324" s="642"/>
      <c r="G324" s="642"/>
      <c r="H324" s="531"/>
      <c r="I324" s="531"/>
      <c r="J324" s="531"/>
      <c r="K324" s="531"/>
      <c r="L324" s="410"/>
      <c r="M324" s="410"/>
      <c r="N324" s="645"/>
      <c r="O324" s="410"/>
      <c r="P324" s="646" t="s">
        <v>370</v>
      </c>
      <c r="Q324" s="531"/>
      <c r="R324" s="531"/>
      <c r="S324" s="531"/>
      <c r="T324" s="531"/>
      <c r="U324" s="531"/>
      <c r="V324" s="531"/>
      <c r="W324" s="532"/>
      <c r="X324" s="406"/>
    </row>
    <row r="325" spans="1:24" x14ac:dyDescent="0.3">
      <c r="A325" s="408"/>
      <c r="B325" s="642"/>
      <c r="C325" s="642"/>
      <c r="D325" s="642"/>
      <c r="E325" s="642"/>
      <c r="F325" s="642"/>
      <c r="G325" s="642"/>
      <c r="H325" s="531"/>
      <c r="I325" s="531"/>
      <c r="J325" s="531"/>
      <c r="K325" s="531"/>
      <c r="L325" s="531"/>
      <c r="M325" s="531"/>
      <c r="N325" s="531"/>
      <c r="O325" s="531"/>
      <c r="P325" s="531"/>
      <c r="Q325" s="531"/>
      <c r="R325" s="531"/>
      <c r="S325" s="531"/>
      <c r="T325" s="531"/>
      <c r="U325" s="531"/>
      <c r="V325" s="531"/>
      <c r="W325" s="532"/>
      <c r="X325" s="406"/>
    </row>
    <row r="326" spans="1:24" ht="18.600000000000001" thickBot="1" x14ac:dyDescent="0.4">
      <c r="A326" s="408"/>
      <c r="B326" s="647" t="str">
        <f>B200</f>
        <v>PM13 INVESTOR REPORT QUARTER ENDING JUNE 2020</v>
      </c>
      <c r="C326" s="642"/>
      <c r="D326" s="642"/>
      <c r="E326" s="642"/>
      <c r="F326" s="642"/>
      <c r="G326" s="642"/>
      <c r="H326" s="531"/>
      <c r="I326" s="531"/>
      <c r="J326" s="531"/>
      <c r="K326" s="531"/>
      <c r="L326" s="531"/>
      <c r="M326" s="531"/>
      <c r="N326" s="531"/>
      <c r="O326" s="531"/>
      <c r="P326" s="531"/>
      <c r="Q326" s="531"/>
      <c r="R326" s="531"/>
      <c r="S326" s="531"/>
      <c r="T326" s="531"/>
      <c r="U326" s="531"/>
      <c r="V326" s="531"/>
      <c r="W326" s="648"/>
      <c r="X326" s="406"/>
    </row>
    <row r="327" spans="1:24" x14ac:dyDescent="0.3">
      <c r="A327" s="649"/>
      <c r="B327" s="649"/>
      <c r="C327" s="649"/>
      <c r="D327" s="649"/>
      <c r="E327" s="649"/>
      <c r="F327" s="649"/>
      <c r="G327" s="649"/>
      <c r="H327" s="649"/>
      <c r="I327" s="649"/>
      <c r="J327" s="649"/>
      <c r="K327" s="649"/>
      <c r="L327" s="649"/>
      <c r="M327" s="649"/>
      <c r="N327" s="649"/>
      <c r="O327" s="649"/>
      <c r="P327" s="649"/>
      <c r="Q327" s="649"/>
      <c r="R327" s="649"/>
      <c r="S327" s="649"/>
      <c r="T327" s="649"/>
      <c r="U327" s="649"/>
      <c r="V327" s="649"/>
      <c r="W327" s="649"/>
    </row>
    <row r="328" spans="1:24" x14ac:dyDescent="0.3">
      <c r="B328" s="673" t="s">
        <v>393</v>
      </c>
      <c r="C328" s="674"/>
      <c r="D328" s="674"/>
      <c r="E328" s="674"/>
      <c r="F328" s="674"/>
      <c r="G328" s="674"/>
      <c r="H328" s="674"/>
      <c r="I328" s="674"/>
      <c r="J328" s="674"/>
      <c r="K328" s="674"/>
      <c r="L328" s="674"/>
      <c r="M328" s="674"/>
      <c r="N328" s="674"/>
      <c r="O328" s="674"/>
      <c r="P328" s="674"/>
      <c r="Q328" s="674"/>
    </row>
    <row r="329" spans="1:24" x14ac:dyDescent="0.3">
      <c r="B329" s="674" t="s">
        <v>394</v>
      </c>
      <c r="C329" s="674"/>
      <c r="D329" s="674"/>
      <c r="E329" s="674"/>
      <c r="F329" s="674"/>
      <c r="G329" s="674"/>
      <c r="H329" s="674"/>
      <c r="I329" s="674"/>
      <c r="J329" s="674"/>
      <c r="K329" s="674"/>
      <c r="L329" s="674"/>
      <c r="M329" s="674"/>
      <c r="N329" s="674"/>
      <c r="O329" s="674"/>
      <c r="P329" s="674"/>
      <c r="Q329" s="674"/>
    </row>
    <row r="330" spans="1:24" x14ac:dyDescent="0.3">
      <c r="B330" s="674" t="s">
        <v>395</v>
      </c>
      <c r="C330" s="674"/>
      <c r="D330" s="674"/>
      <c r="E330" s="674"/>
      <c r="F330" s="674"/>
      <c r="G330" s="674"/>
      <c r="H330" s="674"/>
      <c r="I330" s="674"/>
      <c r="J330" s="674"/>
      <c r="K330" s="674"/>
      <c r="L330" s="674"/>
      <c r="M330" s="674"/>
      <c r="N330" s="674"/>
      <c r="O330" s="674"/>
      <c r="P330" s="674"/>
      <c r="Q330" s="674"/>
    </row>
    <row r="331" spans="1:24" x14ac:dyDescent="0.3">
      <c r="B331" s="674" t="s">
        <v>396</v>
      </c>
      <c r="C331" s="674"/>
      <c r="D331" s="674"/>
      <c r="E331" s="674"/>
      <c r="F331" s="674"/>
      <c r="G331" s="674"/>
      <c r="H331" s="674"/>
      <c r="I331" s="674"/>
      <c r="J331" s="674"/>
      <c r="K331" s="674"/>
      <c r="L331" s="674"/>
      <c r="M331" s="674"/>
      <c r="N331" s="674"/>
      <c r="O331" s="674"/>
      <c r="P331" s="674"/>
      <c r="Q331" s="674"/>
    </row>
    <row r="332" spans="1:24" x14ac:dyDescent="0.3">
      <c r="B332" s="674" t="s">
        <v>397</v>
      </c>
      <c r="C332" s="674"/>
      <c r="D332" s="674"/>
      <c r="E332" s="674"/>
      <c r="F332" s="674"/>
      <c r="G332" s="674"/>
      <c r="H332" s="674"/>
      <c r="I332" s="674"/>
      <c r="J332" s="674"/>
      <c r="K332" s="674"/>
      <c r="L332" s="674"/>
      <c r="M332" s="674"/>
      <c r="N332" s="674"/>
      <c r="O332" s="674"/>
      <c r="P332" s="674"/>
      <c r="Q332" s="674"/>
    </row>
    <row r="333" spans="1:24" x14ac:dyDescent="0.3">
      <c r="B333" s="674" t="s">
        <v>398</v>
      </c>
      <c r="C333" s="674"/>
      <c r="D333" s="674"/>
      <c r="E333" s="674"/>
      <c r="F333" s="674"/>
      <c r="G333" s="674"/>
      <c r="H333" s="674"/>
      <c r="I333" s="674"/>
      <c r="J333" s="674"/>
      <c r="K333" s="674"/>
      <c r="L333" s="674"/>
      <c r="M333" s="674"/>
      <c r="N333" s="674"/>
      <c r="O333" s="674"/>
      <c r="P333" s="674"/>
      <c r="Q333" s="674"/>
    </row>
    <row r="334" spans="1:24" x14ac:dyDescent="0.3">
      <c r="B334" s="674" t="s">
        <v>399</v>
      </c>
      <c r="C334" s="674"/>
      <c r="D334" s="674"/>
      <c r="E334" s="674"/>
      <c r="F334" s="674"/>
      <c r="G334" s="674"/>
      <c r="H334" s="674"/>
      <c r="I334" s="674"/>
      <c r="J334" s="674"/>
      <c r="K334" s="674"/>
      <c r="L334" s="674"/>
      <c r="M334" s="674"/>
      <c r="N334" s="674"/>
      <c r="O334" s="674"/>
      <c r="P334" s="674"/>
      <c r="Q334" s="674"/>
    </row>
    <row r="335" spans="1:24" x14ac:dyDescent="0.3">
      <c r="B335" s="674" t="s">
        <v>400</v>
      </c>
      <c r="C335" s="674"/>
      <c r="D335" s="674"/>
      <c r="E335" s="674"/>
      <c r="F335" s="674"/>
      <c r="G335" s="674"/>
      <c r="H335" s="674"/>
      <c r="I335" s="674"/>
      <c r="J335" s="674"/>
      <c r="K335" s="674"/>
      <c r="L335" s="674"/>
      <c r="M335" s="674"/>
      <c r="N335" s="674"/>
      <c r="O335" s="674"/>
      <c r="P335" s="674"/>
      <c r="Q335" s="674"/>
    </row>
    <row r="336" spans="1:24" x14ac:dyDescent="0.3">
      <c r="B336" s="674"/>
      <c r="C336" s="674"/>
      <c r="D336" s="674"/>
      <c r="E336" s="674"/>
      <c r="F336" s="674"/>
      <c r="G336" s="674"/>
      <c r="H336" s="674"/>
      <c r="I336" s="674"/>
      <c r="J336" s="674"/>
      <c r="K336" s="674"/>
      <c r="L336" s="674"/>
      <c r="M336" s="674"/>
      <c r="N336" s="674"/>
      <c r="O336" s="674"/>
      <c r="P336" s="674"/>
      <c r="Q336" s="674"/>
    </row>
    <row r="337" spans="2:17" x14ac:dyDescent="0.3">
      <c r="B337" s="673" t="s">
        <v>412</v>
      </c>
      <c r="C337" s="674"/>
      <c r="D337" s="674"/>
      <c r="E337" s="674"/>
      <c r="F337" s="674"/>
      <c r="G337" s="674"/>
      <c r="H337" s="674"/>
      <c r="I337" s="674"/>
      <c r="J337" s="674"/>
      <c r="K337" s="674"/>
      <c r="L337" s="674"/>
      <c r="M337" s="674"/>
      <c r="N337" s="674"/>
      <c r="O337" s="674"/>
      <c r="P337" s="674"/>
      <c r="Q337" s="674"/>
    </row>
    <row r="338" spans="2:17" x14ac:dyDescent="0.3">
      <c r="B338" s="674" t="s">
        <v>413</v>
      </c>
      <c r="C338" s="674"/>
      <c r="D338" s="674"/>
      <c r="E338" s="674"/>
      <c r="F338" s="674"/>
      <c r="G338" s="674"/>
      <c r="H338" s="674"/>
      <c r="I338" s="674"/>
      <c r="J338" s="674"/>
      <c r="K338" s="674"/>
      <c r="L338" s="674"/>
      <c r="M338" s="674"/>
      <c r="N338" s="674"/>
      <c r="O338" s="674"/>
      <c r="P338" s="674"/>
      <c r="Q338" s="674"/>
    </row>
    <row r="339" spans="2:17" x14ac:dyDescent="0.3">
      <c r="B339" s="674" t="s">
        <v>414</v>
      </c>
      <c r="C339" s="674"/>
      <c r="D339" s="674"/>
      <c r="E339" s="674"/>
      <c r="F339" s="674"/>
      <c r="G339" s="674"/>
      <c r="H339" s="674"/>
      <c r="I339" s="674"/>
      <c r="J339" s="674"/>
      <c r="K339" s="674"/>
      <c r="L339" s="674"/>
      <c r="M339" s="674"/>
      <c r="N339" s="674"/>
      <c r="O339" s="674"/>
      <c r="P339" s="674"/>
      <c r="Q339" s="674"/>
    </row>
    <row r="340" spans="2:17" x14ac:dyDescent="0.3">
      <c r="B340" s="674" t="s">
        <v>415</v>
      </c>
      <c r="C340" s="674"/>
      <c r="D340" s="674"/>
      <c r="E340" s="674"/>
      <c r="F340" s="674"/>
      <c r="G340" s="674"/>
      <c r="H340" s="674"/>
      <c r="I340" s="674"/>
      <c r="J340" s="674"/>
      <c r="K340" s="674"/>
      <c r="L340" s="674"/>
      <c r="M340" s="674"/>
      <c r="N340" s="674"/>
      <c r="O340" s="674"/>
      <c r="P340" s="674"/>
      <c r="Q340" s="674"/>
    </row>
    <row r="341" spans="2:17" x14ac:dyDescent="0.3">
      <c r="B341" s="674"/>
      <c r="C341" s="674"/>
      <c r="D341" s="674"/>
      <c r="E341" s="674"/>
      <c r="F341" s="674"/>
      <c r="G341" s="674"/>
      <c r="H341" s="674"/>
      <c r="I341" s="674"/>
      <c r="J341" s="674"/>
      <c r="K341" s="674"/>
      <c r="L341" s="674"/>
      <c r="M341" s="674"/>
      <c r="N341" s="674"/>
      <c r="O341" s="674"/>
      <c r="P341" s="674"/>
      <c r="Q341" s="674"/>
    </row>
    <row r="342" spans="2:17" x14ac:dyDescent="0.3">
      <c r="B342" s="673" t="s">
        <v>401</v>
      </c>
      <c r="C342" s="674"/>
      <c r="D342" s="674"/>
      <c r="E342" s="674"/>
      <c r="F342" s="674"/>
      <c r="G342" s="674"/>
      <c r="H342" s="674"/>
      <c r="I342" s="674"/>
      <c r="J342" s="674"/>
      <c r="K342" s="674"/>
      <c r="L342" s="674"/>
      <c r="M342" s="674"/>
      <c r="N342" s="674"/>
      <c r="O342" s="674"/>
      <c r="P342" s="674"/>
      <c r="Q342" s="674"/>
    </row>
    <row r="343" spans="2:17" x14ac:dyDescent="0.3">
      <c r="B343" s="674" t="s">
        <v>402</v>
      </c>
      <c r="C343" s="674"/>
      <c r="D343" s="674"/>
      <c r="E343" s="674"/>
      <c r="F343" s="674"/>
      <c r="G343" s="674"/>
      <c r="H343" s="674"/>
      <c r="I343" s="674"/>
      <c r="J343" s="674"/>
      <c r="K343" s="674"/>
      <c r="L343" s="674"/>
      <c r="M343" s="674"/>
      <c r="N343" s="674"/>
      <c r="O343" s="674"/>
      <c r="P343" s="674"/>
      <c r="Q343" s="674"/>
    </row>
    <row r="344" spans="2:17" x14ac:dyDescent="0.3">
      <c r="B344" s="674" t="s">
        <v>403</v>
      </c>
      <c r="C344" s="674"/>
      <c r="D344" s="674"/>
      <c r="E344" s="674"/>
      <c r="F344" s="674"/>
      <c r="G344" s="674"/>
      <c r="H344" s="674"/>
      <c r="I344" s="674"/>
      <c r="J344" s="674"/>
      <c r="K344" s="674"/>
      <c r="L344" s="674"/>
      <c r="M344" s="674"/>
      <c r="N344" s="674"/>
      <c r="O344" s="674"/>
      <c r="P344" s="674"/>
      <c r="Q344" s="674"/>
    </row>
  </sheetData>
  <hyperlinks>
    <hyperlink ref="P236" r:id="rId1" display="http://www.paragon-group.co.uk" xr:uid="{8A3F36FE-7055-4C21-88DC-5629FF82E56D}"/>
    <hyperlink ref="I9" r:id="rId2" display="http://www.paragon-group.co.uk" xr:uid="{BE789396-2497-462B-AEFE-278D187DD115}"/>
    <hyperlink ref="P324" r:id="rId3" display="http://www.paragon-group.co.uk" xr:uid="{FC36DBC4-3C8A-4CB7-B926-F3F07B8948E3}"/>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40" max="22" man="1"/>
    <brk id="200" max="22" man="1"/>
  </rowBreaks>
  <drawing r:id="rId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03E97-F891-4518-B504-69AB4E80BF7D}">
  <sheetPr>
    <tabColor rgb="FF2D2926"/>
  </sheetPr>
  <dimension ref="A1:Z343"/>
  <sheetViews>
    <sheetView showGridLines="0" showOutlineSymbols="0" zoomScale="70" zoomScaleNormal="70" workbookViewId="0"/>
  </sheetViews>
  <sheetFormatPr defaultColWidth="9.81640625" defaultRowHeight="15.6" x14ac:dyDescent="0.3"/>
  <cols>
    <col min="1" max="1" width="4" style="407" customWidth="1"/>
    <col min="2" max="2" width="71.08984375" style="407" customWidth="1"/>
    <col min="3" max="3" width="2.08984375" style="407" customWidth="1"/>
    <col min="4" max="4" width="19.1796875" style="407" customWidth="1"/>
    <col min="5" max="5" width="2.08984375" style="407" customWidth="1"/>
    <col min="6" max="6" width="25.08984375" style="407" customWidth="1"/>
    <col min="7" max="7" width="2.08984375" style="407" customWidth="1"/>
    <col min="8" max="8" width="16.08984375" style="407" customWidth="1"/>
    <col min="9" max="9" width="2.81640625" style="407" customWidth="1"/>
    <col min="10" max="10" width="16.08984375" style="407" customWidth="1"/>
    <col min="11" max="11" width="2.08984375" style="407" customWidth="1"/>
    <col min="12" max="12" width="17.81640625" style="407" customWidth="1"/>
    <col min="13" max="13" width="2.1796875" style="407" customWidth="1"/>
    <col min="14" max="14" width="14.81640625" style="407" customWidth="1"/>
    <col min="15" max="15" width="2.1796875" style="407" customWidth="1"/>
    <col min="16" max="16" width="15.54296875" style="407" customWidth="1"/>
    <col min="17" max="17" width="2.08984375" style="407" customWidth="1"/>
    <col min="18" max="18" width="15.54296875" style="407" customWidth="1"/>
    <col min="19" max="20" width="12.81640625" style="407" customWidth="1"/>
    <col min="21" max="21" width="7.81640625" style="407" customWidth="1"/>
    <col min="22" max="22" width="14.81640625" style="407" customWidth="1"/>
    <col min="23" max="23" width="11.81640625" style="407" customWidth="1"/>
    <col min="24" max="16384" width="9.81640625" style="407"/>
  </cols>
  <sheetData>
    <row r="1" spans="1:24" ht="21" x14ac:dyDescent="0.4">
      <c r="A1" s="402"/>
      <c r="B1" s="403" t="s">
        <v>238</v>
      </c>
      <c r="C1" s="404"/>
      <c r="D1" s="404"/>
      <c r="E1" s="404"/>
      <c r="F1" s="404"/>
      <c r="G1" s="404"/>
      <c r="H1" s="404"/>
      <c r="I1" s="404"/>
      <c r="J1" s="404"/>
      <c r="K1" s="404"/>
      <c r="L1" s="404"/>
      <c r="M1" s="404"/>
      <c r="N1" s="404"/>
      <c r="O1" s="404"/>
      <c r="P1" s="404"/>
      <c r="Q1" s="404"/>
      <c r="R1" s="404"/>
      <c r="S1" s="404"/>
      <c r="T1" s="404"/>
      <c r="U1" s="404"/>
      <c r="V1" s="404"/>
      <c r="W1" s="405"/>
      <c r="X1" s="406"/>
    </row>
    <row r="2" spans="1:24" x14ac:dyDescent="0.3">
      <c r="A2" s="408"/>
      <c r="B2" s="409"/>
      <c r="C2" s="410"/>
      <c r="D2" s="410"/>
      <c r="E2" s="410"/>
      <c r="F2" s="410"/>
      <c r="G2" s="410"/>
      <c r="H2" s="410"/>
      <c r="I2" s="410"/>
      <c r="J2" s="410"/>
      <c r="K2" s="410"/>
      <c r="L2" s="410"/>
      <c r="M2" s="410"/>
      <c r="N2" s="410"/>
      <c r="O2" s="410"/>
      <c r="P2" s="410"/>
      <c r="Q2" s="410"/>
      <c r="R2" s="410"/>
      <c r="S2" s="410"/>
      <c r="T2" s="410"/>
      <c r="U2" s="410"/>
      <c r="V2" s="410"/>
      <c r="W2" s="411"/>
      <c r="X2" s="406"/>
    </row>
    <row r="3" spans="1:24" x14ac:dyDescent="0.3">
      <c r="A3" s="412"/>
      <c r="B3" s="413" t="s">
        <v>239</v>
      </c>
      <c r="C3" s="410"/>
      <c r="D3" s="410"/>
      <c r="E3" s="410"/>
      <c r="F3" s="410"/>
      <c r="G3" s="410"/>
      <c r="H3" s="410"/>
      <c r="I3" s="410"/>
      <c r="J3" s="410"/>
      <c r="K3" s="410"/>
      <c r="L3" s="410"/>
      <c r="M3" s="410"/>
      <c r="N3" s="410"/>
      <c r="O3" s="410"/>
      <c r="P3" s="410"/>
      <c r="Q3" s="410"/>
      <c r="R3" s="410"/>
      <c r="S3" s="410"/>
      <c r="T3" s="410"/>
      <c r="U3" s="410"/>
      <c r="V3" s="410"/>
      <c r="W3" s="411"/>
      <c r="X3" s="406"/>
    </row>
    <row r="4" spans="1:24" x14ac:dyDescent="0.3">
      <c r="A4" s="408"/>
      <c r="B4" s="409"/>
      <c r="C4" s="410"/>
      <c r="D4" s="410"/>
      <c r="E4" s="410"/>
      <c r="F4" s="410"/>
      <c r="G4" s="410"/>
      <c r="H4" s="410"/>
      <c r="I4" s="410"/>
      <c r="J4" s="410"/>
      <c r="K4" s="410"/>
      <c r="L4" s="410"/>
      <c r="M4" s="410"/>
      <c r="N4" s="410"/>
      <c r="O4" s="410"/>
      <c r="P4" s="410"/>
      <c r="Q4" s="410"/>
      <c r="R4" s="410"/>
      <c r="S4" s="410"/>
      <c r="T4" s="410"/>
      <c r="U4" s="410"/>
      <c r="V4" s="410"/>
      <c r="W4" s="411"/>
      <c r="X4" s="406"/>
    </row>
    <row r="5" spans="1:24" x14ac:dyDescent="0.3">
      <c r="A5" s="408"/>
      <c r="B5" s="414" t="s">
        <v>140</v>
      </c>
      <c r="C5" s="410"/>
      <c r="D5" s="410"/>
      <c r="E5" s="410"/>
      <c r="F5" s="410"/>
      <c r="G5" s="410"/>
      <c r="H5" s="410"/>
      <c r="I5" s="410"/>
      <c r="J5" s="410"/>
      <c r="K5" s="410"/>
      <c r="L5" s="410"/>
      <c r="M5" s="410"/>
      <c r="N5" s="410"/>
      <c r="O5" s="410"/>
      <c r="P5" s="410"/>
      <c r="Q5" s="410"/>
      <c r="R5" s="410"/>
      <c r="S5" s="410"/>
      <c r="T5" s="410"/>
      <c r="U5" s="410"/>
      <c r="V5" s="410"/>
      <c r="W5" s="411"/>
      <c r="X5" s="406"/>
    </row>
    <row r="6" spans="1:24" x14ac:dyDescent="0.3">
      <c r="A6" s="408"/>
      <c r="B6" s="414" t="s">
        <v>142</v>
      </c>
      <c r="C6" s="410"/>
      <c r="D6" s="410"/>
      <c r="E6" s="410"/>
      <c r="F6" s="410"/>
      <c r="G6" s="410"/>
      <c r="H6" s="410"/>
      <c r="I6" s="410"/>
      <c r="J6" s="410"/>
      <c r="K6" s="410"/>
      <c r="L6" s="410"/>
      <c r="M6" s="410"/>
      <c r="N6" s="410"/>
      <c r="O6" s="410"/>
      <c r="P6" s="410"/>
      <c r="Q6" s="410"/>
      <c r="R6" s="410"/>
      <c r="S6" s="410"/>
      <c r="T6" s="410"/>
      <c r="U6" s="410"/>
      <c r="V6" s="410"/>
      <c r="W6" s="411"/>
      <c r="X6" s="406"/>
    </row>
    <row r="7" spans="1:24" x14ac:dyDescent="0.3">
      <c r="A7" s="408"/>
      <c r="B7" s="414" t="s">
        <v>141</v>
      </c>
      <c r="C7" s="410"/>
      <c r="D7" s="410"/>
      <c r="E7" s="410"/>
      <c r="F7" s="410"/>
      <c r="G7" s="410"/>
      <c r="H7" s="410"/>
      <c r="I7" s="410"/>
      <c r="J7" s="410"/>
      <c r="K7" s="410"/>
      <c r="L7" s="410"/>
      <c r="M7" s="410"/>
      <c r="N7" s="410"/>
      <c r="O7" s="410"/>
      <c r="P7" s="410"/>
      <c r="Q7" s="410"/>
      <c r="R7" s="410"/>
      <c r="S7" s="410"/>
      <c r="T7" s="410"/>
      <c r="U7" s="410"/>
      <c r="V7" s="410"/>
      <c r="W7" s="411"/>
      <c r="X7" s="406"/>
    </row>
    <row r="8" spans="1:24" x14ac:dyDescent="0.3">
      <c r="A8" s="408"/>
      <c r="B8" s="415"/>
      <c r="C8" s="410"/>
      <c r="D8" s="410"/>
      <c r="E8" s="410"/>
      <c r="F8" s="410"/>
      <c r="G8" s="410"/>
      <c r="H8" s="410"/>
      <c r="I8" s="410"/>
      <c r="J8" s="410"/>
      <c r="K8" s="410"/>
      <c r="L8" s="410"/>
      <c r="M8" s="410"/>
      <c r="N8" s="410"/>
      <c r="O8" s="410"/>
      <c r="P8" s="410"/>
      <c r="Q8" s="410"/>
      <c r="R8" s="410"/>
      <c r="S8" s="410"/>
      <c r="T8" s="410"/>
      <c r="U8" s="410"/>
      <c r="V8" s="410"/>
      <c r="W8" s="411"/>
      <c r="X8" s="406"/>
    </row>
    <row r="9" spans="1:24" ht="18" x14ac:dyDescent="0.35">
      <c r="A9" s="408"/>
      <c r="B9" s="413" t="s">
        <v>169</v>
      </c>
      <c r="C9" s="410"/>
      <c r="D9" s="410"/>
      <c r="E9" s="410"/>
      <c r="F9" s="410"/>
      <c r="G9" s="410"/>
      <c r="H9" s="410"/>
      <c r="I9" s="416" t="s">
        <v>370</v>
      </c>
      <c r="J9" s="410"/>
      <c r="K9" s="410"/>
      <c r="L9" s="417"/>
      <c r="M9" s="410"/>
      <c r="N9" s="418"/>
      <c r="O9" s="410"/>
      <c r="P9" s="410"/>
      <c r="Q9" s="410"/>
      <c r="R9" s="410"/>
      <c r="S9" s="410"/>
      <c r="T9" s="410"/>
      <c r="U9" s="410"/>
      <c r="V9" s="410"/>
      <c r="W9" s="411"/>
      <c r="X9" s="406"/>
    </row>
    <row r="10" spans="1:24" x14ac:dyDescent="0.3">
      <c r="A10" s="408"/>
      <c r="B10" s="415"/>
      <c r="C10" s="419"/>
      <c r="D10" s="419"/>
      <c r="E10" s="419"/>
      <c r="F10" s="410"/>
      <c r="G10" s="410"/>
      <c r="H10" s="410"/>
      <c r="I10" s="410"/>
      <c r="J10" s="410"/>
      <c r="K10" s="410"/>
      <c r="L10" s="410"/>
      <c r="M10" s="410"/>
      <c r="N10" s="410"/>
      <c r="O10" s="410"/>
      <c r="P10" s="410"/>
      <c r="Q10" s="410"/>
      <c r="R10" s="410"/>
      <c r="S10" s="410"/>
      <c r="T10" s="410"/>
      <c r="U10" s="410"/>
      <c r="V10" s="410"/>
      <c r="W10" s="411"/>
      <c r="X10" s="406"/>
    </row>
    <row r="11" spans="1:24" x14ac:dyDescent="0.3">
      <c r="A11" s="408"/>
      <c r="B11" s="420" t="s">
        <v>0</v>
      </c>
      <c r="C11" s="410"/>
      <c r="D11" s="410"/>
      <c r="E11" s="410"/>
      <c r="F11" s="410"/>
      <c r="G11" s="410"/>
      <c r="H11" s="410"/>
      <c r="I11" s="410"/>
      <c r="J11" s="410"/>
      <c r="K11" s="410"/>
      <c r="L11" s="410"/>
      <c r="M11" s="410"/>
      <c r="N11" s="410"/>
      <c r="O11" s="410"/>
      <c r="P11" s="410"/>
      <c r="Q11" s="410"/>
      <c r="R11" s="410"/>
      <c r="S11" s="410"/>
      <c r="T11" s="410"/>
      <c r="U11" s="410"/>
      <c r="V11" s="410"/>
      <c r="W11" s="411"/>
      <c r="X11" s="406"/>
    </row>
    <row r="12" spans="1:24" ht="16.2" thickBot="1" x14ac:dyDescent="0.35">
      <c r="A12" s="408"/>
      <c r="B12" s="419"/>
      <c r="C12" s="410"/>
      <c r="D12" s="410"/>
      <c r="E12" s="410"/>
      <c r="F12" s="410"/>
      <c r="G12" s="410"/>
      <c r="H12" s="410"/>
      <c r="I12" s="410"/>
      <c r="J12" s="410"/>
      <c r="K12" s="410"/>
      <c r="L12" s="410"/>
      <c r="M12" s="410"/>
      <c r="N12" s="410"/>
      <c r="O12" s="410"/>
      <c r="P12" s="410"/>
      <c r="Q12" s="410"/>
      <c r="R12" s="410"/>
      <c r="S12" s="410"/>
      <c r="T12" s="410"/>
      <c r="U12" s="410"/>
      <c r="V12" s="410"/>
      <c r="W12" s="411"/>
      <c r="X12" s="406"/>
    </row>
    <row r="13" spans="1:24" x14ac:dyDescent="0.3">
      <c r="A13" s="402"/>
      <c r="B13" s="404"/>
      <c r="C13" s="404"/>
      <c r="D13" s="404"/>
      <c r="E13" s="404"/>
      <c r="F13" s="404"/>
      <c r="G13" s="404"/>
      <c r="H13" s="404"/>
      <c r="I13" s="404"/>
      <c r="J13" s="404"/>
      <c r="K13" s="404"/>
      <c r="L13" s="404"/>
      <c r="M13" s="404"/>
      <c r="N13" s="404"/>
      <c r="O13" s="404"/>
      <c r="P13" s="404"/>
      <c r="Q13" s="404"/>
      <c r="R13" s="404"/>
      <c r="S13" s="404"/>
      <c r="T13" s="404"/>
      <c r="U13" s="404"/>
      <c r="V13" s="404"/>
      <c r="W13" s="405"/>
      <c r="X13" s="406"/>
    </row>
    <row r="14" spans="1:24" s="426" customFormat="1" x14ac:dyDescent="0.3">
      <c r="A14" s="421"/>
      <c r="B14" s="420" t="s">
        <v>1</v>
      </c>
      <c r="C14" s="422"/>
      <c r="D14" s="422"/>
      <c r="E14" s="422"/>
      <c r="F14" s="422"/>
      <c r="G14" s="422"/>
      <c r="H14" s="422"/>
      <c r="I14" s="422"/>
      <c r="J14" s="422"/>
      <c r="K14" s="422"/>
      <c r="L14" s="422"/>
      <c r="M14" s="422"/>
      <c r="N14" s="422"/>
      <c r="O14" s="422"/>
      <c r="P14" s="422"/>
      <c r="Q14" s="422"/>
      <c r="R14" s="422"/>
      <c r="S14" s="422"/>
      <c r="T14" s="422"/>
      <c r="U14" s="422"/>
      <c r="V14" s="423" t="s">
        <v>240</v>
      </c>
      <c r="W14" s="424"/>
      <c r="X14" s="425"/>
    </row>
    <row r="15" spans="1:24" s="426" customFormat="1" x14ac:dyDescent="0.3">
      <c r="A15" s="421"/>
      <c r="B15" s="420" t="s">
        <v>2</v>
      </c>
      <c r="C15" s="422"/>
      <c r="D15" s="422"/>
      <c r="E15" s="422"/>
      <c r="F15" s="422"/>
      <c r="G15" s="422"/>
      <c r="H15" s="427"/>
      <c r="I15" s="427"/>
      <c r="J15" s="427"/>
      <c r="K15" s="427"/>
      <c r="L15" s="427"/>
      <c r="M15" s="427"/>
      <c r="N15" s="427"/>
      <c r="O15" s="427"/>
      <c r="P15" s="427"/>
      <c r="Q15" s="427"/>
      <c r="R15" s="427" t="s">
        <v>105</v>
      </c>
      <c r="S15" s="428">
        <v>0.57609999999999995</v>
      </c>
      <c r="T15" s="429" t="s">
        <v>143</v>
      </c>
      <c r="U15" s="428">
        <v>0.4239</v>
      </c>
      <c r="V15" s="423"/>
      <c r="W15" s="424"/>
      <c r="X15" s="425"/>
    </row>
    <row r="16" spans="1:24" s="426" customFormat="1" x14ac:dyDescent="0.3">
      <c r="A16" s="421"/>
      <c r="B16" s="420" t="s">
        <v>3</v>
      </c>
      <c r="C16" s="422"/>
      <c r="D16" s="422"/>
      <c r="E16" s="422"/>
      <c r="F16" s="422"/>
      <c r="G16" s="422"/>
      <c r="H16" s="427"/>
      <c r="I16" s="427"/>
      <c r="J16" s="427"/>
      <c r="K16" s="427"/>
      <c r="L16" s="427"/>
      <c r="M16" s="427"/>
      <c r="N16" s="427"/>
      <c r="O16" s="427"/>
      <c r="P16" s="427"/>
      <c r="Q16" s="427"/>
      <c r="R16" s="427" t="s">
        <v>105</v>
      </c>
      <c r="S16" s="428">
        <v>0.69649820625843339</v>
      </c>
      <c r="T16" s="429" t="s">
        <v>143</v>
      </c>
      <c r="U16" s="428">
        <v>0.30350179374156661</v>
      </c>
      <c r="V16" s="423"/>
      <c r="W16" s="424"/>
      <c r="X16" s="425"/>
    </row>
    <row r="17" spans="1:24" s="426" customFormat="1" x14ac:dyDescent="0.3">
      <c r="A17" s="421"/>
      <c r="B17" s="420" t="s">
        <v>4</v>
      </c>
      <c r="C17" s="422"/>
      <c r="D17" s="422"/>
      <c r="E17" s="422"/>
      <c r="F17" s="422"/>
      <c r="G17" s="422"/>
      <c r="H17" s="422"/>
      <c r="I17" s="422"/>
      <c r="J17" s="422"/>
      <c r="K17" s="422"/>
      <c r="L17" s="422"/>
      <c r="M17" s="422"/>
      <c r="N17" s="422"/>
      <c r="O17" s="422"/>
      <c r="P17" s="422"/>
      <c r="Q17" s="422"/>
      <c r="R17" s="422"/>
      <c r="S17" s="422"/>
      <c r="T17" s="422"/>
      <c r="U17" s="422"/>
      <c r="V17" s="430">
        <v>39016</v>
      </c>
      <c r="W17" s="424"/>
      <c r="X17" s="425"/>
    </row>
    <row r="18" spans="1:24" s="426" customFormat="1" x14ac:dyDescent="0.3">
      <c r="A18" s="421"/>
      <c r="B18" s="420" t="s">
        <v>5</v>
      </c>
      <c r="C18" s="422"/>
      <c r="D18" s="422"/>
      <c r="E18" s="422"/>
      <c r="F18" s="422"/>
      <c r="G18" s="422"/>
      <c r="H18" s="422"/>
      <c r="I18" s="422"/>
      <c r="J18" s="422"/>
      <c r="K18" s="422"/>
      <c r="L18" s="422"/>
      <c r="M18" s="422"/>
      <c r="N18" s="422"/>
      <c r="O18" s="422"/>
      <c r="P18" s="422"/>
      <c r="Q18" s="422"/>
      <c r="R18" s="422"/>
      <c r="S18" s="422"/>
      <c r="T18" s="422"/>
      <c r="U18" s="422"/>
      <c r="V18" s="430">
        <v>44127</v>
      </c>
      <c r="W18" s="424"/>
      <c r="X18" s="425"/>
    </row>
    <row r="19" spans="1:24" s="426" customFormat="1" x14ac:dyDescent="0.3">
      <c r="A19" s="421"/>
      <c r="B19" s="422"/>
      <c r="C19" s="422"/>
      <c r="D19" s="422"/>
      <c r="E19" s="422"/>
      <c r="F19" s="422"/>
      <c r="G19" s="422"/>
      <c r="H19" s="422"/>
      <c r="I19" s="422"/>
      <c r="J19" s="422"/>
      <c r="K19" s="422"/>
      <c r="L19" s="422"/>
      <c r="M19" s="422"/>
      <c r="N19" s="422"/>
      <c r="O19" s="422"/>
      <c r="P19" s="422"/>
      <c r="Q19" s="422"/>
      <c r="R19" s="422"/>
      <c r="S19" s="422"/>
      <c r="T19" s="422"/>
      <c r="U19" s="422"/>
      <c r="V19" s="431"/>
      <c r="W19" s="424"/>
      <c r="X19" s="425"/>
    </row>
    <row r="20" spans="1:24" s="426" customFormat="1" x14ac:dyDescent="0.3">
      <c r="A20" s="421"/>
      <c r="B20" s="432" t="s">
        <v>6</v>
      </c>
      <c r="C20" s="422"/>
      <c r="D20" s="422"/>
      <c r="E20" s="422"/>
      <c r="F20" s="422"/>
      <c r="G20" s="422"/>
      <c r="H20" s="422"/>
      <c r="I20" s="422"/>
      <c r="J20" s="422"/>
      <c r="K20" s="422"/>
      <c r="L20" s="422"/>
      <c r="M20" s="422"/>
      <c r="N20" s="422"/>
      <c r="O20" s="422"/>
      <c r="P20" s="422"/>
      <c r="Q20" s="422"/>
      <c r="R20" s="422"/>
      <c r="S20" s="422"/>
      <c r="T20" s="431" t="s">
        <v>106</v>
      </c>
      <c r="U20" s="422"/>
      <c r="V20" s="422"/>
      <c r="W20" s="424"/>
      <c r="X20" s="425"/>
    </row>
    <row r="21" spans="1:24" x14ac:dyDescent="0.3">
      <c r="A21" s="408"/>
      <c r="B21" s="410"/>
      <c r="C21" s="410"/>
      <c r="D21" s="410"/>
      <c r="E21" s="410"/>
      <c r="F21" s="410"/>
      <c r="G21" s="410"/>
      <c r="H21" s="410"/>
      <c r="I21" s="410"/>
      <c r="J21" s="410"/>
      <c r="K21" s="410"/>
      <c r="L21" s="410"/>
      <c r="M21" s="410"/>
      <c r="N21" s="410"/>
      <c r="O21" s="410"/>
      <c r="P21" s="410"/>
      <c r="Q21" s="410"/>
      <c r="R21" s="410"/>
      <c r="S21" s="410"/>
      <c r="T21" s="410"/>
      <c r="U21" s="410"/>
      <c r="V21" s="433"/>
      <c r="W21" s="411"/>
      <c r="X21" s="406"/>
    </row>
    <row r="22" spans="1:24" x14ac:dyDescent="0.3">
      <c r="A22" s="434"/>
      <c r="B22" s="435"/>
      <c r="C22" s="436"/>
      <c r="D22" s="436" t="s">
        <v>180</v>
      </c>
      <c r="E22" s="436"/>
      <c r="F22" s="436" t="s">
        <v>181</v>
      </c>
      <c r="G22" s="436"/>
      <c r="H22" s="436" t="s">
        <v>182</v>
      </c>
      <c r="I22" s="436"/>
      <c r="J22" s="436" t="s">
        <v>223</v>
      </c>
      <c r="K22" s="436"/>
      <c r="L22" s="436" t="s">
        <v>183</v>
      </c>
      <c r="M22" s="436"/>
      <c r="N22" s="436" t="s">
        <v>184</v>
      </c>
      <c r="O22" s="436"/>
      <c r="P22" s="436" t="s">
        <v>224</v>
      </c>
      <c r="Q22" s="436"/>
      <c r="R22" s="436" t="s">
        <v>185</v>
      </c>
      <c r="S22" s="437"/>
      <c r="T22" s="437"/>
      <c r="U22" s="435"/>
      <c r="V22" s="435"/>
      <c r="W22" s="438"/>
      <c r="X22" s="406"/>
    </row>
    <row r="23" spans="1:24" s="426" customFormat="1" x14ac:dyDescent="0.3">
      <c r="A23" s="439"/>
      <c r="B23" s="440" t="s">
        <v>7</v>
      </c>
      <c r="C23" s="441"/>
      <c r="D23" s="441" t="s">
        <v>216</v>
      </c>
      <c r="E23" s="441"/>
      <c r="F23" s="441" t="s">
        <v>144</v>
      </c>
      <c r="G23" s="441"/>
      <c r="H23" s="441" t="s">
        <v>144</v>
      </c>
      <c r="I23" s="441"/>
      <c r="J23" s="441" t="s">
        <v>144</v>
      </c>
      <c r="K23" s="441"/>
      <c r="L23" s="441" t="s">
        <v>186</v>
      </c>
      <c r="M23" s="441"/>
      <c r="N23" s="441" t="s">
        <v>186</v>
      </c>
      <c r="O23" s="441"/>
      <c r="P23" s="441" t="s">
        <v>145</v>
      </c>
      <c r="Q23" s="441"/>
      <c r="R23" s="441" t="s">
        <v>145</v>
      </c>
      <c r="S23" s="441"/>
      <c r="T23" s="441"/>
      <c r="U23" s="440"/>
      <c r="V23" s="440"/>
      <c r="W23" s="442"/>
      <c r="X23" s="425"/>
    </row>
    <row r="24" spans="1:24" s="426" customFormat="1" x14ac:dyDescent="0.3">
      <c r="A24" s="443"/>
      <c r="B24" s="444" t="s">
        <v>8</v>
      </c>
      <c r="C24" s="445"/>
      <c r="D24" s="445" t="s">
        <v>217</v>
      </c>
      <c r="E24" s="445"/>
      <c r="F24" s="445" t="s">
        <v>146</v>
      </c>
      <c r="G24" s="445"/>
      <c r="H24" s="445" t="s">
        <v>146</v>
      </c>
      <c r="I24" s="445"/>
      <c r="J24" s="445" t="s">
        <v>146</v>
      </c>
      <c r="K24" s="445"/>
      <c r="L24" s="445" t="s">
        <v>168</v>
      </c>
      <c r="M24" s="445"/>
      <c r="N24" s="445" t="s">
        <v>168</v>
      </c>
      <c r="O24" s="445"/>
      <c r="P24" s="445" t="s">
        <v>147</v>
      </c>
      <c r="Q24" s="445"/>
      <c r="R24" s="445" t="s">
        <v>147</v>
      </c>
      <c r="S24" s="445"/>
      <c r="T24" s="445"/>
      <c r="U24" s="444"/>
      <c r="V24" s="444"/>
      <c r="W24" s="446"/>
      <c r="X24" s="425"/>
    </row>
    <row r="25" spans="1:24" s="426" customFormat="1" x14ac:dyDescent="0.3">
      <c r="A25" s="447"/>
      <c r="B25" s="444" t="s">
        <v>193</v>
      </c>
      <c r="C25" s="448"/>
      <c r="D25" s="445" t="s">
        <v>218</v>
      </c>
      <c r="E25" s="445"/>
      <c r="F25" s="445" t="s">
        <v>146</v>
      </c>
      <c r="G25" s="445"/>
      <c r="H25" s="445" t="s">
        <v>146</v>
      </c>
      <c r="I25" s="445"/>
      <c r="J25" s="445" t="s">
        <v>146</v>
      </c>
      <c r="K25" s="445"/>
      <c r="L25" s="445" t="s">
        <v>168</v>
      </c>
      <c r="M25" s="445"/>
      <c r="N25" s="445" t="s">
        <v>168</v>
      </c>
      <c r="O25" s="445"/>
      <c r="P25" s="445" t="s">
        <v>147</v>
      </c>
      <c r="Q25" s="445"/>
      <c r="R25" s="445" t="s">
        <v>147</v>
      </c>
      <c r="S25" s="448"/>
      <c r="T25" s="445"/>
      <c r="U25" s="444"/>
      <c r="V25" s="444"/>
      <c r="W25" s="446"/>
      <c r="X25" s="425"/>
    </row>
    <row r="26" spans="1:24" s="426" customFormat="1" x14ac:dyDescent="0.3">
      <c r="A26" s="447"/>
      <c r="B26" s="449" t="s">
        <v>9</v>
      </c>
      <c r="C26" s="448"/>
      <c r="D26" s="448" t="s">
        <v>144</v>
      </c>
      <c r="E26" s="448"/>
      <c r="F26" s="448" t="s">
        <v>144</v>
      </c>
      <c r="G26" s="448"/>
      <c r="H26" s="448" t="s">
        <v>144</v>
      </c>
      <c r="I26" s="448"/>
      <c r="J26" s="448" t="s">
        <v>144</v>
      </c>
      <c r="K26" s="448"/>
      <c r="L26" s="448" t="s">
        <v>186</v>
      </c>
      <c r="M26" s="448"/>
      <c r="N26" s="448" t="s">
        <v>186</v>
      </c>
      <c r="O26" s="448"/>
      <c r="P26" s="448" t="s">
        <v>145</v>
      </c>
      <c r="Q26" s="448"/>
      <c r="R26" s="448" t="s">
        <v>145</v>
      </c>
      <c r="S26" s="448"/>
      <c r="T26" s="445"/>
      <c r="U26" s="444"/>
      <c r="V26" s="444"/>
      <c r="W26" s="446"/>
      <c r="X26" s="425"/>
    </row>
    <row r="27" spans="1:24" s="426" customFormat="1" x14ac:dyDescent="0.3">
      <c r="A27" s="443"/>
      <c r="B27" s="449" t="s">
        <v>194</v>
      </c>
      <c r="C27" s="445"/>
      <c r="D27" s="448" t="s">
        <v>168</v>
      </c>
      <c r="E27" s="448"/>
      <c r="F27" s="448" t="s">
        <v>168</v>
      </c>
      <c r="G27" s="448"/>
      <c r="H27" s="448" t="s">
        <v>168</v>
      </c>
      <c r="I27" s="448"/>
      <c r="J27" s="448" t="s">
        <v>168</v>
      </c>
      <c r="K27" s="448"/>
      <c r="L27" s="448" t="s">
        <v>168</v>
      </c>
      <c r="M27" s="448"/>
      <c r="N27" s="448" t="s">
        <v>168</v>
      </c>
      <c r="O27" s="448"/>
      <c r="P27" s="448" t="s">
        <v>360</v>
      </c>
      <c r="Q27" s="448"/>
      <c r="R27" s="448" t="s">
        <v>360</v>
      </c>
      <c r="S27" s="445"/>
      <c r="T27" s="450"/>
      <c r="U27" s="444"/>
      <c r="V27" s="444"/>
      <c r="W27" s="446"/>
      <c r="X27" s="425"/>
    </row>
    <row r="28" spans="1:24" s="426" customFormat="1" x14ac:dyDescent="0.3">
      <c r="A28" s="443"/>
      <c r="B28" s="449" t="s">
        <v>195</v>
      </c>
      <c r="C28" s="445"/>
      <c r="D28" s="448" t="s">
        <v>146</v>
      </c>
      <c r="E28" s="448"/>
      <c r="F28" s="448" t="s">
        <v>146</v>
      </c>
      <c r="G28" s="448"/>
      <c r="H28" s="448" t="s">
        <v>146</v>
      </c>
      <c r="I28" s="448"/>
      <c r="J28" s="448" t="s">
        <v>146</v>
      </c>
      <c r="K28" s="448"/>
      <c r="L28" s="448" t="s">
        <v>146</v>
      </c>
      <c r="M28" s="448"/>
      <c r="N28" s="448" t="s">
        <v>146</v>
      </c>
      <c r="O28" s="448"/>
      <c r="P28" s="448" t="s">
        <v>360</v>
      </c>
      <c r="Q28" s="448"/>
      <c r="R28" s="448" t="s">
        <v>360</v>
      </c>
      <c r="S28" s="445"/>
      <c r="T28" s="450"/>
      <c r="U28" s="444"/>
      <c r="V28" s="444"/>
      <c r="W28" s="446"/>
      <c r="X28" s="425"/>
    </row>
    <row r="29" spans="1:24" s="426" customFormat="1" x14ac:dyDescent="0.3">
      <c r="A29" s="443"/>
      <c r="B29" s="444" t="s">
        <v>10</v>
      </c>
      <c r="C29" s="451"/>
      <c r="D29" s="445" t="s">
        <v>348</v>
      </c>
      <c r="E29" s="445"/>
      <c r="F29" s="450" t="s">
        <v>242</v>
      </c>
      <c r="G29" s="445"/>
      <c r="H29" s="445" t="s">
        <v>243</v>
      </c>
      <c r="I29" s="445"/>
      <c r="J29" s="445" t="s">
        <v>245</v>
      </c>
      <c r="K29" s="445"/>
      <c r="L29" s="445" t="s">
        <v>246</v>
      </c>
      <c r="M29" s="445"/>
      <c r="N29" s="445" t="s">
        <v>247</v>
      </c>
      <c r="O29" s="445"/>
      <c r="P29" s="445" t="s">
        <v>248</v>
      </c>
      <c r="Q29" s="445"/>
      <c r="R29" s="445" t="s">
        <v>249</v>
      </c>
      <c r="S29" s="452"/>
      <c r="T29" s="452"/>
      <c r="U29" s="451"/>
      <c r="V29" s="452"/>
      <c r="W29" s="453"/>
      <c r="X29" s="425"/>
    </row>
    <row r="30" spans="1:24" s="426" customFormat="1" x14ac:dyDescent="0.3">
      <c r="A30" s="443"/>
      <c r="B30" s="444" t="s">
        <v>10</v>
      </c>
      <c r="C30" s="451"/>
      <c r="D30" s="445" t="s">
        <v>241</v>
      </c>
      <c r="E30" s="445"/>
      <c r="F30" s="450" t="s">
        <v>121</v>
      </c>
      <c r="G30" s="445"/>
      <c r="H30" s="445" t="s">
        <v>121</v>
      </c>
      <c r="I30" s="445"/>
      <c r="J30" s="445" t="s">
        <v>244</v>
      </c>
      <c r="K30" s="445"/>
      <c r="L30" s="445" t="s">
        <v>121</v>
      </c>
      <c r="M30" s="445"/>
      <c r="N30" s="445" t="s">
        <v>121</v>
      </c>
      <c r="O30" s="445"/>
      <c r="P30" s="445" t="s">
        <v>121</v>
      </c>
      <c r="Q30" s="445"/>
      <c r="R30" s="445" t="s">
        <v>121</v>
      </c>
      <c r="S30" s="452"/>
      <c r="T30" s="452"/>
      <c r="U30" s="451"/>
      <c r="V30" s="452"/>
      <c r="W30" s="453"/>
      <c r="X30" s="425"/>
    </row>
    <row r="31" spans="1:24" s="426" customFormat="1" x14ac:dyDescent="0.3">
      <c r="A31" s="447"/>
      <c r="B31" s="444" t="s">
        <v>136</v>
      </c>
      <c r="C31" s="454"/>
      <c r="D31" s="455">
        <v>1500000</v>
      </c>
      <c r="E31" s="451"/>
      <c r="F31" s="452">
        <v>125000</v>
      </c>
      <c r="G31" s="452"/>
      <c r="H31" s="456">
        <v>315000</v>
      </c>
      <c r="I31" s="456"/>
      <c r="J31" s="455">
        <v>350000</v>
      </c>
      <c r="K31" s="452"/>
      <c r="L31" s="452">
        <v>56000</v>
      </c>
      <c r="M31" s="452"/>
      <c r="N31" s="456">
        <v>84000</v>
      </c>
      <c r="O31" s="452"/>
      <c r="P31" s="452">
        <v>13000</v>
      </c>
      <c r="Q31" s="452"/>
      <c r="R31" s="456">
        <v>81000</v>
      </c>
      <c r="S31" s="457"/>
      <c r="T31" s="457"/>
      <c r="U31" s="454"/>
      <c r="V31" s="457"/>
      <c r="W31" s="453"/>
      <c r="X31" s="425"/>
    </row>
    <row r="32" spans="1:24" s="426" customFormat="1" x14ac:dyDescent="0.3">
      <c r="A32" s="443"/>
      <c r="B32" s="444" t="s">
        <v>135</v>
      </c>
      <c r="C32" s="451"/>
      <c r="D32" s="458">
        <f>D34*D38</f>
        <v>306759.20422240003</v>
      </c>
      <c r="E32" s="451"/>
      <c r="F32" s="452">
        <f>F31*F38</f>
        <v>48059.15</v>
      </c>
      <c r="G32" s="452"/>
      <c r="H32" s="456">
        <f>H31*H38</f>
        <v>121109.058</v>
      </c>
      <c r="I32" s="456"/>
      <c r="J32" s="455">
        <f>J31*J38</f>
        <v>134564.67499999999</v>
      </c>
      <c r="K32" s="452"/>
      <c r="L32" s="452">
        <f>L31*L38</f>
        <v>49949.782399999996</v>
      </c>
      <c r="M32" s="452"/>
      <c r="N32" s="456">
        <f>N31*N38</f>
        <v>74924.673599999995</v>
      </c>
      <c r="O32" s="452"/>
      <c r="P32" s="452">
        <f>P31*P38</f>
        <v>11595.485199999999</v>
      </c>
      <c r="Q32" s="452"/>
      <c r="R32" s="456">
        <f>R31*R38</f>
        <v>72248.792400000006</v>
      </c>
      <c r="S32" s="452"/>
      <c r="T32" s="452"/>
      <c r="U32" s="451"/>
      <c r="V32" s="452"/>
      <c r="W32" s="453"/>
      <c r="X32" s="425"/>
    </row>
    <row r="33" spans="1:24" s="426" customFormat="1" x14ac:dyDescent="0.3">
      <c r="A33" s="443"/>
      <c r="B33" s="449" t="s">
        <v>137</v>
      </c>
      <c r="C33" s="451"/>
      <c r="D33" s="459">
        <f>D34*D37</f>
        <v>302497.84965759999</v>
      </c>
      <c r="E33" s="454"/>
      <c r="F33" s="457">
        <f>F37*F31</f>
        <v>47391.524999999994</v>
      </c>
      <c r="G33" s="457"/>
      <c r="H33" s="460">
        <f>H31*H37</f>
        <v>119426.643</v>
      </c>
      <c r="I33" s="460"/>
      <c r="J33" s="461">
        <f>J37*J31</f>
        <v>132695.32500000001</v>
      </c>
      <c r="K33" s="457"/>
      <c r="L33" s="457">
        <f>L31*L37</f>
        <v>49255.886399999996</v>
      </c>
      <c r="M33" s="457"/>
      <c r="N33" s="460">
        <f>N31*N37</f>
        <v>73883.829599999997</v>
      </c>
      <c r="O33" s="457"/>
      <c r="P33" s="457">
        <f>P31*P37</f>
        <v>11434.402199999999</v>
      </c>
      <c r="Q33" s="457"/>
      <c r="R33" s="460">
        <f>R31*R37</f>
        <v>71245.121399999989</v>
      </c>
      <c r="S33" s="452"/>
      <c r="T33" s="452"/>
      <c r="U33" s="451"/>
      <c r="V33" s="452"/>
      <c r="W33" s="453"/>
      <c r="X33" s="425"/>
    </row>
    <row r="34" spans="1:24" s="426" customFormat="1" x14ac:dyDescent="0.3">
      <c r="A34" s="447"/>
      <c r="B34" s="444" t="s">
        <v>298</v>
      </c>
      <c r="C34" s="454"/>
      <c r="D34" s="452">
        <v>797872</v>
      </c>
      <c r="E34" s="451"/>
      <c r="F34" s="452">
        <v>125000</v>
      </c>
      <c r="G34" s="452"/>
      <c r="H34" s="452">
        <v>211409</v>
      </c>
      <c r="I34" s="452"/>
      <c r="J34" s="452">
        <v>186170</v>
      </c>
      <c r="K34" s="452"/>
      <c r="L34" s="452">
        <v>56000</v>
      </c>
      <c r="M34" s="452"/>
      <c r="N34" s="452">
        <v>56376</v>
      </c>
      <c r="O34" s="452"/>
      <c r="P34" s="452">
        <v>13000</v>
      </c>
      <c r="Q34" s="452"/>
      <c r="R34" s="452">
        <v>54363</v>
      </c>
      <c r="S34" s="457"/>
      <c r="T34" s="457"/>
      <c r="U34" s="454"/>
      <c r="V34" s="452">
        <f>SUM(C34:R34)</f>
        <v>1500190</v>
      </c>
      <c r="W34" s="453"/>
      <c r="X34" s="425"/>
    </row>
    <row r="35" spans="1:24" s="426" customFormat="1" x14ac:dyDescent="0.3">
      <c r="A35" s="447"/>
      <c r="B35" s="444" t="s">
        <v>299</v>
      </c>
      <c r="C35" s="454"/>
      <c r="D35" s="452">
        <f>D34*D38</f>
        <v>306759.20422240003</v>
      </c>
      <c r="E35" s="451"/>
      <c r="F35" s="452">
        <f>F34*F38</f>
        <v>48059.15</v>
      </c>
      <c r="G35" s="452"/>
      <c r="H35" s="452">
        <f>H34*H38</f>
        <v>81281.094738800006</v>
      </c>
      <c r="I35" s="452"/>
      <c r="J35" s="452">
        <f>J34*J38</f>
        <v>71576.872984999995</v>
      </c>
      <c r="K35" s="452"/>
      <c r="L35" s="452">
        <f>L34*L38</f>
        <v>49949.782399999996</v>
      </c>
      <c r="M35" s="452"/>
      <c r="N35" s="452">
        <f>N34*N38</f>
        <v>50285.159510400001</v>
      </c>
      <c r="O35" s="452"/>
      <c r="P35" s="452">
        <f>P34*P38</f>
        <v>11595.485199999999</v>
      </c>
      <c r="Q35" s="452"/>
      <c r="R35" s="452">
        <f>R34*R38</f>
        <v>48489.643225200001</v>
      </c>
      <c r="S35" s="452"/>
      <c r="T35" s="452"/>
      <c r="U35" s="451"/>
      <c r="V35" s="452">
        <f>SUM(C35:R35)+1</f>
        <v>667997.39228180016</v>
      </c>
      <c r="W35" s="453"/>
      <c r="X35" s="425"/>
    </row>
    <row r="36" spans="1:24" s="426" customFormat="1" x14ac:dyDescent="0.3">
      <c r="A36" s="447"/>
      <c r="B36" s="449" t="s">
        <v>304</v>
      </c>
      <c r="C36" s="454"/>
      <c r="D36" s="457">
        <f>D34*D37</f>
        <v>302497.84965759999</v>
      </c>
      <c r="E36" s="454"/>
      <c r="F36" s="457">
        <f>F34*F37</f>
        <v>47391.524999999994</v>
      </c>
      <c r="G36" s="457"/>
      <c r="H36" s="457">
        <f>H34*H37</f>
        <v>80151.959269799991</v>
      </c>
      <c r="I36" s="457"/>
      <c r="J36" s="457">
        <f>J34*J37</f>
        <v>70582.539015000002</v>
      </c>
      <c r="K36" s="457"/>
      <c r="L36" s="457">
        <f>L34*L37</f>
        <v>49255.886399999996</v>
      </c>
      <c r="M36" s="457"/>
      <c r="N36" s="457">
        <f>N34*N37</f>
        <v>49586.604494399995</v>
      </c>
      <c r="O36" s="457"/>
      <c r="P36" s="457">
        <f>P34*P37</f>
        <v>11434.402199999999</v>
      </c>
      <c r="Q36" s="457"/>
      <c r="R36" s="457">
        <f>R34*R37</f>
        <v>47816.031292199994</v>
      </c>
      <c r="S36" s="462"/>
      <c r="T36" s="462"/>
      <c r="U36" s="451"/>
      <c r="V36" s="457">
        <f>SUM(C36:R36)</f>
        <v>658716.79732899985</v>
      </c>
      <c r="W36" s="453"/>
      <c r="X36" s="425"/>
    </row>
    <row r="37" spans="1:24" s="473" customFormat="1" x14ac:dyDescent="0.3">
      <c r="A37" s="463"/>
      <c r="B37" s="464" t="s">
        <v>133</v>
      </c>
      <c r="C37" s="465"/>
      <c r="D37" s="466">
        <v>0.37913079999999999</v>
      </c>
      <c r="E37" s="467"/>
      <c r="F37" s="466">
        <v>0.37913219999999997</v>
      </c>
      <c r="G37" s="468"/>
      <c r="H37" s="466">
        <v>0.37913219999999997</v>
      </c>
      <c r="I37" s="468"/>
      <c r="J37" s="466">
        <v>0.37912950000000001</v>
      </c>
      <c r="K37" s="468"/>
      <c r="L37" s="466">
        <v>0.87956939999999995</v>
      </c>
      <c r="M37" s="468"/>
      <c r="N37" s="466">
        <v>0.87956939999999995</v>
      </c>
      <c r="O37" s="468"/>
      <c r="P37" s="466">
        <v>0.87956939999999995</v>
      </c>
      <c r="Q37" s="468"/>
      <c r="R37" s="466">
        <v>0.87956939999999995</v>
      </c>
      <c r="S37" s="469"/>
      <c r="T37" s="469"/>
      <c r="U37" s="470"/>
      <c r="V37" s="470"/>
      <c r="W37" s="471"/>
      <c r="X37" s="472"/>
    </row>
    <row r="38" spans="1:24" s="473" customFormat="1" x14ac:dyDescent="0.3">
      <c r="A38" s="463"/>
      <c r="B38" s="465" t="s">
        <v>134</v>
      </c>
      <c r="C38" s="465"/>
      <c r="D38" s="474">
        <v>0.38447170000000003</v>
      </c>
      <c r="E38" s="475"/>
      <c r="F38" s="474">
        <v>0.38447320000000001</v>
      </c>
      <c r="G38" s="476"/>
      <c r="H38" s="474">
        <v>0.38447320000000001</v>
      </c>
      <c r="I38" s="476"/>
      <c r="J38" s="474">
        <v>0.38447049999999999</v>
      </c>
      <c r="K38" s="476"/>
      <c r="L38" s="474">
        <v>0.89196039999999999</v>
      </c>
      <c r="M38" s="476"/>
      <c r="N38" s="474">
        <v>0.89196039999999999</v>
      </c>
      <c r="O38" s="476"/>
      <c r="P38" s="474">
        <v>0.89196039999999999</v>
      </c>
      <c r="Q38" s="476"/>
      <c r="R38" s="474">
        <v>0.89196039999999999</v>
      </c>
      <c r="S38" s="477"/>
      <c r="T38" s="478"/>
      <c r="U38" s="470"/>
      <c r="V38" s="477"/>
      <c r="W38" s="471"/>
      <c r="X38" s="472"/>
    </row>
    <row r="39" spans="1:24" s="426" customFormat="1" x14ac:dyDescent="0.3">
      <c r="A39" s="443"/>
      <c r="B39" s="444" t="s">
        <v>11</v>
      </c>
      <c r="C39" s="444"/>
      <c r="D39" s="450" t="s">
        <v>226</v>
      </c>
      <c r="E39" s="444"/>
      <c r="F39" s="450" t="s">
        <v>226</v>
      </c>
      <c r="G39" s="450"/>
      <c r="H39" s="450" t="s">
        <v>226</v>
      </c>
      <c r="I39" s="450"/>
      <c r="J39" s="450" t="s">
        <v>256</v>
      </c>
      <c r="K39" s="450"/>
      <c r="L39" s="450" t="s">
        <v>254</v>
      </c>
      <c r="M39" s="450"/>
      <c r="N39" s="450" t="s">
        <v>257</v>
      </c>
      <c r="O39" s="450"/>
      <c r="P39" s="450" t="s">
        <v>258</v>
      </c>
      <c r="Q39" s="450"/>
      <c r="R39" s="450" t="s">
        <v>259</v>
      </c>
      <c r="S39" s="479"/>
      <c r="T39" s="480"/>
      <c r="U39" s="444"/>
      <c r="V39" s="444"/>
      <c r="W39" s="446"/>
      <c r="X39" s="425"/>
    </row>
    <row r="40" spans="1:24" s="426" customFormat="1" x14ac:dyDescent="0.3">
      <c r="A40" s="443"/>
      <c r="B40" s="444" t="s">
        <v>12</v>
      </c>
      <c r="C40" s="444"/>
      <c r="D40" s="480">
        <v>3.2238000000000002E-3</v>
      </c>
      <c r="E40" s="444"/>
      <c r="F40" s="480">
        <v>3.2238000000000002E-3</v>
      </c>
      <c r="G40" s="479"/>
      <c r="H40" s="480">
        <v>0</v>
      </c>
      <c r="I40" s="480"/>
      <c r="J40" s="480">
        <v>4.5500000000000002E-3</v>
      </c>
      <c r="K40" s="479"/>
      <c r="L40" s="480">
        <v>4.8237999999999996E-3</v>
      </c>
      <c r="M40" s="479"/>
      <c r="N40" s="480">
        <v>0</v>
      </c>
      <c r="O40" s="479"/>
      <c r="P40" s="480">
        <v>8.8237999999999997E-3</v>
      </c>
      <c r="Q40" s="479"/>
      <c r="R40" s="480">
        <v>3.4499999999999999E-3</v>
      </c>
      <c r="S40" s="479"/>
      <c r="T40" s="480"/>
      <c r="U40" s="444"/>
      <c r="V40" s="450"/>
      <c r="W40" s="446"/>
      <c r="X40" s="425"/>
    </row>
    <row r="41" spans="1:24" s="426" customFormat="1" x14ac:dyDescent="0.3">
      <c r="A41" s="443"/>
      <c r="B41" s="444" t="s">
        <v>13</v>
      </c>
      <c r="C41" s="444"/>
      <c r="D41" s="480">
        <v>9.0775000000000005E-3</v>
      </c>
      <c r="E41" s="444"/>
      <c r="F41" s="480">
        <v>9.0775000000000005E-3</v>
      </c>
      <c r="G41" s="479"/>
      <c r="H41" s="480">
        <v>2.0000000000000001E-4</v>
      </c>
      <c r="I41" s="480"/>
      <c r="J41" s="480">
        <v>1.3988799999999999E-2</v>
      </c>
      <c r="K41" s="479"/>
      <c r="L41" s="480">
        <v>1.0677499999999999E-2</v>
      </c>
      <c r="M41" s="479"/>
      <c r="N41" s="480">
        <v>1.6000000000000001E-3</v>
      </c>
      <c r="O41" s="479"/>
      <c r="P41" s="480">
        <v>1.46775E-2</v>
      </c>
      <c r="Q41" s="479"/>
      <c r="R41" s="480">
        <v>5.5999999999999999E-3</v>
      </c>
      <c r="S41" s="479"/>
      <c r="T41" s="480"/>
      <c r="U41" s="444"/>
      <c r="V41" s="479" t="s">
        <v>196</v>
      </c>
      <c r="W41" s="446"/>
      <c r="X41" s="425"/>
    </row>
    <row r="42" spans="1:24" s="426" customFormat="1" x14ac:dyDescent="0.3">
      <c r="A42" s="443"/>
      <c r="B42" s="444" t="s">
        <v>300</v>
      </c>
      <c r="C42" s="444"/>
      <c r="D42" s="450" t="s">
        <v>226</v>
      </c>
      <c r="E42" s="444"/>
      <c r="F42" s="450" t="s">
        <v>226</v>
      </c>
      <c r="G42" s="450"/>
      <c r="H42" s="450" t="s">
        <v>227</v>
      </c>
      <c r="I42" s="450"/>
      <c r="J42" s="450" t="s">
        <v>237</v>
      </c>
      <c r="K42" s="450"/>
      <c r="L42" s="450" t="s">
        <v>254</v>
      </c>
      <c r="M42" s="450"/>
      <c r="N42" s="450" t="s">
        <v>260</v>
      </c>
      <c r="O42" s="450"/>
      <c r="P42" s="450" t="s">
        <v>258</v>
      </c>
      <c r="Q42" s="450"/>
      <c r="R42" s="450" t="s">
        <v>261</v>
      </c>
      <c r="S42" s="479"/>
      <c r="T42" s="480"/>
      <c r="U42" s="444"/>
      <c r="V42" s="444"/>
      <c r="W42" s="446"/>
      <c r="X42" s="425"/>
    </row>
    <row r="43" spans="1:24" s="426" customFormat="1" x14ac:dyDescent="0.3">
      <c r="A43" s="443"/>
      <c r="B43" s="444" t="s">
        <v>301</v>
      </c>
      <c r="C43" s="481"/>
      <c r="D43" s="480">
        <f>+D40</f>
        <v>3.2238000000000002E-3</v>
      </c>
      <c r="E43" s="480"/>
      <c r="F43" s="480">
        <f>+F40</f>
        <v>3.2238000000000002E-3</v>
      </c>
      <c r="G43" s="480"/>
      <c r="H43" s="480">
        <v>3.4678E-3</v>
      </c>
      <c r="I43" s="480"/>
      <c r="J43" s="480">
        <v>3.3038E-3</v>
      </c>
      <c r="K43" s="480"/>
      <c r="L43" s="480">
        <f>+L40</f>
        <v>4.8237999999999996E-3</v>
      </c>
      <c r="M43" s="480"/>
      <c r="N43" s="480">
        <v>5.0038000000000001E-3</v>
      </c>
      <c r="O43" s="480"/>
      <c r="P43" s="480">
        <f>+P40</f>
        <v>8.8237999999999997E-3</v>
      </c>
      <c r="Q43" s="479"/>
      <c r="R43" s="480">
        <v>9.2238000000000007E-3</v>
      </c>
      <c r="S43" s="450"/>
      <c r="T43" s="450"/>
      <c r="U43" s="444"/>
      <c r="V43" s="479">
        <f>SUMPRODUCT(D43:R43,D35:R35)/V35</f>
        <v>4.0484369398436151E-3</v>
      </c>
      <c r="W43" s="446"/>
      <c r="X43" s="425"/>
    </row>
    <row r="44" spans="1:24" s="426" customFormat="1" x14ac:dyDescent="0.3">
      <c r="A44" s="443"/>
      <c r="B44" s="444" t="s">
        <v>302</v>
      </c>
      <c r="C44" s="481"/>
      <c r="D44" s="480">
        <f>+D41</f>
        <v>9.0775000000000005E-3</v>
      </c>
      <c r="E44" s="480"/>
      <c r="F44" s="480">
        <f>+F41</f>
        <v>9.0775000000000005E-3</v>
      </c>
      <c r="G44" s="480"/>
      <c r="H44" s="480">
        <v>9.3214999999999999E-3</v>
      </c>
      <c r="I44" s="480"/>
      <c r="J44" s="480">
        <v>9.1575000000000007E-3</v>
      </c>
      <c r="K44" s="480"/>
      <c r="L44" s="480">
        <f>+L41</f>
        <v>1.0677499999999999E-2</v>
      </c>
      <c r="M44" s="480"/>
      <c r="N44" s="480">
        <v>1.0857500000000001E-2</v>
      </c>
      <c r="O44" s="480"/>
      <c r="P44" s="480">
        <f>+P41</f>
        <v>1.46775E-2</v>
      </c>
      <c r="Q44" s="479"/>
      <c r="R44" s="480">
        <v>1.5077500000000001E-2</v>
      </c>
      <c r="S44" s="450"/>
      <c r="T44" s="450"/>
      <c r="U44" s="444"/>
      <c r="V44" s="444"/>
      <c r="W44" s="446"/>
      <c r="X44" s="425"/>
    </row>
    <row r="45" spans="1:24" s="426" customFormat="1" x14ac:dyDescent="0.3">
      <c r="A45" s="443"/>
      <c r="B45" s="444" t="s">
        <v>14</v>
      </c>
      <c r="C45" s="444"/>
      <c r="D45" s="481">
        <v>40466</v>
      </c>
      <c r="E45" s="481"/>
      <c r="F45" s="481">
        <v>40466</v>
      </c>
      <c r="G45" s="481"/>
      <c r="H45" s="481">
        <v>40466</v>
      </c>
      <c r="I45" s="481"/>
      <c r="J45" s="481">
        <v>40466</v>
      </c>
      <c r="K45" s="481"/>
      <c r="L45" s="481">
        <v>40466</v>
      </c>
      <c r="M45" s="481"/>
      <c r="N45" s="481">
        <v>40466</v>
      </c>
      <c r="O45" s="481"/>
      <c r="P45" s="481">
        <v>40466</v>
      </c>
      <c r="Q45" s="481"/>
      <c r="R45" s="481">
        <v>40466</v>
      </c>
      <c r="S45" s="450"/>
      <c r="T45" s="450"/>
      <c r="U45" s="444"/>
      <c r="V45" s="444"/>
      <c r="W45" s="446"/>
      <c r="X45" s="425"/>
    </row>
    <row r="46" spans="1:24" s="426" customFormat="1" x14ac:dyDescent="0.3">
      <c r="A46" s="443"/>
      <c r="B46" s="444" t="s">
        <v>15</v>
      </c>
      <c r="C46" s="444"/>
      <c r="D46" s="481">
        <v>41105</v>
      </c>
      <c r="E46" s="481"/>
      <c r="F46" s="481">
        <v>40831</v>
      </c>
      <c r="G46" s="481"/>
      <c r="H46" s="481">
        <v>40831</v>
      </c>
      <c r="I46" s="481"/>
      <c r="J46" s="481">
        <v>40831</v>
      </c>
      <c r="K46" s="450"/>
      <c r="L46" s="481">
        <v>40831</v>
      </c>
      <c r="M46" s="450"/>
      <c r="N46" s="481">
        <v>40831</v>
      </c>
      <c r="O46" s="450"/>
      <c r="P46" s="481">
        <v>40831</v>
      </c>
      <c r="Q46" s="450"/>
      <c r="R46" s="481">
        <v>40831</v>
      </c>
      <c r="S46" s="450"/>
      <c r="T46" s="450"/>
      <c r="U46" s="444"/>
      <c r="V46" s="444"/>
      <c r="W46" s="446"/>
      <c r="X46" s="425"/>
    </row>
    <row r="47" spans="1:24" s="426" customFormat="1" x14ac:dyDescent="0.3">
      <c r="A47" s="443"/>
      <c r="B47" s="444" t="s">
        <v>122</v>
      </c>
      <c r="C47" s="444"/>
      <c r="D47" s="450" t="s">
        <v>226</v>
      </c>
      <c r="E47" s="444"/>
      <c r="F47" s="450" t="s">
        <v>226</v>
      </c>
      <c r="G47" s="450"/>
      <c r="H47" s="450" t="s">
        <v>226</v>
      </c>
      <c r="I47" s="450"/>
      <c r="J47" s="450" t="s">
        <v>256</v>
      </c>
      <c r="K47" s="450"/>
      <c r="L47" s="450" t="s">
        <v>254</v>
      </c>
      <c r="M47" s="450"/>
      <c r="N47" s="450" t="s">
        <v>257</v>
      </c>
      <c r="O47" s="450"/>
      <c r="P47" s="450" t="s">
        <v>258</v>
      </c>
      <c r="Q47" s="450"/>
      <c r="R47" s="450" t="s">
        <v>259</v>
      </c>
      <c r="S47" s="482"/>
      <c r="T47" s="482"/>
      <c r="U47" s="482"/>
      <c r="V47" s="482"/>
      <c r="W47" s="446"/>
      <c r="X47" s="425"/>
    </row>
    <row r="48" spans="1:24" s="426" customFormat="1" x14ac:dyDescent="0.3">
      <c r="A48" s="443"/>
      <c r="B48" s="444" t="s">
        <v>303</v>
      </c>
      <c r="C48" s="444"/>
      <c r="D48" s="450" t="s">
        <v>226</v>
      </c>
      <c r="E48" s="444"/>
      <c r="F48" s="450" t="s">
        <v>226</v>
      </c>
      <c r="G48" s="450"/>
      <c r="H48" s="450" t="s">
        <v>227</v>
      </c>
      <c r="I48" s="450"/>
      <c r="J48" s="450" t="s">
        <v>237</v>
      </c>
      <c r="K48" s="450"/>
      <c r="L48" s="450" t="s">
        <v>254</v>
      </c>
      <c r="M48" s="450"/>
      <c r="N48" s="450" t="s">
        <v>260</v>
      </c>
      <c r="O48" s="450"/>
      <c r="P48" s="450" t="s">
        <v>258</v>
      </c>
      <c r="Q48" s="450"/>
      <c r="R48" s="450" t="s">
        <v>261</v>
      </c>
      <c r="S48" s="444"/>
      <c r="T48" s="444"/>
      <c r="U48" s="444"/>
      <c r="V48" s="479"/>
      <c r="W48" s="446"/>
      <c r="X48" s="425"/>
    </row>
    <row r="49" spans="1:25" s="426" customFormat="1" x14ac:dyDescent="0.3">
      <c r="A49" s="443"/>
      <c r="B49" s="444"/>
      <c r="C49" s="444"/>
      <c r="D49" s="450"/>
      <c r="E49" s="444"/>
      <c r="F49" s="450"/>
      <c r="G49" s="450"/>
      <c r="H49" s="450"/>
      <c r="I49" s="450"/>
      <c r="J49" s="450"/>
      <c r="K49" s="450"/>
      <c r="L49" s="450"/>
      <c r="M49" s="450"/>
      <c r="N49" s="450"/>
      <c r="O49" s="450"/>
      <c r="P49" s="450"/>
      <c r="Q49" s="450"/>
      <c r="R49" s="450"/>
      <c r="S49" s="444"/>
      <c r="T49" s="444"/>
      <c r="U49" s="444"/>
      <c r="V49" s="479" t="s">
        <v>196</v>
      </c>
      <c r="W49" s="446"/>
      <c r="X49" s="425"/>
    </row>
    <row r="50" spans="1:25" s="426" customFormat="1" x14ac:dyDescent="0.3">
      <c r="A50" s="443"/>
      <c r="B50" s="444" t="s">
        <v>172</v>
      </c>
      <c r="C50" s="444"/>
      <c r="D50" s="450"/>
      <c r="E50" s="444"/>
      <c r="F50" s="450"/>
      <c r="G50" s="450"/>
      <c r="H50" s="450"/>
      <c r="I50" s="450"/>
      <c r="J50" s="450"/>
      <c r="K50" s="450"/>
      <c r="L50" s="450"/>
      <c r="M50" s="450"/>
      <c r="N50" s="450"/>
      <c r="O50" s="450"/>
      <c r="P50" s="450"/>
      <c r="Q50" s="450"/>
      <c r="R50" s="450"/>
      <c r="S50" s="444"/>
      <c r="T50" s="444"/>
      <c r="U50" s="444"/>
      <c r="V50" s="479">
        <f>SUM(L34:R34)/SUM(D34:J34)</f>
        <v>0.13611940162868597</v>
      </c>
      <c r="W50" s="446"/>
      <c r="X50" s="425"/>
    </row>
    <row r="51" spans="1:25" s="426" customFormat="1" x14ac:dyDescent="0.3">
      <c r="A51" s="443"/>
      <c r="B51" s="444" t="s">
        <v>173</v>
      </c>
      <c r="C51" s="444"/>
      <c r="D51" s="444"/>
      <c r="E51" s="444"/>
      <c r="F51" s="483"/>
      <c r="G51" s="444"/>
      <c r="H51" s="444"/>
      <c r="I51" s="444"/>
      <c r="J51" s="444"/>
      <c r="K51" s="444"/>
      <c r="L51" s="444"/>
      <c r="M51" s="444"/>
      <c r="N51" s="444"/>
      <c r="O51" s="444"/>
      <c r="P51" s="444"/>
      <c r="Q51" s="444"/>
      <c r="R51" s="444"/>
      <c r="S51" s="444"/>
      <c r="T51" s="444"/>
      <c r="U51" s="444"/>
      <c r="V51" s="479">
        <f>SUM(L36:R36)/SUM(D36:J36)</f>
        <v>0.31579182082830798</v>
      </c>
      <c r="W51" s="446"/>
      <c r="X51" s="425"/>
    </row>
    <row r="52" spans="1:25" s="426" customFormat="1" x14ac:dyDescent="0.3">
      <c r="A52" s="443"/>
      <c r="B52" s="444" t="s">
        <v>174</v>
      </c>
      <c r="C52" s="444"/>
      <c r="D52" s="444"/>
      <c r="E52" s="444"/>
      <c r="F52" s="444"/>
      <c r="G52" s="444"/>
      <c r="H52" s="444"/>
      <c r="I52" s="444"/>
      <c r="J52" s="444"/>
      <c r="K52" s="444"/>
      <c r="L52" s="444"/>
      <c r="M52" s="444"/>
      <c r="N52" s="444"/>
      <c r="O52" s="444"/>
      <c r="P52" s="444"/>
      <c r="Q52" s="444"/>
      <c r="R52" s="444"/>
      <c r="S52" s="444"/>
      <c r="T52" s="450" t="s">
        <v>107</v>
      </c>
      <c r="U52" s="450" t="s">
        <v>112</v>
      </c>
      <c r="V52" s="452">
        <f>+V34/2-SUM(L34:R34)</f>
        <v>570356</v>
      </c>
      <c r="W52" s="446"/>
      <c r="X52" s="425"/>
    </row>
    <row r="53" spans="1:25" s="426" customFormat="1" x14ac:dyDescent="0.3">
      <c r="A53" s="443"/>
      <c r="B53" s="444"/>
      <c r="C53" s="444"/>
      <c r="D53" s="444"/>
      <c r="E53" s="444"/>
      <c r="F53" s="444"/>
      <c r="G53" s="444"/>
      <c r="H53" s="444"/>
      <c r="I53" s="444"/>
      <c r="J53" s="444"/>
      <c r="K53" s="444"/>
      <c r="L53" s="444"/>
      <c r="M53" s="444"/>
      <c r="N53" s="444"/>
      <c r="O53" s="444"/>
      <c r="P53" s="444"/>
      <c r="Q53" s="444"/>
      <c r="R53" s="444"/>
      <c r="S53" s="444"/>
      <c r="T53" s="444"/>
      <c r="U53" s="444"/>
      <c r="V53" s="484"/>
      <c r="W53" s="446"/>
      <c r="X53" s="425"/>
    </row>
    <row r="54" spans="1:25" s="426" customFormat="1" x14ac:dyDescent="0.3">
      <c r="A54" s="443"/>
      <c r="B54" s="444" t="s">
        <v>358</v>
      </c>
      <c r="C54" s="444"/>
      <c r="D54" s="444"/>
      <c r="E54" s="444"/>
      <c r="F54" s="444"/>
      <c r="G54" s="444"/>
      <c r="H54" s="444"/>
      <c r="I54" s="444"/>
      <c r="J54" s="444"/>
      <c r="K54" s="444"/>
      <c r="L54" s="444"/>
      <c r="M54" s="444"/>
      <c r="N54" s="444"/>
      <c r="O54" s="444"/>
      <c r="P54" s="444"/>
      <c r="Q54" s="444"/>
      <c r="R54" s="444"/>
      <c r="S54" s="444"/>
      <c r="T54" s="450"/>
      <c r="U54" s="450"/>
      <c r="V54" s="485" t="s">
        <v>114</v>
      </c>
      <c r="W54" s="486"/>
      <c r="X54" s="487"/>
    </row>
    <row r="55" spans="1:25" s="426" customFormat="1" x14ac:dyDescent="0.3">
      <c r="A55" s="443"/>
      <c r="B55" s="449" t="s">
        <v>204</v>
      </c>
      <c r="C55" s="449"/>
      <c r="D55" s="449"/>
      <c r="E55" s="449"/>
      <c r="F55" s="449"/>
      <c r="G55" s="449"/>
      <c r="H55" s="449"/>
      <c r="I55" s="449"/>
      <c r="J55" s="449"/>
      <c r="K55" s="449"/>
      <c r="L55" s="449"/>
      <c r="M55" s="449"/>
      <c r="N55" s="449"/>
      <c r="O55" s="449"/>
      <c r="P55" s="449"/>
      <c r="Q55" s="449"/>
      <c r="R55" s="449"/>
      <c r="S55" s="449"/>
      <c r="T55" s="488"/>
      <c r="U55" s="488"/>
      <c r="V55" s="489">
        <v>44119</v>
      </c>
      <c r="W55" s="486"/>
      <c r="X55" s="487"/>
    </row>
    <row r="56" spans="1:25" s="426" customFormat="1" x14ac:dyDescent="0.3">
      <c r="A56" s="443"/>
      <c r="B56" s="444" t="s">
        <v>124</v>
      </c>
      <c r="C56" s="444"/>
      <c r="D56" s="444"/>
      <c r="E56" s="444"/>
      <c r="F56" s="444"/>
      <c r="G56" s="444"/>
      <c r="H56" s="490"/>
      <c r="I56" s="490"/>
      <c r="J56" s="490"/>
      <c r="K56" s="490"/>
      <c r="L56" s="490"/>
      <c r="M56" s="490"/>
      <c r="N56" s="490"/>
      <c r="O56" s="490"/>
      <c r="P56" s="490"/>
      <c r="Q56" s="490"/>
      <c r="R56" s="444">
        <f>+V56-T56+1</f>
        <v>91</v>
      </c>
      <c r="S56" s="490"/>
      <c r="T56" s="491">
        <v>43936</v>
      </c>
      <c r="U56" s="492"/>
      <c r="V56" s="491">
        <v>44026</v>
      </c>
      <c r="W56" s="486"/>
      <c r="X56" s="487"/>
    </row>
    <row r="57" spans="1:25" s="426" customFormat="1" x14ac:dyDescent="0.3">
      <c r="A57" s="443"/>
      <c r="B57" s="444" t="s">
        <v>125</v>
      </c>
      <c r="C57" s="444"/>
      <c r="D57" s="444"/>
      <c r="E57" s="444"/>
      <c r="F57" s="444"/>
      <c r="G57" s="444"/>
      <c r="H57" s="444"/>
      <c r="I57" s="444"/>
      <c r="J57" s="444"/>
      <c r="K57" s="444"/>
      <c r="L57" s="444"/>
      <c r="M57" s="444"/>
      <c r="N57" s="444"/>
      <c r="O57" s="444"/>
      <c r="P57" s="444"/>
      <c r="Q57" s="444"/>
      <c r="R57" s="444">
        <f>+V57-T57+1</f>
        <v>92</v>
      </c>
      <c r="S57" s="444"/>
      <c r="T57" s="491">
        <v>44027</v>
      </c>
      <c r="U57" s="492"/>
      <c r="V57" s="491">
        <v>44118</v>
      </c>
      <c r="W57" s="486"/>
      <c r="X57" s="487"/>
    </row>
    <row r="58" spans="1:25" s="426" customFormat="1" x14ac:dyDescent="0.3">
      <c r="A58" s="443"/>
      <c r="B58" s="444" t="s">
        <v>357</v>
      </c>
      <c r="C58" s="444"/>
      <c r="D58" s="444"/>
      <c r="E58" s="444"/>
      <c r="F58" s="444"/>
      <c r="G58" s="444"/>
      <c r="H58" s="444"/>
      <c r="I58" s="444"/>
      <c r="J58" s="444"/>
      <c r="K58" s="444"/>
      <c r="L58" s="444"/>
      <c r="M58" s="444"/>
      <c r="N58" s="444"/>
      <c r="O58" s="444"/>
      <c r="P58" s="444"/>
      <c r="Q58" s="444"/>
      <c r="R58" s="444"/>
      <c r="S58" s="444"/>
      <c r="T58" s="491"/>
      <c r="U58" s="492"/>
      <c r="V58" s="491" t="s">
        <v>123</v>
      </c>
      <c r="W58" s="486"/>
      <c r="X58" s="487"/>
    </row>
    <row r="59" spans="1:25" s="426" customFormat="1" x14ac:dyDescent="0.3">
      <c r="A59" s="443"/>
      <c r="B59" s="444" t="s">
        <v>356</v>
      </c>
      <c r="C59" s="444"/>
      <c r="D59" s="444"/>
      <c r="E59" s="444"/>
      <c r="F59" s="444"/>
      <c r="G59" s="444"/>
      <c r="H59" s="444"/>
      <c r="I59" s="444"/>
      <c r="J59" s="444"/>
      <c r="K59" s="444"/>
      <c r="L59" s="444"/>
      <c r="M59" s="444"/>
      <c r="N59" s="444"/>
      <c r="O59" s="444"/>
      <c r="P59" s="444"/>
      <c r="Q59" s="444"/>
      <c r="R59" s="444"/>
      <c r="S59" s="444"/>
      <c r="T59" s="491"/>
      <c r="U59" s="492"/>
      <c r="V59" s="491" t="s">
        <v>157</v>
      </c>
      <c r="W59" s="486"/>
      <c r="X59" s="487"/>
      <c r="Y59" s="493"/>
    </row>
    <row r="60" spans="1:25" s="426" customFormat="1" x14ac:dyDescent="0.3">
      <c r="A60" s="443"/>
      <c r="B60" s="444" t="s">
        <v>16</v>
      </c>
      <c r="C60" s="444"/>
      <c r="D60" s="444"/>
      <c r="E60" s="444"/>
      <c r="F60" s="444"/>
      <c r="G60" s="444"/>
      <c r="H60" s="444"/>
      <c r="I60" s="444"/>
      <c r="J60" s="444"/>
      <c r="K60" s="444"/>
      <c r="L60" s="444"/>
      <c r="M60" s="444"/>
      <c r="N60" s="444"/>
      <c r="O60" s="444"/>
      <c r="P60" s="444"/>
      <c r="Q60" s="444"/>
      <c r="R60" s="444"/>
      <c r="S60" s="444"/>
      <c r="T60" s="491"/>
      <c r="U60" s="492"/>
      <c r="V60" s="491">
        <v>44105</v>
      </c>
      <c r="W60" s="486"/>
      <c r="X60" s="487"/>
    </row>
    <row r="61" spans="1:25" s="426" customFormat="1" x14ac:dyDescent="0.3">
      <c r="A61" s="421"/>
      <c r="B61" s="494"/>
      <c r="C61" s="494"/>
      <c r="D61" s="494"/>
      <c r="E61" s="494"/>
      <c r="F61" s="494"/>
      <c r="G61" s="494"/>
      <c r="H61" s="494"/>
      <c r="I61" s="494"/>
      <c r="J61" s="494"/>
      <c r="K61" s="494"/>
      <c r="L61" s="494"/>
      <c r="M61" s="494"/>
      <c r="N61" s="494"/>
      <c r="O61" s="494"/>
      <c r="P61" s="494"/>
      <c r="Q61" s="494"/>
      <c r="R61" s="494"/>
      <c r="S61" s="494"/>
      <c r="T61" s="495"/>
      <c r="U61" s="496"/>
      <c r="V61" s="495"/>
      <c r="W61" s="497"/>
      <c r="X61" s="487"/>
    </row>
    <row r="62" spans="1:25" s="426" customFormat="1" x14ac:dyDescent="0.3">
      <c r="A62" s="421"/>
      <c r="B62" s="422"/>
      <c r="C62" s="422"/>
      <c r="D62" s="422"/>
      <c r="E62" s="422"/>
      <c r="F62" s="422"/>
      <c r="G62" s="422"/>
      <c r="H62" s="422"/>
      <c r="I62" s="422"/>
      <c r="J62" s="422"/>
      <c r="K62" s="422"/>
      <c r="L62" s="422"/>
      <c r="M62" s="422"/>
      <c r="N62" s="422"/>
      <c r="O62" s="422"/>
      <c r="P62" s="422"/>
      <c r="Q62" s="422"/>
      <c r="R62" s="422"/>
      <c r="S62" s="422"/>
      <c r="T62" s="498"/>
      <c r="U62" s="499"/>
      <c r="V62" s="498"/>
      <c r="W62" s="497"/>
      <c r="X62" s="487"/>
    </row>
    <row r="63" spans="1:25" s="426" customFormat="1" ht="18.600000000000001" thickBot="1" x14ac:dyDescent="0.4">
      <c r="A63" s="500"/>
      <c r="B63" s="501" t="s">
        <v>422</v>
      </c>
      <c r="C63" s="502"/>
      <c r="D63" s="502"/>
      <c r="E63" s="502"/>
      <c r="F63" s="502"/>
      <c r="G63" s="502"/>
      <c r="H63" s="502"/>
      <c r="I63" s="502"/>
      <c r="J63" s="502"/>
      <c r="K63" s="502"/>
      <c r="L63" s="502"/>
      <c r="M63" s="502"/>
      <c r="N63" s="502"/>
      <c r="O63" s="502"/>
      <c r="P63" s="502"/>
      <c r="Q63" s="502"/>
      <c r="R63" s="502"/>
      <c r="S63" s="502"/>
      <c r="T63" s="502"/>
      <c r="U63" s="502"/>
      <c r="V63" s="503"/>
      <c r="W63" s="504"/>
      <c r="X63" s="487"/>
    </row>
    <row r="64" spans="1:25" x14ac:dyDescent="0.3">
      <c r="A64" s="505"/>
      <c r="B64" s="506" t="s">
        <v>17</v>
      </c>
      <c r="C64" s="507"/>
      <c r="D64" s="507"/>
      <c r="E64" s="507"/>
      <c r="F64" s="507"/>
      <c r="G64" s="507"/>
      <c r="H64" s="507"/>
      <c r="I64" s="507"/>
      <c r="J64" s="507"/>
      <c r="K64" s="507"/>
      <c r="L64" s="507"/>
      <c r="M64" s="507"/>
      <c r="N64" s="507"/>
      <c r="O64" s="507"/>
      <c r="P64" s="507"/>
      <c r="Q64" s="507"/>
      <c r="R64" s="507"/>
      <c r="S64" s="507"/>
      <c r="T64" s="507"/>
      <c r="U64" s="507"/>
      <c r="V64" s="508"/>
      <c r="W64" s="509"/>
      <c r="X64" s="406"/>
    </row>
    <row r="65" spans="1:24" x14ac:dyDescent="0.3">
      <c r="A65" s="408"/>
      <c r="B65" s="419"/>
      <c r="C65" s="410"/>
      <c r="D65" s="410"/>
      <c r="E65" s="410"/>
      <c r="F65" s="410"/>
      <c r="G65" s="410"/>
      <c r="H65" s="410"/>
      <c r="I65" s="410"/>
      <c r="J65" s="410"/>
      <c r="K65" s="410"/>
      <c r="L65" s="410"/>
      <c r="M65" s="410"/>
      <c r="N65" s="410"/>
      <c r="O65" s="410"/>
      <c r="P65" s="410"/>
      <c r="Q65" s="410"/>
      <c r="R65" s="410"/>
      <c r="S65" s="410"/>
      <c r="T65" s="410"/>
      <c r="U65" s="410"/>
      <c r="V65" s="510"/>
      <c r="W65" s="411"/>
      <c r="X65" s="406"/>
    </row>
    <row r="66" spans="1:24" s="473" customFormat="1" ht="46.8" x14ac:dyDescent="0.3">
      <c r="A66" s="511"/>
      <c r="B66" s="512" t="s">
        <v>18</v>
      </c>
      <c r="C66" s="513"/>
      <c r="D66" s="513"/>
      <c r="E66" s="513"/>
      <c r="F66" s="513"/>
      <c r="G66" s="513"/>
      <c r="H66" s="513"/>
      <c r="I66" s="513"/>
      <c r="J66" s="513"/>
      <c r="K66" s="513"/>
      <c r="L66" s="513" t="s">
        <v>95</v>
      </c>
      <c r="M66" s="513"/>
      <c r="N66" s="513" t="s">
        <v>97</v>
      </c>
      <c r="O66" s="513"/>
      <c r="P66" s="513" t="s">
        <v>99</v>
      </c>
      <c r="Q66" s="513"/>
      <c r="R66" s="513" t="s">
        <v>101</v>
      </c>
      <c r="S66" s="513"/>
      <c r="T66" s="513" t="s">
        <v>108</v>
      </c>
      <c r="U66" s="513"/>
      <c r="V66" s="514" t="s">
        <v>115</v>
      </c>
      <c r="W66" s="515"/>
      <c r="X66" s="472"/>
    </row>
    <row r="67" spans="1:24" s="426" customFormat="1" x14ac:dyDescent="0.3">
      <c r="A67" s="443"/>
      <c r="B67" s="444" t="s">
        <v>19</v>
      </c>
      <c r="C67" s="516"/>
      <c r="D67" s="516"/>
      <c r="E67" s="516"/>
      <c r="F67" s="516"/>
      <c r="G67" s="516"/>
      <c r="H67" s="516"/>
      <c r="I67" s="516"/>
      <c r="J67" s="516"/>
      <c r="K67" s="516"/>
      <c r="L67" s="516">
        <f>1085286</f>
        <v>1085286</v>
      </c>
      <c r="M67" s="516"/>
      <c r="N67" s="517">
        <v>667997</v>
      </c>
      <c r="O67" s="516"/>
      <c r="P67" s="516">
        <v>9280</v>
      </c>
      <c r="Q67" s="516"/>
      <c r="R67" s="516">
        <v>0</v>
      </c>
      <c r="S67" s="516"/>
      <c r="T67" s="516">
        <v>0</v>
      </c>
      <c r="U67" s="516"/>
      <c r="V67" s="517">
        <f>+N67-P67+R67-T67</f>
        <v>658717</v>
      </c>
      <c r="W67" s="446"/>
      <c r="X67" s="425"/>
    </row>
    <row r="68" spans="1:24" s="426" customFormat="1" x14ac:dyDescent="0.3">
      <c r="A68" s="443"/>
      <c r="B68" s="444" t="s">
        <v>20</v>
      </c>
      <c r="C68" s="516"/>
      <c r="D68" s="516"/>
      <c r="E68" s="516"/>
      <c r="F68" s="516"/>
      <c r="G68" s="516"/>
      <c r="H68" s="516"/>
      <c r="I68" s="516"/>
      <c r="J68" s="516"/>
      <c r="K68" s="516"/>
      <c r="L68" s="516">
        <v>35</v>
      </c>
      <c r="M68" s="516"/>
      <c r="N68" s="517">
        <v>0</v>
      </c>
      <c r="O68" s="516"/>
      <c r="P68" s="516">
        <v>0</v>
      </c>
      <c r="Q68" s="516"/>
      <c r="R68" s="516">
        <v>0</v>
      </c>
      <c r="S68" s="516"/>
      <c r="T68" s="516">
        <v>0</v>
      </c>
      <c r="U68" s="516"/>
      <c r="V68" s="517">
        <f>+N68-P68</f>
        <v>0</v>
      </c>
      <c r="W68" s="446"/>
      <c r="X68" s="425"/>
    </row>
    <row r="69" spans="1:24" s="426" customFormat="1" x14ac:dyDescent="0.3">
      <c r="A69" s="443"/>
      <c r="B69" s="444"/>
      <c r="C69" s="516"/>
      <c r="D69" s="516"/>
      <c r="E69" s="516"/>
      <c r="F69" s="516"/>
      <c r="G69" s="516"/>
      <c r="H69" s="516"/>
      <c r="I69" s="516"/>
      <c r="J69" s="516"/>
      <c r="K69" s="516"/>
      <c r="L69" s="516"/>
      <c r="M69" s="516"/>
      <c r="N69" s="517"/>
      <c r="O69" s="516"/>
      <c r="P69" s="516"/>
      <c r="Q69" s="516"/>
      <c r="R69" s="516"/>
      <c r="S69" s="516"/>
      <c r="T69" s="516"/>
      <c r="U69" s="516"/>
      <c r="V69" s="517"/>
      <c r="W69" s="446"/>
      <c r="X69" s="425"/>
    </row>
    <row r="70" spans="1:24" s="426" customFormat="1" x14ac:dyDescent="0.3">
      <c r="A70" s="443"/>
      <c r="B70" s="444" t="s">
        <v>21</v>
      </c>
      <c r="C70" s="516"/>
      <c r="D70" s="516"/>
      <c r="E70" s="516"/>
      <c r="F70" s="516"/>
      <c r="G70" s="516"/>
      <c r="H70" s="516"/>
      <c r="I70" s="516"/>
      <c r="J70" s="516"/>
      <c r="K70" s="516"/>
      <c r="L70" s="516">
        <f>SUM(L67:L69)</f>
        <v>1085321</v>
      </c>
      <c r="M70" s="516"/>
      <c r="N70" s="516">
        <f>N67+N68</f>
        <v>667997</v>
      </c>
      <c r="O70" s="516"/>
      <c r="P70" s="516">
        <f>SUM(P67:P69)</f>
        <v>9280</v>
      </c>
      <c r="Q70" s="516"/>
      <c r="R70" s="516">
        <f>SUM(R67:R69)</f>
        <v>0</v>
      </c>
      <c r="S70" s="516"/>
      <c r="T70" s="516">
        <f>SUM(T67:T69)</f>
        <v>0</v>
      </c>
      <c r="U70" s="516"/>
      <c r="V70" s="516">
        <f>SUM(V67:V69)</f>
        <v>658717</v>
      </c>
      <c r="W70" s="446"/>
      <c r="X70" s="425"/>
    </row>
    <row r="71" spans="1:24" x14ac:dyDescent="0.3">
      <c r="A71" s="408"/>
      <c r="B71" s="518"/>
      <c r="C71" s="519"/>
      <c r="D71" s="519"/>
      <c r="E71" s="519"/>
      <c r="F71" s="519"/>
      <c r="G71" s="519"/>
      <c r="H71" s="519"/>
      <c r="I71" s="519"/>
      <c r="J71" s="519"/>
      <c r="K71" s="519"/>
      <c r="L71" s="519"/>
      <c r="M71" s="519"/>
      <c r="N71" s="519"/>
      <c r="O71" s="519"/>
      <c r="P71" s="519"/>
      <c r="Q71" s="519"/>
      <c r="R71" s="519"/>
      <c r="S71" s="519"/>
      <c r="T71" s="519"/>
      <c r="U71" s="519"/>
      <c r="V71" s="520"/>
      <c r="W71" s="411"/>
      <c r="X71" s="406"/>
    </row>
    <row r="72" spans="1:24" x14ac:dyDescent="0.3">
      <c r="A72" s="408"/>
      <c r="B72" s="413" t="s">
        <v>22</v>
      </c>
      <c r="C72" s="521"/>
      <c r="D72" s="521"/>
      <c r="E72" s="521"/>
      <c r="F72" s="521"/>
      <c r="G72" s="521"/>
      <c r="H72" s="521"/>
      <c r="I72" s="521"/>
      <c r="J72" s="521"/>
      <c r="K72" s="521"/>
      <c r="L72" s="521"/>
      <c r="M72" s="521"/>
      <c r="N72" s="521"/>
      <c r="O72" s="521"/>
      <c r="P72" s="521"/>
      <c r="Q72" s="521"/>
      <c r="R72" s="521"/>
      <c r="S72" s="521"/>
      <c r="T72" s="521"/>
      <c r="U72" s="521"/>
      <c r="V72" s="522"/>
      <c r="W72" s="411"/>
      <c r="X72" s="406"/>
    </row>
    <row r="73" spans="1:24" x14ac:dyDescent="0.3">
      <c r="A73" s="408"/>
      <c r="B73" s="410"/>
      <c r="C73" s="521"/>
      <c r="D73" s="521"/>
      <c r="E73" s="521"/>
      <c r="F73" s="521"/>
      <c r="G73" s="521"/>
      <c r="H73" s="521"/>
      <c r="I73" s="521"/>
      <c r="J73" s="521"/>
      <c r="K73" s="521"/>
      <c r="L73" s="521"/>
      <c r="M73" s="521"/>
      <c r="N73" s="521"/>
      <c r="O73" s="521"/>
      <c r="P73" s="521"/>
      <c r="Q73" s="521"/>
      <c r="R73" s="521"/>
      <c r="S73" s="521"/>
      <c r="T73" s="521"/>
      <c r="U73" s="521"/>
      <c r="V73" s="522"/>
      <c r="W73" s="411"/>
      <c r="X73" s="406"/>
    </row>
    <row r="74" spans="1:24" s="426" customFormat="1" x14ac:dyDescent="0.3">
      <c r="A74" s="443"/>
      <c r="B74" s="444" t="s">
        <v>19</v>
      </c>
      <c r="C74" s="516"/>
      <c r="D74" s="516"/>
      <c r="E74" s="516"/>
      <c r="F74" s="516"/>
      <c r="G74" s="516"/>
      <c r="H74" s="516"/>
      <c r="I74" s="516"/>
      <c r="J74" s="516"/>
      <c r="K74" s="516"/>
      <c r="L74" s="516"/>
      <c r="M74" s="516"/>
      <c r="N74" s="516"/>
      <c r="O74" s="516"/>
      <c r="P74" s="516"/>
      <c r="Q74" s="516"/>
      <c r="R74" s="516"/>
      <c r="S74" s="516"/>
      <c r="T74" s="516"/>
      <c r="U74" s="516"/>
      <c r="V74" s="516"/>
      <c r="W74" s="446"/>
      <c r="X74" s="425"/>
    </row>
    <row r="75" spans="1:24" s="426" customFormat="1" x14ac:dyDescent="0.3">
      <c r="A75" s="443"/>
      <c r="B75" s="444" t="s">
        <v>20</v>
      </c>
      <c r="C75" s="516"/>
      <c r="D75" s="516"/>
      <c r="E75" s="516"/>
      <c r="F75" s="516"/>
      <c r="G75" s="516"/>
      <c r="H75" s="516"/>
      <c r="I75" s="516"/>
      <c r="J75" s="516"/>
      <c r="K75" s="516"/>
      <c r="L75" s="516"/>
      <c r="M75" s="516"/>
      <c r="N75" s="516"/>
      <c r="O75" s="516"/>
      <c r="P75" s="516"/>
      <c r="Q75" s="516"/>
      <c r="R75" s="516"/>
      <c r="S75" s="516"/>
      <c r="T75" s="516"/>
      <c r="U75" s="516"/>
      <c r="V75" s="516"/>
      <c r="W75" s="446"/>
      <c r="X75" s="425"/>
    </row>
    <row r="76" spans="1:24" s="426" customFormat="1" x14ac:dyDescent="0.3">
      <c r="A76" s="443"/>
      <c r="B76" s="444"/>
      <c r="C76" s="516"/>
      <c r="D76" s="516"/>
      <c r="E76" s="516"/>
      <c r="F76" s="516"/>
      <c r="G76" s="516"/>
      <c r="H76" s="516"/>
      <c r="I76" s="516"/>
      <c r="J76" s="516"/>
      <c r="K76" s="516"/>
      <c r="L76" s="516"/>
      <c r="M76" s="516"/>
      <c r="N76" s="516"/>
      <c r="O76" s="516"/>
      <c r="P76" s="516"/>
      <c r="Q76" s="516"/>
      <c r="R76" s="516"/>
      <c r="S76" s="516"/>
      <c r="T76" s="516"/>
      <c r="U76" s="516"/>
      <c r="V76" s="516"/>
      <c r="W76" s="446"/>
      <c r="X76" s="425"/>
    </row>
    <row r="77" spans="1:24" s="426" customFormat="1" x14ac:dyDescent="0.3">
      <c r="A77" s="443"/>
      <c r="B77" s="444" t="s">
        <v>21</v>
      </c>
      <c r="C77" s="516"/>
      <c r="D77" s="516"/>
      <c r="E77" s="516"/>
      <c r="F77" s="516"/>
      <c r="G77" s="516"/>
      <c r="H77" s="516"/>
      <c r="I77" s="516"/>
      <c r="J77" s="516"/>
      <c r="K77" s="516"/>
      <c r="L77" s="516"/>
      <c r="M77" s="516"/>
      <c r="N77" s="516"/>
      <c r="O77" s="516"/>
      <c r="P77" s="516"/>
      <c r="Q77" s="516"/>
      <c r="R77" s="516"/>
      <c r="S77" s="516"/>
      <c r="T77" s="516"/>
      <c r="U77" s="516"/>
      <c r="V77" s="516"/>
      <c r="W77" s="446"/>
      <c r="X77" s="425"/>
    </row>
    <row r="78" spans="1:24" s="426" customFormat="1" x14ac:dyDescent="0.3">
      <c r="A78" s="443"/>
      <c r="B78" s="444"/>
      <c r="C78" s="516"/>
      <c r="D78" s="516"/>
      <c r="E78" s="516"/>
      <c r="F78" s="516"/>
      <c r="G78" s="516"/>
      <c r="H78" s="516"/>
      <c r="I78" s="516"/>
      <c r="J78" s="516"/>
      <c r="K78" s="516"/>
      <c r="L78" s="516"/>
      <c r="M78" s="516"/>
      <c r="N78" s="516"/>
      <c r="O78" s="516"/>
      <c r="P78" s="516"/>
      <c r="Q78" s="516"/>
      <c r="R78" s="516"/>
      <c r="S78" s="516"/>
      <c r="T78" s="516"/>
      <c r="U78" s="516"/>
      <c r="V78" s="516"/>
      <c r="W78" s="446"/>
      <c r="X78" s="425"/>
    </row>
    <row r="79" spans="1:24" s="426" customFormat="1" x14ac:dyDescent="0.3">
      <c r="A79" s="443"/>
      <c r="B79" s="444" t="s">
        <v>23</v>
      </c>
      <c r="C79" s="516"/>
      <c r="D79" s="516"/>
      <c r="E79" s="516"/>
      <c r="F79" s="516"/>
      <c r="G79" s="516"/>
      <c r="H79" s="516"/>
      <c r="I79" s="516"/>
      <c r="J79" s="516"/>
      <c r="K79" s="516"/>
      <c r="L79" s="516">
        <v>0</v>
      </c>
      <c r="M79" s="516"/>
      <c r="N79" s="516">
        <v>0</v>
      </c>
      <c r="O79" s="516"/>
      <c r="P79" s="516"/>
      <c r="Q79" s="516"/>
      <c r="R79" s="516"/>
      <c r="S79" s="516"/>
      <c r="T79" s="516"/>
      <c r="U79" s="516"/>
      <c r="V79" s="517">
        <v>0</v>
      </c>
      <c r="W79" s="446"/>
      <c r="X79" s="425"/>
    </row>
    <row r="80" spans="1:24" s="426" customFormat="1" x14ac:dyDescent="0.3">
      <c r="A80" s="443"/>
      <c r="B80" s="444" t="s">
        <v>120</v>
      </c>
      <c r="C80" s="516"/>
      <c r="D80" s="516"/>
      <c r="E80" s="516"/>
      <c r="F80" s="516"/>
      <c r="G80" s="516"/>
      <c r="H80" s="516"/>
      <c r="I80" s="516"/>
      <c r="J80" s="516"/>
      <c r="K80" s="516"/>
      <c r="L80" s="516">
        <f>414862+7</f>
        <v>414869</v>
      </c>
      <c r="M80" s="516"/>
      <c r="N80" s="516">
        <v>0</v>
      </c>
      <c r="O80" s="516"/>
      <c r="P80" s="516">
        <v>0</v>
      </c>
      <c r="Q80" s="516"/>
      <c r="R80" s="516"/>
      <c r="S80" s="516"/>
      <c r="T80" s="516"/>
      <c r="U80" s="516"/>
      <c r="V80" s="516">
        <f>SUM(N80:R80)</f>
        <v>0</v>
      </c>
      <c r="W80" s="446"/>
      <c r="X80" s="425"/>
    </row>
    <row r="81" spans="1:24" s="426" customFormat="1" x14ac:dyDescent="0.3">
      <c r="A81" s="443"/>
      <c r="B81" s="444" t="s">
        <v>149</v>
      </c>
      <c r="C81" s="516"/>
      <c r="D81" s="516"/>
      <c r="E81" s="516"/>
      <c r="F81" s="516"/>
      <c r="G81" s="516"/>
      <c r="H81" s="516"/>
      <c r="I81" s="516"/>
      <c r="J81" s="516"/>
      <c r="K81" s="516"/>
      <c r="L81" s="516">
        <v>0</v>
      </c>
      <c r="M81" s="516"/>
      <c r="N81" s="516">
        <v>0</v>
      </c>
      <c r="O81" s="516"/>
      <c r="P81" s="516">
        <v>0</v>
      </c>
      <c r="Q81" s="516"/>
      <c r="R81" s="516"/>
      <c r="S81" s="516"/>
      <c r="T81" s="516"/>
      <c r="U81" s="516"/>
      <c r="V81" s="516">
        <f>+N81+P81</f>
        <v>0</v>
      </c>
      <c r="W81" s="446"/>
      <c r="X81" s="425"/>
    </row>
    <row r="82" spans="1:24" s="426" customFormat="1" x14ac:dyDescent="0.3">
      <c r="A82" s="443"/>
      <c r="B82" s="444" t="s">
        <v>25</v>
      </c>
      <c r="C82" s="516"/>
      <c r="D82" s="516"/>
      <c r="E82" s="516"/>
      <c r="F82" s="516"/>
      <c r="G82" s="516"/>
      <c r="H82" s="516"/>
      <c r="I82" s="516"/>
      <c r="J82" s="516"/>
      <c r="K82" s="516"/>
      <c r="L82" s="516">
        <v>0</v>
      </c>
      <c r="M82" s="516"/>
      <c r="N82" s="516">
        <v>0</v>
      </c>
      <c r="O82" s="516"/>
      <c r="P82" s="516"/>
      <c r="Q82" s="516"/>
      <c r="R82" s="516"/>
      <c r="S82" s="516"/>
      <c r="T82" s="516"/>
      <c r="U82" s="516"/>
      <c r="V82" s="516">
        <v>0</v>
      </c>
      <c r="W82" s="446"/>
      <c r="X82" s="425"/>
    </row>
    <row r="83" spans="1:24" s="426" customFormat="1" x14ac:dyDescent="0.3">
      <c r="A83" s="523"/>
      <c r="B83" s="524" t="s">
        <v>26</v>
      </c>
      <c r="C83" s="525"/>
      <c r="D83" s="525"/>
      <c r="E83" s="525"/>
      <c r="F83" s="525"/>
      <c r="G83" s="525"/>
      <c r="H83" s="525"/>
      <c r="I83" s="525"/>
      <c r="J83" s="525"/>
      <c r="K83" s="525"/>
      <c r="L83" s="525">
        <f>SUM(L70:L82)</f>
        <v>1500190</v>
      </c>
      <c r="M83" s="525"/>
      <c r="N83" s="525">
        <f>SUM(N70:N82)</f>
        <v>667997</v>
      </c>
      <c r="O83" s="525"/>
      <c r="P83" s="525"/>
      <c r="Q83" s="525"/>
      <c r="R83" s="525"/>
      <c r="S83" s="525"/>
      <c r="T83" s="525"/>
      <c r="U83" s="525"/>
      <c r="V83" s="525">
        <f>SUM(V70:V82)</f>
        <v>658717</v>
      </c>
      <c r="W83" s="526"/>
      <c r="X83" s="425"/>
    </row>
    <row r="84" spans="1:24" x14ac:dyDescent="0.3">
      <c r="A84" s="527"/>
      <c r="B84" s="528"/>
      <c r="C84" s="529"/>
      <c r="D84" s="529"/>
      <c r="E84" s="529"/>
      <c r="F84" s="529"/>
      <c r="G84" s="529"/>
      <c r="H84" s="529"/>
      <c r="I84" s="529"/>
      <c r="J84" s="529"/>
      <c r="K84" s="529"/>
      <c r="L84" s="529"/>
      <c r="M84" s="529"/>
      <c r="N84" s="529"/>
      <c r="O84" s="529"/>
      <c r="P84" s="529"/>
      <c r="Q84" s="529"/>
      <c r="R84" s="529"/>
      <c r="S84" s="529"/>
      <c r="T84" s="529"/>
      <c r="U84" s="529"/>
      <c r="V84" s="529"/>
      <c r="W84" s="530"/>
      <c r="X84" s="406"/>
    </row>
    <row r="85" spans="1:24" x14ac:dyDescent="0.3">
      <c r="A85" s="408"/>
      <c r="B85" s="531"/>
      <c r="C85" s="531"/>
      <c r="D85" s="531"/>
      <c r="E85" s="531"/>
      <c r="F85" s="531"/>
      <c r="G85" s="531"/>
      <c r="H85" s="531"/>
      <c r="I85" s="531"/>
      <c r="J85" s="531"/>
      <c r="K85" s="531"/>
      <c r="L85" s="531"/>
      <c r="M85" s="531"/>
      <c r="N85" s="531"/>
      <c r="O85" s="531"/>
      <c r="P85" s="531"/>
      <c r="Q85" s="531"/>
      <c r="R85" s="531"/>
      <c r="S85" s="531"/>
      <c r="T85" s="531"/>
      <c r="U85" s="531"/>
      <c r="V85" s="531"/>
      <c r="W85" s="532"/>
      <c r="X85" s="406"/>
    </row>
    <row r="86" spans="1:24" x14ac:dyDescent="0.3">
      <c r="A86" s="533"/>
      <c r="B86" s="534" t="s">
        <v>27</v>
      </c>
      <c r="C86" s="534"/>
      <c r="D86" s="534"/>
      <c r="E86" s="534"/>
      <c r="F86" s="534"/>
      <c r="G86" s="534"/>
      <c r="H86" s="535"/>
      <c r="I86" s="535"/>
      <c r="J86" s="535"/>
      <c r="K86" s="535"/>
      <c r="L86" s="536" t="s">
        <v>96</v>
      </c>
      <c r="M86" s="535"/>
      <c r="N86" s="537">
        <f>+T201</f>
        <v>44104</v>
      </c>
      <c r="O86" s="535"/>
      <c r="P86" s="535"/>
      <c r="Q86" s="535"/>
      <c r="R86" s="535"/>
      <c r="S86" s="535"/>
      <c r="T86" s="535" t="s">
        <v>109</v>
      </c>
      <c r="U86" s="535"/>
      <c r="V86" s="535" t="s">
        <v>116</v>
      </c>
      <c r="W86" s="538"/>
      <c r="X86" s="406"/>
    </row>
    <row r="87" spans="1:24" s="426" customFormat="1" x14ac:dyDescent="0.3">
      <c r="A87" s="439"/>
      <c r="B87" s="440" t="s">
        <v>28</v>
      </c>
      <c r="C87" s="440"/>
      <c r="D87" s="440"/>
      <c r="E87" s="440"/>
      <c r="F87" s="440"/>
      <c r="G87" s="440"/>
      <c r="H87" s="440"/>
      <c r="I87" s="440"/>
      <c r="J87" s="440"/>
      <c r="K87" s="440"/>
      <c r="L87" s="440"/>
      <c r="M87" s="440"/>
      <c r="N87" s="440"/>
      <c r="O87" s="440"/>
      <c r="P87" s="440"/>
      <c r="Q87" s="440"/>
      <c r="R87" s="440"/>
      <c r="S87" s="440"/>
      <c r="T87" s="539">
        <v>0</v>
      </c>
      <c r="U87" s="440"/>
      <c r="V87" s="540">
        <v>0</v>
      </c>
      <c r="W87" s="442"/>
      <c r="X87" s="425"/>
    </row>
    <row r="88" spans="1:24" s="426" customFormat="1" x14ac:dyDescent="0.3">
      <c r="A88" s="443"/>
      <c r="B88" s="444" t="s">
        <v>29</v>
      </c>
      <c r="C88" s="444"/>
      <c r="D88" s="444"/>
      <c r="E88" s="444"/>
      <c r="F88" s="444"/>
      <c r="G88" s="444"/>
      <c r="H88" s="482"/>
      <c r="I88" s="482"/>
      <c r="J88" s="482"/>
      <c r="K88" s="541"/>
      <c r="L88" s="482"/>
      <c r="M88" s="444"/>
      <c r="N88" s="542"/>
      <c r="O88" s="444"/>
      <c r="P88" s="444"/>
      <c r="Q88" s="444"/>
      <c r="R88" s="444"/>
      <c r="S88" s="444"/>
      <c r="T88" s="516">
        <f>9280-164</f>
        <v>9116</v>
      </c>
      <c r="U88" s="444"/>
      <c r="V88" s="517"/>
      <c r="W88" s="446"/>
      <c r="X88" s="425"/>
    </row>
    <row r="89" spans="1:24" s="426" customFormat="1" x14ac:dyDescent="0.3">
      <c r="A89" s="443"/>
      <c r="B89" s="444" t="s">
        <v>219</v>
      </c>
      <c r="C89" s="444"/>
      <c r="D89" s="444"/>
      <c r="E89" s="444"/>
      <c r="F89" s="444"/>
      <c r="G89" s="444"/>
      <c r="H89" s="482"/>
      <c r="I89" s="482"/>
      <c r="J89" s="482"/>
      <c r="K89" s="541"/>
      <c r="L89" s="482"/>
      <c r="M89" s="444"/>
      <c r="N89" s="542"/>
      <c r="O89" s="444"/>
      <c r="P89" s="444"/>
      <c r="Q89" s="444"/>
      <c r="R89" s="444"/>
      <c r="S89" s="444"/>
      <c r="T89" s="516"/>
      <c r="U89" s="444"/>
      <c r="V89" s="517">
        <f>2793+1765-656-640</f>
        <v>3262</v>
      </c>
      <c r="W89" s="446"/>
      <c r="X89" s="425"/>
    </row>
    <row r="90" spans="1:24" s="426" customFormat="1" x14ac:dyDescent="0.3">
      <c r="A90" s="443"/>
      <c r="B90" s="444" t="s">
        <v>214</v>
      </c>
      <c r="C90" s="444"/>
      <c r="D90" s="444"/>
      <c r="E90" s="444"/>
      <c r="F90" s="444"/>
      <c r="G90" s="444"/>
      <c r="H90" s="482"/>
      <c r="I90" s="482"/>
      <c r="J90" s="482"/>
      <c r="K90" s="541"/>
      <c r="L90" s="482"/>
      <c r="M90" s="444"/>
      <c r="N90" s="542"/>
      <c r="O90" s="444"/>
      <c r="P90" s="444"/>
      <c r="Q90" s="444"/>
      <c r="R90" s="444"/>
      <c r="S90" s="444"/>
      <c r="T90" s="516"/>
      <c r="U90" s="444"/>
      <c r="V90" s="517">
        <f>68+15</f>
        <v>83</v>
      </c>
      <c r="W90" s="446"/>
      <c r="X90" s="425"/>
    </row>
    <row r="91" spans="1:24" s="426" customFormat="1" x14ac:dyDescent="0.3">
      <c r="A91" s="443"/>
      <c r="B91" s="444" t="s">
        <v>215</v>
      </c>
      <c r="C91" s="444"/>
      <c r="D91" s="444"/>
      <c r="E91" s="444"/>
      <c r="F91" s="444"/>
      <c r="G91" s="444"/>
      <c r="H91" s="482"/>
      <c r="I91" s="482"/>
      <c r="J91" s="482"/>
      <c r="K91" s="541"/>
      <c r="L91" s="482"/>
      <c r="M91" s="444"/>
      <c r="N91" s="542"/>
      <c r="O91" s="444"/>
      <c r="P91" s="444"/>
      <c r="Q91" s="444"/>
      <c r="R91" s="444"/>
      <c r="S91" s="444"/>
      <c r="T91" s="516"/>
      <c r="U91" s="444"/>
      <c r="V91" s="517">
        <v>53</v>
      </c>
      <c r="W91" s="446"/>
      <c r="X91" s="425"/>
    </row>
    <row r="92" spans="1:24" s="426" customFormat="1" x14ac:dyDescent="0.3">
      <c r="A92" s="443"/>
      <c r="B92" s="444" t="s">
        <v>277</v>
      </c>
      <c r="C92" s="444"/>
      <c r="D92" s="444"/>
      <c r="E92" s="444"/>
      <c r="F92" s="444"/>
      <c r="G92" s="444"/>
      <c r="H92" s="482"/>
      <c r="I92" s="482"/>
      <c r="J92" s="482"/>
      <c r="K92" s="541"/>
      <c r="L92" s="482"/>
      <c r="M92" s="444"/>
      <c r="N92" s="542"/>
      <c r="O92" s="444"/>
      <c r="P92" s="444"/>
      <c r="Q92" s="444"/>
      <c r="R92" s="444"/>
      <c r="S92" s="444"/>
      <c r="T92" s="516"/>
      <c r="U92" s="444"/>
      <c r="V92" s="517">
        <v>0</v>
      </c>
      <c r="W92" s="446"/>
      <c r="X92" s="425"/>
    </row>
    <row r="93" spans="1:24" s="426" customFormat="1" x14ac:dyDescent="0.3">
      <c r="A93" s="443"/>
      <c r="B93" s="444" t="s">
        <v>138</v>
      </c>
      <c r="C93" s="444"/>
      <c r="D93" s="444"/>
      <c r="E93" s="444"/>
      <c r="F93" s="444"/>
      <c r="G93" s="444"/>
      <c r="H93" s="444"/>
      <c r="I93" s="444"/>
      <c r="J93" s="444"/>
      <c r="K93" s="444"/>
      <c r="L93" s="444"/>
      <c r="M93" s="444"/>
      <c r="N93" s="444"/>
      <c r="O93" s="444"/>
      <c r="P93" s="444"/>
      <c r="Q93" s="444"/>
      <c r="R93" s="444"/>
      <c r="S93" s="444"/>
      <c r="T93" s="516"/>
      <c r="U93" s="444"/>
      <c r="V93" s="517">
        <v>0</v>
      </c>
      <c r="W93" s="446"/>
      <c r="X93" s="425"/>
    </row>
    <row r="94" spans="1:24" s="426" customFormat="1" x14ac:dyDescent="0.3">
      <c r="A94" s="443"/>
      <c r="B94" s="444" t="s">
        <v>265</v>
      </c>
      <c r="C94" s="444"/>
      <c r="D94" s="444"/>
      <c r="E94" s="444"/>
      <c r="F94" s="444"/>
      <c r="G94" s="444"/>
      <c r="H94" s="444"/>
      <c r="I94" s="444"/>
      <c r="J94" s="444"/>
      <c r="K94" s="444"/>
      <c r="L94" s="444"/>
      <c r="M94" s="444"/>
      <c r="N94" s="444"/>
      <c r="O94" s="444"/>
      <c r="P94" s="444"/>
      <c r="Q94" s="444"/>
      <c r="R94" s="444"/>
      <c r="S94" s="444"/>
      <c r="T94" s="516"/>
      <c r="U94" s="444"/>
      <c r="V94" s="517">
        <v>133</v>
      </c>
      <c r="W94" s="446"/>
      <c r="X94" s="425"/>
    </row>
    <row r="95" spans="1:24" s="426" customFormat="1" x14ac:dyDescent="0.3">
      <c r="A95" s="443"/>
      <c r="B95" s="444" t="s">
        <v>30</v>
      </c>
      <c r="C95" s="444"/>
      <c r="D95" s="444"/>
      <c r="E95" s="444"/>
      <c r="F95" s="444"/>
      <c r="G95" s="444"/>
      <c r="H95" s="444"/>
      <c r="I95" s="444"/>
      <c r="J95" s="444"/>
      <c r="K95" s="444"/>
      <c r="L95" s="444"/>
      <c r="M95" s="444"/>
      <c r="N95" s="444"/>
      <c r="O95" s="444"/>
      <c r="P95" s="444"/>
      <c r="Q95" s="444"/>
      <c r="R95" s="444"/>
      <c r="S95" s="444"/>
      <c r="T95" s="516">
        <f>SUM(T87:T94)</f>
        <v>9116</v>
      </c>
      <c r="U95" s="444"/>
      <c r="V95" s="516">
        <f>SUM(V87:V94)</f>
        <v>3531</v>
      </c>
      <c r="W95" s="446"/>
      <c r="X95" s="425"/>
    </row>
    <row r="96" spans="1:24" s="426" customFormat="1" x14ac:dyDescent="0.3">
      <c r="A96" s="443"/>
      <c r="B96" s="444" t="s">
        <v>164</v>
      </c>
      <c r="C96" s="444"/>
      <c r="D96" s="444"/>
      <c r="E96" s="444"/>
      <c r="F96" s="444"/>
      <c r="G96" s="444"/>
      <c r="H96" s="444"/>
      <c r="I96" s="444"/>
      <c r="J96" s="444"/>
      <c r="K96" s="444"/>
      <c r="L96" s="444"/>
      <c r="M96" s="444"/>
      <c r="N96" s="444"/>
      <c r="O96" s="444"/>
      <c r="P96" s="444"/>
      <c r="Q96" s="444"/>
      <c r="R96" s="444"/>
      <c r="S96" s="444"/>
      <c r="T96" s="516">
        <f>-V96</f>
        <v>0</v>
      </c>
      <c r="U96" s="444"/>
      <c r="V96" s="516">
        <v>0</v>
      </c>
      <c r="W96" s="446"/>
      <c r="X96" s="425"/>
    </row>
    <row r="97" spans="1:26" s="426" customFormat="1" x14ac:dyDescent="0.3">
      <c r="A97" s="443"/>
      <c r="B97" s="444" t="s">
        <v>31</v>
      </c>
      <c r="C97" s="444"/>
      <c r="D97" s="444"/>
      <c r="E97" s="444"/>
      <c r="F97" s="444"/>
      <c r="G97" s="444"/>
      <c r="H97" s="444"/>
      <c r="I97" s="444"/>
      <c r="J97" s="444"/>
      <c r="K97" s="444"/>
      <c r="L97" s="444"/>
      <c r="M97" s="444"/>
      <c r="N97" s="444"/>
      <c r="O97" s="444"/>
      <c r="P97" s="444"/>
      <c r="Q97" s="444"/>
      <c r="R97" s="444"/>
      <c r="S97" s="444"/>
      <c r="T97" s="516">
        <f>-V97</f>
        <v>0</v>
      </c>
      <c r="U97" s="444"/>
      <c r="V97" s="517">
        <v>0</v>
      </c>
      <c r="W97" s="446"/>
      <c r="X97" s="425"/>
    </row>
    <row r="98" spans="1:26" s="426" customFormat="1" x14ac:dyDescent="0.3">
      <c r="A98" s="443"/>
      <c r="B98" s="444" t="s">
        <v>288</v>
      </c>
      <c r="C98" s="444"/>
      <c r="D98" s="444"/>
      <c r="E98" s="444"/>
      <c r="F98" s="444"/>
      <c r="G98" s="444"/>
      <c r="H98" s="444"/>
      <c r="I98" s="444"/>
      <c r="J98" s="444"/>
      <c r="K98" s="444"/>
      <c r="L98" s="444"/>
      <c r="M98" s="444"/>
      <c r="N98" s="444"/>
      <c r="O98" s="444"/>
      <c r="P98" s="444"/>
      <c r="Q98" s="444"/>
      <c r="R98" s="444"/>
      <c r="S98" s="444"/>
      <c r="T98" s="516"/>
      <c r="U98" s="444"/>
      <c r="V98" s="517">
        <v>0</v>
      </c>
      <c r="W98" s="446"/>
      <c r="X98" s="425"/>
    </row>
    <row r="99" spans="1:26" s="426" customFormat="1" x14ac:dyDescent="0.3">
      <c r="A99" s="443"/>
      <c r="B99" s="444" t="s">
        <v>32</v>
      </c>
      <c r="C99" s="444"/>
      <c r="D99" s="444"/>
      <c r="E99" s="444"/>
      <c r="F99" s="444"/>
      <c r="G99" s="444"/>
      <c r="H99" s="444"/>
      <c r="I99" s="444"/>
      <c r="J99" s="444"/>
      <c r="K99" s="444"/>
      <c r="L99" s="444"/>
      <c r="M99" s="444"/>
      <c r="N99" s="444"/>
      <c r="O99" s="444"/>
      <c r="P99" s="444"/>
      <c r="Q99" s="444"/>
      <c r="R99" s="444"/>
      <c r="S99" s="444"/>
      <c r="T99" s="516">
        <f>T95+T97+T96</f>
        <v>9116</v>
      </c>
      <c r="U99" s="444"/>
      <c r="V99" s="516">
        <f>V95+V97+V96+V98</f>
        <v>3531</v>
      </c>
      <c r="W99" s="446"/>
      <c r="X99" s="425"/>
    </row>
    <row r="100" spans="1:26" x14ac:dyDescent="0.3">
      <c r="A100" s="543"/>
      <c r="B100" s="544" t="s">
        <v>33</v>
      </c>
      <c r="C100" s="465"/>
      <c r="D100" s="465"/>
      <c r="E100" s="465"/>
      <c r="F100" s="465"/>
      <c r="G100" s="465"/>
      <c r="H100" s="465"/>
      <c r="I100" s="465"/>
      <c r="J100" s="465"/>
      <c r="K100" s="465"/>
      <c r="L100" s="465"/>
      <c r="M100" s="465"/>
      <c r="N100" s="465"/>
      <c r="O100" s="465"/>
      <c r="P100" s="465"/>
      <c r="Q100" s="465"/>
      <c r="R100" s="465"/>
      <c r="S100" s="465"/>
      <c r="T100" s="545"/>
      <c r="U100" s="465"/>
      <c r="V100" s="546"/>
      <c r="W100" s="547"/>
      <c r="X100" s="406"/>
    </row>
    <row r="101" spans="1:26" s="426" customFormat="1" x14ac:dyDescent="0.3">
      <c r="A101" s="443">
        <v>1</v>
      </c>
      <c r="B101" s="444" t="s">
        <v>34</v>
      </c>
      <c r="C101" s="444"/>
      <c r="D101" s="444"/>
      <c r="E101" s="444"/>
      <c r="F101" s="444"/>
      <c r="G101" s="444"/>
      <c r="H101" s="444"/>
      <c r="I101" s="444"/>
      <c r="J101" s="444"/>
      <c r="K101" s="444"/>
      <c r="L101" s="444"/>
      <c r="M101" s="444"/>
      <c r="N101" s="444"/>
      <c r="O101" s="444"/>
      <c r="P101" s="444"/>
      <c r="Q101" s="444"/>
      <c r="R101" s="444"/>
      <c r="S101" s="444"/>
      <c r="T101" s="444"/>
      <c r="U101" s="444"/>
      <c r="V101" s="517">
        <v>0</v>
      </c>
      <c r="W101" s="446"/>
      <c r="X101" s="425"/>
    </row>
    <row r="102" spans="1:26" s="426" customFormat="1" x14ac:dyDescent="0.3">
      <c r="A102" s="443">
        <f>+A101+1</f>
        <v>2</v>
      </c>
      <c r="B102" s="444" t="s">
        <v>416</v>
      </c>
      <c r="C102" s="444"/>
      <c r="D102" s="444"/>
      <c r="E102" s="444"/>
      <c r="F102" s="444"/>
      <c r="G102" s="444"/>
      <c r="H102" s="444"/>
      <c r="I102" s="444"/>
      <c r="J102" s="444"/>
      <c r="K102" s="444"/>
      <c r="L102" s="444"/>
      <c r="M102" s="444"/>
      <c r="N102" s="444"/>
      <c r="O102" s="444"/>
      <c r="P102" s="444"/>
      <c r="Q102" s="444"/>
      <c r="R102" s="444"/>
      <c r="S102" s="444"/>
      <c r="T102" s="444"/>
      <c r="U102" s="444"/>
      <c r="V102" s="517">
        <f>-2</f>
        <v>-2</v>
      </c>
      <c r="W102" s="446"/>
      <c r="X102" s="425"/>
    </row>
    <row r="103" spans="1:26" s="426" customFormat="1" x14ac:dyDescent="0.3">
      <c r="A103" s="443">
        <f>+A102+1</f>
        <v>3</v>
      </c>
      <c r="B103" s="548" t="s">
        <v>332</v>
      </c>
      <c r="C103" s="444"/>
      <c r="D103" s="444"/>
      <c r="E103" s="444"/>
      <c r="F103" s="444"/>
      <c r="G103" s="444"/>
      <c r="H103" s="444"/>
      <c r="I103" s="444"/>
      <c r="J103" s="444"/>
      <c r="K103" s="444"/>
      <c r="L103" s="444"/>
      <c r="M103" s="444"/>
      <c r="N103" s="444"/>
      <c r="O103" s="444"/>
      <c r="P103" s="444"/>
      <c r="Q103" s="444"/>
      <c r="R103" s="444"/>
      <c r="S103" s="444"/>
      <c r="T103" s="444"/>
      <c r="U103" s="444"/>
      <c r="V103" s="517">
        <f>-258-77-9</f>
        <v>-344</v>
      </c>
      <c r="W103" s="446"/>
      <c r="X103" s="425"/>
    </row>
    <row r="104" spans="1:26" s="426" customFormat="1" x14ac:dyDescent="0.3">
      <c r="A104" s="443" t="s">
        <v>130</v>
      </c>
      <c r="B104" s="444" t="s">
        <v>119</v>
      </c>
      <c r="C104" s="444"/>
      <c r="D104" s="444"/>
      <c r="E104" s="444"/>
      <c r="F104" s="444"/>
      <c r="G104" s="444"/>
      <c r="H104" s="444"/>
      <c r="I104" s="444"/>
      <c r="J104" s="444"/>
      <c r="K104" s="444"/>
      <c r="L104" s="444"/>
      <c r="M104" s="444"/>
      <c r="N104" s="444"/>
      <c r="O104" s="444"/>
      <c r="P104" s="444"/>
      <c r="Q104" s="444"/>
      <c r="R104" s="444"/>
      <c r="S104" s="444"/>
      <c r="T104" s="444"/>
      <c r="U104" s="444"/>
      <c r="V104" s="517">
        <v>0</v>
      </c>
      <c r="W104" s="446"/>
      <c r="X104" s="425"/>
    </row>
    <row r="105" spans="1:26" s="426" customFormat="1" x14ac:dyDescent="0.3">
      <c r="A105" s="443" t="s">
        <v>131</v>
      </c>
      <c r="B105" s="444" t="s">
        <v>362</v>
      </c>
      <c r="C105" s="444"/>
      <c r="D105" s="444"/>
      <c r="E105" s="444"/>
      <c r="F105" s="444"/>
      <c r="G105" s="444"/>
      <c r="H105" s="444"/>
      <c r="I105" s="444"/>
      <c r="J105" s="444"/>
      <c r="K105" s="444"/>
      <c r="L105" s="444"/>
      <c r="M105" s="444"/>
      <c r="N105" s="444"/>
      <c r="O105" s="444"/>
      <c r="P105" s="444"/>
      <c r="Q105" s="444"/>
      <c r="R105" s="444"/>
      <c r="S105" s="444"/>
      <c r="T105" s="444"/>
      <c r="U105" s="444"/>
      <c r="V105" s="517">
        <f>-249-39</f>
        <v>-288</v>
      </c>
      <c r="W105" s="446"/>
      <c r="X105" s="425"/>
      <c r="Y105" s="549"/>
      <c r="Z105" s="549"/>
    </row>
    <row r="106" spans="1:26" s="426" customFormat="1" x14ac:dyDescent="0.3">
      <c r="A106" s="443" t="s">
        <v>153</v>
      </c>
      <c r="B106" s="444" t="s">
        <v>363</v>
      </c>
      <c r="C106" s="444"/>
      <c r="D106" s="444"/>
      <c r="E106" s="444"/>
      <c r="F106" s="444"/>
      <c r="G106" s="444"/>
      <c r="H106" s="444"/>
      <c r="I106" s="444"/>
      <c r="J106" s="444"/>
      <c r="K106" s="444"/>
      <c r="L106" s="444"/>
      <c r="M106" s="444"/>
      <c r="N106" s="444"/>
      <c r="O106" s="444"/>
      <c r="P106" s="444"/>
      <c r="Q106" s="444"/>
      <c r="R106" s="444"/>
      <c r="S106" s="444"/>
      <c r="T106" s="444"/>
      <c r="U106" s="444"/>
      <c r="V106" s="517">
        <f>-71-60</f>
        <v>-131</v>
      </c>
      <c r="W106" s="446"/>
      <c r="X106" s="425"/>
      <c r="Y106" s="549"/>
    </row>
    <row r="107" spans="1:26" s="426" customFormat="1" x14ac:dyDescent="0.3">
      <c r="A107" s="443" t="s">
        <v>266</v>
      </c>
      <c r="B107" s="444" t="s">
        <v>269</v>
      </c>
      <c r="C107" s="444"/>
      <c r="D107" s="444"/>
      <c r="E107" s="444"/>
      <c r="F107" s="444"/>
      <c r="G107" s="444"/>
      <c r="H107" s="444"/>
      <c r="I107" s="444"/>
      <c r="J107" s="444"/>
      <c r="K107" s="444"/>
      <c r="L107" s="444"/>
      <c r="M107" s="444"/>
      <c r="N107" s="444"/>
      <c r="O107" s="444"/>
      <c r="P107" s="444"/>
      <c r="Q107" s="444"/>
      <c r="R107" s="444"/>
      <c r="S107" s="444"/>
      <c r="T107" s="444"/>
      <c r="U107" s="444"/>
      <c r="V107" s="517">
        <v>0</v>
      </c>
      <c r="W107" s="446"/>
      <c r="X107" s="425"/>
    </row>
    <row r="108" spans="1:26" s="426" customFormat="1" x14ac:dyDescent="0.3">
      <c r="A108" s="443" t="s">
        <v>208</v>
      </c>
      <c r="B108" s="444" t="s">
        <v>188</v>
      </c>
      <c r="C108" s="444"/>
      <c r="D108" s="444"/>
      <c r="E108" s="444"/>
      <c r="F108" s="444"/>
      <c r="G108" s="444"/>
      <c r="H108" s="444"/>
      <c r="I108" s="444"/>
      <c r="J108" s="444"/>
      <c r="K108" s="444"/>
      <c r="L108" s="444"/>
      <c r="M108" s="444"/>
      <c r="N108" s="444"/>
      <c r="O108" s="444"/>
      <c r="P108" s="444"/>
      <c r="Q108" s="444"/>
      <c r="R108" s="444"/>
      <c r="S108" s="444"/>
      <c r="T108" s="444"/>
      <c r="U108" s="444"/>
      <c r="V108" s="517">
        <v>-63</v>
      </c>
      <c r="W108" s="446"/>
      <c r="X108" s="425"/>
      <c r="Y108" s="549"/>
    </row>
    <row r="109" spans="1:26" s="426" customFormat="1" x14ac:dyDescent="0.3">
      <c r="A109" s="443" t="s">
        <v>209</v>
      </c>
      <c r="B109" s="444" t="s">
        <v>189</v>
      </c>
      <c r="C109" s="444"/>
      <c r="D109" s="444"/>
      <c r="E109" s="444"/>
      <c r="F109" s="444"/>
      <c r="G109" s="444"/>
      <c r="H109" s="444"/>
      <c r="I109" s="444"/>
      <c r="J109" s="444"/>
      <c r="K109" s="444"/>
      <c r="L109" s="444"/>
      <c r="M109" s="444"/>
      <c r="N109" s="444"/>
      <c r="O109" s="444"/>
      <c r="P109" s="444"/>
      <c r="Q109" s="444"/>
      <c r="R109" s="444"/>
      <c r="S109" s="444"/>
      <c r="T109" s="444"/>
      <c r="U109" s="444"/>
      <c r="V109" s="517">
        <v>-61</v>
      </c>
      <c r="W109" s="446"/>
      <c r="X109" s="425"/>
      <c r="Y109" s="549"/>
    </row>
    <row r="110" spans="1:26" s="426" customFormat="1" x14ac:dyDescent="0.3">
      <c r="A110" s="443" t="s">
        <v>210</v>
      </c>
      <c r="B110" s="444" t="s">
        <v>199</v>
      </c>
      <c r="C110" s="444"/>
      <c r="D110" s="444"/>
      <c r="E110" s="444"/>
      <c r="F110" s="444"/>
      <c r="G110" s="444"/>
      <c r="H110" s="444"/>
      <c r="I110" s="444"/>
      <c r="J110" s="444"/>
      <c r="K110" s="444"/>
      <c r="L110" s="444"/>
      <c r="M110" s="444"/>
      <c r="N110" s="444"/>
      <c r="O110" s="444"/>
      <c r="P110" s="444"/>
      <c r="Q110" s="444"/>
      <c r="R110" s="444"/>
      <c r="S110" s="444"/>
      <c r="T110" s="444"/>
      <c r="U110" s="444"/>
      <c r="V110" s="517">
        <v>-113</v>
      </c>
      <c r="W110" s="446"/>
      <c r="X110" s="425"/>
      <c r="Y110" s="549"/>
    </row>
    <row r="111" spans="1:26" s="426" customFormat="1" x14ac:dyDescent="0.3">
      <c r="A111" s="443" t="s">
        <v>230</v>
      </c>
      <c r="B111" s="444" t="s">
        <v>229</v>
      </c>
      <c r="C111" s="444"/>
      <c r="D111" s="444"/>
      <c r="E111" s="444"/>
      <c r="F111" s="444"/>
      <c r="G111" s="444"/>
      <c r="H111" s="444"/>
      <c r="I111" s="444"/>
      <c r="J111" s="444"/>
      <c r="K111" s="444"/>
      <c r="L111" s="444"/>
      <c r="M111" s="444"/>
      <c r="N111" s="444"/>
      <c r="O111" s="444"/>
      <c r="P111" s="444"/>
      <c r="Q111" s="444"/>
      <c r="R111" s="444"/>
      <c r="S111" s="444"/>
      <c r="T111" s="444"/>
      <c r="U111" s="444"/>
      <c r="V111" s="517">
        <v>-26</v>
      </c>
      <c r="W111" s="446"/>
      <c r="X111" s="425"/>
      <c r="Y111" s="549"/>
    </row>
    <row r="112" spans="1:26" s="426" customFormat="1" x14ac:dyDescent="0.3">
      <c r="A112" s="550">
        <v>7</v>
      </c>
      <c r="B112" s="548" t="s">
        <v>333</v>
      </c>
      <c r="C112" s="548"/>
      <c r="D112" s="548"/>
      <c r="E112" s="548"/>
      <c r="F112" s="548"/>
      <c r="G112" s="444"/>
      <c r="H112" s="444"/>
      <c r="I112" s="444"/>
      <c r="J112" s="444"/>
      <c r="K112" s="444"/>
      <c r="L112" s="444"/>
      <c r="M112" s="444"/>
      <c r="N112" s="444"/>
      <c r="O112" s="444"/>
      <c r="P112" s="444"/>
      <c r="Q112" s="444"/>
      <c r="R112" s="444"/>
      <c r="S112" s="444"/>
      <c r="T112" s="444"/>
      <c r="U112" s="444"/>
      <c r="V112" s="517">
        <v>0</v>
      </c>
      <c r="W112" s="446"/>
      <c r="X112" s="425"/>
      <c r="Y112" s="549"/>
    </row>
    <row r="113" spans="1:24" s="426" customFormat="1" x14ac:dyDescent="0.3">
      <c r="A113" s="443">
        <f t="shared" ref="A113:A123" si="0">+A112+1</f>
        <v>8</v>
      </c>
      <c r="B113" s="444" t="s">
        <v>35</v>
      </c>
      <c r="C113" s="444"/>
      <c r="D113" s="444"/>
      <c r="E113" s="444"/>
      <c r="F113" s="444"/>
      <c r="G113" s="444"/>
      <c r="H113" s="444"/>
      <c r="I113" s="444"/>
      <c r="J113" s="444"/>
      <c r="K113" s="444"/>
      <c r="L113" s="444"/>
      <c r="M113" s="444"/>
      <c r="N113" s="444"/>
      <c r="O113" s="444"/>
      <c r="P113" s="444"/>
      <c r="Q113" s="444"/>
      <c r="R113" s="444"/>
      <c r="S113" s="444"/>
      <c r="T113" s="444"/>
      <c r="U113" s="444"/>
      <c r="V113" s="517">
        <v>-11</v>
      </c>
      <c r="W113" s="446"/>
      <c r="X113" s="425"/>
    </row>
    <row r="114" spans="1:24" s="426" customFormat="1" x14ac:dyDescent="0.3">
      <c r="A114" s="443">
        <f t="shared" si="0"/>
        <v>9</v>
      </c>
      <c r="B114" s="444" t="s">
        <v>45</v>
      </c>
      <c r="C114" s="444"/>
      <c r="D114" s="444"/>
      <c r="E114" s="444"/>
      <c r="F114" s="444"/>
      <c r="G114" s="444"/>
      <c r="H114" s="444"/>
      <c r="I114" s="444"/>
      <c r="J114" s="444"/>
      <c r="K114" s="444"/>
      <c r="L114" s="444"/>
      <c r="M114" s="444"/>
      <c r="N114" s="444"/>
      <c r="O114" s="444"/>
      <c r="P114" s="444"/>
      <c r="Q114" s="444"/>
      <c r="R114" s="444"/>
      <c r="S114" s="444"/>
      <c r="T114" s="516">
        <f>-V114</f>
        <v>164</v>
      </c>
      <c r="U114" s="444"/>
      <c r="V114" s="517">
        <v>-164</v>
      </c>
      <c r="W114" s="446"/>
      <c r="X114" s="425"/>
    </row>
    <row r="115" spans="1:24" s="426" customFormat="1" x14ac:dyDescent="0.3">
      <c r="A115" s="443">
        <f t="shared" si="0"/>
        <v>10</v>
      </c>
      <c r="B115" s="444" t="s">
        <v>128</v>
      </c>
      <c r="C115" s="444"/>
      <c r="D115" s="444"/>
      <c r="E115" s="444"/>
      <c r="F115" s="444"/>
      <c r="G115" s="444"/>
      <c r="H115" s="444"/>
      <c r="I115" s="444"/>
      <c r="J115" s="444"/>
      <c r="K115" s="444"/>
      <c r="L115" s="444"/>
      <c r="M115" s="444"/>
      <c r="N115" s="444"/>
      <c r="O115" s="444"/>
      <c r="P115" s="444"/>
      <c r="Q115" s="444"/>
      <c r="R115" s="444"/>
      <c r="S115" s="444"/>
      <c r="T115" s="444"/>
      <c r="U115" s="444"/>
      <c r="V115" s="517">
        <v>0</v>
      </c>
      <c r="W115" s="446"/>
      <c r="X115" s="425"/>
    </row>
    <row r="116" spans="1:24" s="426" customFormat="1" x14ac:dyDescent="0.3">
      <c r="A116" s="443">
        <f t="shared" si="0"/>
        <v>11</v>
      </c>
      <c r="B116" s="444" t="s">
        <v>271</v>
      </c>
      <c r="C116" s="444"/>
      <c r="D116" s="444"/>
      <c r="E116" s="444"/>
      <c r="F116" s="444"/>
      <c r="G116" s="444"/>
      <c r="H116" s="444"/>
      <c r="I116" s="444"/>
      <c r="J116" s="444"/>
      <c r="K116" s="444"/>
      <c r="L116" s="444"/>
      <c r="M116" s="444"/>
      <c r="N116" s="444"/>
      <c r="O116" s="444"/>
      <c r="P116" s="444"/>
      <c r="Q116" s="444"/>
      <c r="R116" s="444"/>
      <c r="S116" s="444"/>
      <c r="T116" s="444"/>
      <c r="U116" s="444"/>
      <c r="V116" s="517">
        <v>0</v>
      </c>
      <c r="W116" s="446"/>
      <c r="X116" s="425"/>
    </row>
    <row r="117" spans="1:24" s="426" customFormat="1" x14ac:dyDescent="0.3">
      <c r="A117" s="443">
        <f t="shared" si="0"/>
        <v>12</v>
      </c>
      <c r="B117" s="444" t="s">
        <v>36</v>
      </c>
      <c r="C117" s="444"/>
      <c r="D117" s="444"/>
      <c r="E117" s="444"/>
      <c r="F117" s="444"/>
      <c r="G117" s="444"/>
      <c r="H117" s="444"/>
      <c r="I117" s="444"/>
      <c r="J117" s="444"/>
      <c r="K117" s="444"/>
      <c r="L117" s="444"/>
      <c r="M117" s="444"/>
      <c r="N117" s="444"/>
      <c r="O117" s="444"/>
      <c r="P117" s="444"/>
      <c r="Q117" s="444"/>
      <c r="R117" s="444"/>
      <c r="S117" s="444"/>
      <c r="T117" s="444"/>
      <c r="U117" s="444"/>
      <c r="V117" s="517">
        <v>0</v>
      </c>
      <c r="W117" s="446"/>
      <c r="X117" s="425"/>
    </row>
    <row r="118" spans="1:24" s="426" customFormat="1" x14ac:dyDescent="0.3">
      <c r="A118" s="443">
        <f t="shared" si="0"/>
        <v>13</v>
      </c>
      <c r="B118" s="444" t="s">
        <v>270</v>
      </c>
      <c r="C118" s="444"/>
      <c r="D118" s="444"/>
      <c r="E118" s="444"/>
      <c r="F118" s="444"/>
      <c r="G118" s="444"/>
      <c r="H118" s="444"/>
      <c r="I118" s="444"/>
      <c r="J118" s="444"/>
      <c r="K118" s="444"/>
      <c r="L118" s="444"/>
      <c r="M118" s="444"/>
      <c r="N118" s="444"/>
      <c r="O118" s="444"/>
      <c r="P118" s="444"/>
      <c r="Q118" s="444"/>
      <c r="R118" s="444"/>
      <c r="S118" s="444"/>
      <c r="T118" s="444"/>
      <c r="U118" s="444"/>
      <c r="V118" s="517">
        <v>0</v>
      </c>
      <c r="W118" s="446"/>
      <c r="X118" s="425"/>
    </row>
    <row r="119" spans="1:24" s="426" customFormat="1" x14ac:dyDescent="0.3">
      <c r="A119" s="443">
        <f t="shared" si="0"/>
        <v>14</v>
      </c>
      <c r="B119" s="444" t="s">
        <v>152</v>
      </c>
      <c r="C119" s="444"/>
      <c r="D119" s="444"/>
      <c r="E119" s="444"/>
      <c r="F119" s="444"/>
      <c r="G119" s="444"/>
      <c r="H119" s="444"/>
      <c r="I119" s="444"/>
      <c r="J119" s="444"/>
      <c r="K119" s="444"/>
      <c r="L119" s="444"/>
      <c r="M119" s="444"/>
      <c r="N119" s="444"/>
      <c r="O119" s="444"/>
      <c r="P119" s="444"/>
      <c r="Q119" s="444"/>
      <c r="R119" s="444"/>
      <c r="S119" s="444"/>
      <c r="T119" s="444"/>
      <c r="U119" s="444"/>
      <c r="V119" s="517">
        <v>-257</v>
      </c>
      <c r="W119" s="446"/>
      <c r="X119" s="425"/>
    </row>
    <row r="120" spans="1:24" s="426" customFormat="1" x14ac:dyDescent="0.3">
      <c r="A120" s="443">
        <f t="shared" si="0"/>
        <v>15</v>
      </c>
      <c r="B120" s="548" t="s">
        <v>382</v>
      </c>
      <c r="C120" s="444"/>
      <c r="D120" s="444"/>
      <c r="E120" s="444"/>
      <c r="F120" s="444"/>
      <c r="G120" s="444"/>
      <c r="H120" s="444"/>
      <c r="I120" s="444"/>
      <c r="J120" s="444"/>
      <c r="K120" s="444"/>
      <c r="L120" s="444"/>
      <c r="M120" s="444"/>
      <c r="N120" s="444"/>
      <c r="O120" s="444"/>
      <c r="P120" s="444"/>
      <c r="Q120" s="444"/>
      <c r="R120" s="444"/>
      <c r="S120" s="444"/>
      <c r="T120" s="444"/>
      <c r="U120" s="444"/>
      <c r="V120" s="517">
        <v>-293</v>
      </c>
      <c r="W120" s="446"/>
      <c r="X120" s="425"/>
    </row>
    <row r="121" spans="1:24" s="426" customFormat="1" x14ac:dyDescent="0.3">
      <c r="A121" s="443">
        <f t="shared" si="0"/>
        <v>16</v>
      </c>
      <c r="B121" s="444" t="s">
        <v>383</v>
      </c>
      <c r="C121" s="444"/>
      <c r="D121" s="444"/>
      <c r="E121" s="444"/>
      <c r="F121" s="444"/>
      <c r="G121" s="444"/>
      <c r="H121" s="444"/>
      <c r="I121" s="444"/>
      <c r="J121" s="444"/>
      <c r="K121" s="444"/>
      <c r="L121" s="444"/>
      <c r="M121" s="444"/>
      <c r="N121" s="444"/>
      <c r="O121" s="444"/>
      <c r="P121" s="444"/>
      <c r="Q121" s="444"/>
      <c r="R121" s="444"/>
      <c r="S121" s="444"/>
      <c r="T121" s="444"/>
      <c r="U121" s="444"/>
      <c r="V121" s="517">
        <v>-133</v>
      </c>
      <c r="W121" s="446"/>
      <c r="X121" s="425"/>
    </row>
    <row r="122" spans="1:24" s="426" customFormat="1" x14ac:dyDescent="0.3">
      <c r="A122" s="443">
        <f t="shared" si="0"/>
        <v>17</v>
      </c>
      <c r="B122" s="444" t="s">
        <v>384</v>
      </c>
      <c r="C122" s="444"/>
      <c r="D122" s="444"/>
      <c r="E122" s="444"/>
      <c r="F122" s="444"/>
      <c r="G122" s="444"/>
      <c r="H122" s="444"/>
      <c r="I122" s="444"/>
      <c r="J122" s="444"/>
      <c r="K122" s="444"/>
      <c r="L122" s="444"/>
      <c r="M122" s="444"/>
      <c r="N122" s="444"/>
      <c r="O122" s="444"/>
      <c r="P122" s="444"/>
      <c r="Q122" s="444"/>
      <c r="R122" s="444"/>
      <c r="S122" s="444"/>
      <c r="T122" s="444"/>
      <c r="U122" s="444"/>
      <c r="V122" s="517">
        <v>0</v>
      </c>
      <c r="W122" s="446"/>
      <c r="X122" s="425"/>
    </row>
    <row r="123" spans="1:24" s="426" customFormat="1" x14ac:dyDescent="0.3">
      <c r="A123" s="443">
        <f t="shared" si="0"/>
        <v>18</v>
      </c>
      <c r="B123" s="444" t="s">
        <v>385</v>
      </c>
      <c r="C123" s="444"/>
      <c r="D123" s="444"/>
      <c r="E123" s="444"/>
      <c r="F123" s="444"/>
      <c r="G123" s="444"/>
      <c r="H123" s="444"/>
      <c r="I123" s="444"/>
      <c r="J123" s="444"/>
      <c r="K123" s="444"/>
      <c r="L123" s="444"/>
      <c r="M123" s="444"/>
      <c r="N123" s="444"/>
      <c r="O123" s="444"/>
      <c r="P123" s="444"/>
      <c r="Q123" s="444"/>
      <c r="R123" s="444"/>
      <c r="S123" s="444"/>
      <c r="T123" s="444"/>
      <c r="U123" s="444"/>
      <c r="V123" s="517">
        <f>-V99-SUM(V101:V122)</f>
        <v>-1645</v>
      </c>
      <c r="W123" s="446"/>
      <c r="X123" s="425"/>
    </row>
    <row r="124" spans="1:24" x14ac:dyDescent="0.3">
      <c r="A124" s="543"/>
      <c r="B124" s="544" t="s">
        <v>37</v>
      </c>
      <c r="C124" s="465"/>
      <c r="D124" s="465"/>
      <c r="E124" s="465"/>
      <c r="F124" s="465"/>
      <c r="G124" s="465"/>
      <c r="H124" s="465"/>
      <c r="I124" s="465"/>
      <c r="J124" s="465"/>
      <c r="K124" s="465"/>
      <c r="L124" s="465"/>
      <c r="M124" s="465"/>
      <c r="N124" s="465"/>
      <c r="O124" s="465"/>
      <c r="P124" s="465"/>
      <c r="Q124" s="465"/>
      <c r="R124" s="465"/>
      <c r="S124" s="465"/>
      <c r="T124" s="465"/>
      <c r="U124" s="465"/>
      <c r="V124" s="551"/>
      <c r="W124" s="547"/>
      <c r="X124" s="406"/>
    </row>
    <row r="125" spans="1:24" s="426" customFormat="1" x14ac:dyDescent="0.3">
      <c r="A125" s="443"/>
      <c r="B125" s="444" t="s">
        <v>176</v>
      </c>
      <c r="C125" s="444"/>
      <c r="D125" s="444"/>
      <c r="E125" s="444"/>
      <c r="F125" s="444"/>
      <c r="G125" s="444"/>
      <c r="H125" s="444"/>
      <c r="I125" s="444"/>
      <c r="J125" s="444"/>
      <c r="K125" s="444"/>
      <c r="L125" s="444"/>
      <c r="M125" s="444"/>
      <c r="N125" s="444"/>
      <c r="O125" s="444"/>
      <c r="P125" s="444"/>
      <c r="Q125" s="444"/>
      <c r="R125" s="444"/>
      <c r="S125" s="444"/>
      <c r="T125" s="516">
        <f>-T185</f>
        <v>0</v>
      </c>
      <c r="U125" s="516"/>
      <c r="V125" s="517"/>
      <c r="W125" s="446"/>
      <c r="X125" s="425"/>
    </row>
    <row r="126" spans="1:24" s="426" customFormat="1" x14ac:dyDescent="0.3">
      <c r="A126" s="443"/>
      <c r="B126" s="444" t="s">
        <v>177</v>
      </c>
      <c r="C126" s="444"/>
      <c r="D126" s="444"/>
      <c r="E126" s="444"/>
      <c r="F126" s="444"/>
      <c r="G126" s="444"/>
      <c r="H126" s="444"/>
      <c r="I126" s="444"/>
      <c r="J126" s="444"/>
      <c r="K126" s="444"/>
      <c r="L126" s="444"/>
      <c r="M126" s="444"/>
      <c r="N126" s="444"/>
      <c r="O126" s="444"/>
      <c r="P126" s="444"/>
      <c r="Q126" s="444"/>
      <c r="R126" s="444"/>
      <c r="S126" s="444"/>
      <c r="T126" s="516">
        <v>0</v>
      </c>
      <c r="U126" s="516"/>
      <c r="V126" s="517"/>
      <c r="W126" s="446"/>
      <c r="X126" s="425"/>
    </row>
    <row r="127" spans="1:24" s="426" customFormat="1" x14ac:dyDescent="0.3">
      <c r="A127" s="443"/>
      <c r="B127" s="444" t="s">
        <v>38</v>
      </c>
      <c r="C127" s="444"/>
      <c r="D127" s="444"/>
      <c r="E127" s="444"/>
      <c r="F127" s="444"/>
      <c r="G127" s="444"/>
      <c r="H127" s="444"/>
      <c r="I127" s="444"/>
      <c r="J127" s="444"/>
      <c r="K127" s="444"/>
      <c r="L127" s="444"/>
      <c r="M127" s="444"/>
      <c r="N127" s="444"/>
      <c r="O127" s="444"/>
      <c r="P127" s="444"/>
      <c r="Q127" s="444"/>
      <c r="R127" s="444"/>
      <c r="S127" s="444"/>
      <c r="T127" s="516">
        <f>-S185</f>
        <v>0</v>
      </c>
      <c r="U127" s="516"/>
      <c r="V127" s="517"/>
      <c r="W127" s="446"/>
      <c r="X127" s="425"/>
    </row>
    <row r="128" spans="1:24" s="426" customFormat="1" x14ac:dyDescent="0.3">
      <c r="A128" s="443"/>
      <c r="B128" s="444" t="s">
        <v>386</v>
      </c>
      <c r="C128" s="444"/>
      <c r="D128" s="444"/>
      <c r="E128" s="444"/>
      <c r="F128" s="444"/>
      <c r="G128" s="444"/>
      <c r="H128" s="444"/>
      <c r="I128" s="444"/>
      <c r="J128" s="444"/>
      <c r="K128" s="444"/>
      <c r="L128" s="444"/>
      <c r="M128" s="444"/>
      <c r="N128" s="444"/>
      <c r="O128" s="444"/>
      <c r="P128" s="444"/>
      <c r="Q128" s="444"/>
      <c r="R128" s="444"/>
      <c r="S128" s="444"/>
      <c r="T128" s="516">
        <v>-4261</v>
      </c>
      <c r="U128" s="516"/>
      <c r="V128" s="517"/>
      <c r="W128" s="446"/>
      <c r="X128" s="425"/>
    </row>
    <row r="129" spans="1:24" s="426" customFormat="1" x14ac:dyDescent="0.3">
      <c r="A129" s="443"/>
      <c r="B129" s="444" t="s">
        <v>198</v>
      </c>
      <c r="C129" s="444"/>
      <c r="D129" s="444"/>
      <c r="E129" s="444"/>
      <c r="F129" s="444"/>
      <c r="G129" s="444"/>
      <c r="H129" s="444"/>
      <c r="I129" s="444"/>
      <c r="J129" s="444"/>
      <c r="K129" s="444"/>
      <c r="L129" s="444"/>
      <c r="M129" s="444"/>
      <c r="N129" s="444"/>
      <c r="O129" s="444"/>
      <c r="P129" s="444"/>
      <c r="Q129" s="444"/>
      <c r="R129" s="444"/>
      <c r="S129" s="444"/>
      <c r="T129" s="516">
        <v>-668</v>
      </c>
      <c r="U129" s="516"/>
      <c r="V129" s="517"/>
      <c r="W129" s="446"/>
      <c r="X129" s="425"/>
    </row>
    <row r="130" spans="1:24" s="426" customFormat="1" x14ac:dyDescent="0.3">
      <c r="A130" s="443"/>
      <c r="B130" s="444" t="s">
        <v>197</v>
      </c>
      <c r="C130" s="444"/>
      <c r="D130" s="444"/>
      <c r="E130" s="444"/>
      <c r="F130" s="444"/>
      <c r="G130" s="444"/>
      <c r="H130" s="444"/>
      <c r="I130" s="444"/>
      <c r="J130" s="444"/>
      <c r="K130" s="444"/>
      <c r="L130" s="444"/>
      <c r="M130" s="444"/>
      <c r="N130" s="444"/>
      <c r="O130" s="444"/>
      <c r="P130" s="444"/>
      <c r="Q130" s="444"/>
      <c r="R130" s="444"/>
      <c r="S130" s="444"/>
      <c r="T130" s="516">
        <v>-1129</v>
      </c>
      <c r="U130" s="516"/>
      <c r="V130" s="517"/>
      <c r="W130" s="446"/>
      <c r="X130" s="425"/>
    </row>
    <row r="131" spans="1:24" s="426" customFormat="1" x14ac:dyDescent="0.3">
      <c r="A131" s="443"/>
      <c r="B131" s="444" t="s">
        <v>232</v>
      </c>
      <c r="C131" s="444"/>
      <c r="D131" s="444"/>
      <c r="E131" s="444"/>
      <c r="F131" s="444"/>
      <c r="G131" s="444"/>
      <c r="H131" s="444"/>
      <c r="I131" s="444"/>
      <c r="J131" s="444"/>
      <c r="K131" s="444"/>
      <c r="L131" s="444"/>
      <c r="M131" s="444"/>
      <c r="N131" s="444"/>
      <c r="O131" s="444"/>
      <c r="P131" s="444"/>
      <c r="Q131" s="444"/>
      <c r="R131" s="444"/>
      <c r="S131" s="444"/>
      <c r="T131" s="516">
        <v>-994</v>
      </c>
      <c r="U131" s="516"/>
      <c r="V131" s="517"/>
      <c r="W131" s="446"/>
      <c r="X131" s="425"/>
    </row>
    <row r="132" spans="1:24" s="426" customFormat="1" x14ac:dyDescent="0.3">
      <c r="A132" s="443"/>
      <c r="B132" s="444" t="s">
        <v>192</v>
      </c>
      <c r="C132" s="444"/>
      <c r="D132" s="444"/>
      <c r="E132" s="444"/>
      <c r="F132" s="444"/>
      <c r="G132" s="444"/>
      <c r="H132" s="444"/>
      <c r="I132" s="444"/>
      <c r="J132" s="444"/>
      <c r="K132" s="444"/>
      <c r="L132" s="444"/>
      <c r="M132" s="444"/>
      <c r="N132" s="444"/>
      <c r="O132" s="444"/>
      <c r="P132" s="444"/>
      <c r="Q132" s="444"/>
      <c r="R132" s="444"/>
      <c r="S132" s="444"/>
      <c r="T132" s="516">
        <v>-694</v>
      </c>
      <c r="U132" s="516"/>
      <c r="V132" s="517"/>
      <c r="W132" s="446"/>
      <c r="X132" s="425"/>
    </row>
    <row r="133" spans="1:24" s="426" customFormat="1" x14ac:dyDescent="0.3">
      <c r="A133" s="443"/>
      <c r="B133" s="444" t="s">
        <v>191</v>
      </c>
      <c r="C133" s="444"/>
      <c r="D133" s="444"/>
      <c r="E133" s="444"/>
      <c r="F133" s="444"/>
      <c r="G133" s="444"/>
      <c r="H133" s="444"/>
      <c r="I133" s="444"/>
      <c r="J133" s="444"/>
      <c r="K133" s="444"/>
      <c r="L133" s="444"/>
      <c r="M133" s="444"/>
      <c r="N133" s="444"/>
      <c r="O133" s="444"/>
      <c r="P133" s="444"/>
      <c r="Q133" s="444"/>
      <c r="R133" s="444"/>
      <c r="S133" s="444"/>
      <c r="T133" s="516">
        <v>-699</v>
      </c>
      <c r="U133" s="516"/>
      <c r="V133" s="517"/>
      <c r="W133" s="446"/>
      <c r="X133" s="425"/>
    </row>
    <row r="134" spans="1:24" s="426" customFormat="1" x14ac:dyDescent="0.3">
      <c r="A134" s="443"/>
      <c r="B134" s="444" t="s">
        <v>233</v>
      </c>
      <c r="C134" s="444"/>
      <c r="D134" s="444"/>
      <c r="E134" s="444"/>
      <c r="F134" s="444"/>
      <c r="G134" s="444"/>
      <c r="H134" s="444"/>
      <c r="I134" s="444"/>
      <c r="J134" s="444"/>
      <c r="K134" s="444"/>
      <c r="L134" s="444"/>
      <c r="M134" s="444"/>
      <c r="N134" s="444"/>
      <c r="O134" s="444"/>
      <c r="P134" s="444"/>
      <c r="Q134" s="444"/>
      <c r="R134" s="444"/>
      <c r="S134" s="444"/>
      <c r="T134" s="516">
        <v>-161</v>
      </c>
      <c r="U134" s="516"/>
      <c r="V134" s="517"/>
      <c r="W134" s="446"/>
      <c r="X134" s="425"/>
    </row>
    <row r="135" spans="1:24" s="426" customFormat="1" x14ac:dyDescent="0.3">
      <c r="A135" s="443"/>
      <c r="B135" s="444" t="s">
        <v>190</v>
      </c>
      <c r="C135" s="444"/>
      <c r="D135" s="444"/>
      <c r="E135" s="444"/>
      <c r="F135" s="444"/>
      <c r="G135" s="444"/>
      <c r="H135" s="444"/>
      <c r="I135" s="444"/>
      <c r="J135" s="444"/>
      <c r="K135" s="444"/>
      <c r="L135" s="444"/>
      <c r="M135" s="444"/>
      <c r="N135" s="444"/>
      <c r="O135" s="444"/>
      <c r="P135" s="444"/>
      <c r="Q135" s="444"/>
      <c r="R135" s="444"/>
      <c r="S135" s="444"/>
      <c r="T135" s="516">
        <v>-674</v>
      </c>
      <c r="U135" s="516"/>
      <c r="V135" s="517"/>
      <c r="W135" s="446"/>
      <c r="X135" s="425"/>
    </row>
    <row r="136" spans="1:24" s="426" customFormat="1" x14ac:dyDescent="0.3">
      <c r="A136" s="443"/>
      <c r="B136" s="444" t="s">
        <v>39</v>
      </c>
      <c r="C136" s="444"/>
      <c r="D136" s="444"/>
      <c r="E136" s="444"/>
      <c r="F136" s="444"/>
      <c r="G136" s="444"/>
      <c r="H136" s="444"/>
      <c r="I136" s="444"/>
      <c r="J136" s="444"/>
      <c r="K136" s="444"/>
      <c r="L136" s="444"/>
      <c r="M136" s="444"/>
      <c r="N136" s="444"/>
      <c r="O136" s="444"/>
      <c r="P136" s="444"/>
      <c r="Q136" s="444"/>
      <c r="R136" s="444"/>
      <c r="S136" s="444"/>
      <c r="T136" s="516">
        <f>SUM(T125:T135)</f>
        <v>-9280</v>
      </c>
      <c r="U136" s="516"/>
      <c r="V136" s="516">
        <f>SUM(V100:V133)</f>
        <v>-3531</v>
      </c>
      <c r="W136" s="446"/>
      <c r="X136" s="425"/>
    </row>
    <row r="137" spans="1:24" s="426" customFormat="1" x14ac:dyDescent="0.3">
      <c r="A137" s="443"/>
      <c r="B137" s="444" t="s">
        <v>40</v>
      </c>
      <c r="C137" s="444"/>
      <c r="D137" s="444"/>
      <c r="E137" s="444"/>
      <c r="F137" s="444"/>
      <c r="G137" s="444"/>
      <c r="H137" s="444"/>
      <c r="I137" s="444"/>
      <c r="J137" s="444"/>
      <c r="K137" s="444"/>
      <c r="L137" s="444"/>
      <c r="M137" s="444"/>
      <c r="N137" s="444"/>
      <c r="O137" s="444"/>
      <c r="P137" s="444"/>
      <c r="Q137" s="444"/>
      <c r="R137" s="444"/>
      <c r="S137" s="444"/>
      <c r="T137" s="516">
        <f>T99+T136+T114</f>
        <v>0</v>
      </c>
      <c r="U137" s="516"/>
      <c r="V137" s="516">
        <f>V99+V136</f>
        <v>0</v>
      </c>
      <c r="W137" s="446"/>
      <c r="X137" s="425"/>
    </row>
    <row r="138" spans="1:24" s="426" customFormat="1" x14ac:dyDescent="0.3">
      <c r="A138" s="421"/>
      <c r="B138" s="494"/>
      <c r="C138" s="494"/>
      <c r="D138" s="494"/>
      <c r="E138" s="494"/>
      <c r="F138" s="494"/>
      <c r="G138" s="494"/>
      <c r="H138" s="494"/>
      <c r="I138" s="494"/>
      <c r="J138" s="494"/>
      <c r="K138" s="494"/>
      <c r="L138" s="494"/>
      <c r="M138" s="494"/>
      <c r="N138" s="494"/>
      <c r="O138" s="494"/>
      <c r="P138" s="494"/>
      <c r="Q138" s="494"/>
      <c r="R138" s="494"/>
      <c r="S138" s="494"/>
      <c r="T138" s="552"/>
      <c r="U138" s="552"/>
      <c r="V138" s="552"/>
      <c r="W138" s="424"/>
      <c r="X138" s="425"/>
    </row>
    <row r="139" spans="1:24" s="426" customFormat="1" x14ac:dyDescent="0.3">
      <c r="A139" s="421"/>
      <c r="B139" s="422"/>
      <c r="C139" s="422"/>
      <c r="D139" s="422"/>
      <c r="E139" s="422"/>
      <c r="F139" s="422"/>
      <c r="G139" s="422"/>
      <c r="H139" s="422"/>
      <c r="I139" s="422"/>
      <c r="J139" s="422"/>
      <c r="K139" s="422"/>
      <c r="L139" s="422"/>
      <c r="M139" s="422"/>
      <c r="N139" s="422"/>
      <c r="O139" s="422"/>
      <c r="P139" s="422"/>
      <c r="Q139" s="422"/>
      <c r="R139" s="422"/>
      <c r="S139" s="422"/>
      <c r="T139" s="422"/>
      <c r="U139" s="422"/>
      <c r="V139" s="553"/>
      <c r="W139" s="424"/>
      <c r="X139" s="425"/>
    </row>
    <row r="140" spans="1:24" s="426" customFormat="1" ht="18.600000000000001" thickBot="1" x14ac:dyDescent="0.4">
      <c r="A140" s="500"/>
      <c r="B140" s="501" t="str">
        <f>B63</f>
        <v>PM13 INVESTOR REPORT QUARTER ENDING SEPTEMBER 2020</v>
      </c>
      <c r="C140" s="502"/>
      <c r="D140" s="502"/>
      <c r="E140" s="502"/>
      <c r="F140" s="502"/>
      <c r="G140" s="502"/>
      <c r="H140" s="502"/>
      <c r="I140" s="502"/>
      <c r="J140" s="502"/>
      <c r="K140" s="502"/>
      <c r="L140" s="502"/>
      <c r="M140" s="502"/>
      <c r="N140" s="502"/>
      <c r="O140" s="502"/>
      <c r="P140" s="502"/>
      <c r="Q140" s="502"/>
      <c r="R140" s="502"/>
      <c r="S140" s="502"/>
      <c r="T140" s="502"/>
      <c r="U140" s="502"/>
      <c r="V140" s="554"/>
      <c r="W140" s="555"/>
      <c r="X140" s="425"/>
    </row>
    <row r="141" spans="1:24" x14ac:dyDescent="0.3">
      <c r="A141" s="505"/>
      <c r="B141" s="506" t="s">
        <v>41</v>
      </c>
      <c r="C141" s="507"/>
      <c r="D141" s="507"/>
      <c r="E141" s="507"/>
      <c r="F141" s="507"/>
      <c r="G141" s="507"/>
      <c r="H141" s="507"/>
      <c r="I141" s="507"/>
      <c r="J141" s="507"/>
      <c r="K141" s="507"/>
      <c r="L141" s="507"/>
      <c r="M141" s="507"/>
      <c r="N141" s="507"/>
      <c r="O141" s="507"/>
      <c r="P141" s="507"/>
      <c r="Q141" s="507"/>
      <c r="R141" s="507"/>
      <c r="S141" s="507"/>
      <c r="T141" s="507"/>
      <c r="U141" s="507"/>
      <c r="V141" s="508"/>
      <c r="W141" s="509"/>
      <c r="X141" s="406"/>
    </row>
    <row r="142" spans="1:24" x14ac:dyDescent="0.3">
      <c r="A142" s="408"/>
      <c r="B142" s="556"/>
      <c r="C142" s="410"/>
      <c r="D142" s="410"/>
      <c r="E142" s="410"/>
      <c r="F142" s="410"/>
      <c r="G142" s="410"/>
      <c r="H142" s="410"/>
      <c r="I142" s="410"/>
      <c r="J142" s="410"/>
      <c r="K142" s="410"/>
      <c r="L142" s="410"/>
      <c r="M142" s="410"/>
      <c r="N142" s="410"/>
      <c r="O142" s="410"/>
      <c r="P142" s="410"/>
      <c r="Q142" s="410"/>
      <c r="R142" s="410"/>
      <c r="S142" s="410"/>
      <c r="T142" s="410"/>
      <c r="U142" s="410"/>
      <c r="V142" s="510"/>
      <c r="W142" s="411"/>
      <c r="X142" s="406"/>
    </row>
    <row r="143" spans="1:24" x14ac:dyDescent="0.3">
      <c r="A143" s="408"/>
      <c r="B143" s="557" t="s">
        <v>42</v>
      </c>
      <c r="C143" s="410"/>
      <c r="D143" s="410"/>
      <c r="E143" s="410"/>
      <c r="F143" s="410"/>
      <c r="G143" s="410"/>
      <c r="H143" s="410"/>
      <c r="I143" s="410"/>
      <c r="J143" s="410"/>
      <c r="K143" s="410"/>
      <c r="L143" s="410"/>
      <c r="M143" s="410"/>
      <c r="N143" s="410"/>
      <c r="O143" s="410"/>
      <c r="P143" s="410"/>
      <c r="Q143" s="410"/>
      <c r="R143" s="410"/>
      <c r="S143" s="410"/>
      <c r="T143" s="410"/>
      <c r="U143" s="410"/>
      <c r="V143" s="510"/>
      <c r="W143" s="411"/>
      <c r="X143" s="406"/>
    </row>
    <row r="144" spans="1:24" x14ac:dyDescent="0.3">
      <c r="A144" s="543"/>
      <c r="B144" s="444" t="s">
        <v>43</v>
      </c>
      <c r="C144" s="444"/>
      <c r="D144" s="444"/>
      <c r="E144" s="444"/>
      <c r="F144" s="444"/>
      <c r="G144" s="444"/>
      <c r="H144" s="444"/>
      <c r="I144" s="444"/>
      <c r="J144" s="444"/>
      <c r="K144" s="444"/>
      <c r="L144" s="444"/>
      <c r="M144" s="444"/>
      <c r="N144" s="444"/>
      <c r="O144" s="444"/>
      <c r="P144" s="444"/>
      <c r="Q144" s="444"/>
      <c r="R144" s="444"/>
      <c r="S144" s="444"/>
      <c r="T144" s="444"/>
      <c r="U144" s="444"/>
      <c r="V144" s="517">
        <f>+V34*0.019</f>
        <v>28503.61</v>
      </c>
      <c r="W144" s="558"/>
      <c r="X144" s="406"/>
    </row>
    <row r="145" spans="1:25" x14ac:dyDescent="0.3">
      <c r="A145" s="543"/>
      <c r="B145" s="444" t="s">
        <v>44</v>
      </c>
      <c r="C145" s="444"/>
      <c r="D145" s="444"/>
      <c r="E145" s="444"/>
      <c r="F145" s="444"/>
      <c r="G145" s="444"/>
      <c r="H145" s="444"/>
      <c r="I145" s="444"/>
      <c r="J145" s="444"/>
      <c r="K145" s="444"/>
      <c r="L145" s="444"/>
      <c r="M145" s="444"/>
      <c r="N145" s="444"/>
      <c r="O145" s="444"/>
      <c r="P145" s="444"/>
      <c r="Q145" s="444"/>
      <c r="R145" s="444"/>
      <c r="S145" s="444"/>
      <c r="T145" s="444"/>
      <c r="U145" s="444"/>
      <c r="V145" s="517">
        <v>28504</v>
      </c>
      <c r="W145" s="558"/>
      <c r="X145" s="406"/>
    </row>
    <row r="146" spans="1:25" x14ac:dyDescent="0.3">
      <c r="A146" s="543"/>
      <c r="B146" s="444" t="s">
        <v>139</v>
      </c>
      <c r="C146" s="444"/>
      <c r="D146" s="444"/>
      <c r="E146" s="444"/>
      <c r="F146" s="444"/>
      <c r="G146" s="444"/>
      <c r="H146" s="444"/>
      <c r="I146" s="444"/>
      <c r="J146" s="444"/>
      <c r="K146" s="444"/>
      <c r="L146" s="444"/>
      <c r="M146" s="444"/>
      <c r="N146" s="444"/>
      <c r="O146" s="444"/>
      <c r="P146" s="444"/>
      <c r="Q146" s="444"/>
      <c r="R146" s="444"/>
      <c r="S146" s="444"/>
      <c r="T146" s="444"/>
      <c r="U146" s="444"/>
      <c r="V146" s="517"/>
      <c r="W146" s="558"/>
      <c r="X146" s="406"/>
    </row>
    <row r="147" spans="1:25" x14ac:dyDescent="0.3">
      <c r="A147" s="543"/>
      <c r="B147" s="444" t="s">
        <v>126</v>
      </c>
      <c r="C147" s="444"/>
      <c r="D147" s="444"/>
      <c r="E147" s="444"/>
      <c r="F147" s="444"/>
      <c r="G147" s="444"/>
      <c r="H147" s="444"/>
      <c r="I147" s="444"/>
      <c r="J147" s="444"/>
      <c r="K147" s="444"/>
      <c r="L147" s="444"/>
      <c r="M147" s="444"/>
      <c r="N147" s="444"/>
      <c r="O147" s="444"/>
      <c r="P147" s="444"/>
      <c r="Q147" s="444"/>
      <c r="R147" s="444"/>
      <c r="S147" s="444"/>
      <c r="T147" s="444"/>
      <c r="U147" s="444"/>
      <c r="V147" s="517">
        <v>0</v>
      </c>
      <c r="W147" s="558"/>
      <c r="X147" s="406"/>
    </row>
    <row r="148" spans="1:25" x14ac:dyDescent="0.3">
      <c r="A148" s="543"/>
      <c r="B148" s="444" t="s">
        <v>127</v>
      </c>
      <c r="C148" s="444"/>
      <c r="D148" s="444"/>
      <c r="E148" s="444"/>
      <c r="F148" s="444"/>
      <c r="G148" s="444"/>
      <c r="H148" s="444"/>
      <c r="I148" s="444"/>
      <c r="J148" s="444"/>
      <c r="K148" s="444"/>
      <c r="L148" s="444"/>
      <c r="M148" s="444"/>
      <c r="N148" s="444"/>
      <c r="O148" s="444"/>
      <c r="P148" s="444"/>
      <c r="Q148" s="444"/>
      <c r="R148" s="444"/>
      <c r="S148" s="444"/>
      <c r="T148" s="444"/>
      <c r="U148" s="444"/>
      <c r="V148" s="517">
        <v>0</v>
      </c>
      <c r="W148" s="558"/>
      <c r="X148" s="406"/>
    </row>
    <row r="149" spans="1:25" x14ac:dyDescent="0.3">
      <c r="A149" s="543"/>
      <c r="B149" s="444" t="s">
        <v>178</v>
      </c>
      <c r="C149" s="444"/>
      <c r="D149" s="444"/>
      <c r="E149" s="444"/>
      <c r="F149" s="444"/>
      <c r="G149" s="444"/>
      <c r="H149" s="444"/>
      <c r="I149" s="444"/>
      <c r="J149" s="444"/>
      <c r="K149" s="444"/>
      <c r="L149" s="444"/>
      <c r="M149" s="444"/>
      <c r="N149" s="444"/>
      <c r="O149" s="444"/>
      <c r="P149" s="444"/>
      <c r="Q149" s="444"/>
      <c r="R149" s="444"/>
      <c r="S149" s="444"/>
      <c r="T149" s="444"/>
      <c r="U149" s="444"/>
      <c r="V149" s="517">
        <v>0</v>
      </c>
      <c r="W149" s="558"/>
      <c r="X149" s="406"/>
    </row>
    <row r="150" spans="1:25" x14ac:dyDescent="0.3">
      <c r="A150" s="543"/>
      <c r="B150" s="444" t="s">
        <v>45</v>
      </c>
      <c r="C150" s="444"/>
      <c r="D150" s="444"/>
      <c r="E150" s="444"/>
      <c r="F150" s="444"/>
      <c r="G150" s="444"/>
      <c r="H150" s="444"/>
      <c r="I150" s="444"/>
      <c r="J150" s="444"/>
      <c r="K150" s="444"/>
      <c r="L150" s="444"/>
      <c r="M150" s="444"/>
      <c r="N150" s="444"/>
      <c r="O150" s="444"/>
      <c r="P150" s="444"/>
      <c r="Q150" s="444"/>
      <c r="R150" s="444"/>
      <c r="S150" s="444"/>
      <c r="T150" s="444"/>
      <c r="U150" s="444"/>
      <c r="V150" s="517">
        <v>0</v>
      </c>
      <c r="W150" s="558"/>
      <c r="X150" s="406"/>
    </row>
    <row r="151" spans="1:25" x14ac:dyDescent="0.3">
      <c r="A151" s="543"/>
      <c r="B151" s="444" t="s">
        <v>132</v>
      </c>
      <c r="C151" s="444"/>
      <c r="D151" s="444"/>
      <c r="E151" s="444"/>
      <c r="F151" s="444"/>
      <c r="G151" s="444"/>
      <c r="H151" s="444"/>
      <c r="I151" s="444"/>
      <c r="J151" s="444"/>
      <c r="K151" s="444"/>
      <c r="L151" s="444"/>
      <c r="M151" s="444"/>
      <c r="N151" s="444"/>
      <c r="O151" s="444"/>
      <c r="P151" s="444"/>
      <c r="Q151" s="444"/>
      <c r="R151" s="444"/>
      <c r="S151" s="444"/>
      <c r="T151" s="444"/>
      <c r="U151" s="444"/>
      <c r="V151" s="517">
        <v>0</v>
      </c>
      <c r="W151" s="558"/>
      <c r="X151" s="406"/>
    </row>
    <row r="152" spans="1:25" x14ac:dyDescent="0.3">
      <c r="A152" s="543"/>
      <c r="B152" s="444" t="s">
        <v>267</v>
      </c>
      <c r="C152" s="444"/>
      <c r="D152" s="444"/>
      <c r="E152" s="444"/>
      <c r="F152" s="444"/>
      <c r="G152" s="444"/>
      <c r="H152" s="444"/>
      <c r="I152" s="444"/>
      <c r="J152" s="444"/>
      <c r="K152" s="444"/>
      <c r="L152" s="444"/>
      <c r="M152" s="444"/>
      <c r="N152" s="444"/>
      <c r="O152" s="444"/>
      <c r="P152" s="444"/>
      <c r="Q152" s="444"/>
      <c r="R152" s="444"/>
      <c r="S152" s="444"/>
      <c r="T152" s="444"/>
      <c r="U152" s="444"/>
      <c r="V152" s="517">
        <v>0</v>
      </c>
      <c r="W152" s="558"/>
      <c r="X152" s="406"/>
      <c r="Y152" s="559"/>
    </row>
    <row r="153" spans="1:25" x14ac:dyDescent="0.3">
      <c r="A153" s="543"/>
      <c r="B153" s="444" t="s">
        <v>46</v>
      </c>
      <c r="C153" s="444"/>
      <c r="D153" s="444"/>
      <c r="E153" s="444"/>
      <c r="F153" s="444"/>
      <c r="G153" s="444"/>
      <c r="H153" s="444"/>
      <c r="I153" s="444"/>
      <c r="J153" s="444"/>
      <c r="K153" s="444"/>
      <c r="L153" s="444"/>
      <c r="M153" s="444"/>
      <c r="N153" s="444"/>
      <c r="O153" s="444"/>
      <c r="P153" s="444"/>
      <c r="Q153" s="444"/>
      <c r="R153" s="444"/>
      <c r="S153" s="444"/>
      <c r="T153" s="444"/>
      <c r="U153" s="444"/>
      <c r="V153" s="517">
        <f>SUM(V145:V152)</f>
        <v>28504</v>
      </c>
      <c r="W153" s="558"/>
      <c r="X153" s="406"/>
    </row>
    <row r="154" spans="1:25" x14ac:dyDescent="0.3">
      <c r="A154" s="543"/>
      <c r="B154" s="465"/>
      <c r="C154" s="465"/>
      <c r="D154" s="465"/>
      <c r="E154" s="465"/>
      <c r="F154" s="465"/>
      <c r="G154" s="465"/>
      <c r="H154" s="465"/>
      <c r="I154" s="465"/>
      <c r="J154" s="465"/>
      <c r="K154" s="465"/>
      <c r="L154" s="465"/>
      <c r="M154" s="465"/>
      <c r="N154" s="465"/>
      <c r="O154" s="465"/>
      <c r="P154" s="465"/>
      <c r="Q154" s="465"/>
      <c r="R154" s="465"/>
      <c r="S154" s="465"/>
      <c r="T154" s="465"/>
      <c r="U154" s="465"/>
      <c r="V154" s="546"/>
      <c r="W154" s="547"/>
      <c r="X154" s="406"/>
    </row>
    <row r="155" spans="1:25" x14ac:dyDescent="0.3">
      <c r="A155" s="543"/>
      <c r="B155" s="544" t="s">
        <v>417</v>
      </c>
      <c r="C155" s="465"/>
      <c r="D155" s="465"/>
      <c r="E155" s="465"/>
      <c r="F155" s="465"/>
      <c r="G155" s="465"/>
      <c r="H155" s="465"/>
      <c r="I155" s="465"/>
      <c r="J155" s="465"/>
      <c r="K155" s="465"/>
      <c r="L155" s="465"/>
      <c r="M155" s="465"/>
      <c r="N155" s="465"/>
      <c r="O155" s="465"/>
      <c r="P155" s="465"/>
      <c r="Q155" s="465"/>
      <c r="R155" s="465"/>
      <c r="S155" s="465"/>
      <c r="T155" s="465"/>
      <c r="U155" s="465"/>
      <c r="V155" s="546"/>
      <c r="W155" s="547"/>
      <c r="X155" s="406"/>
    </row>
    <row r="156" spans="1:25" x14ac:dyDescent="0.3">
      <c r="A156" s="543"/>
      <c r="B156" s="444" t="s">
        <v>158</v>
      </c>
      <c r="C156" s="444"/>
      <c r="D156" s="444"/>
      <c r="E156" s="444"/>
      <c r="F156" s="444"/>
      <c r="G156" s="444"/>
      <c r="H156" s="444"/>
      <c r="I156" s="444"/>
      <c r="J156" s="444"/>
      <c r="K156" s="444"/>
      <c r="L156" s="444"/>
      <c r="M156" s="444"/>
      <c r="N156" s="444"/>
      <c r="O156" s="444"/>
      <c r="P156" s="444"/>
      <c r="Q156" s="444"/>
      <c r="R156" s="444"/>
      <c r="S156" s="444"/>
      <c r="T156" s="444"/>
      <c r="U156" s="444"/>
      <c r="V156" s="517">
        <v>15000</v>
      </c>
      <c r="W156" s="558"/>
      <c r="X156" s="406"/>
    </row>
    <row r="157" spans="1:25" x14ac:dyDescent="0.3">
      <c r="A157" s="543"/>
      <c r="B157" s="444" t="s">
        <v>175</v>
      </c>
      <c r="C157" s="444"/>
      <c r="D157" s="444"/>
      <c r="E157" s="444"/>
      <c r="F157" s="444"/>
      <c r="G157" s="444"/>
      <c r="H157" s="444"/>
      <c r="I157" s="444"/>
      <c r="J157" s="444"/>
      <c r="K157" s="444"/>
      <c r="L157" s="444"/>
      <c r="M157" s="444"/>
      <c r="N157" s="444"/>
      <c r="O157" s="444"/>
      <c r="P157" s="444"/>
      <c r="Q157" s="444"/>
      <c r="R157" s="444"/>
      <c r="S157" s="444"/>
      <c r="T157" s="444"/>
      <c r="U157" s="444"/>
      <c r="V157" s="517">
        <v>0</v>
      </c>
      <c r="W157" s="558"/>
      <c r="X157" s="406"/>
    </row>
    <row r="158" spans="1:25" x14ac:dyDescent="0.3">
      <c r="A158" s="543"/>
      <c r="B158" s="444" t="s">
        <v>341</v>
      </c>
      <c r="C158" s="444"/>
      <c r="D158" s="444"/>
      <c r="E158" s="444"/>
      <c r="F158" s="444"/>
      <c r="G158" s="444"/>
      <c r="H158" s="444"/>
      <c r="I158" s="444"/>
      <c r="J158" s="444"/>
      <c r="K158" s="444"/>
      <c r="L158" s="444"/>
      <c r="M158" s="444"/>
      <c r="N158" s="444"/>
      <c r="O158" s="444"/>
      <c r="P158" s="444"/>
      <c r="Q158" s="444"/>
      <c r="R158" s="444"/>
      <c r="S158" s="444"/>
      <c r="T158" s="444"/>
      <c r="U158" s="444"/>
      <c r="V158" s="517">
        <v>0</v>
      </c>
      <c r="W158" s="558"/>
      <c r="X158" s="406"/>
    </row>
    <row r="159" spans="1:25" x14ac:dyDescent="0.3">
      <c r="A159" s="543"/>
      <c r="B159" s="465"/>
      <c r="C159" s="465"/>
      <c r="D159" s="465"/>
      <c r="E159" s="465"/>
      <c r="F159" s="465"/>
      <c r="G159" s="465"/>
      <c r="H159" s="465"/>
      <c r="I159" s="465"/>
      <c r="J159" s="465"/>
      <c r="K159" s="465"/>
      <c r="L159" s="465"/>
      <c r="M159" s="465"/>
      <c r="N159" s="465"/>
      <c r="O159" s="465"/>
      <c r="P159" s="465"/>
      <c r="Q159" s="465"/>
      <c r="R159" s="465"/>
      <c r="S159" s="465"/>
      <c r="T159" s="465"/>
      <c r="U159" s="465"/>
      <c r="V159" s="546"/>
      <c r="W159" s="547"/>
      <c r="X159" s="406"/>
    </row>
    <row r="160" spans="1:25" x14ac:dyDescent="0.3">
      <c r="A160" s="408"/>
      <c r="B160" s="518"/>
      <c r="C160" s="518"/>
      <c r="D160" s="518"/>
      <c r="E160" s="518"/>
      <c r="F160" s="518"/>
      <c r="G160" s="518"/>
      <c r="H160" s="518"/>
      <c r="I160" s="518"/>
      <c r="J160" s="518"/>
      <c r="K160" s="518"/>
      <c r="L160" s="518"/>
      <c r="M160" s="518"/>
      <c r="N160" s="518"/>
      <c r="O160" s="518"/>
      <c r="P160" s="518"/>
      <c r="Q160" s="518"/>
      <c r="R160" s="518"/>
      <c r="S160" s="518"/>
      <c r="T160" s="518"/>
      <c r="U160" s="518"/>
      <c r="V160" s="560"/>
      <c r="W160" s="411"/>
      <c r="X160" s="406"/>
    </row>
    <row r="161" spans="1:24" x14ac:dyDescent="0.3">
      <c r="A161" s="408"/>
      <c r="B161" s="557" t="s">
        <v>24</v>
      </c>
      <c r="C161" s="410"/>
      <c r="D161" s="410"/>
      <c r="E161" s="410"/>
      <c r="F161" s="410"/>
      <c r="G161" s="410"/>
      <c r="H161" s="410"/>
      <c r="I161" s="410"/>
      <c r="J161" s="410"/>
      <c r="K161" s="410"/>
      <c r="L161" s="410"/>
      <c r="M161" s="410"/>
      <c r="N161" s="410"/>
      <c r="O161" s="410"/>
      <c r="P161" s="410"/>
      <c r="Q161" s="410"/>
      <c r="R161" s="410"/>
      <c r="S161" s="410"/>
      <c r="T161" s="410"/>
      <c r="U161" s="410"/>
      <c r="V161" s="510"/>
      <c r="W161" s="411"/>
      <c r="X161" s="406"/>
    </row>
    <row r="162" spans="1:24" x14ac:dyDescent="0.3">
      <c r="A162" s="543"/>
      <c r="B162" s="444" t="s">
        <v>47</v>
      </c>
      <c r="C162" s="444"/>
      <c r="D162" s="444"/>
      <c r="E162" s="444"/>
      <c r="F162" s="444"/>
      <c r="G162" s="444"/>
      <c r="H162" s="444"/>
      <c r="I162" s="444"/>
      <c r="J162" s="444"/>
      <c r="K162" s="444"/>
      <c r="L162" s="444"/>
      <c r="M162" s="444"/>
      <c r="N162" s="444"/>
      <c r="O162" s="444"/>
      <c r="P162" s="444"/>
      <c r="Q162" s="444"/>
      <c r="R162" s="444"/>
      <c r="S162" s="444"/>
      <c r="T162" s="444"/>
      <c r="U162" s="444"/>
      <c r="V162" s="561" t="s">
        <v>121</v>
      </c>
      <c r="W162" s="558"/>
      <c r="X162" s="406"/>
    </row>
    <row r="163" spans="1:24" x14ac:dyDescent="0.3">
      <c r="A163" s="543"/>
      <c r="B163" s="444" t="s">
        <v>48</v>
      </c>
      <c r="C163" s="444"/>
      <c r="D163" s="444"/>
      <c r="E163" s="444"/>
      <c r="F163" s="444"/>
      <c r="G163" s="444"/>
      <c r="H163" s="444"/>
      <c r="I163" s="444"/>
      <c r="J163" s="444"/>
      <c r="K163" s="444"/>
      <c r="L163" s="444"/>
      <c r="M163" s="444"/>
      <c r="N163" s="444"/>
      <c r="O163" s="444"/>
      <c r="P163" s="444"/>
      <c r="Q163" s="444"/>
      <c r="R163" s="444"/>
      <c r="S163" s="444"/>
      <c r="T163" s="444"/>
      <c r="U163" s="444"/>
      <c r="V163" s="561" t="s">
        <v>121</v>
      </c>
      <c r="W163" s="558"/>
      <c r="X163" s="406"/>
    </row>
    <row r="164" spans="1:24" x14ac:dyDescent="0.3">
      <c r="A164" s="543"/>
      <c r="B164" s="444" t="s">
        <v>49</v>
      </c>
      <c r="C164" s="444"/>
      <c r="D164" s="444"/>
      <c r="E164" s="444"/>
      <c r="F164" s="444"/>
      <c r="G164" s="444"/>
      <c r="H164" s="444"/>
      <c r="I164" s="444"/>
      <c r="J164" s="444"/>
      <c r="K164" s="444"/>
      <c r="L164" s="444"/>
      <c r="M164" s="444"/>
      <c r="N164" s="444"/>
      <c r="O164" s="444"/>
      <c r="P164" s="444"/>
      <c r="Q164" s="444"/>
      <c r="R164" s="444"/>
      <c r="S164" s="444"/>
      <c r="T164" s="444"/>
      <c r="U164" s="444"/>
      <c r="V164" s="561" t="s">
        <v>121</v>
      </c>
      <c r="W164" s="558"/>
      <c r="X164" s="406"/>
    </row>
    <row r="165" spans="1:24" x14ac:dyDescent="0.3">
      <c r="A165" s="543"/>
      <c r="B165" s="444" t="s">
        <v>50</v>
      </c>
      <c r="C165" s="444"/>
      <c r="D165" s="444"/>
      <c r="E165" s="444"/>
      <c r="F165" s="444"/>
      <c r="G165" s="444"/>
      <c r="H165" s="444"/>
      <c r="I165" s="444"/>
      <c r="J165" s="444"/>
      <c r="K165" s="444"/>
      <c r="L165" s="444"/>
      <c r="M165" s="444"/>
      <c r="N165" s="444"/>
      <c r="O165" s="444"/>
      <c r="P165" s="444"/>
      <c r="Q165" s="444"/>
      <c r="R165" s="444"/>
      <c r="S165" s="444"/>
      <c r="T165" s="444"/>
      <c r="U165" s="444"/>
      <c r="V165" s="561" t="s">
        <v>121</v>
      </c>
      <c r="W165" s="558"/>
      <c r="X165" s="406"/>
    </row>
    <row r="166" spans="1:24" x14ac:dyDescent="0.3">
      <c r="A166" s="408"/>
      <c r="B166" s="518"/>
      <c r="C166" s="518"/>
      <c r="D166" s="518"/>
      <c r="E166" s="518"/>
      <c r="F166" s="518"/>
      <c r="G166" s="518"/>
      <c r="H166" s="518"/>
      <c r="I166" s="518"/>
      <c r="J166" s="518"/>
      <c r="K166" s="518"/>
      <c r="L166" s="518"/>
      <c r="M166" s="518"/>
      <c r="N166" s="518"/>
      <c r="O166" s="518"/>
      <c r="P166" s="518"/>
      <c r="Q166" s="518"/>
      <c r="R166" s="518"/>
      <c r="S166" s="518"/>
      <c r="T166" s="518"/>
      <c r="U166" s="518"/>
      <c r="V166" s="560"/>
      <c r="W166" s="411"/>
      <c r="X166" s="406"/>
    </row>
    <row r="167" spans="1:24" x14ac:dyDescent="0.3">
      <c r="A167" s="408"/>
      <c r="B167" s="557" t="s">
        <v>51</v>
      </c>
      <c r="C167" s="410"/>
      <c r="D167" s="410"/>
      <c r="E167" s="410"/>
      <c r="F167" s="410"/>
      <c r="G167" s="410"/>
      <c r="H167" s="410"/>
      <c r="I167" s="410"/>
      <c r="J167" s="410"/>
      <c r="K167" s="410"/>
      <c r="L167" s="410"/>
      <c r="M167" s="410"/>
      <c r="N167" s="410"/>
      <c r="O167" s="410"/>
      <c r="P167" s="410"/>
      <c r="Q167" s="410"/>
      <c r="R167" s="410"/>
      <c r="S167" s="410"/>
      <c r="T167" s="410"/>
      <c r="U167" s="410"/>
      <c r="V167" s="562"/>
      <c r="W167" s="411"/>
      <c r="X167" s="406"/>
    </row>
    <row r="168" spans="1:24" x14ac:dyDescent="0.3">
      <c r="A168" s="563"/>
      <c r="B168" s="548" t="s">
        <v>52</v>
      </c>
      <c r="C168" s="548"/>
      <c r="D168" s="548"/>
      <c r="E168" s="548"/>
      <c r="F168" s="548"/>
      <c r="G168" s="548"/>
      <c r="H168" s="548"/>
      <c r="I168" s="548"/>
      <c r="J168" s="548"/>
      <c r="K168" s="548"/>
      <c r="L168" s="548"/>
      <c r="M168" s="548"/>
      <c r="N168" s="548"/>
      <c r="O168" s="548"/>
      <c r="P168" s="548"/>
      <c r="Q168" s="548"/>
      <c r="R168" s="548"/>
      <c r="S168" s="548"/>
      <c r="T168" s="548"/>
      <c r="U168" s="548"/>
      <c r="V168" s="564">
        <v>0</v>
      </c>
      <c r="W168" s="565"/>
      <c r="X168" s="406"/>
    </row>
    <row r="169" spans="1:24" x14ac:dyDescent="0.3">
      <c r="A169" s="563"/>
      <c r="B169" s="548" t="s">
        <v>53</v>
      </c>
      <c r="C169" s="548"/>
      <c r="D169" s="548"/>
      <c r="E169" s="548"/>
      <c r="F169" s="548"/>
      <c r="G169" s="548"/>
      <c r="H169" s="548"/>
      <c r="I169" s="548"/>
      <c r="J169" s="548"/>
      <c r="K169" s="548"/>
      <c r="L169" s="548"/>
      <c r="M169" s="548"/>
      <c r="N169" s="548"/>
      <c r="O169" s="548"/>
      <c r="P169" s="548"/>
      <c r="Q169" s="548"/>
      <c r="R169" s="548"/>
      <c r="S169" s="548"/>
      <c r="T169" s="548"/>
      <c r="U169" s="548"/>
      <c r="V169" s="564">
        <v>164</v>
      </c>
      <c r="W169" s="565"/>
      <c r="X169" s="406"/>
    </row>
    <row r="170" spans="1:24" x14ac:dyDescent="0.3">
      <c r="A170" s="563"/>
      <c r="B170" s="548" t="s">
        <v>54</v>
      </c>
      <c r="C170" s="548"/>
      <c r="D170" s="548"/>
      <c r="E170" s="548"/>
      <c r="F170" s="548"/>
      <c r="G170" s="548"/>
      <c r="H170" s="548"/>
      <c r="I170" s="548"/>
      <c r="J170" s="548"/>
      <c r="K170" s="548"/>
      <c r="L170" s="548"/>
      <c r="M170" s="548"/>
      <c r="N170" s="548"/>
      <c r="O170" s="548"/>
      <c r="P170" s="548"/>
      <c r="Q170" s="548"/>
      <c r="R170" s="548"/>
      <c r="S170" s="548"/>
      <c r="T170" s="548"/>
      <c r="U170" s="548"/>
      <c r="V170" s="564">
        <f>V169+V168</f>
        <v>164</v>
      </c>
      <c r="W170" s="565"/>
      <c r="X170" s="406"/>
    </row>
    <row r="171" spans="1:24" x14ac:dyDescent="0.3">
      <c r="A171" s="563"/>
      <c r="B171" s="444" t="s">
        <v>318</v>
      </c>
      <c r="C171" s="548"/>
      <c r="D171" s="548"/>
      <c r="E171" s="548"/>
      <c r="F171" s="548"/>
      <c r="G171" s="548"/>
      <c r="H171" s="548"/>
      <c r="I171" s="548"/>
      <c r="J171" s="548"/>
      <c r="K171" s="548"/>
      <c r="L171" s="548"/>
      <c r="M171" s="548"/>
      <c r="N171" s="548"/>
      <c r="O171" s="548"/>
      <c r="P171" s="548"/>
      <c r="Q171" s="548"/>
      <c r="R171" s="548"/>
      <c r="S171" s="548"/>
      <c r="T171" s="548"/>
      <c r="U171" s="548"/>
      <c r="V171" s="564">
        <f>V114</f>
        <v>-164</v>
      </c>
      <c r="W171" s="565"/>
      <c r="X171" s="406"/>
    </row>
    <row r="172" spans="1:24" x14ac:dyDescent="0.3">
      <c r="A172" s="563"/>
      <c r="B172" s="548" t="s">
        <v>55</v>
      </c>
      <c r="C172" s="548"/>
      <c r="D172" s="548"/>
      <c r="E172" s="548"/>
      <c r="F172" s="548"/>
      <c r="G172" s="548"/>
      <c r="H172" s="548"/>
      <c r="I172" s="548"/>
      <c r="J172" s="548"/>
      <c r="K172" s="548"/>
      <c r="L172" s="548"/>
      <c r="M172" s="548"/>
      <c r="N172" s="548"/>
      <c r="O172" s="548"/>
      <c r="P172" s="548"/>
      <c r="Q172" s="548"/>
      <c r="R172" s="548"/>
      <c r="S172" s="548"/>
      <c r="T172" s="548"/>
      <c r="U172" s="548"/>
      <c r="V172" s="564">
        <f>V170+V171</f>
        <v>0</v>
      </c>
      <c r="W172" s="565"/>
      <c r="X172" s="406"/>
    </row>
    <row r="173" spans="1:24" x14ac:dyDescent="0.3">
      <c r="A173" s="563"/>
      <c r="B173" s="548" t="s">
        <v>288</v>
      </c>
      <c r="C173" s="548"/>
      <c r="D173" s="548"/>
      <c r="E173" s="548"/>
      <c r="F173" s="548"/>
      <c r="G173" s="548"/>
      <c r="H173" s="548"/>
      <c r="I173" s="548"/>
      <c r="J173" s="548"/>
      <c r="K173" s="548"/>
      <c r="L173" s="548"/>
      <c r="M173" s="548"/>
      <c r="N173" s="548"/>
      <c r="O173" s="548"/>
      <c r="P173" s="548"/>
      <c r="Q173" s="548"/>
      <c r="R173" s="548"/>
      <c r="S173" s="548"/>
      <c r="T173" s="548"/>
      <c r="U173" s="548"/>
      <c r="V173" s="564">
        <v>0</v>
      </c>
      <c r="W173" s="565"/>
      <c r="X173" s="406"/>
    </row>
    <row r="174" spans="1:24" ht="16.2" thickBot="1" x14ac:dyDescent="0.35">
      <c r="A174" s="408"/>
      <c r="B174" s="518"/>
      <c r="C174" s="518"/>
      <c r="D174" s="518"/>
      <c r="E174" s="518"/>
      <c r="F174" s="518"/>
      <c r="G174" s="518"/>
      <c r="H174" s="518"/>
      <c r="I174" s="518"/>
      <c r="J174" s="518"/>
      <c r="K174" s="518"/>
      <c r="L174" s="518"/>
      <c r="M174" s="518"/>
      <c r="N174" s="518"/>
      <c r="O174" s="518"/>
      <c r="P174" s="518"/>
      <c r="Q174" s="518"/>
      <c r="R174" s="518"/>
      <c r="S174" s="518"/>
      <c r="T174" s="518"/>
      <c r="U174" s="518"/>
      <c r="V174" s="560"/>
      <c r="W174" s="411"/>
      <c r="X174" s="406"/>
    </row>
    <row r="175" spans="1:24" x14ac:dyDescent="0.3">
      <c r="A175" s="402"/>
      <c r="B175" s="404"/>
      <c r="C175" s="404"/>
      <c r="D175" s="404"/>
      <c r="E175" s="404"/>
      <c r="F175" s="404"/>
      <c r="G175" s="404"/>
      <c r="H175" s="404"/>
      <c r="I175" s="404"/>
      <c r="J175" s="404"/>
      <c r="K175" s="404"/>
      <c r="L175" s="404"/>
      <c r="M175" s="404"/>
      <c r="N175" s="404"/>
      <c r="O175" s="404"/>
      <c r="P175" s="404"/>
      <c r="Q175" s="404"/>
      <c r="R175" s="404"/>
      <c r="S175" s="404"/>
      <c r="T175" s="404"/>
      <c r="U175" s="404"/>
      <c r="V175" s="566"/>
      <c r="W175" s="405"/>
      <c r="X175" s="406"/>
    </row>
    <row r="176" spans="1:24" x14ac:dyDescent="0.3">
      <c r="A176" s="408"/>
      <c r="B176" s="557" t="s">
        <v>56</v>
      </c>
      <c r="C176" s="410"/>
      <c r="D176" s="410"/>
      <c r="E176" s="410"/>
      <c r="F176" s="410"/>
      <c r="G176" s="410"/>
      <c r="H176" s="410"/>
      <c r="I176" s="410"/>
      <c r="J176" s="410"/>
      <c r="K176" s="410"/>
      <c r="L176" s="410"/>
      <c r="M176" s="410"/>
      <c r="N176" s="410"/>
      <c r="O176" s="410"/>
      <c r="P176" s="410"/>
      <c r="Q176" s="410"/>
      <c r="R176" s="410"/>
      <c r="S176" s="410"/>
      <c r="T176" s="410"/>
      <c r="U176" s="410"/>
      <c r="V176" s="510"/>
      <c r="W176" s="411"/>
      <c r="X176" s="406"/>
    </row>
    <row r="177" spans="1:24" x14ac:dyDescent="0.3">
      <c r="A177" s="408"/>
      <c r="B177" s="556"/>
      <c r="C177" s="410"/>
      <c r="D177" s="410"/>
      <c r="E177" s="410"/>
      <c r="F177" s="410"/>
      <c r="G177" s="410"/>
      <c r="H177" s="410"/>
      <c r="I177" s="410"/>
      <c r="J177" s="410"/>
      <c r="K177" s="410"/>
      <c r="L177" s="410"/>
      <c r="M177" s="410"/>
      <c r="N177" s="410"/>
      <c r="O177" s="410"/>
      <c r="P177" s="410"/>
      <c r="Q177" s="410"/>
      <c r="R177" s="410"/>
      <c r="S177" s="410"/>
      <c r="T177" s="410"/>
      <c r="U177" s="410"/>
      <c r="V177" s="510"/>
      <c r="W177" s="411"/>
      <c r="X177" s="406"/>
    </row>
    <row r="178" spans="1:24" x14ac:dyDescent="0.3">
      <c r="A178" s="543"/>
      <c r="B178" s="444" t="s">
        <v>57</v>
      </c>
      <c r="C178" s="444"/>
      <c r="D178" s="444"/>
      <c r="E178" s="444"/>
      <c r="F178" s="444"/>
      <c r="G178" s="444"/>
      <c r="H178" s="444"/>
      <c r="I178" s="444"/>
      <c r="J178" s="444"/>
      <c r="K178" s="444"/>
      <c r="L178" s="444"/>
      <c r="M178" s="444"/>
      <c r="N178" s="444"/>
      <c r="O178" s="444"/>
      <c r="P178" s="444"/>
      <c r="Q178" s="444"/>
      <c r="R178" s="444"/>
      <c r="S178" s="444"/>
      <c r="T178" s="444"/>
      <c r="U178" s="444"/>
      <c r="V178" s="517">
        <f>V70</f>
        <v>658717</v>
      </c>
      <c r="W178" s="558"/>
      <c r="X178" s="406"/>
    </row>
    <row r="179" spans="1:24" x14ac:dyDescent="0.3">
      <c r="A179" s="543"/>
      <c r="B179" s="444" t="s">
        <v>58</v>
      </c>
      <c r="C179" s="444"/>
      <c r="D179" s="444"/>
      <c r="E179" s="444"/>
      <c r="F179" s="444"/>
      <c r="G179" s="444"/>
      <c r="H179" s="444"/>
      <c r="I179" s="444"/>
      <c r="J179" s="444"/>
      <c r="K179" s="444"/>
      <c r="L179" s="444"/>
      <c r="M179" s="444"/>
      <c r="N179" s="444"/>
      <c r="O179" s="444"/>
      <c r="P179" s="444"/>
      <c r="Q179" s="444"/>
      <c r="R179" s="444"/>
      <c r="S179" s="444"/>
      <c r="T179" s="444"/>
      <c r="U179" s="444"/>
      <c r="V179" s="517">
        <f>V83</f>
        <v>658717</v>
      </c>
      <c r="W179" s="558"/>
      <c r="X179" s="406"/>
    </row>
    <row r="180" spans="1:24" ht="16.2" thickBot="1" x14ac:dyDescent="0.35">
      <c r="A180" s="408"/>
      <c r="B180" s="518"/>
      <c r="C180" s="518"/>
      <c r="D180" s="518"/>
      <c r="E180" s="518"/>
      <c r="F180" s="518"/>
      <c r="G180" s="518"/>
      <c r="H180" s="518"/>
      <c r="I180" s="518"/>
      <c r="J180" s="518"/>
      <c r="K180" s="518"/>
      <c r="L180" s="518"/>
      <c r="M180" s="518"/>
      <c r="N180" s="518"/>
      <c r="O180" s="518"/>
      <c r="P180" s="518"/>
      <c r="Q180" s="518"/>
      <c r="R180" s="518"/>
      <c r="S180" s="518"/>
      <c r="T180" s="518"/>
      <c r="U180" s="518"/>
      <c r="V180" s="560"/>
      <c r="W180" s="411"/>
      <c r="X180" s="406"/>
    </row>
    <row r="181" spans="1:24" x14ac:dyDescent="0.3">
      <c r="A181" s="402"/>
      <c r="B181" s="404"/>
      <c r="C181" s="404"/>
      <c r="D181" s="404"/>
      <c r="E181" s="404"/>
      <c r="F181" s="404"/>
      <c r="G181" s="404"/>
      <c r="H181" s="404"/>
      <c r="I181" s="404"/>
      <c r="J181" s="404"/>
      <c r="K181" s="404"/>
      <c r="L181" s="404"/>
      <c r="M181" s="404"/>
      <c r="N181" s="404"/>
      <c r="O181" s="404"/>
      <c r="P181" s="404"/>
      <c r="Q181" s="404"/>
      <c r="R181" s="404"/>
      <c r="S181" s="404"/>
      <c r="T181" s="404"/>
      <c r="U181" s="404"/>
      <c r="V181" s="566"/>
      <c r="W181" s="405"/>
      <c r="X181" s="406"/>
    </row>
    <row r="182" spans="1:24" s="473" customFormat="1" x14ac:dyDescent="0.3">
      <c r="A182" s="511"/>
      <c r="B182" s="557" t="s">
        <v>59</v>
      </c>
      <c r="C182" s="567"/>
      <c r="D182" s="567"/>
      <c r="E182" s="567"/>
      <c r="F182" s="567"/>
      <c r="G182" s="567"/>
      <c r="H182" s="568"/>
      <c r="I182" s="568"/>
      <c r="J182" s="568"/>
      <c r="K182" s="568"/>
      <c r="L182" s="568"/>
      <c r="M182" s="568"/>
      <c r="N182" s="568"/>
      <c r="O182" s="568"/>
      <c r="P182" s="568"/>
      <c r="Q182" s="568"/>
      <c r="R182" s="568"/>
      <c r="S182" s="568" t="s">
        <v>102</v>
      </c>
      <c r="T182" s="568" t="s">
        <v>179</v>
      </c>
      <c r="U182" s="413"/>
      <c r="V182" s="569" t="s">
        <v>117</v>
      </c>
      <c r="W182" s="570"/>
      <c r="X182" s="472"/>
    </row>
    <row r="183" spans="1:24" s="426" customFormat="1" x14ac:dyDescent="0.3">
      <c r="A183" s="443"/>
      <c r="B183" s="444" t="s">
        <v>60</v>
      </c>
      <c r="C183" s="444"/>
      <c r="D183" s="444"/>
      <c r="E183" s="444"/>
      <c r="F183" s="444"/>
      <c r="G183" s="444"/>
      <c r="H183" s="444"/>
      <c r="I183" s="444"/>
      <c r="J183" s="444"/>
      <c r="K183" s="444"/>
      <c r="L183" s="444"/>
      <c r="M183" s="444"/>
      <c r="N183" s="444"/>
      <c r="O183" s="444"/>
      <c r="P183" s="444"/>
      <c r="Q183" s="444"/>
      <c r="R183" s="444"/>
      <c r="S183" s="517">
        <f>+V34*0.16</f>
        <v>240030.4</v>
      </c>
      <c r="T183" s="482"/>
      <c r="U183" s="444"/>
      <c r="V183" s="517"/>
      <c r="W183" s="446"/>
      <c r="X183" s="425"/>
    </row>
    <row r="184" spans="1:24" s="426" customFormat="1" x14ac:dyDescent="0.3">
      <c r="A184" s="443"/>
      <c r="B184" s="444" t="s">
        <v>61</v>
      </c>
      <c r="C184" s="444"/>
      <c r="D184" s="444"/>
      <c r="E184" s="444"/>
      <c r="F184" s="444"/>
      <c r="G184" s="444"/>
      <c r="H184" s="444"/>
      <c r="I184" s="444"/>
      <c r="J184" s="444"/>
      <c r="K184" s="444"/>
      <c r="L184" s="444"/>
      <c r="M184" s="444"/>
      <c r="N184" s="444"/>
      <c r="O184" s="444"/>
      <c r="P184" s="444"/>
      <c r="Q184" s="444"/>
      <c r="R184" s="444"/>
      <c r="S184" s="517">
        <f>+'June 20'!S186</f>
        <v>55845</v>
      </c>
      <c r="T184" s="517">
        <f>+'June 20'!T186</f>
        <v>9760</v>
      </c>
      <c r="U184" s="444"/>
      <c r="V184" s="517">
        <f>S184+T184</f>
        <v>65605</v>
      </c>
      <c r="W184" s="446"/>
      <c r="X184" s="425"/>
    </row>
    <row r="185" spans="1:24" s="426" customFormat="1" x14ac:dyDescent="0.3">
      <c r="A185" s="443"/>
      <c r="B185" s="444" t="s">
        <v>62</v>
      </c>
      <c r="C185" s="444"/>
      <c r="D185" s="444"/>
      <c r="E185" s="444"/>
      <c r="F185" s="444"/>
      <c r="G185" s="444"/>
      <c r="H185" s="444"/>
      <c r="I185" s="444"/>
      <c r="J185" s="444"/>
      <c r="K185" s="444"/>
      <c r="L185" s="444"/>
      <c r="M185" s="444"/>
      <c r="N185" s="444"/>
      <c r="O185" s="444"/>
      <c r="P185" s="444"/>
      <c r="Q185" s="444"/>
      <c r="R185" s="444"/>
      <c r="S185" s="516">
        <v>0</v>
      </c>
      <c r="T185" s="516">
        <v>0</v>
      </c>
      <c r="U185" s="444"/>
      <c r="V185" s="517">
        <f>S185+T185</f>
        <v>0</v>
      </c>
      <c r="W185" s="446"/>
      <c r="X185" s="425"/>
    </row>
    <row r="186" spans="1:24" s="426" customFormat="1" x14ac:dyDescent="0.3">
      <c r="A186" s="443"/>
      <c r="B186" s="444" t="s">
        <v>63</v>
      </c>
      <c r="C186" s="444"/>
      <c r="D186" s="444"/>
      <c r="E186" s="444"/>
      <c r="F186" s="444"/>
      <c r="G186" s="444"/>
      <c r="H186" s="444"/>
      <c r="I186" s="444"/>
      <c r="J186" s="444"/>
      <c r="K186" s="444"/>
      <c r="L186" s="444"/>
      <c r="M186" s="444"/>
      <c r="N186" s="444"/>
      <c r="O186" s="444"/>
      <c r="P186" s="444"/>
      <c r="Q186" s="444"/>
      <c r="R186" s="444"/>
      <c r="S186" s="517">
        <f>+S184+S185</f>
        <v>55845</v>
      </c>
      <c r="T186" s="517">
        <f>T185+T184</f>
        <v>9760</v>
      </c>
      <c r="U186" s="444"/>
      <c r="V186" s="517">
        <f>S186+T186</f>
        <v>65605</v>
      </c>
      <c r="W186" s="446"/>
      <c r="X186" s="425"/>
    </row>
    <row r="187" spans="1:24" s="426" customFormat="1" x14ac:dyDescent="0.3">
      <c r="A187" s="443"/>
      <c r="B187" s="444" t="s">
        <v>64</v>
      </c>
      <c r="C187" s="444"/>
      <c r="D187" s="444"/>
      <c r="E187" s="444"/>
      <c r="F187" s="444"/>
      <c r="G187" s="444"/>
      <c r="H187" s="444"/>
      <c r="I187" s="444"/>
      <c r="J187" s="444"/>
      <c r="K187" s="444"/>
      <c r="L187" s="444"/>
      <c r="M187" s="444"/>
      <c r="N187" s="444"/>
      <c r="O187" s="444"/>
      <c r="P187" s="444"/>
      <c r="Q187" s="444"/>
      <c r="R187" s="444"/>
      <c r="S187" s="517">
        <f>S183-S186-T186</f>
        <v>174425.4</v>
      </c>
      <c r="T187" s="482"/>
      <c r="U187" s="444"/>
      <c r="V187" s="517"/>
      <c r="W187" s="446"/>
      <c r="X187" s="425"/>
    </row>
    <row r="188" spans="1:24" ht="16.2" thickBot="1" x14ac:dyDescent="0.35">
      <c r="A188" s="408"/>
      <c r="B188" s="518"/>
      <c r="C188" s="518"/>
      <c r="D188" s="518"/>
      <c r="E188" s="518"/>
      <c r="F188" s="518"/>
      <c r="G188" s="518"/>
      <c r="H188" s="518"/>
      <c r="I188" s="518"/>
      <c r="J188" s="518"/>
      <c r="K188" s="518"/>
      <c r="L188" s="518"/>
      <c r="M188" s="518"/>
      <c r="N188" s="518"/>
      <c r="O188" s="518"/>
      <c r="P188" s="518"/>
      <c r="Q188" s="518"/>
      <c r="R188" s="518"/>
      <c r="S188" s="518"/>
      <c r="T188" s="518"/>
      <c r="U188" s="518"/>
      <c r="V188" s="560"/>
      <c r="W188" s="411"/>
      <c r="X188" s="406"/>
    </row>
    <row r="189" spans="1:24" x14ac:dyDescent="0.3">
      <c r="A189" s="402"/>
      <c r="B189" s="404"/>
      <c r="C189" s="404"/>
      <c r="D189" s="404"/>
      <c r="E189" s="404"/>
      <c r="F189" s="404"/>
      <c r="G189" s="404"/>
      <c r="H189" s="404"/>
      <c r="I189" s="404"/>
      <c r="J189" s="404"/>
      <c r="K189" s="404"/>
      <c r="L189" s="404"/>
      <c r="M189" s="404"/>
      <c r="N189" s="404"/>
      <c r="O189" s="404"/>
      <c r="P189" s="404"/>
      <c r="Q189" s="404"/>
      <c r="R189" s="404"/>
      <c r="S189" s="404"/>
      <c r="T189" s="404"/>
      <c r="U189" s="404"/>
      <c r="V189" s="566"/>
      <c r="W189" s="405"/>
      <c r="X189" s="406"/>
    </row>
    <row r="190" spans="1:24" x14ac:dyDescent="0.3">
      <c r="A190" s="408"/>
      <c r="B190" s="557" t="s">
        <v>65</v>
      </c>
      <c r="C190" s="410"/>
      <c r="D190" s="410"/>
      <c r="E190" s="410"/>
      <c r="F190" s="410"/>
      <c r="G190" s="410"/>
      <c r="H190" s="410"/>
      <c r="I190" s="410"/>
      <c r="J190" s="410"/>
      <c r="K190" s="410"/>
      <c r="L190" s="410"/>
      <c r="M190" s="410"/>
      <c r="N190" s="410"/>
      <c r="O190" s="410"/>
      <c r="P190" s="410"/>
      <c r="Q190" s="410"/>
      <c r="R190" s="410"/>
      <c r="S190" s="410"/>
      <c r="T190" s="410"/>
      <c r="U190" s="410"/>
      <c r="V190" s="571"/>
      <c r="W190" s="411"/>
      <c r="X190" s="406"/>
    </row>
    <row r="191" spans="1:24" s="426" customFormat="1" x14ac:dyDescent="0.3">
      <c r="A191" s="443"/>
      <c r="B191" s="444" t="s">
        <v>66</v>
      </c>
      <c r="C191" s="444"/>
      <c r="D191" s="444"/>
      <c r="E191" s="444"/>
      <c r="F191" s="444"/>
      <c r="G191" s="444"/>
      <c r="H191" s="444"/>
      <c r="I191" s="444"/>
      <c r="J191" s="444"/>
      <c r="K191" s="444"/>
      <c r="L191" s="444"/>
      <c r="M191" s="444"/>
      <c r="N191" s="444"/>
      <c r="O191" s="444"/>
      <c r="P191" s="444"/>
      <c r="Q191" s="444"/>
      <c r="R191" s="444"/>
      <c r="S191" s="444"/>
      <c r="T191" s="444"/>
      <c r="U191" s="444"/>
      <c r="V191" s="561">
        <f>(V99+V101+V102+V103+V104)/-(V105+V106)</f>
        <v>7.6014319809069208</v>
      </c>
      <c r="W191" s="446" t="s">
        <v>118</v>
      </c>
      <c r="X191" s="425"/>
    </row>
    <row r="192" spans="1:24" s="426" customFormat="1" x14ac:dyDescent="0.3">
      <c r="A192" s="443"/>
      <c r="B192" s="444" t="s">
        <v>67</v>
      </c>
      <c r="C192" s="444"/>
      <c r="D192" s="444"/>
      <c r="E192" s="444"/>
      <c r="F192" s="444"/>
      <c r="G192" s="444"/>
      <c r="H192" s="444"/>
      <c r="I192" s="444"/>
      <c r="J192" s="444"/>
      <c r="K192" s="444"/>
      <c r="L192" s="444"/>
      <c r="M192" s="444"/>
      <c r="N192" s="444"/>
      <c r="O192" s="444"/>
      <c r="P192" s="444"/>
      <c r="Q192" s="444"/>
      <c r="R192" s="444"/>
      <c r="S192" s="444"/>
      <c r="T192" s="444"/>
      <c r="U192" s="444"/>
      <c r="V192" s="572">
        <v>2</v>
      </c>
      <c r="W192" s="446" t="s">
        <v>118</v>
      </c>
      <c r="X192" s="425"/>
    </row>
    <row r="193" spans="1:24" s="426" customFormat="1" x14ac:dyDescent="0.3">
      <c r="A193" s="443"/>
      <c r="B193" s="444" t="s">
        <v>68</v>
      </c>
      <c r="C193" s="444"/>
      <c r="D193" s="444"/>
      <c r="E193" s="444"/>
      <c r="F193" s="444"/>
      <c r="G193" s="444"/>
      <c r="H193" s="444"/>
      <c r="I193" s="444"/>
      <c r="J193" s="444"/>
      <c r="K193" s="444"/>
      <c r="L193" s="444"/>
      <c r="M193" s="444"/>
      <c r="N193" s="444"/>
      <c r="O193" s="444"/>
      <c r="P193" s="444"/>
      <c r="Q193" s="444"/>
      <c r="R193" s="444"/>
      <c r="S193" s="444"/>
      <c r="T193" s="444"/>
      <c r="U193" s="444"/>
      <c r="V193" s="561">
        <f>(V99+V101+V102+V103+V104+V105+V106)/-(V108+V109)</f>
        <v>22.306451612903224</v>
      </c>
      <c r="W193" s="446" t="s">
        <v>118</v>
      </c>
      <c r="X193" s="425"/>
    </row>
    <row r="194" spans="1:24" s="426" customFormat="1" x14ac:dyDescent="0.3">
      <c r="A194" s="443"/>
      <c r="B194" s="444" t="s">
        <v>69</v>
      </c>
      <c r="C194" s="444"/>
      <c r="D194" s="444"/>
      <c r="E194" s="444"/>
      <c r="F194" s="444"/>
      <c r="G194" s="444"/>
      <c r="H194" s="444"/>
      <c r="I194" s="444"/>
      <c r="J194" s="444"/>
      <c r="K194" s="444"/>
      <c r="L194" s="444"/>
      <c r="M194" s="444"/>
      <c r="N194" s="444"/>
      <c r="O194" s="444"/>
      <c r="P194" s="444"/>
      <c r="Q194" s="444"/>
      <c r="R194" s="444"/>
      <c r="S194" s="444"/>
      <c r="T194" s="444"/>
      <c r="U194" s="444"/>
      <c r="V194" s="572">
        <v>8.19</v>
      </c>
      <c r="W194" s="446" t="s">
        <v>118</v>
      </c>
      <c r="X194" s="425"/>
    </row>
    <row r="195" spans="1:24" s="426" customFormat="1" x14ac:dyDescent="0.3">
      <c r="A195" s="443"/>
      <c r="B195" s="444" t="s">
        <v>201</v>
      </c>
      <c r="C195" s="444"/>
      <c r="D195" s="444"/>
      <c r="E195" s="444"/>
      <c r="F195" s="444"/>
      <c r="G195" s="444"/>
      <c r="H195" s="444"/>
      <c r="I195" s="444"/>
      <c r="J195" s="444"/>
      <c r="K195" s="444"/>
      <c r="L195" s="444"/>
      <c r="M195" s="444"/>
      <c r="N195" s="444"/>
      <c r="O195" s="444"/>
      <c r="P195" s="444"/>
      <c r="Q195" s="444"/>
      <c r="R195" s="444"/>
      <c r="S195" s="444"/>
      <c r="T195" s="444"/>
      <c r="U195" s="444"/>
      <c r="V195" s="561">
        <f>(V99+V101+V102+V103+V104+V105+V106+V108+V109)/-(V110+V111)</f>
        <v>19.007194244604317</v>
      </c>
      <c r="W195" s="446" t="s">
        <v>118</v>
      </c>
      <c r="X195" s="425"/>
    </row>
    <row r="196" spans="1:24" s="426" customFormat="1" x14ac:dyDescent="0.3">
      <c r="A196" s="443"/>
      <c r="B196" s="444" t="s">
        <v>202</v>
      </c>
      <c r="C196" s="444"/>
      <c r="D196" s="444"/>
      <c r="E196" s="444"/>
      <c r="F196" s="444"/>
      <c r="G196" s="444"/>
      <c r="H196" s="444"/>
      <c r="I196" s="444"/>
      <c r="J196" s="444"/>
      <c r="K196" s="444"/>
      <c r="L196" s="444"/>
      <c r="M196" s="444"/>
      <c r="N196" s="444"/>
      <c r="O196" s="444"/>
      <c r="P196" s="444"/>
      <c r="Q196" s="444"/>
      <c r="R196" s="444"/>
      <c r="S196" s="444"/>
      <c r="T196" s="444"/>
      <c r="U196" s="444"/>
      <c r="V196" s="572">
        <v>10.1</v>
      </c>
      <c r="W196" s="446" t="s">
        <v>118</v>
      </c>
      <c r="X196" s="425"/>
    </row>
    <row r="197" spans="1:24" x14ac:dyDescent="0.3">
      <c r="A197" s="543"/>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547"/>
      <c r="X197" s="406"/>
    </row>
    <row r="198" spans="1:24" x14ac:dyDescent="0.3">
      <c r="A198" s="408"/>
      <c r="B198" s="518"/>
      <c r="C198" s="518"/>
      <c r="D198" s="518"/>
      <c r="E198" s="518"/>
      <c r="F198" s="518"/>
      <c r="G198" s="518"/>
      <c r="H198" s="518"/>
      <c r="I198" s="518"/>
      <c r="J198" s="518"/>
      <c r="K198" s="518"/>
      <c r="L198" s="518"/>
      <c r="M198" s="518"/>
      <c r="N198" s="518"/>
      <c r="O198" s="518"/>
      <c r="P198" s="518"/>
      <c r="Q198" s="518"/>
      <c r="R198" s="518"/>
      <c r="S198" s="518"/>
      <c r="T198" s="518"/>
      <c r="U198" s="518"/>
      <c r="V198" s="518"/>
      <c r="W198" s="411"/>
      <c r="X198" s="406"/>
    </row>
    <row r="199" spans="1:24" x14ac:dyDescent="0.3">
      <c r="A199" s="408"/>
      <c r="B199" s="410"/>
      <c r="C199" s="410"/>
      <c r="D199" s="410"/>
      <c r="E199" s="410"/>
      <c r="F199" s="410"/>
      <c r="G199" s="410"/>
      <c r="H199" s="410"/>
      <c r="I199" s="410"/>
      <c r="J199" s="410"/>
      <c r="K199" s="410"/>
      <c r="L199" s="410"/>
      <c r="M199" s="410"/>
      <c r="N199" s="410"/>
      <c r="O199" s="410"/>
      <c r="P199" s="410"/>
      <c r="Q199" s="410"/>
      <c r="R199" s="410"/>
      <c r="S199" s="410"/>
      <c r="T199" s="410"/>
      <c r="U199" s="410"/>
      <c r="V199" s="410"/>
      <c r="W199" s="411"/>
      <c r="X199" s="406"/>
    </row>
    <row r="200" spans="1:24" ht="18.600000000000001" thickBot="1" x14ac:dyDescent="0.4">
      <c r="A200" s="573"/>
      <c r="B200" s="501" t="str">
        <f>B140</f>
        <v>PM13 INVESTOR REPORT QUARTER ENDING SEPTEMBER 2020</v>
      </c>
      <c r="C200" s="574"/>
      <c r="D200" s="574"/>
      <c r="E200" s="574"/>
      <c r="F200" s="574"/>
      <c r="G200" s="574"/>
      <c r="H200" s="574"/>
      <c r="I200" s="574"/>
      <c r="J200" s="574"/>
      <c r="K200" s="574"/>
      <c r="L200" s="574"/>
      <c r="M200" s="574"/>
      <c r="N200" s="574"/>
      <c r="O200" s="574"/>
      <c r="P200" s="574"/>
      <c r="Q200" s="574"/>
      <c r="R200" s="574"/>
      <c r="S200" s="574"/>
      <c r="T200" s="574"/>
      <c r="U200" s="574"/>
      <c r="V200" s="574"/>
      <c r="W200" s="575"/>
      <c r="X200" s="406"/>
    </row>
    <row r="201" spans="1:24" x14ac:dyDescent="0.3">
      <c r="A201" s="505"/>
      <c r="B201" s="506" t="s">
        <v>70</v>
      </c>
      <c r="C201" s="576"/>
      <c r="D201" s="576"/>
      <c r="E201" s="576"/>
      <c r="F201" s="576"/>
      <c r="G201" s="577"/>
      <c r="H201" s="577"/>
      <c r="I201" s="577"/>
      <c r="J201" s="577"/>
      <c r="K201" s="577"/>
      <c r="L201" s="577"/>
      <c r="M201" s="577"/>
      <c r="N201" s="577"/>
      <c r="O201" s="577"/>
      <c r="P201" s="577"/>
      <c r="Q201" s="577"/>
      <c r="R201" s="577"/>
      <c r="S201" s="577"/>
      <c r="T201" s="577">
        <v>44104</v>
      </c>
      <c r="U201" s="507"/>
      <c r="V201" s="507"/>
      <c r="W201" s="509"/>
      <c r="X201" s="406"/>
    </row>
    <row r="202" spans="1:24" x14ac:dyDescent="0.3">
      <c r="A202" s="578"/>
      <c r="B202" s="579"/>
      <c r="C202" s="580"/>
      <c r="D202" s="580"/>
      <c r="E202" s="580"/>
      <c r="F202" s="580"/>
      <c r="G202" s="581"/>
      <c r="H202" s="581"/>
      <c r="I202" s="581"/>
      <c r="J202" s="581"/>
      <c r="K202" s="581"/>
      <c r="L202" s="581"/>
      <c r="M202" s="581"/>
      <c r="N202" s="581"/>
      <c r="O202" s="581"/>
      <c r="P202" s="581"/>
      <c r="Q202" s="581"/>
      <c r="R202" s="581"/>
      <c r="S202" s="581"/>
      <c r="T202" s="581"/>
      <c r="U202" s="410"/>
      <c r="V202" s="410"/>
      <c r="W202" s="411"/>
      <c r="X202" s="406"/>
    </row>
    <row r="203" spans="1:24" s="426" customFormat="1" x14ac:dyDescent="0.3">
      <c r="A203" s="443"/>
      <c r="B203" s="444" t="s">
        <v>71</v>
      </c>
      <c r="C203" s="582"/>
      <c r="D203" s="582"/>
      <c r="E203" s="582"/>
      <c r="F203" s="582"/>
      <c r="G203" s="488"/>
      <c r="H203" s="488"/>
      <c r="I203" s="488"/>
      <c r="J203" s="488"/>
      <c r="K203" s="488"/>
      <c r="L203" s="488"/>
      <c r="M203" s="488"/>
      <c r="N203" s="488"/>
      <c r="O203" s="488"/>
      <c r="P203" s="488"/>
      <c r="Q203" s="488"/>
      <c r="R203" s="488"/>
      <c r="S203" s="488"/>
      <c r="T203" s="479">
        <v>5.4539999999999998E-2</v>
      </c>
      <c r="U203" s="444"/>
      <c r="V203" s="444"/>
      <c r="W203" s="446"/>
      <c r="X203" s="425"/>
    </row>
    <row r="204" spans="1:24" s="426" customFormat="1" x14ac:dyDescent="0.3">
      <c r="A204" s="443"/>
      <c r="B204" s="444" t="s">
        <v>154</v>
      </c>
      <c r="C204" s="582"/>
      <c r="D204" s="582"/>
      <c r="E204" s="582"/>
      <c r="F204" s="582"/>
      <c r="G204" s="488"/>
      <c r="H204" s="488"/>
      <c r="I204" s="488"/>
      <c r="J204" s="488"/>
      <c r="K204" s="488"/>
      <c r="L204" s="488"/>
      <c r="M204" s="488"/>
      <c r="N204" s="488"/>
      <c r="O204" s="488"/>
      <c r="P204" s="488"/>
      <c r="Q204" s="488"/>
      <c r="R204" s="488"/>
      <c r="S204" s="488"/>
      <c r="T204" s="479">
        <f>'Dec 06'!T199</f>
        <v>5.238600504269459E-2</v>
      </c>
      <c r="U204" s="444"/>
      <c r="V204" s="444"/>
      <c r="W204" s="446"/>
      <c r="X204" s="425"/>
    </row>
    <row r="205" spans="1:24" s="426" customFormat="1" x14ac:dyDescent="0.3">
      <c r="A205" s="443"/>
      <c r="B205" s="444" t="s">
        <v>72</v>
      </c>
      <c r="C205" s="582"/>
      <c r="D205" s="582"/>
      <c r="E205" s="582"/>
      <c r="F205" s="582"/>
      <c r="G205" s="488"/>
      <c r="H205" s="488"/>
      <c r="I205" s="488"/>
      <c r="J205" s="488"/>
      <c r="K205" s="488"/>
      <c r="L205" s="488"/>
      <c r="M205" s="488"/>
      <c r="N205" s="488"/>
      <c r="O205" s="488"/>
      <c r="P205" s="488"/>
      <c r="Q205" s="488"/>
      <c r="R205" s="488"/>
      <c r="S205" s="488"/>
      <c r="T205" s="479">
        <f>+T203-T204</f>
        <v>2.1539949573054079E-3</v>
      </c>
      <c r="U205" s="444"/>
      <c r="V205" s="444"/>
      <c r="W205" s="446"/>
      <c r="X205" s="425"/>
    </row>
    <row r="206" spans="1:24" s="426" customFormat="1" x14ac:dyDescent="0.3">
      <c r="A206" s="443"/>
      <c r="B206" s="444" t="s">
        <v>73</v>
      </c>
      <c r="C206" s="582"/>
      <c r="D206" s="582"/>
      <c r="E206" s="582"/>
      <c r="F206" s="582"/>
      <c r="G206" s="488"/>
      <c r="H206" s="488"/>
      <c r="I206" s="488"/>
      <c r="J206" s="488"/>
      <c r="K206" s="488"/>
      <c r="L206" s="488"/>
      <c r="M206" s="488"/>
      <c r="N206" s="488"/>
      <c r="O206" s="488"/>
      <c r="P206" s="488"/>
      <c r="Q206" s="488"/>
      <c r="R206" s="488"/>
      <c r="S206" s="488"/>
      <c r="T206" s="479">
        <v>1.891E-2</v>
      </c>
      <c r="U206" s="444"/>
      <c r="V206" s="444"/>
      <c r="W206" s="446"/>
      <c r="X206" s="425"/>
    </row>
    <row r="207" spans="1:24" s="426" customFormat="1" x14ac:dyDescent="0.3">
      <c r="A207" s="443"/>
      <c r="B207" s="444" t="s">
        <v>222</v>
      </c>
      <c r="C207" s="582"/>
      <c r="D207" s="582"/>
      <c r="E207" s="582"/>
      <c r="F207" s="582"/>
      <c r="G207" s="488"/>
      <c r="H207" s="488"/>
      <c r="I207" s="488"/>
      <c r="J207" s="488"/>
      <c r="K207" s="488"/>
      <c r="L207" s="488"/>
      <c r="M207" s="488"/>
      <c r="N207" s="488"/>
      <c r="O207" s="488"/>
      <c r="P207" s="488"/>
      <c r="Q207" s="488"/>
      <c r="R207" s="488"/>
      <c r="S207" s="488"/>
      <c r="T207" s="479">
        <f>V43</f>
        <v>4.0484369398436151E-3</v>
      </c>
      <c r="U207" s="444"/>
      <c r="V207" s="444"/>
      <c r="W207" s="446"/>
      <c r="X207" s="425"/>
    </row>
    <row r="208" spans="1:24" s="426" customFormat="1" x14ac:dyDescent="0.3">
      <c r="A208" s="443"/>
      <c r="B208" s="444" t="s">
        <v>74</v>
      </c>
      <c r="C208" s="582"/>
      <c r="D208" s="582"/>
      <c r="E208" s="582"/>
      <c r="F208" s="582"/>
      <c r="G208" s="488"/>
      <c r="H208" s="488"/>
      <c r="I208" s="488"/>
      <c r="J208" s="488"/>
      <c r="K208" s="488"/>
      <c r="L208" s="488"/>
      <c r="M208" s="488"/>
      <c r="N208" s="488"/>
      <c r="O208" s="488"/>
      <c r="P208" s="488"/>
      <c r="Q208" s="488"/>
      <c r="R208" s="488"/>
      <c r="S208" s="488"/>
      <c r="T208" s="479">
        <f>T206-T207</f>
        <v>1.4861563060156385E-2</v>
      </c>
      <c r="U208" s="444"/>
      <c r="V208" s="444"/>
      <c r="W208" s="446"/>
      <c r="X208" s="425"/>
    </row>
    <row r="209" spans="1:24" s="426" customFormat="1" x14ac:dyDescent="0.3">
      <c r="A209" s="443"/>
      <c r="B209" s="444" t="s">
        <v>274</v>
      </c>
      <c r="C209" s="582"/>
      <c r="D209" s="582"/>
      <c r="E209" s="582"/>
      <c r="F209" s="582"/>
      <c r="G209" s="488"/>
      <c r="H209" s="488"/>
      <c r="I209" s="488"/>
      <c r="J209" s="488"/>
      <c r="K209" s="488"/>
      <c r="L209" s="488"/>
      <c r="M209" s="488"/>
      <c r="N209" s="488"/>
      <c r="O209" s="488"/>
      <c r="P209" s="488"/>
      <c r="Q209" s="488"/>
      <c r="R209" s="488"/>
      <c r="S209" s="488"/>
      <c r="T209" s="479">
        <f>+V99/N70</f>
        <v>5.2859518830174384E-3</v>
      </c>
      <c r="U209" s="444"/>
      <c r="V209" s="444"/>
      <c r="W209" s="446"/>
      <c r="X209" s="425"/>
    </row>
    <row r="210" spans="1:24" s="426" customFormat="1" x14ac:dyDescent="0.3">
      <c r="A210" s="443"/>
      <c r="B210" s="444" t="s">
        <v>211</v>
      </c>
      <c r="C210" s="582"/>
      <c r="D210" s="582"/>
      <c r="E210" s="582"/>
      <c r="F210" s="582"/>
      <c r="G210" s="488"/>
      <c r="H210" s="488"/>
      <c r="I210" s="488"/>
      <c r="J210" s="488"/>
      <c r="K210" s="488"/>
      <c r="L210" s="488"/>
      <c r="M210" s="488"/>
      <c r="N210" s="488"/>
      <c r="O210" s="488"/>
      <c r="P210" s="488"/>
      <c r="Q210" s="488"/>
      <c r="R210" s="488"/>
      <c r="S210" s="488"/>
      <c r="T210" s="583">
        <v>50771</v>
      </c>
      <c r="U210" s="444"/>
      <c r="V210" s="444"/>
      <c r="W210" s="446"/>
      <c r="X210" s="425"/>
    </row>
    <row r="211" spans="1:24" s="426" customFormat="1" x14ac:dyDescent="0.3">
      <c r="A211" s="443"/>
      <c r="B211" s="444" t="s">
        <v>212</v>
      </c>
      <c r="C211" s="582"/>
      <c r="D211" s="582"/>
      <c r="E211" s="582"/>
      <c r="F211" s="582"/>
      <c r="G211" s="488"/>
      <c r="H211" s="488"/>
      <c r="I211" s="488"/>
      <c r="J211" s="488"/>
      <c r="K211" s="488"/>
      <c r="L211" s="488"/>
      <c r="M211" s="488"/>
      <c r="N211" s="488"/>
      <c r="O211" s="488"/>
      <c r="P211" s="488"/>
      <c r="Q211" s="488"/>
      <c r="R211" s="488"/>
      <c r="S211" s="488"/>
      <c r="T211" s="583">
        <v>50771</v>
      </c>
      <c r="U211" s="444"/>
      <c r="V211" s="444"/>
      <c r="W211" s="446"/>
      <c r="X211" s="425"/>
    </row>
    <row r="212" spans="1:24" s="426" customFormat="1" x14ac:dyDescent="0.3">
      <c r="A212" s="443"/>
      <c r="B212" s="444" t="s">
        <v>213</v>
      </c>
      <c r="C212" s="582"/>
      <c r="D212" s="582"/>
      <c r="E212" s="582"/>
      <c r="F212" s="582"/>
      <c r="G212" s="488"/>
      <c r="H212" s="488"/>
      <c r="I212" s="488"/>
      <c r="J212" s="488"/>
      <c r="K212" s="488"/>
      <c r="L212" s="488"/>
      <c r="M212" s="488"/>
      <c r="N212" s="488"/>
      <c r="O212" s="488"/>
      <c r="P212" s="488"/>
      <c r="Q212" s="488"/>
      <c r="R212" s="488"/>
      <c r="S212" s="488"/>
      <c r="T212" s="583">
        <v>50771</v>
      </c>
      <c r="U212" s="444"/>
      <c r="V212" s="444"/>
      <c r="W212" s="446"/>
      <c r="X212" s="425"/>
    </row>
    <row r="213" spans="1:24" s="426" customFormat="1" x14ac:dyDescent="0.3">
      <c r="A213" s="443"/>
      <c r="B213" s="444" t="s">
        <v>75</v>
      </c>
      <c r="C213" s="582"/>
      <c r="D213" s="582"/>
      <c r="E213" s="582"/>
      <c r="F213" s="582"/>
      <c r="G213" s="488"/>
      <c r="H213" s="488"/>
      <c r="I213" s="488"/>
      <c r="J213" s="488"/>
      <c r="K213" s="488"/>
      <c r="L213" s="488"/>
      <c r="M213" s="488"/>
      <c r="N213" s="488"/>
      <c r="O213" s="488"/>
      <c r="P213" s="488"/>
      <c r="Q213" s="488"/>
      <c r="R213" s="488"/>
      <c r="S213" s="488"/>
      <c r="T213" s="484">
        <v>20.66</v>
      </c>
      <c r="U213" s="444" t="s">
        <v>113</v>
      </c>
      <c r="V213" s="444"/>
      <c r="W213" s="446"/>
      <c r="X213" s="425"/>
    </row>
    <row r="214" spans="1:24" s="426" customFormat="1" x14ac:dyDescent="0.3">
      <c r="A214" s="443"/>
      <c r="B214" s="444" t="s">
        <v>76</v>
      </c>
      <c r="C214" s="582"/>
      <c r="D214" s="582"/>
      <c r="E214" s="582"/>
      <c r="F214" s="582"/>
      <c r="G214" s="488"/>
      <c r="H214" s="488"/>
      <c r="I214" s="488"/>
      <c r="J214" s="488"/>
      <c r="K214" s="488"/>
      <c r="L214" s="488"/>
      <c r="M214" s="488"/>
      <c r="N214" s="488"/>
      <c r="O214" s="488"/>
      <c r="P214" s="488"/>
      <c r="Q214" s="488"/>
      <c r="R214" s="488"/>
      <c r="S214" s="488"/>
      <c r="T214" s="484">
        <v>8.16</v>
      </c>
      <c r="U214" s="444" t="s">
        <v>113</v>
      </c>
      <c r="V214" s="444"/>
      <c r="W214" s="446"/>
      <c r="X214" s="425"/>
    </row>
    <row r="215" spans="1:24" s="426" customFormat="1" x14ac:dyDescent="0.3">
      <c r="A215" s="443"/>
      <c r="B215" s="444" t="s">
        <v>77</v>
      </c>
      <c r="C215" s="582"/>
      <c r="D215" s="582"/>
      <c r="E215" s="582"/>
      <c r="F215" s="582"/>
      <c r="G215" s="488"/>
      <c r="H215" s="488"/>
      <c r="I215" s="488"/>
      <c r="J215" s="488"/>
      <c r="K215" s="488"/>
      <c r="L215" s="488"/>
      <c r="M215" s="488"/>
      <c r="N215" s="488"/>
      <c r="O215" s="488"/>
      <c r="P215" s="488"/>
      <c r="Q215" s="488"/>
      <c r="R215" s="488"/>
      <c r="S215" s="488"/>
      <c r="T215" s="479">
        <f>P67/N67</f>
        <v>1.3892277959332153E-2</v>
      </c>
      <c r="U215" s="444"/>
      <c r="V215" s="444"/>
      <c r="W215" s="446"/>
      <c r="X215" s="425"/>
    </row>
    <row r="216" spans="1:24" s="426" customFormat="1" x14ac:dyDescent="0.3">
      <c r="A216" s="443"/>
      <c r="B216" s="444" t="s">
        <v>78</v>
      </c>
      <c r="C216" s="582"/>
      <c r="D216" s="582"/>
      <c r="E216" s="582"/>
      <c r="F216" s="582"/>
      <c r="G216" s="488"/>
      <c r="H216" s="488"/>
      <c r="I216" s="488"/>
      <c r="J216" s="488"/>
      <c r="K216" s="488"/>
      <c r="L216" s="488"/>
      <c r="M216" s="488"/>
      <c r="N216" s="488"/>
      <c r="O216" s="488"/>
      <c r="P216" s="488"/>
      <c r="Q216" s="488"/>
      <c r="R216" s="488"/>
      <c r="S216" s="488"/>
      <c r="T216" s="479">
        <v>6.2700000000000006E-2</v>
      </c>
      <c r="U216" s="444"/>
      <c r="V216" s="444"/>
      <c r="W216" s="446"/>
      <c r="X216" s="425"/>
    </row>
    <row r="217" spans="1:24" s="426" customFormat="1" x14ac:dyDescent="0.3">
      <c r="A217" s="421"/>
      <c r="B217" s="494"/>
      <c r="C217" s="494"/>
      <c r="D217" s="494"/>
      <c r="E217" s="494"/>
      <c r="F217" s="494"/>
      <c r="G217" s="494"/>
      <c r="H217" s="494"/>
      <c r="I217" s="494"/>
      <c r="J217" s="494"/>
      <c r="K217" s="494"/>
      <c r="L217" s="494"/>
      <c r="M217" s="494"/>
      <c r="N217" s="494"/>
      <c r="O217" s="494"/>
      <c r="P217" s="494"/>
      <c r="Q217" s="494"/>
      <c r="R217" s="494"/>
      <c r="S217" s="494"/>
      <c r="T217" s="584"/>
      <c r="U217" s="494"/>
      <c r="V217" s="585"/>
      <c r="W217" s="424"/>
      <c r="X217" s="425"/>
    </row>
    <row r="218" spans="1:24" s="426" customFormat="1" x14ac:dyDescent="0.3">
      <c r="A218" s="586"/>
      <c r="B218" s="420" t="s">
        <v>79</v>
      </c>
      <c r="C218" s="429"/>
      <c r="D218" s="429"/>
      <c r="E218" s="429"/>
      <c r="F218" s="587"/>
      <c r="G218" s="429"/>
      <c r="H218" s="429"/>
      <c r="I218" s="429"/>
      <c r="J218" s="429"/>
      <c r="K218" s="429"/>
      <c r="L218" s="429"/>
      <c r="M218" s="429"/>
      <c r="N218" s="429"/>
      <c r="O218" s="429"/>
      <c r="P218" s="429"/>
      <c r="Q218" s="429"/>
      <c r="R218" s="429"/>
      <c r="S218" s="429" t="s">
        <v>103</v>
      </c>
      <c r="T218" s="587" t="s">
        <v>110</v>
      </c>
      <c r="U218" s="422"/>
      <c r="V218" s="422"/>
      <c r="W218" s="424"/>
      <c r="X218" s="425"/>
    </row>
    <row r="219" spans="1:24" s="426" customFormat="1" x14ac:dyDescent="0.3">
      <c r="A219" s="588"/>
      <c r="B219" s="444" t="s">
        <v>80</v>
      </c>
      <c r="C219" s="516"/>
      <c r="D219" s="516"/>
      <c r="E219" s="516"/>
      <c r="F219" s="444"/>
      <c r="G219" s="444"/>
      <c r="H219" s="450"/>
      <c r="I219" s="450"/>
      <c r="J219" s="450"/>
      <c r="K219" s="450"/>
      <c r="L219" s="450"/>
      <c r="M219" s="450"/>
      <c r="N219" s="450"/>
      <c r="O219" s="450"/>
      <c r="P219" s="450"/>
      <c r="Q219" s="450"/>
      <c r="R219" s="450"/>
      <c r="S219" s="450">
        <v>0</v>
      </c>
      <c r="T219" s="589">
        <v>0</v>
      </c>
      <c r="U219" s="444"/>
      <c r="V219" s="590"/>
      <c r="W219" s="591"/>
      <c r="X219" s="425"/>
    </row>
    <row r="220" spans="1:24" s="426" customFormat="1" x14ac:dyDescent="0.3">
      <c r="A220" s="588"/>
      <c r="B220" s="444" t="s">
        <v>148</v>
      </c>
      <c r="C220" s="516"/>
      <c r="D220" s="516"/>
      <c r="E220" s="516"/>
      <c r="F220" s="444"/>
      <c r="G220" s="444"/>
      <c r="H220" s="450"/>
      <c r="I220" s="450"/>
      <c r="J220" s="450"/>
      <c r="K220" s="450"/>
      <c r="L220" s="450"/>
      <c r="M220" s="450"/>
      <c r="N220" s="450"/>
      <c r="O220" s="450"/>
      <c r="P220" s="450"/>
      <c r="Q220" s="450"/>
      <c r="R220" s="450"/>
      <c r="S220" s="592">
        <f>+R272</f>
        <v>86</v>
      </c>
      <c r="T220" s="589">
        <f>+T272</f>
        <v>14227</v>
      </c>
      <c r="U220" s="444"/>
      <c r="V220" s="590"/>
      <c r="W220" s="591"/>
      <c r="X220" s="425"/>
    </row>
    <row r="221" spans="1:24" s="426" customFormat="1" x14ac:dyDescent="0.3">
      <c r="A221" s="588"/>
      <c r="B221" s="444" t="s">
        <v>81</v>
      </c>
      <c r="C221" s="516"/>
      <c r="D221" s="516"/>
      <c r="E221" s="516"/>
      <c r="F221" s="444"/>
      <c r="G221" s="444"/>
      <c r="H221" s="450"/>
      <c r="I221" s="450"/>
      <c r="J221" s="450"/>
      <c r="K221" s="450"/>
      <c r="L221" s="450"/>
      <c r="M221" s="450"/>
      <c r="N221" s="450"/>
      <c r="O221" s="450"/>
      <c r="P221" s="450"/>
      <c r="Q221" s="450"/>
      <c r="R221" s="450"/>
      <c r="S221" s="592">
        <f>+R294</f>
        <v>0</v>
      </c>
      <c r="T221" s="589">
        <f>+T294</f>
        <v>0</v>
      </c>
      <c r="U221" s="444"/>
      <c r="V221" s="590"/>
      <c r="W221" s="591"/>
      <c r="X221" s="425"/>
    </row>
    <row r="222" spans="1:24" x14ac:dyDescent="0.3">
      <c r="A222" s="593"/>
      <c r="B222" s="594" t="s">
        <v>82</v>
      </c>
      <c r="C222" s="595"/>
      <c r="D222" s="595"/>
      <c r="E222" s="595"/>
      <c r="F222" s="465"/>
      <c r="G222" s="465"/>
      <c r="H222" s="465"/>
      <c r="I222" s="465"/>
      <c r="J222" s="465"/>
      <c r="K222" s="465"/>
      <c r="L222" s="465"/>
      <c r="M222" s="465"/>
      <c r="N222" s="465"/>
      <c r="O222" s="465"/>
      <c r="P222" s="465"/>
      <c r="Q222" s="465"/>
      <c r="R222" s="465"/>
      <c r="S222" s="465"/>
      <c r="T222" s="589">
        <v>0</v>
      </c>
      <c r="U222" s="465"/>
      <c r="V222" s="596"/>
      <c r="W222" s="597"/>
      <c r="X222" s="406"/>
    </row>
    <row r="223" spans="1:24" x14ac:dyDescent="0.3">
      <c r="A223" s="593"/>
      <c r="B223" s="594" t="s">
        <v>275</v>
      </c>
      <c r="C223" s="595"/>
      <c r="D223" s="595"/>
      <c r="E223" s="595"/>
      <c r="F223" s="465"/>
      <c r="G223" s="465"/>
      <c r="H223" s="465"/>
      <c r="I223" s="465"/>
      <c r="J223" s="465"/>
      <c r="K223" s="465"/>
      <c r="L223" s="465"/>
      <c r="M223" s="465"/>
      <c r="N223" s="465"/>
      <c r="O223" s="465"/>
      <c r="P223" s="465"/>
      <c r="Q223" s="465"/>
      <c r="R223" s="465"/>
      <c r="S223" s="465"/>
      <c r="T223" s="589">
        <f>+N80</f>
        <v>0</v>
      </c>
      <c r="U223" s="465"/>
      <c r="V223" s="596"/>
      <c r="W223" s="597"/>
      <c r="X223" s="406"/>
    </row>
    <row r="224" spans="1:24" x14ac:dyDescent="0.3">
      <c r="A224" s="598"/>
      <c r="B224" s="594" t="s">
        <v>83</v>
      </c>
      <c r="C224" s="599"/>
      <c r="D224" s="599"/>
      <c r="E224" s="599"/>
      <c r="F224" s="599"/>
      <c r="G224" s="465"/>
      <c r="H224" s="465"/>
      <c r="I224" s="465"/>
      <c r="J224" s="465"/>
      <c r="K224" s="465"/>
      <c r="L224" s="465"/>
      <c r="M224" s="465"/>
      <c r="N224" s="465"/>
      <c r="O224" s="465"/>
      <c r="P224" s="465"/>
      <c r="Q224" s="465"/>
      <c r="R224" s="465"/>
      <c r="S224" s="465"/>
      <c r="T224" s="600"/>
      <c r="U224" s="465"/>
      <c r="V224" s="596"/>
      <c r="W224" s="601"/>
      <c r="X224" s="406"/>
    </row>
    <row r="225" spans="1:25" s="426" customFormat="1" x14ac:dyDescent="0.3">
      <c r="A225" s="602"/>
      <c r="B225" s="444" t="s">
        <v>84</v>
      </c>
      <c r="C225" s="444"/>
      <c r="D225" s="444"/>
      <c r="E225" s="444"/>
      <c r="F225" s="444"/>
      <c r="G225" s="444"/>
      <c r="H225" s="444"/>
      <c r="I225" s="444"/>
      <c r="J225" s="444"/>
      <c r="K225" s="444"/>
      <c r="L225" s="444"/>
      <c r="M225" s="444"/>
      <c r="N225" s="444"/>
      <c r="O225" s="444"/>
      <c r="P225" s="444"/>
      <c r="Q225" s="444"/>
      <c r="R225" s="444"/>
      <c r="S225" s="450"/>
      <c r="T225" s="589">
        <f>V169</f>
        <v>164</v>
      </c>
      <c r="U225" s="444"/>
      <c r="V225" s="590"/>
      <c r="W225" s="603"/>
      <c r="X225" s="425"/>
    </row>
    <row r="226" spans="1:25" s="426" customFormat="1" x14ac:dyDescent="0.3">
      <c r="A226" s="588"/>
      <c r="B226" s="444" t="s">
        <v>85</v>
      </c>
      <c r="C226" s="516"/>
      <c r="D226" s="516"/>
      <c r="E226" s="516"/>
      <c r="F226" s="516"/>
      <c r="G226" s="444"/>
      <c r="H226" s="444"/>
      <c r="I226" s="444"/>
      <c r="J226" s="444"/>
      <c r="K226" s="444"/>
      <c r="L226" s="444"/>
      <c r="M226" s="444"/>
      <c r="N226" s="444"/>
      <c r="O226" s="444"/>
      <c r="P226" s="444"/>
      <c r="Q226" s="444"/>
      <c r="R226" s="444"/>
      <c r="S226" s="450"/>
      <c r="T226" s="589">
        <f>'June 20'!T226+T225</f>
        <v>13254</v>
      </c>
      <c r="U226" s="444"/>
      <c r="V226" s="590"/>
      <c r="W226" s="603"/>
      <c r="X226" s="425"/>
    </row>
    <row r="227" spans="1:25" x14ac:dyDescent="0.3">
      <c r="A227" s="598"/>
      <c r="B227" s="594" t="s">
        <v>297</v>
      </c>
      <c r="C227" s="599"/>
      <c r="D227" s="599"/>
      <c r="E227" s="599"/>
      <c r="F227" s="599"/>
      <c r="G227" s="465"/>
      <c r="H227" s="465"/>
      <c r="I227" s="465"/>
      <c r="J227" s="465"/>
      <c r="K227" s="465"/>
      <c r="L227" s="465"/>
      <c r="M227" s="465"/>
      <c r="N227" s="465"/>
      <c r="O227" s="465"/>
      <c r="P227" s="465"/>
      <c r="Q227" s="465"/>
      <c r="R227" s="465"/>
      <c r="S227" s="604"/>
      <c r="T227" s="600"/>
      <c r="U227" s="465"/>
      <c r="V227" s="596"/>
      <c r="W227" s="601"/>
      <c r="X227" s="406"/>
    </row>
    <row r="228" spans="1:25" s="426" customFormat="1" x14ac:dyDescent="0.3">
      <c r="A228" s="602"/>
      <c r="B228" s="444" t="s">
        <v>295</v>
      </c>
      <c r="C228" s="444"/>
      <c r="D228" s="444"/>
      <c r="E228" s="444"/>
      <c r="F228" s="444"/>
      <c r="G228" s="444"/>
      <c r="H228" s="444"/>
      <c r="I228" s="444"/>
      <c r="J228" s="444"/>
      <c r="K228" s="444"/>
      <c r="L228" s="444"/>
      <c r="M228" s="444"/>
      <c r="N228" s="444"/>
      <c r="O228" s="444"/>
      <c r="P228" s="444"/>
      <c r="Q228" s="444"/>
      <c r="R228" s="444"/>
      <c r="S228" s="450">
        <v>0</v>
      </c>
      <c r="T228" s="589">
        <v>0</v>
      </c>
      <c r="U228" s="444"/>
      <c r="V228" s="590"/>
      <c r="W228" s="603"/>
      <c r="X228" s="425"/>
    </row>
    <row r="229" spans="1:25" s="426" customFormat="1" x14ac:dyDescent="0.3">
      <c r="A229" s="588"/>
      <c r="B229" s="444" t="s">
        <v>87</v>
      </c>
      <c r="C229" s="482"/>
      <c r="D229" s="482"/>
      <c r="E229" s="482"/>
      <c r="F229" s="605"/>
      <c r="G229" s="444"/>
      <c r="H229" s="444"/>
      <c r="I229" s="444"/>
      <c r="J229" s="444"/>
      <c r="K229" s="444"/>
      <c r="L229" s="444"/>
      <c r="M229" s="444"/>
      <c r="N229" s="444"/>
      <c r="O229" s="444"/>
      <c r="P229" s="444"/>
      <c r="Q229" s="444"/>
      <c r="R229" s="444"/>
      <c r="S229" s="444"/>
      <c r="T229" s="606">
        <v>0</v>
      </c>
      <c r="U229" s="444"/>
      <c r="V229" s="590"/>
      <c r="W229" s="603"/>
      <c r="X229" s="425"/>
    </row>
    <row r="230" spans="1:25" s="426" customFormat="1" x14ac:dyDescent="0.3">
      <c r="A230" s="588"/>
      <c r="B230" s="444" t="s">
        <v>88</v>
      </c>
      <c r="C230" s="482"/>
      <c r="D230" s="482"/>
      <c r="E230" s="482"/>
      <c r="F230" s="605"/>
      <c r="G230" s="444"/>
      <c r="H230" s="444"/>
      <c r="I230" s="444"/>
      <c r="J230" s="444"/>
      <c r="K230" s="444"/>
      <c r="L230" s="444"/>
      <c r="M230" s="444"/>
      <c r="N230" s="444"/>
      <c r="O230" s="444"/>
      <c r="P230" s="444"/>
      <c r="Q230" s="444"/>
      <c r="R230" s="444"/>
      <c r="S230" s="444"/>
      <c r="T230" s="606">
        <v>0</v>
      </c>
      <c r="U230" s="444"/>
      <c r="V230" s="590"/>
      <c r="W230" s="603"/>
      <c r="X230" s="425"/>
    </row>
    <row r="231" spans="1:25" x14ac:dyDescent="0.3">
      <c r="A231" s="593"/>
      <c r="B231" s="594" t="s">
        <v>220</v>
      </c>
      <c r="C231" s="607"/>
      <c r="D231" s="607"/>
      <c r="E231" s="607"/>
      <c r="F231" s="608"/>
      <c r="G231" s="465"/>
      <c r="H231" s="465"/>
      <c r="I231" s="465"/>
      <c r="J231" s="465"/>
      <c r="K231" s="465"/>
      <c r="L231" s="465"/>
      <c r="M231" s="465"/>
      <c r="N231" s="465"/>
      <c r="O231" s="465"/>
      <c r="P231" s="465"/>
      <c r="Q231" s="465"/>
      <c r="R231" s="465"/>
      <c r="S231" s="609"/>
      <c r="T231" s="610"/>
      <c r="U231" s="465"/>
      <c r="V231" s="596"/>
      <c r="W231" s="601"/>
      <c r="X231" s="406"/>
    </row>
    <row r="232" spans="1:25" s="426" customFormat="1" x14ac:dyDescent="0.3">
      <c r="A232" s="588"/>
      <c r="B232" s="444" t="s">
        <v>295</v>
      </c>
      <c r="C232" s="482"/>
      <c r="D232" s="482"/>
      <c r="E232" s="482"/>
      <c r="F232" s="605"/>
      <c r="G232" s="444"/>
      <c r="H232" s="444"/>
      <c r="I232" s="444"/>
      <c r="J232" s="444"/>
      <c r="K232" s="444"/>
      <c r="L232" s="444"/>
      <c r="M232" s="444"/>
      <c r="N232" s="444"/>
      <c r="O232" s="444"/>
      <c r="P232" s="444"/>
      <c r="Q232" s="444"/>
      <c r="R232" s="444"/>
      <c r="S232" s="450">
        <v>1</v>
      </c>
      <c r="T232" s="589">
        <v>122</v>
      </c>
      <c r="U232" s="444"/>
      <c r="V232" s="590"/>
      <c r="W232" s="603"/>
      <c r="X232" s="425"/>
    </row>
    <row r="233" spans="1:25" s="426" customFormat="1" x14ac:dyDescent="0.3">
      <c r="A233" s="588"/>
      <c r="B233" s="444" t="s">
        <v>221</v>
      </c>
      <c r="C233" s="482"/>
      <c r="D233" s="482"/>
      <c r="E233" s="482"/>
      <c r="F233" s="605"/>
      <c r="G233" s="444"/>
      <c r="H233" s="444"/>
      <c r="I233" s="444"/>
      <c r="J233" s="444"/>
      <c r="K233" s="444"/>
      <c r="L233" s="444"/>
      <c r="M233" s="444"/>
      <c r="N233" s="444"/>
      <c r="O233" s="444"/>
      <c r="P233" s="444"/>
      <c r="Q233" s="444"/>
      <c r="R233" s="444"/>
      <c r="S233" s="444"/>
      <c r="T233" s="606">
        <v>30.27</v>
      </c>
      <c r="U233" s="444"/>
      <c r="V233" s="590"/>
      <c r="W233" s="603"/>
      <c r="X233" s="425"/>
    </row>
    <row r="234" spans="1:25" x14ac:dyDescent="0.3">
      <c r="A234" s="593"/>
      <c r="B234" s="599"/>
      <c r="C234" s="607"/>
      <c r="D234" s="607"/>
      <c r="E234" s="607"/>
      <c r="F234" s="608"/>
      <c r="G234" s="465"/>
      <c r="H234" s="465"/>
      <c r="I234" s="465"/>
      <c r="J234" s="465"/>
      <c r="K234" s="465"/>
      <c r="L234" s="465"/>
      <c r="M234" s="465"/>
      <c r="N234" s="465"/>
      <c r="O234" s="465"/>
      <c r="P234" s="465"/>
      <c r="Q234" s="465"/>
      <c r="R234" s="465"/>
      <c r="S234" s="465"/>
      <c r="T234" s="611"/>
      <c r="U234" s="465"/>
      <c r="V234" s="596"/>
      <c r="W234" s="601"/>
      <c r="X234" s="406"/>
    </row>
    <row r="235" spans="1:25" x14ac:dyDescent="0.3">
      <c r="A235" s="593"/>
      <c r="B235" s="599"/>
      <c r="C235" s="607"/>
      <c r="D235" s="607"/>
      <c r="E235" s="607"/>
      <c r="F235" s="608"/>
      <c r="G235" s="465"/>
      <c r="H235" s="465"/>
      <c r="I235" s="465"/>
      <c r="J235" s="465"/>
      <c r="K235" s="465"/>
      <c r="L235" s="465"/>
      <c r="M235" s="465"/>
      <c r="N235" s="465"/>
      <c r="O235" s="465"/>
      <c r="P235" s="465"/>
      <c r="Q235" s="465"/>
      <c r="R235" s="465"/>
      <c r="S235" s="465"/>
      <c r="T235" s="611"/>
      <c r="U235" s="465"/>
      <c r="V235" s="596"/>
      <c r="W235" s="601"/>
      <c r="X235" s="406"/>
    </row>
    <row r="236" spans="1:25" ht="18" x14ac:dyDescent="0.35">
      <c r="A236" s="593"/>
      <c r="B236" s="612" t="s">
        <v>171</v>
      </c>
      <c r="C236" s="607"/>
      <c r="D236" s="607"/>
      <c r="E236" s="607"/>
      <c r="F236" s="608"/>
      <c r="G236" s="465"/>
      <c r="H236" s="465"/>
      <c r="I236" s="465"/>
      <c r="J236" s="465"/>
      <c r="K236" s="465"/>
      <c r="L236" s="465"/>
      <c r="M236" s="465"/>
      <c r="N236" s="465"/>
      <c r="O236" s="465"/>
      <c r="P236" s="613" t="s">
        <v>370</v>
      </c>
      <c r="Q236" s="465"/>
      <c r="R236" s="465"/>
      <c r="S236" s="465"/>
      <c r="T236" s="611"/>
      <c r="U236" s="465"/>
      <c r="V236" s="596"/>
      <c r="W236" s="601"/>
      <c r="X236" s="406"/>
    </row>
    <row r="237" spans="1:25" x14ac:dyDescent="0.3">
      <c r="A237" s="614"/>
      <c r="B237" s="615"/>
      <c r="C237" s="616"/>
      <c r="D237" s="616"/>
      <c r="E237" s="616"/>
      <c r="F237" s="617"/>
      <c r="G237" s="518"/>
      <c r="H237" s="518"/>
      <c r="I237" s="518"/>
      <c r="J237" s="518"/>
      <c r="K237" s="518"/>
      <c r="L237" s="518"/>
      <c r="M237" s="518"/>
      <c r="N237" s="518"/>
      <c r="O237" s="518"/>
      <c r="P237" s="518"/>
      <c r="Q237" s="518"/>
      <c r="R237" s="518"/>
      <c r="S237" s="518"/>
      <c r="T237" s="618"/>
      <c r="U237" s="518"/>
      <c r="V237" s="619"/>
      <c r="W237" s="620"/>
      <c r="X237" s="406"/>
    </row>
    <row r="238" spans="1:25" x14ac:dyDescent="0.3">
      <c r="A238" s="533"/>
      <c r="B238" s="534" t="s">
        <v>310</v>
      </c>
      <c r="C238" s="535"/>
      <c r="D238" s="535"/>
      <c r="E238" s="535"/>
      <c r="F238" s="621"/>
      <c r="G238" s="535"/>
      <c r="H238" s="535"/>
      <c r="I238" s="535"/>
      <c r="J238" s="535"/>
      <c r="K238" s="535"/>
      <c r="L238" s="535"/>
      <c r="M238" s="535"/>
      <c r="N238" s="535"/>
      <c r="O238" s="535"/>
      <c r="P238" s="535"/>
      <c r="Q238" s="535"/>
      <c r="R238" s="621" t="s">
        <v>103</v>
      </c>
      <c r="S238" s="535" t="s">
        <v>104</v>
      </c>
      <c r="T238" s="621" t="s">
        <v>111</v>
      </c>
      <c r="U238" s="535" t="s">
        <v>104</v>
      </c>
      <c r="V238" s="622"/>
      <c r="W238" s="623"/>
      <c r="X238" s="406"/>
    </row>
    <row r="239" spans="1:25" s="426" customFormat="1" x14ac:dyDescent="0.3">
      <c r="A239" s="421"/>
      <c r="B239" s="552" t="s">
        <v>89</v>
      </c>
      <c r="C239" s="624"/>
      <c r="D239" s="624"/>
      <c r="E239" s="624"/>
      <c r="F239" s="494"/>
      <c r="G239" s="624"/>
      <c r="H239" s="624"/>
      <c r="I239" s="624"/>
      <c r="J239" s="624"/>
      <c r="K239" s="624"/>
      <c r="L239" s="624"/>
      <c r="M239" s="624"/>
      <c r="N239" s="624"/>
      <c r="O239" s="624"/>
      <c r="P239" s="624"/>
      <c r="Q239" s="624"/>
      <c r="R239" s="539">
        <f t="shared" ref="R239:R246" si="1">+R251+R263+R285</f>
        <v>5112</v>
      </c>
      <c r="S239" s="625">
        <f t="shared" ref="S239:S246" si="2">R239/$R$248</f>
        <v>0.99242865463016894</v>
      </c>
      <c r="T239" s="540">
        <f t="shared" ref="T239:T246" si="3">+T251+T263+T285</f>
        <v>654642</v>
      </c>
      <c r="U239" s="625">
        <f t="shared" ref="U239:U246" si="4">T239/$T$248</f>
        <v>0.99381373184539035</v>
      </c>
      <c r="V239" s="585"/>
      <c r="W239" s="626"/>
      <c r="X239" s="425"/>
    </row>
    <row r="240" spans="1:25" s="426" customFormat="1" x14ac:dyDescent="0.3">
      <c r="A240" s="443"/>
      <c r="B240" s="516" t="s">
        <v>90</v>
      </c>
      <c r="C240" s="627"/>
      <c r="D240" s="627"/>
      <c r="E240" s="627"/>
      <c r="F240" s="444"/>
      <c r="G240" s="628"/>
      <c r="H240" s="627"/>
      <c r="I240" s="627"/>
      <c r="J240" s="627"/>
      <c r="K240" s="627"/>
      <c r="L240" s="627"/>
      <c r="M240" s="627"/>
      <c r="N240" s="627"/>
      <c r="O240" s="627"/>
      <c r="P240" s="627"/>
      <c r="Q240" s="627"/>
      <c r="R240" s="516">
        <f t="shared" si="1"/>
        <v>19</v>
      </c>
      <c r="S240" s="628">
        <f t="shared" si="2"/>
        <v>3.6886041545331006E-3</v>
      </c>
      <c r="T240" s="517">
        <f t="shared" si="3"/>
        <v>2072</v>
      </c>
      <c r="U240" s="628">
        <f t="shared" si="4"/>
        <v>3.1455086175094919E-3</v>
      </c>
      <c r="V240" s="590"/>
      <c r="W240" s="603"/>
      <c r="X240" s="425"/>
      <c r="Y240" s="549"/>
    </row>
    <row r="241" spans="1:25" s="426" customFormat="1" x14ac:dyDescent="0.3">
      <c r="A241" s="443"/>
      <c r="B241" s="516" t="s">
        <v>91</v>
      </c>
      <c r="C241" s="627"/>
      <c r="D241" s="627"/>
      <c r="E241" s="627"/>
      <c r="F241" s="444"/>
      <c r="G241" s="628"/>
      <c r="H241" s="627"/>
      <c r="I241" s="627"/>
      <c r="J241" s="627"/>
      <c r="K241" s="627"/>
      <c r="L241" s="627"/>
      <c r="M241" s="627"/>
      <c r="N241" s="627"/>
      <c r="O241" s="627"/>
      <c r="P241" s="627"/>
      <c r="Q241" s="627"/>
      <c r="R241" s="516">
        <f t="shared" si="1"/>
        <v>9</v>
      </c>
      <c r="S241" s="628">
        <f t="shared" si="2"/>
        <v>1.7472335468841002E-3</v>
      </c>
      <c r="T241" s="517">
        <f t="shared" si="3"/>
        <v>717</v>
      </c>
      <c r="U241" s="628">
        <f t="shared" si="4"/>
        <v>1.0884795746883714E-3</v>
      </c>
      <c r="V241" s="590"/>
      <c r="W241" s="603"/>
      <c r="X241" s="425"/>
    </row>
    <row r="242" spans="1:25" s="426" customFormat="1" x14ac:dyDescent="0.3">
      <c r="A242" s="443"/>
      <c r="B242" s="516" t="s">
        <v>159</v>
      </c>
      <c r="C242" s="627"/>
      <c r="D242" s="627"/>
      <c r="E242" s="627"/>
      <c r="F242" s="444"/>
      <c r="G242" s="628"/>
      <c r="H242" s="627"/>
      <c r="I242" s="627"/>
      <c r="J242" s="627"/>
      <c r="K242" s="627"/>
      <c r="L242" s="627"/>
      <c r="M242" s="627"/>
      <c r="N242" s="627"/>
      <c r="O242" s="627"/>
      <c r="P242" s="627"/>
      <c r="Q242" s="627"/>
      <c r="R242" s="516">
        <f t="shared" si="1"/>
        <v>1</v>
      </c>
      <c r="S242" s="628">
        <f t="shared" si="2"/>
        <v>1.9413706076490002E-4</v>
      </c>
      <c r="T242" s="517">
        <f t="shared" si="3"/>
        <v>251</v>
      </c>
      <c r="U242" s="628">
        <f t="shared" si="4"/>
        <v>3.8104375627166142E-4</v>
      </c>
      <c r="V242" s="590"/>
      <c r="W242" s="603"/>
      <c r="X242" s="425"/>
      <c r="Y242" s="549"/>
    </row>
    <row r="243" spans="1:25" s="426" customFormat="1" x14ac:dyDescent="0.3">
      <c r="A243" s="443"/>
      <c r="B243" s="516" t="s">
        <v>160</v>
      </c>
      <c r="C243" s="627"/>
      <c r="D243" s="627"/>
      <c r="E243" s="627"/>
      <c r="F243" s="444"/>
      <c r="G243" s="628"/>
      <c r="H243" s="627"/>
      <c r="I243" s="627"/>
      <c r="J243" s="627"/>
      <c r="K243" s="627"/>
      <c r="L243" s="627"/>
      <c r="M243" s="627"/>
      <c r="N243" s="627"/>
      <c r="O243" s="627"/>
      <c r="P243" s="627"/>
      <c r="Q243" s="627"/>
      <c r="R243" s="516">
        <f t="shared" si="1"/>
        <v>0</v>
      </c>
      <c r="S243" s="628">
        <f t="shared" si="2"/>
        <v>0</v>
      </c>
      <c r="T243" s="517">
        <f t="shared" si="3"/>
        <v>0</v>
      </c>
      <c r="U243" s="628">
        <f t="shared" si="4"/>
        <v>0</v>
      </c>
      <c r="V243" s="590"/>
      <c r="W243" s="603"/>
      <c r="X243" s="425"/>
    </row>
    <row r="244" spans="1:25" s="426" customFormat="1" x14ac:dyDescent="0.3">
      <c r="A244" s="443"/>
      <c r="B244" s="516" t="s">
        <v>161</v>
      </c>
      <c r="C244" s="627"/>
      <c r="D244" s="627"/>
      <c r="E244" s="627"/>
      <c r="F244" s="444"/>
      <c r="G244" s="628"/>
      <c r="H244" s="627"/>
      <c r="I244" s="627"/>
      <c r="J244" s="627"/>
      <c r="K244" s="627"/>
      <c r="L244" s="627"/>
      <c r="M244" s="627"/>
      <c r="N244" s="627"/>
      <c r="O244" s="627"/>
      <c r="P244" s="627"/>
      <c r="Q244" s="627"/>
      <c r="R244" s="516">
        <f t="shared" si="1"/>
        <v>1</v>
      </c>
      <c r="S244" s="628">
        <f t="shared" si="2"/>
        <v>1.9413706076490002E-4</v>
      </c>
      <c r="T244" s="517">
        <f t="shared" si="3"/>
        <v>159</v>
      </c>
      <c r="U244" s="628">
        <f t="shared" si="4"/>
        <v>2.4137831572587317E-4</v>
      </c>
      <c r="V244" s="590"/>
      <c r="W244" s="603"/>
      <c r="X244" s="425"/>
      <c r="Y244" s="549"/>
    </row>
    <row r="245" spans="1:25" s="426" customFormat="1" x14ac:dyDescent="0.3">
      <c r="A245" s="443"/>
      <c r="B245" s="516" t="s">
        <v>162</v>
      </c>
      <c r="C245" s="627"/>
      <c r="D245" s="627"/>
      <c r="E245" s="627"/>
      <c r="F245" s="444"/>
      <c r="G245" s="628"/>
      <c r="H245" s="627"/>
      <c r="I245" s="627"/>
      <c r="J245" s="627"/>
      <c r="K245" s="627"/>
      <c r="L245" s="627"/>
      <c r="M245" s="627"/>
      <c r="N245" s="627"/>
      <c r="O245" s="627"/>
      <c r="P245" s="627"/>
      <c r="Q245" s="627"/>
      <c r="R245" s="516">
        <f t="shared" si="1"/>
        <v>2</v>
      </c>
      <c r="S245" s="628">
        <f t="shared" si="2"/>
        <v>3.8827412152980003E-4</v>
      </c>
      <c r="T245" s="517">
        <f t="shared" si="3"/>
        <v>138</v>
      </c>
      <c r="U245" s="628">
        <f t="shared" si="4"/>
        <v>2.0949816081868236E-4</v>
      </c>
      <c r="V245" s="590"/>
      <c r="W245" s="603"/>
      <c r="X245" s="425"/>
    </row>
    <row r="246" spans="1:25" s="426" customFormat="1" x14ac:dyDescent="0.3">
      <c r="A246" s="443"/>
      <c r="B246" s="516" t="s">
        <v>163</v>
      </c>
      <c r="C246" s="627"/>
      <c r="D246" s="627"/>
      <c r="E246" s="627"/>
      <c r="F246" s="444"/>
      <c r="G246" s="628"/>
      <c r="H246" s="627"/>
      <c r="I246" s="627"/>
      <c r="J246" s="627"/>
      <c r="K246" s="627"/>
      <c r="L246" s="627"/>
      <c r="M246" s="627"/>
      <c r="N246" s="627"/>
      <c r="O246" s="627"/>
      <c r="P246" s="627"/>
      <c r="Q246" s="627"/>
      <c r="R246" s="516">
        <f t="shared" si="1"/>
        <v>7</v>
      </c>
      <c r="S246" s="628">
        <f t="shared" si="2"/>
        <v>1.3589594253543E-3</v>
      </c>
      <c r="T246" s="517">
        <f t="shared" si="3"/>
        <v>738</v>
      </c>
      <c r="U246" s="628">
        <f t="shared" si="4"/>
        <v>1.1203597295955624E-3</v>
      </c>
      <c r="V246" s="590"/>
      <c r="W246" s="603"/>
      <c r="X246" s="425"/>
      <c r="Y246" s="549"/>
    </row>
    <row r="247" spans="1:25" s="426" customFormat="1" x14ac:dyDescent="0.3">
      <c r="A247" s="443"/>
      <c r="B247" s="516"/>
      <c r="C247" s="627"/>
      <c r="D247" s="627"/>
      <c r="E247" s="627"/>
      <c r="F247" s="444"/>
      <c r="G247" s="628"/>
      <c r="H247" s="627"/>
      <c r="I247" s="627"/>
      <c r="J247" s="627"/>
      <c r="K247" s="627"/>
      <c r="L247" s="627"/>
      <c r="M247" s="627"/>
      <c r="N247" s="627"/>
      <c r="O247" s="627"/>
      <c r="P247" s="627"/>
      <c r="Q247" s="627"/>
      <c r="R247" s="516"/>
      <c r="S247" s="628"/>
      <c r="T247" s="517"/>
      <c r="U247" s="628"/>
      <c r="V247" s="590"/>
      <c r="W247" s="603"/>
      <c r="X247" s="425"/>
    </row>
    <row r="248" spans="1:25" s="426" customFormat="1" x14ac:dyDescent="0.3">
      <c r="A248" s="443"/>
      <c r="B248" s="444" t="s">
        <v>117</v>
      </c>
      <c r="C248" s="444"/>
      <c r="D248" s="444"/>
      <c r="E248" s="444"/>
      <c r="F248" s="444"/>
      <c r="G248" s="444"/>
      <c r="H248" s="629"/>
      <c r="I248" s="629"/>
      <c r="J248" s="629"/>
      <c r="K248" s="629"/>
      <c r="L248" s="629"/>
      <c r="M248" s="629"/>
      <c r="N248" s="629"/>
      <c r="O248" s="629"/>
      <c r="P248" s="629"/>
      <c r="Q248" s="629"/>
      <c r="R248" s="516">
        <f>SUM(R239:R247)</f>
        <v>5151</v>
      </c>
      <c r="S248" s="628">
        <f>SUM(S239:S247)</f>
        <v>0.99999999999999989</v>
      </c>
      <c r="T248" s="517">
        <f>SUM(T239:T247)</f>
        <v>658717</v>
      </c>
      <c r="U248" s="628">
        <f>SUM(U239:U247)</f>
        <v>1</v>
      </c>
      <c r="V248" s="444"/>
      <c r="W248" s="446"/>
      <c r="X248" s="425"/>
    </row>
    <row r="249" spans="1:25" x14ac:dyDescent="0.3">
      <c r="A249" s="614"/>
      <c r="B249" s="615"/>
      <c r="C249" s="616"/>
      <c r="D249" s="616"/>
      <c r="E249" s="616"/>
      <c r="F249" s="617"/>
      <c r="G249" s="518"/>
      <c r="H249" s="518"/>
      <c r="I249" s="518"/>
      <c r="J249" s="518"/>
      <c r="K249" s="518"/>
      <c r="L249" s="518"/>
      <c r="M249" s="518"/>
      <c r="N249" s="518"/>
      <c r="O249" s="518"/>
      <c r="P249" s="518"/>
      <c r="Q249" s="518"/>
      <c r="R249" s="518"/>
      <c r="S249" s="518"/>
      <c r="T249" s="618"/>
      <c r="U249" s="518"/>
      <c r="V249" s="619"/>
      <c r="W249" s="620"/>
      <c r="X249" s="406"/>
    </row>
    <row r="250" spans="1:25" x14ac:dyDescent="0.3">
      <c r="A250" s="533"/>
      <c r="B250" s="534" t="s">
        <v>165</v>
      </c>
      <c r="C250" s="535"/>
      <c r="D250" s="535"/>
      <c r="E250" s="535"/>
      <c r="F250" s="621"/>
      <c r="G250" s="535"/>
      <c r="H250" s="535"/>
      <c r="I250" s="535"/>
      <c r="J250" s="535"/>
      <c r="K250" s="535"/>
      <c r="L250" s="535"/>
      <c r="M250" s="535"/>
      <c r="N250" s="535"/>
      <c r="O250" s="535"/>
      <c r="P250" s="535"/>
      <c r="Q250" s="535"/>
      <c r="R250" s="621" t="s">
        <v>103</v>
      </c>
      <c r="S250" s="535" t="s">
        <v>104</v>
      </c>
      <c r="T250" s="621" t="s">
        <v>111</v>
      </c>
      <c r="U250" s="535" t="s">
        <v>104</v>
      </c>
      <c r="V250" s="622"/>
      <c r="W250" s="623"/>
      <c r="X250" s="406"/>
    </row>
    <row r="251" spans="1:25" s="426" customFormat="1" x14ac:dyDescent="0.3">
      <c r="A251" s="421"/>
      <c r="B251" s="552" t="s">
        <v>89</v>
      </c>
      <c r="C251" s="624"/>
      <c r="D251" s="624"/>
      <c r="E251" s="624"/>
      <c r="F251" s="494"/>
      <c r="G251" s="624"/>
      <c r="H251" s="624"/>
      <c r="I251" s="624"/>
      <c r="J251" s="624"/>
      <c r="K251" s="624"/>
      <c r="L251" s="624"/>
      <c r="M251" s="624"/>
      <c r="N251" s="624"/>
      <c r="O251" s="624"/>
      <c r="P251" s="624"/>
      <c r="Q251" s="624"/>
      <c r="R251" s="552">
        <v>5035</v>
      </c>
      <c r="S251" s="630">
        <f t="shared" ref="S251:S258" si="5">R251/$R$260</f>
        <v>0.9940769990128332</v>
      </c>
      <c r="T251" s="631">
        <v>641403</v>
      </c>
      <c r="U251" s="630">
        <f t="shared" ref="U251:U258" si="6">T251/$T$260</f>
        <v>0.99521016617790814</v>
      </c>
      <c r="V251" s="585"/>
      <c r="W251" s="626"/>
      <c r="X251" s="425"/>
    </row>
    <row r="252" spans="1:25" s="426" customFormat="1" x14ac:dyDescent="0.3">
      <c r="A252" s="443"/>
      <c r="B252" s="516" t="s">
        <v>90</v>
      </c>
      <c r="C252" s="627"/>
      <c r="D252" s="627"/>
      <c r="E252" s="627"/>
      <c r="F252" s="444"/>
      <c r="G252" s="628"/>
      <c r="H252" s="627"/>
      <c r="I252" s="627"/>
      <c r="J252" s="627"/>
      <c r="K252" s="627"/>
      <c r="L252" s="627"/>
      <c r="M252" s="627"/>
      <c r="N252" s="627"/>
      <c r="O252" s="627"/>
      <c r="P252" s="627"/>
      <c r="Q252" s="627"/>
      <c r="R252" s="516">
        <v>18</v>
      </c>
      <c r="S252" s="628">
        <f t="shared" si="5"/>
        <v>3.5538005923000989E-3</v>
      </c>
      <c r="T252" s="517">
        <v>1941</v>
      </c>
      <c r="U252" s="628">
        <f t="shared" si="6"/>
        <v>3.0116836568449472E-3</v>
      </c>
      <c r="V252" s="590"/>
      <c r="W252" s="603"/>
      <c r="X252" s="425"/>
      <c r="Y252" s="549"/>
    </row>
    <row r="253" spans="1:25" s="426" customFormat="1" x14ac:dyDescent="0.3">
      <c r="A253" s="443"/>
      <c r="B253" s="516" t="s">
        <v>91</v>
      </c>
      <c r="C253" s="627"/>
      <c r="D253" s="627"/>
      <c r="E253" s="627"/>
      <c r="F253" s="444"/>
      <c r="G253" s="628"/>
      <c r="H253" s="627"/>
      <c r="I253" s="627"/>
      <c r="J253" s="627"/>
      <c r="K253" s="627"/>
      <c r="L253" s="627"/>
      <c r="M253" s="627"/>
      <c r="N253" s="627"/>
      <c r="O253" s="627"/>
      <c r="P253" s="627"/>
      <c r="Q253" s="627"/>
      <c r="R253" s="516">
        <v>8</v>
      </c>
      <c r="S253" s="628">
        <f t="shared" si="5"/>
        <v>1.5794669299111549E-3</v>
      </c>
      <c r="T253" s="517">
        <v>598</v>
      </c>
      <c r="U253" s="628">
        <f t="shared" si="6"/>
        <v>9.2786544399447622E-4</v>
      </c>
      <c r="V253" s="590"/>
      <c r="W253" s="603"/>
      <c r="X253" s="425"/>
    </row>
    <row r="254" spans="1:25" s="426" customFormat="1" x14ac:dyDescent="0.3">
      <c r="A254" s="443"/>
      <c r="B254" s="516" t="s">
        <v>159</v>
      </c>
      <c r="C254" s="627"/>
      <c r="D254" s="627"/>
      <c r="E254" s="627"/>
      <c r="F254" s="444"/>
      <c r="G254" s="628"/>
      <c r="H254" s="627"/>
      <c r="I254" s="627"/>
      <c r="J254" s="627"/>
      <c r="K254" s="627"/>
      <c r="L254" s="627"/>
      <c r="M254" s="627"/>
      <c r="N254" s="627"/>
      <c r="O254" s="627"/>
      <c r="P254" s="627"/>
      <c r="Q254" s="627"/>
      <c r="R254" s="516">
        <v>1</v>
      </c>
      <c r="S254" s="628">
        <f t="shared" si="5"/>
        <v>1.9743336623889436E-4</v>
      </c>
      <c r="T254" s="517">
        <v>251</v>
      </c>
      <c r="U254" s="628">
        <f t="shared" si="6"/>
        <v>3.8945522816490557E-4</v>
      </c>
      <c r="V254" s="590"/>
      <c r="W254" s="603"/>
      <c r="X254" s="425"/>
      <c r="Y254" s="549"/>
    </row>
    <row r="255" spans="1:25" s="426" customFormat="1" x14ac:dyDescent="0.3">
      <c r="A255" s="443"/>
      <c r="B255" s="516" t="s">
        <v>160</v>
      </c>
      <c r="C255" s="627"/>
      <c r="D255" s="627"/>
      <c r="E255" s="627"/>
      <c r="F255" s="444"/>
      <c r="G255" s="628"/>
      <c r="H255" s="627"/>
      <c r="I255" s="627"/>
      <c r="J255" s="627"/>
      <c r="K255" s="627"/>
      <c r="L255" s="627"/>
      <c r="M255" s="627"/>
      <c r="N255" s="627"/>
      <c r="O255" s="627"/>
      <c r="P255" s="627"/>
      <c r="Q255" s="627"/>
      <c r="R255" s="516">
        <v>0</v>
      </c>
      <c r="S255" s="628">
        <f t="shared" si="5"/>
        <v>0</v>
      </c>
      <c r="T255" s="517">
        <v>0</v>
      </c>
      <c r="U255" s="628">
        <f t="shared" si="6"/>
        <v>0</v>
      </c>
      <c r="V255" s="590"/>
      <c r="W255" s="603"/>
      <c r="X255" s="425"/>
    </row>
    <row r="256" spans="1:25" s="426" customFormat="1" x14ac:dyDescent="0.3">
      <c r="A256" s="443"/>
      <c r="B256" s="516" t="s">
        <v>161</v>
      </c>
      <c r="C256" s="627"/>
      <c r="D256" s="627"/>
      <c r="E256" s="627"/>
      <c r="F256" s="444"/>
      <c r="G256" s="628"/>
      <c r="H256" s="627"/>
      <c r="I256" s="627"/>
      <c r="J256" s="627"/>
      <c r="K256" s="627"/>
      <c r="L256" s="627"/>
      <c r="M256" s="627"/>
      <c r="N256" s="627"/>
      <c r="O256" s="627"/>
      <c r="P256" s="627"/>
      <c r="Q256" s="627"/>
      <c r="R256" s="516">
        <v>1</v>
      </c>
      <c r="S256" s="628">
        <f t="shared" si="5"/>
        <v>1.9743336623889436E-4</v>
      </c>
      <c r="T256" s="517">
        <v>159</v>
      </c>
      <c r="U256" s="628">
        <f t="shared" si="6"/>
        <v>2.4670669831960155E-4</v>
      </c>
      <c r="V256" s="590"/>
      <c r="W256" s="603"/>
      <c r="X256" s="425"/>
      <c r="Y256" s="549"/>
    </row>
    <row r="257" spans="1:25" s="426" customFormat="1" x14ac:dyDescent="0.3">
      <c r="A257" s="443"/>
      <c r="B257" s="516" t="s">
        <v>162</v>
      </c>
      <c r="C257" s="627"/>
      <c r="D257" s="627"/>
      <c r="E257" s="627"/>
      <c r="F257" s="444"/>
      <c r="G257" s="628"/>
      <c r="H257" s="627"/>
      <c r="I257" s="627"/>
      <c r="J257" s="627"/>
      <c r="K257" s="627"/>
      <c r="L257" s="627"/>
      <c r="M257" s="627"/>
      <c r="N257" s="627"/>
      <c r="O257" s="627"/>
      <c r="P257" s="627"/>
      <c r="Q257" s="627"/>
      <c r="R257" s="516">
        <v>2</v>
      </c>
      <c r="S257" s="628">
        <f t="shared" si="5"/>
        <v>3.9486673247778872E-4</v>
      </c>
      <c r="T257" s="517">
        <v>138</v>
      </c>
      <c r="U257" s="628">
        <f t="shared" si="6"/>
        <v>2.1412279476795606E-4</v>
      </c>
      <c r="V257" s="590"/>
      <c r="W257" s="603"/>
      <c r="X257" s="425"/>
    </row>
    <row r="258" spans="1:25" s="426" customFormat="1" x14ac:dyDescent="0.3">
      <c r="A258" s="443"/>
      <c r="B258" s="516" t="s">
        <v>163</v>
      </c>
      <c r="C258" s="627"/>
      <c r="D258" s="627"/>
      <c r="E258" s="627"/>
      <c r="F258" s="444"/>
      <c r="G258" s="628"/>
      <c r="H258" s="627"/>
      <c r="I258" s="627"/>
      <c r="J258" s="627"/>
      <c r="K258" s="627"/>
      <c r="L258" s="627"/>
      <c r="M258" s="627"/>
      <c r="N258" s="627"/>
      <c r="O258" s="627"/>
      <c r="P258" s="627"/>
      <c r="Q258" s="627"/>
      <c r="R258" s="516">
        <v>0</v>
      </c>
      <c r="S258" s="628">
        <f t="shared" si="5"/>
        <v>0</v>
      </c>
      <c r="T258" s="517">
        <v>0</v>
      </c>
      <c r="U258" s="628">
        <f t="shared" si="6"/>
        <v>0</v>
      </c>
      <c r="V258" s="590"/>
      <c r="W258" s="603"/>
      <c r="X258" s="425"/>
      <c r="Y258" s="549"/>
    </row>
    <row r="259" spans="1:25" s="426" customFormat="1" x14ac:dyDescent="0.3">
      <c r="A259" s="443"/>
      <c r="B259" s="516"/>
      <c r="C259" s="627"/>
      <c r="D259" s="627"/>
      <c r="E259" s="627"/>
      <c r="F259" s="444"/>
      <c r="G259" s="628"/>
      <c r="H259" s="627"/>
      <c r="I259" s="627"/>
      <c r="J259" s="627"/>
      <c r="K259" s="627"/>
      <c r="L259" s="627"/>
      <c r="M259" s="627"/>
      <c r="N259" s="627"/>
      <c r="O259" s="627"/>
      <c r="P259" s="627"/>
      <c r="Q259" s="627"/>
      <c r="R259" s="516"/>
      <c r="S259" s="628"/>
      <c r="T259" s="517"/>
      <c r="U259" s="628"/>
      <c r="V259" s="590"/>
      <c r="W259" s="603"/>
      <c r="X259" s="425"/>
    </row>
    <row r="260" spans="1:25" s="426" customFormat="1" x14ac:dyDescent="0.3">
      <c r="A260" s="443"/>
      <c r="B260" s="444" t="s">
        <v>117</v>
      </c>
      <c r="C260" s="444"/>
      <c r="D260" s="444"/>
      <c r="E260" s="444"/>
      <c r="F260" s="444"/>
      <c r="G260" s="444"/>
      <c r="H260" s="629"/>
      <c r="I260" s="629"/>
      <c r="J260" s="629"/>
      <c r="K260" s="629"/>
      <c r="L260" s="629"/>
      <c r="M260" s="629"/>
      <c r="N260" s="629"/>
      <c r="O260" s="629"/>
      <c r="P260" s="629"/>
      <c r="Q260" s="629"/>
      <c r="R260" s="516">
        <f>SUM(R251:R259)</f>
        <v>5065</v>
      </c>
      <c r="S260" s="628">
        <f>SUM(S251:S259)</f>
        <v>1</v>
      </c>
      <c r="T260" s="517">
        <f>SUM(T251:T259)</f>
        <v>644490</v>
      </c>
      <c r="U260" s="628">
        <f>SUM(U251:U259)</f>
        <v>1</v>
      </c>
      <c r="V260" s="444"/>
      <c r="W260" s="446"/>
      <c r="X260" s="425"/>
    </row>
    <row r="261" spans="1:25" x14ac:dyDescent="0.3">
      <c r="A261" s="408"/>
      <c r="B261" s="518"/>
      <c r="C261" s="518"/>
      <c r="D261" s="518"/>
      <c r="E261" s="518"/>
      <c r="F261" s="518"/>
      <c r="G261" s="518"/>
      <c r="H261" s="632"/>
      <c r="I261" s="632"/>
      <c r="J261" s="632"/>
      <c r="K261" s="632"/>
      <c r="L261" s="632"/>
      <c r="M261" s="632"/>
      <c r="N261" s="632"/>
      <c r="O261" s="632"/>
      <c r="P261" s="632"/>
      <c r="Q261" s="632"/>
      <c r="R261" s="519"/>
      <c r="S261" s="633"/>
      <c r="T261" s="634"/>
      <c r="U261" s="633"/>
      <c r="V261" s="518"/>
      <c r="W261" s="411"/>
      <c r="X261" s="406"/>
    </row>
    <row r="262" spans="1:25" x14ac:dyDescent="0.3">
      <c r="A262" s="533"/>
      <c r="B262" s="534" t="s">
        <v>279</v>
      </c>
      <c r="C262" s="535"/>
      <c r="D262" s="535"/>
      <c r="E262" s="535"/>
      <c r="F262" s="621"/>
      <c r="G262" s="535"/>
      <c r="H262" s="535"/>
      <c r="I262" s="535"/>
      <c r="J262" s="535"/>
      <c r="K262" s="535"/>
      <c r="L262" s="535"/>
      <c r="M262" s="535"/>
      <c r="N262" s="535"/>
      <c r="O262" s="535"/>
      <c r="P262" s="535"/>
      <c r="Q262" s="535"/>
      <c r="R262" s="621" t="s">
        <v>103</v>
      </c>
      <c r="S262" s="535" t="s">
        <v>104</v>
      </c>
      <c r="T262" s="621" t="s">
        <v>111</v>
      </c>
      <c r="U262" s="535" t="s">
        <v>104</v>
      </c>
      <c r="V262" s="622"/>
      <c r="W262" s="538"/>
      <c r="X262" s="406"/>
    </row>
    <row r="263" spans="1:25" s="426" customFormat="1" x14ac:dyDescent="0.3">
      <c r="A263" s="421"/>
      <c r="B263" s="552" t="s">
        <v>89</v>
      </c>
      <c r="C263" s="624"/>
      <c r="D263" s="624"/>
      <c r="E263" s="624"/>
      <c r="F263" s="494"/>
      <c r="G263" s="624"/>
      <c r="H263" s="624"/>
      <c r="I263" s="624"/>
      <c r="J263" s="624"/>
      <c r="K263" s="624"/>
      <c r="L263" s="624"/>
      <c r="M263" s="624"/>
      <c r="N263" s="624"/>
      <c r="O263" s="624"/>
      <c r="P263" s="624"/>
      <c r="Q263" s="624"/>
      <c r="R263" s="552">
        <v>77</v>
      </c>
      <c r="S263" s="630">
        <f>R263/$R$272</f>
        <v>0.89534883720930236</v>
      </c>
      <c r="T263" s="631">
        <v>13239</v>
      </c>
      <c r="U263" s="630">
        <f t="shared" ref="U263:U270" si="7">T263/$T$272</f>
        <v>0.93055457932100938</v>
      </c>
      <c r="V263" s="494"/>
      <c r="W263" s="424"/>
      <c r="X263" s="425"/>
    </row>
    <row r="264" spans="1:25" s="426" customFormat="1" x14ac:dyDescent="0.3">
      <c r="A264" s="443"/>
      <c r="B264" s="516" t="s">
        <v>90</v>
      </c>
      <c r="C264" s="627"/>
      <c r="D264" s="627"/>
      <c r="E264" s="627"/>
      <c r="F264" s="444"/>
      <c r="G264" s="628"/>
      <c r="H264" s="627"/>
      <c r="I264" s="627"/>
      <c r="J264" s="627"/>
      <c r="K264" s="627"/>
      <c r="L264" s="627"/>
      <c r="M264" s="627"/>
      <c r="N264" s="627"/>
      <c r="O264" s="627"/>
      <c r="P264" s="627"/>
      <c r="Q264" s="627"/>
      <c r="R264" s="516">
        <v>1</v>
      </c>
      <c r="S264" s="628">
        <f t="shared" ref="S264:S268" si="8">R264/$R$272</f>
        <v>1.1627906976744186E-2</v>
      </c>
      <c r="T264" s="517">
        <v>131</v>
      </c>
      <c r="U264" s="628">
        <f t="shared" si="7"/>
        <v>9.2078442398256834E-3</v>
      </c>
      <c r="V264" s="444"/>
      <c r="W264" s="446"/>
      <c r="X264" s="425"/>
    </row>
    <row r="265" spans="1:25" s="426" customFormat="1" x14ac:dyDescent="0.3">
      <c r="A265" s="443"/>
      <c r="B265" s="516" t="s">
        <v>91</v>
      </c>
      <c r="C265" s="627"/>
      <c r="D265" s="627"/>
      <c r="E265" s="627"/>
      <c r="F265" s="444"/>
      <c r="G265" s="628"/>
      <c r="H265" s="627"/>
      <c r="I265" s="627"/>
      <c r="J265" s="627"/>
      <c r="K265" s="627"/>
      <c r="L265" s="627"/>
      <c r="M265" s="627"/>
      <c r="N265" s="627"/>
      <c r="O265" s="627"/>
      <c r="P265" s="627"/>
      <c r="Q265" s="627"/>
      <c r="R265" s="516">
        <v>1</v>
      </c>
      <c r="S265" s="628">
        <f t="shared" si="8"/>
        <v>1.1627906976744186E-2</v>
      </c>
      <c r="T265" s="517">
        <v>119</v>
      </c>
      <c r="U265" s="628">
        <f t="shared" si="7"/>
        <v>8.3643775919027205E-3</v>
      </c>
      <c r="V265" s="444"/>
      <c r="W265" s="446"/>
      <c r="X265" s="425"/>
    </row>
    <row r="266" spans="1:25" s="426" customFormat="1" x14ac:dyDescent="0.3">
      <c r="A266" s="443"/>
      <c r="B266" s="516" t="s">
        <v>159</v>
      </c>
      <c r="C266" s="627"/>
      <c r="D266" s="627"/>
      <c r="E266" s="627"/>
      <c r="F266" s="444"/>
      <c r="G266" s="628"/>
      <c r="H266" s="627"/>
      <c r="I266" s="627"/>
      <c r="J266" s="627"/>
      <c r="K266" s="627"/>
      <c r="L266" s="627"/>
      <c r="M266" s="627"/>
      <c r="N266" s="627"/>
      <c r="O266" s="627"/>
      <c r="P266" s="627"/>
      <c r="Q266" s="627"/>
      <c r="R266" s="516">
        <v>0</v>
      </c>
      <c r="S266" s="628">
        <f t="shared" si="8"/>
        <v>0</v>
      </c>
      <c r="T266" s="517">
        <v>0</v>
      </c>
      <c r="U266" s="628">
        <f t="shared" si="7"/>
        <v>0</v>
      </c>
      <c r="V266" s="444"/>
      <c r="W266" s="446"/>
      <c r="X266" s="425"/>
    </row>
    <row r="267" spans="1:25" s="426" customFormat="1" x14ac:dyDescent="0.3">
      <c r="A267" s="443"/>
      <c r="B267" s="516" t="s">
        <v>160</v>
      </c>
      <c r="C267" s="627"/>
      <c r="D267" s="627"/>
      <c r="E267" s="627"/>
      <c r="F267" s="444"/>
      <c r="G267" s="628"/>
      <c r="H267" s="627"/>
      <c r="I267" s="627"/>
      <c r="J267" s="627"/>
      <c r="K267" s="627"/>
      <c r="L267" s="627"/>
      <c r="M267" s="627"/>
      <c r="N267" s="627"/>
      <c r="O267" s="627"/>
      <c r="P267" s="627"/>
      <c r="Q267" s="627"/>
      <c r="R267" s="516">
        <v>0</v>
      </c>
      <c r="S267" s="628">
        <f t="shared" si="8"/>
        <v>0</v>
      </c>
      <c r="T267" s="517">
        <v>0</v>
      </c>
      <c r="U267" s="628">
        <f t="shared" si="7"/>
        <v>0</v>
      </c>
      <c r="V267" s="444"/>
      <c r="W267" s="446"/>
      <c r="X267" s="425"/>
    </row>
    <row r="268" spans="1:25" s="426" customFormat="1" x14ac:dyDescent="0.3">
      <c r="A268" s="443"/>
      <c r="B268" s="516" t="s">
        <v>161</v>
      </c>
      <c r="C268" s="627"/>
      <c r="D268" s="627"/>
      <c r="E268" s="627"/>
      <c r="F268" s="444"/>
      <c r="G268" s="628"/>
      <c r="H268" s="627"/>
      <c r="I268" s="627"/>
      <c r="J268" s="627"/>
      <c r="K268" s="627"/>
      <c r="L268" s="627"/>
      <c r="M268" s="627"/>
      <c r="N268" s="627"/>
      <c r="O268" s="627"/>
      <c r="P268" s="627"/>
      <c r="Q268" s="627"/>
      <c r="R268" s="516">
        <v>0</v>
      </c>
      <c r="S268" s="628">
        <f t="shared" si="8"/>
        <v>0</v>
      </c>
      <c r="T268" s="517">
        <v>0</v>
      </c>
      <c r="U268" s="628">
        <f t="shared" si="7"/>
        <v>0</v>
      </c>
      <c r="V268" s="444"/>
      <c r="W268" s="446"/>
      <c r="X268" s="425"/>
    </row>
    <row r="269" spans="1:25" s="426" customFormat="1" x14ac:dyDescent="0.3">
      <c r="A269" s="443"/>
      <c r="B269" s="516" t="s">
        <v>162</v>
      </c>
      <c r="C269" s="627"/>
      <c r="D269" s="627"/>
      <c r="E269" s="627"/>
      <c r="F269" s="444"/>
      <c r="G269" s="628"/>
      <c r="H269" s="627"/>
      <c r="I269" s="627"/>
      <c r="J269" s="627"/>
      <c r="K269" s="627"/>
      <c r="L269" s="627"/>
      <c r="M269" s="627"/>
      <c r="N269" s="627"/>
      <c r="O269" s="627"/>
      <c r="P269" s="627"/>
      <c r="Q269" s="627"/>
      <c r="R269" s="516">
        <v>0</v>
      </c>
      <c r="S269" s="628">
        <f>R269/$R$272</f>
        <v>0</v>
      </c>
      <c r="T269" s="517">
        <v>0</v>
      </c>
      <c r="U269" s="628">
        <f t="shared" si="7"/>
        <v>0</v>
      </c>
      <c r="V269" s="444"/>
      <c r="W269" s="446"/>
      <c r="X269" s="425"/>
    </row>
    <row r="270" spans="1:25" s="426" customFormat="1" x14ac:dyDescent="0.3">
      <c r="A270" s="443"/>
      <c r="B270" s="516" t="s">
        <v>163</v>
      </c>
      <c r="C270" s="627"/>
      <c r="D270" s="627"/>
      <c r="E270" s="627"/>
      <c r="F270" s="444"/>
      <c r="G270" s="628"/>
      <c r="H270" s="627"/>
      <c r="I270" s="627"/>
      <c r="J270" s="627"/>
      <c r="K270" s="627"/>
      <c r="L270" s="627"/>
      <c r="M270" s="627"/>
      <c r="N270" s="627"/>
      <c r="O270" s="627"/>
      <c r="P270" s="627"/>
      <c r="Q270" s="627"/>
      <c r="R270" s="516">
        <v>7</v>
      </c>
      <c r="S270" s="628">
        <f>R270/$R$272</f>
        <v>8.1395348837209308E-2</v>
      </c>
      <c r="T270" s="517">
        <v>738</v>
      </c>
      <c r="U270" s="628">
        <f t="shared" si="7"/>
        <v>5.1873198847262249E-2</v>
      </c>
      <c r="V270" s="444"/>
      <c r="W270" s="446"/>
      <c r="X270" s="425"/>
    </row>
    <row r="271" spans="1:25" s="426" customFormat="1" x14ac:dyDescent="0.3">
      <c r="A271" s="443"/>
      <c r="B271" s="516"/>
      <c r="C271" s="627"/>
      <c r="D271" s="627"/>
      <c r="E271" s="627"/>
      <c r="F271" s="444"/>
      <c r="G271" s="628"/>
      <c r="H271" s="627"/>
      <c r="I271" s="627"/>
      <c r="J271" s="627"/>
      <c r="K271" s="627"/>
      <c r="L271" s="627"/>
      <c r="M271" s="627"/>
      <c r="N271" s="627"/>
      <c r="O271" s="627"/>
      <c r="P271" s="627"/>
      <c r="Q271" s="627"/>
      <c r="R271" s="516"/>
      <c r="S271" s="628"/>
      <c r="T271" s="517"/>
      <c r="U271" s="628"/>
      <c r="V271" s="444"/>
      <c r="W271" s="446"/>
      <c r="X271" s="425"/>
    </row>
    <row r="272" spans="1:25" s="426" customFormat="1" x14ac:dyDescent="0.3">
      <c r="A272" s="443"/>
      <c r="B272" s="444" t="s">
        <v>117</v>
      </c>
      <c r="C272" s="444"/>
      <c r="D272" s="444"/>
      <c r="E272" s="444"/>
      <c r="F272" s="444"/>
      <c r="G272" s="444"/>
      <c r="H272" s="629"/>
      <c r="I272" s="629"/>
      <c r="J272" s="629"/>
      <c r="K272" s="629"/>
      <c r="L272" s="629"/>
      <c r="M272" s="629"/>
      <c r="N272" s="629"/>
      <c r="O272" s="629"/>
      <c r="P272" s="629"/>
      <c r="Q272" s="629"/>
      <c r="R272" s="516">
        <f>SUM(R263:R271)</f>
        <v>86</v>
      </c>
      <c r="S272" s="628">
        <f>SUM(S263:S271)</f>
        <v>1</v>
      </c>
      <c r="T272" s="517">
        <f>SUM(T263:T271)</f>
        <v>14227</v>
      </c>
      <c r="U272" s="628">
        <f>SUM(U263:U271)</f>
        <v>1</v>
      </c>
      <c r="V272" s="444"/>
      <c r="W272" s="446"/>
      <c r="X272" s="425"/>
    </row>
    <row r="273" spans="1:24" x14ac:dyDescent="0.3">
      <c r="A273" s="408"/>
      <c r="B273" s="518"/>
      <c r="C273" s="518"/>
      <c r="D273" s="518"/>
      <c r="E273" s="518"/>
      <c r="F273" s="518"/>
      <c r="G273" s="518"/>
      <c r="H273" s="632"/>
      <c r="I273" s="632"/>
      <c r="J273" s="632"/>
      <c r="K273" s="632"/>
      <c r="L273" s="632"/>
      <c r="M273" s="632"/>
      <c r="N273" s="632"/>
      <c r="O273" s="632"/>
      <c r="P273" s="632"/>
      <c r="Q273" s="632"/>
      <c r="R273" s="519"/>
      <c r="S273" s="633"/>
      <c r="T273" s="634"/>
      <c r="U273" s="633"/>
      <c r="V273" s="518"/>
      <c r="W273" s="411"/>
      <c r="X273" s="406"/>
    </row>
    <row r="274" spans="1:24" x14ac:dyDescent="0.3">
      <c r="A274" s="653"/>
      <c r="B274" s="654" t="s">
        <v>404</v>
      </c>
      <c r="C274" s="658"/>
      <c r="D274" s="658"/>
      <c r="E274" s="658"/>
      <c r="F274" s="657"/>
      <c r="G274" s="658"/>
      <c r="H274" s="658"/>
      <c r="I274" s="658"/>
      <c r="J274" s="658"/>
      <c r="K274" s="658"/>
      <c r="L274" s="658"/>
      <c r="M274" s="658"/>
      <c r="N274" s="658"/>
      <c r="O274" s="658"/>
      <c r="P274" s="658"/>
      <c r="Q274" s="658"/>
      <c r="R274" s="657" t="s">
        <v>103</v>
      </c>
      <c r="S274" s="658" t="s">
        <v>104</v>
      </c>
      <c r="T274" s="657" t="s">
        <v>111</v>
      </c>
      <c r="U274" s="658" t="s">
        <v>104</v>
      </c>
      <c r="V274" s="658"/>
      <c r="W274" s="658"/>
      <c r="X274" s="406"/>
    </row>
    <row r="275" spans="1:24" x14ac:dyDescent="0.3">
      <c r="A275" s="675"/>
      <c r="B275" s="676" t="s">
        <v>405</v>
      </c>
      <c r="C275" s="676"/>
      <c r="D275" s="676"/>
      <c r="E275" s="676"/>
      <c r="F275" s="676"/>
      <c r="G275" s="676"/>
      <c r="H275" s="677"/>
      <c r="I275" s="677"/>
      <c r="J275" s="677"/>
      <c r="K275" s="677"/>
      <c r="L275" s="677"/>
      <c r="M275" s="677"/>
      <c r="N275" s="677"/>
      <c r="O275" s="677"/>
      <c r="P275" s="677"/>
      <c r="Q275" s="677"/>
      <c r="R275" s="679">
        <v>78</v>
      </c>
      <c r="S275" s="680">
        <f>R275/R282</f>
        <v>0.90697674418604646</v>
      </c>
      <c r="T275" s="564">
        <v>13011</v>
      </c>
      <c r="U275" s="680">
        <f>T275/T282</f>
        <v>0.914528713010473</v>
      </c>
      <c r="V275" s="677"/>
      <c r="W275" s="677"/>
      <c r="X275" s="406"/>
    </row>
    <row r="276" spans="1:24" x14ac:dyDescent="0.3">
      <c r="A276" s="675"/>
      <c r="B276" s="676" t="s">
        <v>406</v>
      </c>
      <c r="C276" s="676"/>
      <c r="D276" s="676"/>
      <c r="E276" s="676"/>
      <c r="F276" s="676"/>
      <c r="G276" s="676"/>
      <c r="H276" s="677"/>
      <c r="I276" s="677"/>
      <c r="J276" s="677"/>
      <c r="K276" s="677"/>
      <c r="L276" s="677"/>
      <c r="M276" s="677"/>
      <c r="N276" s="677"/>
      <c r="O276" s="677"/>
      <c r="P276" s="677"/>
      <c r="Q276" s="677"/>
      <c r="R276" s="679">
        <v>1</v>
      </c>
      <c r="S276" s="680">
        <f>R276/R282</f>
        <v>1.1627906976744186E-2</v>
      </c>
      <c r="T276" s="564">
        <v>156</v>
      </c>
      <c r="U276" s="680">
        <f>T276/T282</f>
        <v>1.0965066422998524E-2</v>
      </c>
      <c r="V276" s="677"/>
      <c r="W276" s="677"/>
      <c r="X276" s="406"/>
    </row>
    <row r="277" spans="1:24" x14ac:dyDescent="0.3">
      <c r="A277" s="675"/>
      <c r="B277" s="676" t="s">
        <v>407</v>
      </c>
      <c r="C277" s="676"/>
      <c r="D277" s="676"/>
      <c r="E277" s="676"/>
      <c r="F277" s="676"/>
      <c r="G277" s="676"/>
      <c r="H277" s="677"/>
      <c r="I277" s="677"/>
      <c r="J277" s="677"/>
      <c r="K277" s="677"/>
      <c r="L277" s="677"/>
      <c r="M277" s="677"/>
      <c r="N277" s="677"/>
      <c r="O277" s="677"/>
      <c r="P277" s="677"/>
      <c r="Q277" s="677"/>
      <c r="R277" s="679">
        <v>2</v>
      </c>
      <c r="S277" s="680">
        <f>R277/R282</f>
        <v>2.3255813953488372E-2</v>
      </c>
      <c r="T277" s="564">
        <v>657</v>
      </c>
      <c r="U277" s="680">
        <f>T277/T282</f>
        <v>4.6179798973782243E-2</v>
      </c>
      <c r="V277" s="677"/>
      <c r="W277" s="677"/>
      <c r="X277" s="406"/>
    </row>
    <row r="278" spans="1:24" x14ac:dyDescent="0.3">
      <c r="A278" s="675"/>
      <c r="B278" s="676" t="s">
        <v>408</v>
      </c>
      <c r="C278" s="676"/>
      <c r="D278" s="676"/>
      <c r="E278" s="676"/>
      <c r="F278" s="676"/>
      <c r="G278" s="676"/>
      <c r="H278" s="677"/>
      <c r="I278" s="677"/>
      <c r="J278" s="677"/>
      <c r="K278" s="677"/>
      <c r="L278" s="677"/>
      <c r="M278" s="677"/>
      <c r="N278" s="677"/>
      <c r="O278" s="677"/>
      <c r="P278" s="677"/>
      <c r="Q278" s="677"/>
      <c r="R278" s="679">
        <v>1</v>
      </c>
      <c r="S278" s="680">
        <f>R278/R282</f>
        <v>1.1627906976744186E-2</v>
      </c>
      <c r="T278" s="564">
        <v>48</v>
      </c>
      <c r="U278" s="680">
        <f>T278/T282</f>
        <v>3.3738665916918536E-3</v>
      </c>
      <c r="V278" s="677"/>
      <c r="W278" s="677"/>
      <c r="X278" s="406"/>
    </row>
    <row r="279" spans="1:24" x14ac:dyDescent="0.3">
      <c r="A279" s="675"/>
      <c r="B279" s="676" t="s">
        <v>409</v>
      </c>
      <c r="C279" s="676"/>
      <c r="D279" s="676"/>
      <c r="E279" s="676"/>
      <c r="F279" s="676"/>
      <c r="G279" s="676"/>
      <c r="H279" s="677"/>
      <c r="I279" s="677"/>
      <c r="J279" s="677"/>
      <c r="K279" s="677"/>
      <c r="L279" s="677"/>
      <c r="M279" s="677"/>
      <c r="N279" s="677"/>
      <c r="O279" s="677"/>
      <c r="P279" s="677"/>
      <c r="Q279" s="677"/>
      <c r="R279" s="679">
        <v>3</v>
      </c>
      <c r="S279" s="680">
        <f>R279/R282</f>
        <v>3.4883720930232558E-2</v>
      </c>
      <c r="T279" s="564">
        <v>274</v>
      </c>
      <c r="U279" s="680">
        <f>T279/T282</f>
        <v>1.925915512757433E-2</v>
      </c>
      <c r="V279" s="677"/>
      <c r="W279" s="677"/>
      <c r="X279" s="406"/>
    </row>
    <row r="280" spans="1:24" x14ac:dyDescent="0.3">
      <c r="A280" s="675"/>
      <c r="B280" s="678" t="s">
        <v>410</v>
      </c>
      <c r="C280" s="676"/>
      <c r="D280" s="676"/>
      <c r="E280" s="676"/>
      <c r="F280" s="676"/>
      <c r="G280" s="676"/>
      <c r="H280" s="677"/>
      <c r="I280" s="677"/>
      <c r="J280" s="677"/>
      <c r="K280" s="677"/>
      <c r="L280" s="677"/>
      <c r="M280" s="677"/>
      <c r="N280" s="677"/>
      <c r="O280" s="677"/>
      <c r="P280" s="677"/>
      <c r="Q280" s="677"/>
      <c r="R280" s="679">
        <v>1</v>
      </c>
      <c r="S280" s="680">
        <f>R280/R282</f>
        <v>1.1627906976744186E-2</v>
      </c>
      <c r="T280" s="564">
        <v>81</v>
      </c>
      <c r="U280" s="680">
        <f>T280/T282</f>
        <v>5.6933998734800028E-3</v>
      </c>
      <c r="V280" s="677"/>
      <c r="W280" s="677"/>
      <c r="X280" s="406"/>
    </row>
    <row r="281" spans="1:24" x14ac:dyDescent="0.3">
      <c r="A281" s="675"/>
      <c r="B281" s="676"/>
      <c r="C281" s="676"/>
      <c r="D281" s="676"/>
      <c r="E281" s="676"/>
      <c r="F281" s="676"/>
      <c r="G281" s="676"/>
      <c r="H281" s="677"/>
      <c r="I281" s="677"/>
      <c r="J281" s="677"/>
      <c r="K281" s="677"/>
      <c r="L281" s="677"/>
      <c r="M281" s="677"/>
      <c r="N281" s="677"/>
      <c r="O281" s="677"/>
      <c r="P281" s="677"/>
      <c r="Q281" s="677"/>
      <c r="R281" s="679"/>
      <c r="S281" s="680"/>
      <c r="T281" s="564"/>
      <c r="U281" s="680"/>
      <c r="V281" s="677"/>
      <c r="W281" s="677"/>
      <c r="X281" s="406"/>
    </row>
    <row r="282" spans="1:24" x14ac:dyDescent="0.3">
      <c r="A282" s="675"/>
      <c r="B282" s="676" t="s">
        <v>117</v>
      </c>
      <c r="C282" s="676"/>
      <c r="D282" s="676"/>
      <c r="E282" s="676"/>
      <c r="F282" s="676"/>
      <c r="G282" s="676"/>
      <c r="H282" s="677"/>
      <c r="I282" s="677"/>
      <c r="J282" s="677"/>
      <c r="K282" s="677"/>
      <c r="L282" s="677"/>
      <c r="M282" s="677"/>
      <c r="N282" s="677"/>
      <c r="O282" s="677"/>
      <c r="P282" s="677"/>
      <c r="Q282" s="677"/>
      <c r="R282" s="679">
        <f>SUM(R275:R281)</f>
        <v>86</v>
      </c>
      <c r="S282" s="680">
        <f>SUM(S275:S280)</f>
        <v>1</v>
      </c>
      <c r="T282" s="564">
        <f>SUM(T275:T280)</f>
        <v>14227</v>
      </c>
      <c r="U282" s="680">
        <f>SUM(U275:U281)</f>
        <v>1</v>
      </c>
      <c r="V282" s="677"/>
      <c r="W282" s="677"/>
      <c r="X282" s="406"/>
    </row>
    <row r="283" spans="1:24" x14ac:dyDescent="0.3">
      <c r="A283" s="408"/>
      <c r="B283" s="518"/>
      <c r="C283" s="518"/>
      <c r="D283" s="518"/>
      <c r="E283" s="518"/>
      <c r="F283" s="518"/>
      <c r="G283" s="518"/>
      <c r="H283" s="632"/>
      <c r="I283" s="632"/>
      <c r="J283" s="632"/>
      <c r="K283" s="632"/>
      <c r="L283" s="632"/>
      <c r="M283" s="632"/>
      <c r="N283" s="632"/>
      <c r="O283" s="632"/>
      <c r="P283" s="632"/>
      <c r="Q283" s="632"/>
      <c r="R283" s="519"/>
      <c r="S283" s="633"/>
      <c r="T283" s="634"/>
      <c r="U283" s="633"/>
      <c r="V283" s="518"/>
      <c r="W283" s="411"/>
      <c r="X283" s="406"/>
    </row>
    <row r="284" spans="1:24" x14ac:dyDescent="0.3">
      <c r="A284" s="533"/>
      <c r="B284" s="534" t="s">
        <v>166</v>
      </c>
      <c r="C284" s="622"/>
      <c r="D284" s="622"/>
      <c r="E284" s="622"/>
      <c r="F284" s="622"/>
      <c r="G284" s="622"/>
      <c r="H284" s="635"/>
      <c r="I284" s="635"/>
      <c r="J284" s="635"/>
      <c r="K284" s="635"/>
      <c r="L284" s="635"/>
      <c r="M284" s="635"/>
      <c r="N284" s="635"/>
      <c r="O284" s="635"/>
      <c r="P284" s="635"/>
      <c r="Q284" s="635"/>
      <c r="R284" s="621" t="s">
        <v>103</v>
      </c>
      <c r="S284" s="535" t="s">
        <v>104</v>
      </c>
      <c r="T284" s="621" t="s">
        <v>111</v>
      </c>
      <c r="U284" s="535" t="s">
        <v>104</v>
      </c>
      <c r="V284" s="622"/>
      <c r="W284" s="538"/>
      <c r="X284" s="406"/>
    </row>
    <row r="285" spans="1:24" s="426" customFormat="1" x14ac:dyDescent="0.3">
      <c r="A285" s="421"/>
      <c r="B285" s="552" t="s">
        <v>89</v>
      </c>
      <c r="C285" s="494"/>
      <c r="D285" s="494"/>
      <c r="E285" s="494"/>
      <c r="F285" s="494"/>
      <c r="G285" s="494"/>
      <c r="H285" s="636"/>
      <c r="I285" s="636"/>
      <c r="J285" s="636"/>
      <c r="K285" s="636"/>
      <c r="L285" s="636"/>
      <c r="M285" s="636"/>
      <c r="N285" s="636"/>
      <c r="O285" s="636"/>
      <c r="P285" s="636"/>
      <c r="Q285" s="636"/>
      <c r="R285" s="552">
        <v>0</v>
      </c>
      <c r="S285" s="630">
        <v>0</v>
      </c>
      <c r="T285" s="631">
        <v>0</v>
      </c>
      <c r="U285" s="630">
        <v>0</v>
      </c>
      <c r="V285" s="494"/>
      <c r="W285" s="424"/>
      <c r="X285" s="425"/>
    </row>
    <row r="286" spans="1:24" s="426" customFormat="1" x14ac:dyDescent="0.3">
      <c r="A286" s="443"/>
      <c r="B286" s="516" t="s">
        <v>90</v>
      </c>
      <c r="C286" s="444"/>
      <c r="D286" s="444"/>
      <c r="E286" s="444"/>
      <c r="F286" s="444"/>
      <c r="G286" s="444"/>
      <c r="H286" s="629"/>
      <c r="I286" s="629"/>
      <c r="J286" s="629"/>
      <c r="K286" s="629"/>
      <c r="L286" s="629"/>
      <c r="M286" s="629"/>
      <c r="N286" s="629"/>
      <c r="O286" s="629"/>
      <c r="P286" s="629"/>
      <c r="Q286" s="629"/>
      <c r="R286" s="516">
        <v>0</v>
      </c>
      <c r="S286" s="628">
        <v>0</v>
      </c>
      <c r="T286" s="517">
        <v>0</v>
      </c>
      <c r="U286" s="628">
        <v>0</v>
      </c>
      <c r="V286" s="444"/>
      <c r="W286" s="446"/>
      <c r="X286" s="425"/>
    </row>
    <row r="287" spans="1:24" s="426" customFormat="1" x14ac:dyDescent="0.3">
      <c r="A287" s="443"/>
      <c r="B287" s="516" t="s">
        <v>91</v>
      </c>
      <c r="C287" s="444"/>
      <c r="D287" s="444"/>
      <c r="E287" s="444"/>
      <c r="F287" s="444"/>
      <c r="G287" s="444"/>
      <c r="H287" s="629"/>
      <c r="I287" s="629"/>
      <c r="J287" s="629"/>
      <c r="K287" s="629"/>
      <c r="L287" s="629"/>
      <c r="M287" s="629"/>
      <c r="N287" s="629"/>
      <c r="O287" s="629"/>
      <c r="P287" s="629"/>
      <c r="Q287" s="629"/>
      <c r="R287" s="516">
        <v>0</v>
      </c>
      <c r="S287" s="628">
        <v>0</v>
      </c>
      <c r="T287" s="517">
        <v>0</v>
      </c>
      <c r="U287" s="628">
        <v>0</v>
      </c>
      <c r="V287" s="444"/>
      <c r="W287" s="446"/>
      <c r="X287" s="425"/>
    </row>
    <row r="288" spans="1:24" s="426" customFormat="1" x14ac:dyDescent="0.3">
      <c r="A288" s="443"/>
      <c r="B288" s="516" t="s">
        <v>159</v>
      </c>
      <c r="C288" s="444"/>
      <c r="D288" s="444"/>
      <c r="E288" s="444"/>
      <c r="F288" s="444"/>
      <c r="G288" s="444"/>
      <c r="H288" s="629"/>
      <c r="I288" s="629"/>
      <c r="J288" s="629"/>
      <c r="K288" s="629"/>
      <c r="L288" s="629"/>
      <c r="M288" s="629"/>
      <c r="N288" s="629"/>
      <c r="O288" s="629"/>
      <c r="P288" s="629"/>
      <c r="Q288" s="629"/>
      <c r="R288" s="516">
        <v>0</v>
      </c>
      <c r="S288" s="628">
        <v>0</v>
      </c>
      <c r="T288" s="517">
        <v>0</v>
      </c>
      <c r="U288" s="628">
        <v>0</v>
      </c>
      <c r="V288" s="444"/>
      <c r="W288" s="446"/>
      <c r="X288" s="425"/>
    </row>
    <row r="289" spans="1:24" s="426" customFormat="1" x14ac:dyDescent="0.3">
      <c r="A289" s="443"/>
      <c r="B289" s="516" t="s">
        <v>160</v>
      </c>
      <c r="C289" s="444"/>
      <c r="D289" s="444"/>
      <c r="E289" s="444"/>
      <c r="F289" s="444"/>
      <c r="G289" s="444"/>
      <c r="H289" s="629"/>
      <c r="I289" s="629"/>
      <c r="J289" s="629"/>
      <c r="K289" s="629"/>
      <c r="L289" s="629"/>
      <c r="M289" s="629"/>
      <c r="N289" s="629"/>
      <c r="O289" s="629"/>
      <c r="P289" s="629"/>
      <c r="Q289" s="629"/>
      <c r="R289" s="516">
        <v>0</v>
      </c>
      <c r="S289" s="628">
        <v>0</v>
      </c>
      <c r="T289" s="517">
        <v>0</v>
      </c>
      <c r="U289" s="628">
        <v>0</v>
      </c>
      <c r="V289" s="444"/>
      <c r="W289" s="446"/>
      <c r="X289" s="425"/>
    </row>
    <row r="290" spans="1:24" s="426" customFormat="1" x14ac:dyDescent="0.3">
      <c r="A290" s="443"/>
      <c r="B290" s="516" t="s">
        <v>161</v>
      </c>
      <c r="C290" s="444"/>
      <c r="D290" s="444"/>
      <c r="E290" s="444"/>
      <c r="F290" s="444"/>
      <c r="G290" s="444"/>
      <c r="H290" s="629"/>
      <c r="I290" s="629"/>
      <c r="J290" s="629"/>
      <c r="K290" s="629"/>
      <c r="L290" s="629"/>
      <c r="M290" s="629"/>
      <c r="N290" s="629"/>
      <c r="O290" s="629"/>
      <c r="P290" s="629"/>
      <c r="Q290" s="629"/>
      <c r="R290" s="516">
        <v>0</v>
      </c>
      <c r="S290" s="628">
        <v>0</v>
      </c>
      <c r="T290" s="517">
        <v>0</v>
      </c>
      <c r="U290" s="628">
        <v>0</v>
      </c>
      <c r="V290" s="444"/>
      <c r="W290" s="446"/>
      <c r="X290" s="425"/>
    </row>
    <row r="291" spans="1:24" s="426" customFormat="1" x14ac:dyDescent="0.3">
      <c r="A291" s="443"/>
      <c r="B291" s="516" t="s">
        <v>162</v>
      </c>
      <c r="C291" s="444"/>
      <c r="D291" s="444"/>
      <c r="E291" s="444"/>
      <c r="F291" s="444"/>
      <c r="G291" s="444"/>
      <c r="H291" s="629"/>
      <c r="I291" s="629"/>
      <c r="J291" s="629"/>
      <c r="K291" s="629"/>
      <c r="L291" s="629"/>
      <c r="M291" s="629"/>
      <c r="N291" s="629"/>
      <c r="O291" s="629"/>
      <c r="P291" s="629"/>
      <c r="Q291" s="629"/>
      <c r="R291" s="516">
        <v>0</v>
      </c>
      <c r="S291" s="628">
        <v>0</v>
      </c>
      <c r="T291" s="517">
        <v>0</v>
      </c>
      <c r="U291" s="628">
        <v>0</v>
      </c>
      <c r="V291" s="444"/>
      <c r="W291" s="446"/>
      <c r="X291" s="425"/>
    </row>
    <row r="292" spans="1:24" s="426" customFormat="1" x14ac:dyDescent="0.3">
      <c r="A292" s="443"/>
      <c r="B292" s="516" t="s">
        <v>163</v>
      </c>
      <c r="C292" s="444"/>
      <c r="D292" s="444"/>
      <c r="E292" s="444"/>
      <c r="F292" s="444"/>
      <c r="G292" s="444"/>
      <c r="H292" s="629"/>
      <c r="I292" s="629"/>
      <c r="J292" s="629"/>
      <c r="K292" s="629"/>
      <c r="L292" s="629"/>
      <c r="M292" s="629"/>
      <c r="N292" s="629"/>
      <c r="O292" s="629"/>
      <c r="P292" s="629"/>
      <c r="Q292" s="629"/>
      <c r="R292" s="516">
        <v>0</v>
      </c>
      <c r="S292" s="628">
        <v>0</v>
      </c>
      <c r="T292" s="517">
        <v>0</v>
      </c>
      <c r="U292" s="628">
        <v>0</v>
      </c>
      <c r="V292" s="444"/>
      <c r="W292" s="446"/>
      <c r="X292" s="425"/>
    </row>
    <row r="293" spans="1:24" s="426" customFormat="1" x14ac:dyDescent="0.3">
      <c r="A293" s="443"/>
      <c r="B293" s="516"/>
      <c r="C293" s="444"/>
      <c r="D293" s="444"/>
      <c r="E293" s="444"/>
      <c r="F293" s="444"/>
      <c r="G293" s="444"/>
      <c r="H293" s="629"/>
      <c r="I293" s="629"/>
      <c r="J293" s="629"/>
      <c r="K293" s="629"/>
      <c r="L293" s="629"/>
      <c r="M293" s="629"/>
      <c r="N293" s="629"/>
      <c r="O293" s="629"/>
      <c r="P293" s="629"/>
      <c r="Q293" s="629"/>
      <c r="R293" s="516"/>
      <c r="S293" s="628"/>
      <c r="T293" s="517"/>
      <c r="U293" s="628"/>
      <c r="V293" s="444"/>
      <c r="W293" s="446"/>
      <c r="X293" s="425"/>
    </row>
    <row r="294" spans="1:24" s="426" customFormat="1" x14ac:dyDescent="0.3">
      <c r="A294" s="443"/>
      <c r="B294" s="444" t="s">
        <v>117</v>
      </c>
      <c r="C294" s="444"/>
      <c r="D294" s="444"/>
      <c r="E294" s="444"/>
      <c r="F294" s="444"/>
      <c r="G294" s="444"/>
      <c r="H294" s="629"/>
      <c r="I294" s="629"/>
      <c r="J294" s="629"/>
      <c r="K294" s="629"/>
      <c r="L294" s="629"/>
      <c r="M294" s="629"/>
      <c r="N294" s="629"/>
      <c r="O294" s="629"/>
      <c r="P294" s="629"/>
      <c r="Q294" s="629"/>
      <c r="R294" s="516">
        <f>SUM(R285:R292)</f>
        <v>0</v>
      </c>
      <c r="S294" s="628">
        <f>SUM(S285:S292)</f>
        <v>0</v>
      </c>
      <c r="T294" s="517">
        <f>SUM(T285:T292)</f>
        <v>0</v>
      </c>
      <c r="U294" s="628">
        <f>SUM(U285:U292)</f>
        <v>0</v>
      </c>
      <c r="V294" s="444"/>
      <c r="W294" s="446"/>
      <c r="X294" s="425"/>
    </row>
    <row r="295" spans="1:24" s="426" customFormat="1" x14ac:dyDescent="0.3">
      <c r="A295" s="443"/>
      <c r="B295" s="444"/>
      <c r="C295" s="444"/>
      <c r="D295" s="444"/>
      <c r="E295" s="444"/>
      <c r="F295" s="444"/>
      <c r="G295" s="444"/>
      <c r="H295" s="629"/>
      <c r="I295" s="629"/>
      <c r="J295" s="629"/>
      <c r="K295" s="629"/>
      <c r="L295" s="629"/>
      <c r="M295" s="629"/>
      <c r="N295" s="629"/>
      <c r="O295" s="629"/>
      <c r="P295" s="629"/>
      <c r="Q295" s="629"/>
      <c r="R295" s="516"/>
      <c r="S295" s="628"/>
      <c r="T295" s="517"/>
      <c r="U295" s="628"/>
      <c r="V295" s="444"/>
      <c r="W295" s="446"/>
      <c r="X295" s="425"/>
    </row>
    <row r="296" spans="1:24" s="426" customFormat="1" x14ac:dyDescent="0.3">
      <c r="A296" s="443"/>
      <c r="B296" s="449" t="s">
        <v>167</v>
      </c>
      <c r="C296" s="444"/>
      <c r="D296" s="444"/>
      <c r="E296" s="444"/>
      <c r="F296" s="444"/>
      <c r="G296" s="444"/>
      <c r="H296" s="629"/>
      <c r="I296" s="629"/>
      <c r="J296" s="629"/>
      <c r="K296" s="629"/>
      <c r="L296" s="629"/>
      <c r="M296" s="629"/>
      <c r="N296" s="629"/>
      <c r="O296" s="629"/>
      <c r="P296" s="629"/>
      <c r="Q296" s="629"/>
      <c r="R296" s="637">
        <f>R294+R272+R260</f>
        <v>5151</v>
      </c>
      <c r="S296" s="628"/>
      <c r="T296" s="638">
        <f>+T294+T272+T260</f>
        <v>658717</v>
      </c>
      <c r="U296" s="628"/>
      <c r="V296" s="444"/>
      <c r="W296" s="446"/>
      <c r="X296" s="425"/>
    </row>
    <row r="297" spans="1:24" s="426" customFormat="1" x14ac:dyDescent="0.3">
      <c r="A297" s="421"/>
      <c r="B297" s="650"/>
      <c r="C297" s="494"/>
      <c r="D297" s="494"/>
      <c r="E297" s="494"/>
      <c r="F297" s="494"/>
      <c r="G297" s="494"/>
      <c r="H297" s="636"/>
      <c r="I297" s="636"/>
      <c r="J297" s="636"/>
      <c r="K297" s="636"/>
      <c r="L297" s="636"/>
      <c r="M297" s="636"/>
      <c r="N297" s="636"/>
      <c r="O297" s="636"/>
      <c r="P297" s="636"/>
      <c r="Q297" s="636"/>
      <c r="R297" s="651"/>
      <c r="S297" s="630"/>
      <c r="T297" s="652"/>
      <c r="U297" s="630"/>
      <c r="V297" s="494"/>
      <c r="W297" s="424"/>
      <c r="X297" s="425"/>
    </row>
    <row r="298" spans="1:24" s="426" customFormat="1" x14ac:dyDescent="0.3">
      <c r="A298" s="653" t="s">
        <v>390</v>
      </c>
      <c r="B298" s="654" t="s">
        <v>389</v>
      </c>
      <c r="C298" s="655"/>
      <c r="D298" s="655"/>
      <c r="E298" s="655"/>
      <c r="F298" s="655"/>
      <c r="G298" s="655"/>
      <c r="H298" s="656"/>
      <c r="I298" s="656"/>
      <c r="J298" s="656"/>
      <c r="K298" s="656"/>
      <c r="L298" s="656"/>
      <c r="M298" s="656"/>
      <c r="N298" s="656"/>
      <c r="O298" s="635"/>
      <c r="P298" s="635"/>
      <c r="Q298" s="635"/>
      <c r="R298" s="657" t="s">
        <v>103</v>
      </c>
      <c r="S298" s="658" t="s">
        <v>104</v>
      </c>
      <c r="T298" s="657" t="s">
        <v>111</v>
      </c>
      <c r="U298" s="658" t="s">
        <v>104</v>
      </c>
      <c r="V298" s="654" t="s">
        <v>419</v>
      </c>
      <c r="W298" s="538"/>
      <c r="X298" s="425"/>
    </row>
    <row r="299" spans="1:24" s="426" customFormat="1" x14ac:dyDescent="0.3">
      <c r="A299" s="659"/>
      <c r="B299" s="660" t="s">
        <v>89</v>
      </c>
      <c r="C299" s="661"/>
      <c r="D299" s="661"/>
      <c r="E299" s="661"/>
      <c r="F299" s="661"/>
      <c r="G299" s="661"/>
      <c r="H299" s="662"/>
      <c r="I299" s="662"/>
      <c r="J299" s="662"/>
      <c r="K299" s="662"/>
      <c r="L299" s="662"/>
      <c r="M299" s="662"/>
      <c r="N299" s="662"/>
      <c r="O299" s="636"/>
      <c r="P299" s="636"/>
      <c r="Q299" s="636"/>
      <c r="R299" s="660">
        <v>219</v>
      </c>
      <c r="S299" s="663">
        <f>R299/$R$308</f>
        <v>0.98206278026905824</v>
      </c>
      <c r="T299" s="664">
        <v>37027</v>
      </c>
      <c r="U299" s="663">
        <f>T299/$T$308</f>
        <v>0.98952403859002114</v>
      </c>
      <c r="V299" s="494"/>
      <c r="W299" s="424"/>
      <c r="X299" s="425"/>
    </row>
    <row r="300" spans="1:24" s="426" customFormat="1" x14ac:dyDescent="0.3">
      <c r="A300" s="665"/>
      <c r="B300" s="666" t="s">
        <v>90</v>
      </c>
      <c r="C300" s="667"/>
      <c r="D300" s="667"/>
      <c r="E300" s="667"/>
      <c r="F300" s="667"/>
      <c r="G300" s="667"/>
      <c r="H300" s="668"/>
      <c r="I300" s="668"/>
      <c r="J300" s="668"/>
      <c r="K300" s="668"/>
      <c r="L300" s="668"/>
      <c r="M300" s="668"/>
      <c r="N300" s="668"/>
      <c r="O300" s="629"/>
      <c r="P300" s="629"/>
      <c r="Q300" s="629"/>
      <c r="R300" s="666">
        <v>1</v>
      </c>
      <c r="S300" s="672">
        <f t="shared" ref="S300:S306" si="9">R300/$R$308</f>
        <v>4.4843049327354259E-3</v>
      </c>
      <c r="T300" s="670">
        <v>98</v>
      </c>
      <c r="U300" s="669">
        <f t="shared" ref="U300:U306" si="10">T300/$T$308</f>
        <v>2.6189903524947221E-3</v>
      </c>
      <c r="V300" s="444"/>
      <c r="W300" s="446"/>
      <c r="X300" s="425"/>
    </row>
    <row r="301" spans="1:24" s="426" customFormat="1" x14ac:dyDescent="0.3">
      <c r="A301" s="665"/>
      <c r="B301" s="666" t="s">
        <v>91</v>
      </c>
      <c r="C301" s="667"/>
      <c r="D301" s="667"/>
      <c r="E301" s="667"/>
      <c r="F301" s="667"/>
      <c r="G301" s="667"/>
      <c r="H301" s="668"/>
      <c r="I301" s="668"/>
      <c r="J301" s="668"/>
      <c r="K301" s="668"/>
      <c r="L301" s="668"/>
      <c r="M301" s="668"/>
      <c r="N301" s="668"/>
      <c r="O301" s="629"/>
      <c r="P301" s="629"/>
      <c r="Q301" s="629"/>
      <c r="R301" s="666">
        <v>3</v>
      </c>
      <c r="S301" s="672">
        <f t="shared" si="9"/>
        <v>1.3452914798206279E-2</v>
      </c>
      <c r="T301" s="670">
        <v>294</v>
      </c>
      <c r="U301" s="669">
        <f t="shared" si="10"/>
        <v>7.8569710574841658E-3</v>
      </c>
      <c r="V301" s="444"/>
      <c r="W301" s="446"/>
      <c r="X301" s="425"/>
    </row>
    <row r="302" spans="1:24" s="426" customFormat="1" x14ac:dyDescent="0.3">
      <c r="A302" s="665"/>
      <c r="B302" s="666" t="s">
        <v>159</v>
      </c>
      <c r="C302" s="667"/>
      <c r="D302" s="667"/>
      <c r="E302" s="667"/>
      <c r="F302" s="667"/>
      <c r="G302" s="667"/>
      <c r="H302" s="668"/>
      <c r="I302" s="668"/>
      <c r="J302" s="668"/>
      <c r="K302" s="668"/>
      <c r="L302" s="668"/>
      <c r="M302" s="668"/>
      <c r="N302" s="668"/>
      <c r="O302" s="629"/>
      <c r="P302" s="629"/>
      <c r="Q302" s="629"/>
      <c r="R302" s="666">
        <v>0</v>
      </c>
      <c r="S302" s="672">
        <f t="shared" si="9"/>
        <v>0</v>
      </c>
      <c r="T302" s="670">
        <v>0</v>
      </c>
      <c r="U302" s="669">
        <f t="shared" si="10"/>
        <v>0</v>
      </c>
      <c r="V302" s="444"/>
      <c r="W302" s="446"/>
      <c r="X302" s="425"/>
    </row>
    <row r="303" spans="1:24" s="426" customFormat="1" x14ac:dyDescent="0.3">
      <c r="A303" s="665"/>
      <c r="B303" s="666" t="s">
        <v>160</v>
      </c>
      <c r="C303" s="667"/>
      <c r="D303" s="667"/>
      <c r="E303" s="667"/>
      <c r="F303" s="667"/>
      <c r="G303" s="667"/>
      <c r="H303" s="668"/>
      <c r="I303" s="668"/>
      <c r="J303" s="668"/>
      <c r="K303" s="668"/>
      <c r="L303" s="668"/>
      <c r="M303" s="668"/>
      <c r="N303" s="668"/>
      <c r="O303" s="629"/>
      <c r="P303" s="629"/>
      <c r="Q303" s="629"/>
      <c r="R303" s="666">
        <v>0</v>
      </c>
      <c r="S303" s="672">
        <f t="shared" si="9"/>
        <v>0</v>
      </c>
      <c r="T303" s="670">
        <v>0</v>
      </c>
      <c r="U303" s="669">
        <f t="shared" si="10"/>
        <v>0</v>
      </c>
      <c r="V303" s="444"/>
      <c r="W303" s="446"/>
      <c r="X303" s="425"/>
    </row>
    <row r="304" spans="1:24" s="426" customFormat="1" x14ac:dyDescent="0.3">
      <c r="A304" s="665"/>
      <c r="B304" s="666" t="s">
        <v>161</v>
      </c>
      <c r="C304" s="667"/>
      <c r="D304" s="667"/>
      <c r="E304" s="667"/>
      <c r="F304" s="667"/>
      <c r="G304" s="667"/>
      <c r="H304" s="668"/>
      <c r="I304" s="668"/>
      <c r="J304" s="668"/>
      <c r="K304" s="668"/>
      <c r="L304" s="668"/>
      <c r="M304" s="668"/>
      <c r="N304" s="668"/>
      <c r="O304" s="629"/>
      <c r="P304" s="629"/>
      <c r="Q304" s="629"/>
      <c r="R304" s="666">
        <v>0</v>
      </c>
      <c r="S304" s="672">
        <f t="shared" si="9"/>
        <v>0</v>
      </c>
      <c r="T304" s="670">
        <v>0</v>
      </c>
      <c r="U304" s="669">
        <f t="shared" si="10"/>
        <v>0</v>
      </c>
      <c r="V304" s="444"/>
      <c r="W304" s="446"/>
      <c r="X304" s="425"/>
    </row>
    <row r="305" spans="1:24" s="426" customFormat="1" x14ac:dyDescent="0.3">
      <c r="A305" s="665"/>
      <c r="B305" s="666" t="s">
        <v>162</v>
      </c>
      <c r="C305" s="667"/>
      <c r="D305" s="667"/>
      <c r="E305" s="667"/>
      <c r="F305" s="667"/>
      <c r="G305" s="667"/>
      <c r="H305" s="668"/>
      <c r="I305" s="668"/>
      <c r="J305" s="668"/>
      <c r="K305" s="668"/>
      <c r="L305" s="668"/>
      <c r="M305" s="668"/>
      <c r="N305" s="668"/>
      <c r="O305" s="629"/>
      <c r="P305" s="629"/>
      <c r="Q305" s="629"/>
      <c r="R305" s="666">
        <v>0</v>
      </c>
      <c r="S305" s="672">
        <f t="shared" si="9"/>
        <v>0</v>
      </c>
      <c r="T305" s="670">
        <v>0</v>
      </c>
      <c r="U305" s="669">
        <f t="shared" si="10"/>
        <v>0</v>
      </c>
      <c r="V305" s="444"/>
      <c r="W305" s="446"/>
      <c r="X305" s="425"/>
    </row>
    <row r="306" spans="1:24" s="426" customFormat="1" x14ac:dyDescent="0.3">
      <c r="A306" s="665"/>
      <c r="B306" s="666" t="s">
        <v>163</v>
      </c>
      <c r="C306" s="667"/>
      <c r="D306" s="667"/>
      <c r="E306" s="667"/>
      <c r="F306" s="667"/>
      <c r="G306" s="667"/>
      <c r="H306" s="668"/>
      <c r="I306" s="668"/>
      <c r="J306" s="668"/>
      <c r="K306" s="668"/>
      <c r="L306" s="668"/>
      <c r="M306" s="668"/>
      <c r="N306" s="668"/>
      <c r="O306" s="629"/>
      <c r="P306" s="629"/>
      <c r="Q306" s="629"/>
      <c r="R306" s="666">
        <v>0</v>
      </c>
      <c r="S306" s="663">
        <f t="shared" si="9"/>
        <v>0</v>
      </c>
      <c r="T306" s="670">
        <v>0</v>
      </c>
      <c r="U306" s="669">
        <f t="shared" si="10"/>
        <v>0</v>
      </c>
      <c r="V306" s="444"/>
      <c r="W306" s="446"/>
      <c r="X306" s="425"/>
    </row>
    <row r="307" spans="1:24" s="426" customFormat="1" x14ac:dyDescent="0.3">
      <c r="A307" s="665"/>
      <c r="B307" s="666"/>
      <c r="C307" s="667"/>
      <c r="D307" s="667"/>
      <c r="E307" s="667"/>
      <c r="F307" s="667"/>
      <c r="G307" s="667"/>
      <c r="H307" s="668"/>
      <c r="I307" s="668"/>
      <c r="J307" s="668"/>
      <c r="K307" s="668"/>
      <c r="L307" s="668"/>
      <c r="M307" s="668"/>
      <c r="N307" s="668"/>
      <c r="O307" s="629"/>
      <c r="P307" s="629"/>
      <c r="Q307" s="629"/>
      <c r="R307" s="666"/>
      <c r="S307" s="669"/>
      <c r="T307" s="670"/>
      <c r="U307" s="669"/>
      <c r="V307" s="444"/>
      <c r="W307" s="446"/>
      <c r="X307" s="425"/>
    </row>
    <row r="308" spans="1:24" s="426" customFormat="1" x14ac:dyDescent="0.3">
      <c r="A308" s="665"/>
      <c r="B308" s="667" t="s">
        <v>117</v>
      </c>
      <c r="C308" s="667"/>
      <c r="D308" s="667"/>
      <c r="E308" s="667"/>
      <c r="F308" s="667"/>
      <c r="G308" s="667"/>
      <c r="H308" s="668"/>
      <c r="I308" s="668"/>
      <c r="J308" s="668"/>
      <c r="K308" s="668"/>
      <c r="L308" s="668"/>
      <c r="M308" s="668"/>
      <c r="N308" s="668"/>
      <c r="O308" s="629"/>
      <c r="P308" s="629"/>
      <c r="Q308" s="629"/>
      <c r="R308" s="666">
        <f>SUM(R299:R306)</f>
        <v>223</v>
      </c>
      <c r="S308" s="669">
        <f>SUM(S299:S307)</f>
        <v>1</v>
      </c>
      <c r="T308" s="670">
        <f>SUM(T299:T306)</f>
        <v>37419</v>
      </c>
      <c r="U308" s="669">
        <f>SUM(U299:U307)</f>
        <v>1</v>
      </c>
      <c r="V308" s="444"/>
      <c r="W308" s="446"/>
      <c r="X308" s="425"/>
    </row>
    <row r="309" spans="1:24" s="426" customFormat="1" ht="16.2" thickBot="1" x14ac:dyDescent="0.35">
      <c r="A309" s="665"/>
      <c r="B309" s="667" t="s">
        <v>411</v>
      </c>
      <c r="C309" s="667"/>
      <c r="D309" s="667"/>
      <c r="E309" s="667"/>
      <c r="F309" s="667"/>
      <c r="G309" s="667"/>
      <c r="H309" s="668"/>
      <c r="I309" s="668"/>
      <c r="J309" s="668"/>
      <c r="K309" s="668"/>
      <c r="L309" s="668"/>
      <c r="M309" s="668"/>
      <c r="N309" s="668"/>
      <c r="O309" s="629"/>
      <c r="P309" s="629"/>
      <c r="Q309" s="629"/>
      <c r="R309" s="683"/>
      <c r="S309" s="684">
        <f>R308/R296</f>
        <v>4.3292564550572704E-2</v>
      </c>
      <c r="T309" s="685"/>
      <c r="U309" s="684">
        <f>T308/T296</f>
        <v>5.6805881736770113E-2</v>
      </c>
      <c r="V309" s="686"/>
      <c r="W309" s="446"/>
      <c r="X309" s="425"/>
    </row>
    <row r="310" spans="1:24" s="426" customFormat="1" ht="16.2" thickTop="1" x14ac:dyDescent="0.3">
      <c r="A310" s="665"/>
      <c r="B310" s="667" t="s">
        <v>420</v>
      </c>
      <c r="C310" s="667"/>
      <c r="D310" s="667"/>
      <c r="E310" s="667"/>
      <c r="F310" s="667"/>
      <c r="G310" s="667"/>
      <c r="H310" s="668"/>
      <c r="I310" s="668"/>
      <c r="J310" s="668"/>
      <c r="K310" s="668"/>
      <c r="L310" s="668"/>
      <c r="M310" s="668"/>
      <c r="N310" s="668"/>
      <c r="O310" s="629"/>
      <c r="P310" s="629"/>
      <c r="Q310" s="629"/>
      <c r="R310" s="687">
        <v>2</v>
      </c>
      <c r="S310" s="688">
        <f>R310/R308</f>
        <v>8.9686098654708519E-3</v>
      </c>
      <c r="T310" s="689">
        <v>849</v>
      </c>
      <c r="U310" s="688">
        <f>T310/T308</f>
        <v>2.2689008257836929E-2</v>
      </c>
      <c r="V310" s="690">
        <v>0</v>
      </c>
      <c r="W310" s="446"/>
      <c r="X310" s="425"/>
    </row>
    <row r="311" spans="1:24" s="426" customFormat="1" ht="16.2" thickBot="1" x14ac:dyDescent="0.35">
      <c r="A311" s="665"/>
      <c r="B311" s="667" t="s">
        <v>421</v>
      </c>
      <c r="C311" s="667"/>
      <c r="D311" s="667"/>
      <c r="E311" s="667"/>
      <c r="F311" s="667"/>
      <c r="G311" s="667"/>
      <c r="H311" s="668"/>
      <c r="I311" s="668"/>
      <c r="J311" s="668"/>
      <c r="K311" s="668"/>
      <c r="L311" s="668"/>
      <c r="M311" s="668"/>
      <c r="N311" s="668"/>
      <c r="O311" s="629"/>
      <c r="P311" s="629"/>
      <c r="Q311" s="629"/>
      <c r="R311" s="691">
        <v>221</v>
      </c>
      <c r="S311" s="692">
        <f>R311/R308</f>
        <v>0.99103139013452912</v>
      </c>
      <c r="T311" s="693">
        <v>36570</v>
      </c>
      <c r="U311" s="692">
        <f>T311/T308</f>
        <v>0.97731099174216307</v>
      </c>
      <c r="V311" s="694">
        <v>0.1706320245219676</v>
      </c>
      <c r="W311" s="446"/>
      <c r="X311" s="425"/>
    </row>
    <row r="312" spans="1:24" s="426" customFormat="1" ht="16.2" thickTop="1" x14ac:dyDescent="0.3">
      <c r="A312" s="421"/>
      <c r="B312" s="494"/>
      <c r="C312" s="494"/>
      <c r="D312" s="494"/>
      <c r="E312" s="494"/>
      <c r="F312" s="494"/>
      <c r="G312" s="494"/>
      <c r="H312" s="636"/>
      <c r="I312" s="636"/>
      <c r="J312" s="636"/>
      <c r="K312" s="636"/>
      <c r="L312" s="636"/>
      <c r="M312" s="636"/>
      <c r="N312" s="636"/>
      <c r="O312" s="671"/>
      <c r="P312" s="671"/>
      <c r="Q312" s="636"/>
      <c r="R312" s="636"/>
      <c r="S312" s="636"/>
      <c r="T312" s="631"/>
      <c r="U312" s="636"/>
      <c r="V312" s="494"/>
      <c r="W312" s="424"/>
      <c r="X312" s="425"/>
    </row>
    <row r="313" spans="1:24" s="426" customFormat="1" x14ac:dyDescent="0.3">
      <c r="A313" s="421"/>
      <c r="B313" s="420" t="s">
        <v>92</v>
      </c>
      <c r="C313" s="422"/>
      <c r="D313" s="422"/>
      <c r="E313" s="422"/>
      <c r="F313" s="429" t="s">
        <v>98</v>
      </c>
      <c r="G313" s="422"/>
      <c r="H313" s="420" t="s">
        <v>100</v>
      </c>
      <c r="I313" s="420"/>
      <c r="J313" s="420"/>
      <c r="K313" s="422"/>
      <c r="L313" s="422"/>
      <c r="M313" s="422"/>
      <c r="N313" s="422"/>
      <c r="O313" s="422"/>
      <c r="P313" s="422"/>
      <c r="Q313" s="422"/>
      <c r="R313" s="422"/>
      <c r="S313" s="422"/>
      <c r="T313" s="422"/>
      <c r="U313" s="422"/>
      <c r="V313" s="422"/>
      <c r="W313" s="424"/>
      <c r="X313" s="425"/>
    </row>
    <row r="314" spans="1:24" s="426" customFormat="1" x14ac:dyDescent="0.3">
      <c r="A314" s="421"/>
      <c r="B314" s="420" t="s">
        <v>336</v>
      </c>
      <c r="C314" s="420"/>
      <c r="D314" s="420"/>
      <c r="E314" s="420"/>
      <c r="F314" s="641" t="s">
        <v>282</v>
      </c>
      <c r="G314" s="420"/>
      <c r="H314" s="420" t="s">
        <v>371</v>
      </c>
      <c r="I314" s="422"/>
      <c r="J314" s="420"/>
      <c r="K314" s="422"/>
      <c r="L314" s="422"/>
      <c r="M314" s="422"/>
      <c r="N314" s="422"/>
      <c r="O314" s="422"/>
      <c r="P314" s="422"/>
      <c r="Q314" s="422"/>
      <c r="R314" s="422"/>
      <c r="S314" s="422"/>
      <c r="T314" s="422"/>
      <c r="U314" s="422"/>
      <c r="V314" s="422"/>
      <c r="W314" s="424"/>
      <c r="X314" s="425"/>
    </row>
    <row r="315" spans="1:24" s="426" customFormat="1" x14ac:dyDescent="0.3">
      <c r="A315" s="421"/>
      <c r="B315" s="420" t="s">
        <v>337</v>
      </c>
      <c r="C315" s="420"/>
      <c r="D315" s="420"/>
      <c r="E315" s="420"/>
      <c r="F315" s="641" t="s">
        <v>150</v>
      </c>
      <c r="G315" s="420"/>
      <c r="H315" s="420" t="s">
        <v>372</v>
      </c>
      <c r="I315" s="420"/>
      <c r="J315" s="420"/>
      <c r="K315" s="422"/>
      <c r="L315" s="422"/>
      <c r="M315" s="422"/>
      <c r="N315" s="422"/>
      <c r="O315" s="422"/>
      <c r="P315" s="422"/>
      <c r="Q315" s="422"/>
      <c r="R315" s="422"/>
      <c r="S315" s="422"/>
      <c r="T315" s="422"/>
      <c r="U315" s="422"/>
      <c r="V315" s="422"/>
      <c r="W315" s="424"/>
      <c r="X315" s="425"/>
    </row>
    <row r="316" spans="1:24" s="426" customFormat="1" x14ac:dyDescent="0.3">
      <c r="A316" s="421"/>
      <c r="B316" s="420"/>
      <c r="C316" s="420"/>
      <c r="D316" s="420"/>
      <c r="E316" s="420"/>
      <c r="F316" s="641"/>
      <c r="G316" s="420"/>
      <c r="H316" s="420"/>
      <c r="I316" s="420"/>
      <c r="J316" s="420"/>
      <c r="K316" s="422"/>
      <c r="L316" s="422"/>
      <c r="M316" s="422"/>
      <c r="N316" s="422"/>
      <c r="O316" s="422"/>
      <c r="P316" s="422"/>
      <c r="Q316" s="422"/>
      <c r="R316" s="422"/>
      <c r="S316" s="422"/>
      <c r="T316" s="422"/>
      <c r="U316" s="422"/>
      <c r="V316" s="422"/>
      <c r="W316" s="424"/>
      <c r="X316" s="425"/>
    </row>
    <row r="317" spans="1:24" s="426" customFormat="1" x14ac:dyDescent="0.3">
      <c r="A317" s="421"/>
      <c r="B317" s="494" t="s">
        <v>367</v>
      </c>
      <c r="C317" s="420"/>
      <c r="D317" s="420"/>
      <c r="E317" s="420"/>
      <c r="F317" s="641"/>
      <c r="G317" s="420"/>
      <c r="H317" s="420"/>
      <c r="I317" s="420"/>
      <c r="J317" s="420"/>
      <c r="K317" s="422"/>
      <c r="L317" s="422"/>
      <c r="M317" s="422"/>
      <c r="N317" s="422"/>
      <c r="O317" s="422"/>
      <c r="P317" s="422"/>
      <c r="Q317" s="422"/>
      <c r="R317" s="422"/>
      <c r="S317" s="422"/>
      <c r="T317" s="422"/>
      <c r="U317" s="422"/>
      <c r="V317" s="422"/>
      <c r="W317" s="424"/>
      <c r="X317" s="425"/>
    </row>
    <row r="318" spans="1:24" s="426" customFormat="1" x14ac:dyDescent="0.3">
      <c r="A318" s="421"/>
      <c r="B318" s="494" t="s">
        <v>373</v>
      </c>
      <c r="C318" s="420"/>
      <c r="D318" s="420"/>
      <c r="E318" s="420"/>
      <c r="F318" s="641"/>
      <c r="G318" s="420"/>
      <c r="H318" s="420"/>
      <c r="I318" s="420"/>
      <c r="J318" s="420"/>
      <c r="K318" s="422"/>
      <c r="L318" s="422"/>
      <c r="M318" s="422"/>
      <c r="N318" s="422"/>
      <c r="O318" s="422"/>
      <c r="P318" s="422"/>
      <c r="Q318" s="422"/>
      <c r="R318" s="422"/>
      <c r="S318" s="422"/>
      <c r="T318" s="422"/>
      <c r="U318" s="422"/>
      <c r="V318" s="422"/>
      <c r="W318" s="424"/>
      <c r="X318" s="425"/>
    </row>
    <row r="319" spans="1:24" s="426" customFormat="1" x14ac:dyDescent="0.3">
      <c r="A319" s="421"/>
      <c r="B319" s="494" t="s">
        <v>365</v>
      </c>
      <c r="C319" s="420"/>
      <c r="D319" s="420"/>
      <c r="E319" s="420"/>
      <c r="F319" s="641"/>
      <c r="G319" s="420"/>
      <c r="H319" s="420"/>
      <c r="I319" s="420"/>
      <c r="J319" s="420"/>
      <c r="K319" s="422"/>
      <c r="L319" s="422"/>
      <c r="M319" s="422"/>
      <c r="N319" s="422"/>
      <c r="O319" s="422"/>
      <c r="P319" s="422"/>
      <c r="Q319" s="422"/>
      <c r="R319" s="422"/>
      <c r="S319" s="422"/>
      <c r="T319" s="422"/>
      <c r="U319" s="422"/>
      <c r="V319" s="422"/>
      <c r="W319" s="424"/>
      <c r="X319" s="425"/>
    </row>
    <row r="320" spans="1:24" s="426" customFormat="1" x14ac:dyDescent="0.3">
      <c r="A320" s="421"/>
      <c r="B320" s="494" t="s">
        <v>366</v>
      </c>
      <c r="C320" s="420"/>
      <c r="D320" s="420"/>
      <c r="E320" s="420"/>
      <c r="F320" s="641"/>
      <c r="G320" s="420"/>
      <c r="H320" s="420"/>
      <c r="I320" s="420"/>
      <c r="J320" s="420"/>
      <c r="K320" s="422"/>
      <c r="L320" s="422"/>
      <c r="M320" s="422"/>
      <c r="N320" s="422"/>
      <c r="O320" s="422"/>
      <c r="P320" s="422"/>
      <c r="Q320" s="422"/>
      <c r="R320" s="422"/>
      <c r="S320" s="422"/>
      <c r="T320" s="422"/>
      <c r="U320" s="422"/>
      <c r="V320" s="422"/>
      <c r="W320" s="424"/>
      <c r="X320" s="425"/>
    </row>
    <row r="321" spans="1:24" s="426" customFormat="1" x14ac:dyDescent="0.3">
      <c r="A321" s="421"/>
      <c r="B321" s="494"/>
      <c r="C321" s="420"/>
      <c r="D321" s="420"/>
      <c r="E321" s="420"/>
      <c r="F321" s="641"/>
      <c r="G321" s="420"/>
      <c r="H321" s="420"/>
      <c r="I321" s="420"/>
      <c r="J321" s="420"/>
      <c r="K321" s="422"/>
      <c r="L321" s="422"/>
      <c r="M321" s="422"/>
      <c r="N321" s="422"/>
      <c r="O321" s="422"/>
      <c r="P321" s="422"/>
      <c r="Q321" s="422"/>
      <c r="R321" s="422"/>
      <c r="S321" s="422"/>
      <c r="T321" s="422"/>
      <c r="U321" s="422"/>
      <c r="V321" s="422"/>
      <c r="W321" s="424"/>
      <c r="X321" s="425"/>
    </row>
    <row r="322" spans="1:24" s="426" customFormat="1" x14ac:dyDescent="0.3">
      <c r="A322" s="421"/>
      <c r="B322" s="494" t="s">
        <v>418</v>
      </c>
      <c r="C322" s="420"/>
      <c r="D322" s="420"/>
      <c r="E322" s="420"/>
      <c r="F322" s="641"/>
      <c r="G322" s="420"/>
      <c r="H322" s="420"/>
      <c r="I322" s="420"/>
      <c r="J322" s="420"/>
      <c r="K322" s="422"/>
      <c r="L322" s="422"/>
      <c r="M322" s="422"/>
      <c r="N322" s="422"/>
      <c r="O322" s="422"/>
      <c r="P322" s="422"/>
      <c r="Q322" s="422"/>
      <c r="R322" s="422"/>
      <c r="S322" s="422"/>
      <c r="T322" s="422"/>
      <c r="U322" s="422"/>
      <c r="V322" s="422"/>
      <c r="W322" s="424"/>
      <c r="X322" s="425"/>
    </row>
    <row r="323" spans="1:24" x14ac:dyDescent="0.3">
      <c r="A323" s="408"/>
      <c r="B323" s="642"/>
      <c r="C323" s="642"/>
      <c r="D323" s="642"/>
      <c r="E323" s="642"/>
      <c r="F323" s="643"/>
      <c r="G323" s="642"/>
      <c r="H323" s="642"/>
      <c r="I323" s="642"/>
      <c r="J323" s="642"/>
      <c r="K323" s="531"/>
      <c r="L323" s="531"/>
      <c r="M323" s="531"/>
      <c r="N323" s="531"/>
      <c r="O323" s="531"/>
      <c r="P323" s="531"/>
      <c r="Q323" s="531"/>
      <c r="R323" s="531"/>
      <c r="S323" s="531"/>
      <c r="T323" s="531"/>
      <c r="U323" s="531"/>
      <c r="V323" s="531"/>
      <c r="W323" s="532"/>
      <c r="X323" s="406"/>
    </row>
    <row r="324" spans="1:24" ht="18" x14ac:dyDescent="0.35">
      <c r="A324" s="408"/>
      <c r="B324" s="644" t="s">
        <v>368</v>
      </c>
      <c r="C324" s="642"/>
      <c r="D324" s="642"/>
      <c r="E324" s="642"/>
      <c r="F324" s="642"/>
      <c r="G324" s="642"/>
      <c r="H324" s="531"/>
      <c r="I324" s="531"/>
      <c r="J324" s="531"/>
      <c r="K324" s="531"/>
      <c r="L324" s="410"/>
      <c r="M324" s="410"/>
      <c r="N324" s="645"/>
      <c r="O324" s="410"/>
      <c r="P324" s="646" t="s">
        <v>370</v>
      </c>
      <c r="Q324" s="531"/>
      <c r="R324" s="531"/>
      <c r="S324" s="531"/>
      <c r="T324" s="531"/>
      <c r="U324" s="531"/>
      <c r="V324" s="531"/>
      <c r="W324" s="532"/>
      <c r="X324" s="406"/>
    </row>
    <row r="325" spans="1:24" x14ac:dyDescent="0.3">
      <c r="A325" s="408"/>
      <c r="B325" s="642"/>
      <c r="C325" s="642"/>
      <c r="D325" s="642"/>
      <c r="E325" s="642"/>
      <c r="F325" s="642"/>
      <c r="G325" s="642"/>
      <c r="H325" s="531"/>
      <c r="I325" s="531"/>
      <c r="J325" s="531"/>
      <c r="K325" s="531"/>
      <c r="L325" s="531"/>
      <c r="M325" s="531"/>
      <c r="N325" s="531"/>
      <c r="O325" s="531"/>
      <c r="P325" s="531"/>
      <c r="Q325" s="531"/>
      <c r="R325" s="531"/>
      <c r="S325" s="531"/>
      <c r="T325" s="531"/>
      <c r="U325" s="531"/>
      <c r="V325" s="531"/>
      <c r="W325" s="532"/>
      <c r="X325" s="406"/>
    </row>
    <row r="326" spans="1:24" ht="18.600000000000001" thickBot="1" x14ac:dyDescent="0.4">
      <c r="A326" s="408"/>
      <c r="B326" s="647" t="str">
        <f>B200</f>
        <v>PM13 INVESTOR REPORT QUARTER ENDING SEPTEMBER 2020</v>
      </c>
      <c r="C326" s="642"/>
      <c r="D326" s="642"/>
      <c r="E326" s="642"/>
      <c r="F326" s="642"/>
      <c r="G326" s="642"/>
      <c r="H326" s="531"/>
      <c r="I326" s="531"/>
      <c r="J326" s="531"/>
      <c r="K326" s="531"/>
      <c r="L326" s="531"/>
      <c r="M326" s="531"/>
      <c r="N326" s="531"/>
      <c r="O326" s="531"/>
      <c r="P326" s="531"/>
      <c r="Q326" s="531"/>
      <c r="R326" s="531"/>
      <c r="S326" s="531"/>
      <c r="T326" s="531"/>
      <c r="U326" s="531"/>
      <c r="V326" s="531"/>
      <c r="W326" s="648"/>
      <c r="X326" s="406"/>
    </row>
    <row r="327" spans="1:24" x14ac:dyDescent="0.3">
      <c r="A327" s="649"/>
      <c r="B327" s="649"/>
      <c r="C327" s="649"/>
      <c r="D327" s="649"/>
      <c r="E327" s="649"/>
      <c r="F327" s="649"/>
      <c r="G327" s="649"/>
      <c r="H327" s="649"/>
      <c r="I327" s="649"/>
      <c r="J327" s="649"/>
      <c r="K327" s="649"/>
      <c r="L327" s="649"/>
      <c r="M327" s="649"/>
      <c r="N327" s="649"/>
      <c r="O327" s="649"/>
      <c r="P327" s="649"/>
      <c r="Q327" s="649"/>
      <c r="R327" s="649"/>
      <c r="S327" s="649"/>
      <c r="T327" s="649"/>
      <c r="U327" s="649"/>
      <c r="V327" s="649"/>
      <c r="W327" s="649"/>
    </row>
    <row r="328" spans="1:24" x14ac:dyDescent="0.3">
      <c r="B328" s="673" t="s">
        <v>393</v>
      </c>
      <c r="C328" s="674"/>
      <c r="D328" s="674"/>
      <c r="E328" s="674"/>
      <c r="F328" s="674"/>
      <c r="G328" s="674"/>
      <c r="H328" s="674"/>
      <c r="I328" s="674"/>
      <c r="J328" s="674"/>
      <c r="K328" s="674"/>
      <c r="L328" s="674"/>
      <c r="M328" s="674"/>
      <c r="N328" s="674"/>
      <c r="O328" s="674"/>
      <c r="P328" s="674"/>
      <c r="Q328" s="674"/>
    </row>
    <row r="329" spans="1:24" x14ac:dyDescent="0.3">
      <c r="B329" s="674" t="s">
        <v>394</v>
      </c>
      <c r="C329" s="674"/>
      <c r="D329" s="674"/>
      <c r="E329" s="674"/>
      <c r="F329" s="674"/>
      <c r="G329" s="674"/>
      <c r="H329" s="674"/>
      <c r="I329" s="674"/>
      <c r="J329" s="674"/>
      <c r="K329" s="674"/>
      <c r="L329" s="674"/>
      <c r="M329" s="674"/>
      <c r="N329" s="674"/>
      <c r="O329" s="674"/>
      <c r="P329" s="674"/>
      <c r="Q329" s="674"/>
    </row>
    <row r="330" spans="1:24" x14ac:dyDescent="0.3">
      <c r="B330" s="674" t="s">
        <v>395</v>
      </c>
      <c r="C330" s="674"/>
      <c r="D330" s="674"/>
      <c r="E330" s="674"/>
      <c r="F330" s="674"/>
      <c r="G330" s="674"/>
      <c r="H330" s="674"/>
      <c r="I330" s="674"/>
      <c r="J330" s="674"/>
      <c r="K330" s="674"/>
      <c r="L330" s="674"/>
      <c r="M330" s="674"/>
      <c r="N330" s="674"/>
      <c r="O330" s="674"/>
      <c r="P330" s="674"/>
      <c r="Q330" s="674"/>
    </row>
    <row r="331" spans="1:24" x14ac:dyDescent="0.3">
      <c r="B331" s="674" t="s">
        <v>396</v>
      </c>
      <c r="C331" s="674"/>
      <c r="D331" s="674"/>
      <c r="E331" s="674"/>
      <c r="F331" s="674"/>
      <c r="G331" s="674"/>
      <c r="H331" s="674"/>
      <c r="I331" s="674"/>
      <c r="J331" s="674"/>
      <c r="K331" s="674"/>
      <c r="L331" s="674"/>
      <c r="M331" s="674"/>
      <c r="N331" s="674"/>
      <c r="O331" s="674"/>
      <c r="P331" s="674"/>
      <c r="Q331" s="674"/>
    </row>
    <row r="332" spans="1:24" x14ac:dyDescent="0.3">
      <c r="B332" s="674" t="s">
        <v>397</v>
      </c>
      <c r="C332" s="674"/>
      <c r="D332" s="674"/>
      <c r="E332" s="674"/>
      <c r="F332" s="674"/>
      <c r="G332" s="674"/>
      <c r="H332" s="674"/>
      <c r="I332" s="674"/>
      <c r="J332" s="674"/>
      <c r="K332" s="674"/>
      <c r="L332" s="674"/>
      <c r="M332" s="674"/>
      <c r="N332" s="674"/>
      <c r="O332" s="674"/>
      <c r="P332" s="674"/>
      <c r="Q332" s="674"/>
    </row>
    <row r="333" spans="1:24" x14ac:dyDescent="0.3">
      <c r="B333" s="674" t="s">
        <v>398</v>
      </c>
      <c r="C333" s="674"/>
      <c r="D333" s="674"/>
      <c r="E333" s="674"/>
      <c r="F333" s="674"/>
      <c r="G333" s="674"/>
      <c r="H333" s="674"/>
      <c r="I333" s="674"/>
      <c r="J333" s="674"/>
      <c r="K333" s="674"/>
      <c r="L333" s="674"/>
      <c r="M333" s="674"/>
      <c r="N333" s="674"/>
      <c r="O333" s="674"/>
      <c r="P333" s="674"/>
      <c r="Q333" s="674"/>
    </row>
    <row r="334" spans="1:24" x14ac:dyDescent="0.3">
      <c r="B334" s="674" t="s">
        <v>399</v>
      </c>
      <c r="C334" s="674"/>
      <c r="D334" s="674"/>
      <c r="E334" s="674"/>
      <c r="F334" s="674"/>
      <c r="G334" s="674"/>
      <c r="H334" s="674"/>
      <c r="I334" s="674"/>
      <c r="J334" s="674"/>
      <c r="K334" s="674"/>
      <c r="L334" s="674"/>
      <c r="M334" s="674"/>
      <c r="N334" s="674"/>
      <c r="O334" s="674"/>
      <c r="P334" s="674"/>
      <c r="Q334" s="674"/>
    </row>
    <row r="335" spans="1:24" x14ac:dyDescent="0.3">
      <c r="B335" s="674" t="s">
        <v>400</v>
      </c>
      <c r="C335" s="674"/>
      <c r="D335" s="674"/>
      <c r="E335" s="674"/>
      <c r="F335" s="674"/>
      <c r="G335" s="674"/>
      <c r="H335" s="674"/>
      <c r="I335" s="674"/>
      <c r="J335" s="674"/>
      <c r="K335" s="674"/>
      <c r="L335" s="674"/>
      <c r="M335" s="674"/>
      <c r="N335" s="674"/>
      <c r="O335" s="674"/>
      <c r="P335" s="674"/>
      <c r="Q335" s="674"/>
    </row>
    <row r="336" spans="1:24" x14ac:dyDescent="0.3">
      <c r="B336" s="674"/>
      <c r="C336" s="674"/>
      <c r="D336" s="674"/>
      <c r="E336" s="674"/>
      <c r="F336" s="674"/>
      <c r="G336" s="674"/>
      <c r="H336" s="674"/>
      <c r="I336" s="674"/>
      <c r="J336" s="674"/>
      <c r="K336" s="674"/>
      <c r="L336" s="674"/>
      <c r="M336" s="674"/>
      <c r="N336" s="674"/>
      <c r="O336" s="674"/>
      <c r="P336" s="674"/>
      <c r="Q336" s="674"/>
    </row>
    <row r="337" spans="2:17" x14ac:dyDescent="0.3">
      <c r="B337" s="673" t="s">
        <v>412</v>
      </c>
      <c r="C337" s="674"/>
      <c r="D337" s="674"/>
      <c r="E337" s="674"/>
      <c r="F337" s="674"/>
      <c r="G337" s="674"/>
      <c r="H337" s="674"/>
      <c r="I337" s="674"/>
      <c r="J337" s="674"/>
      <c r="K337" s="674"/>
      <c r="L337" s="674"/>
      <c r="M337" s="674"/>
      <c r="N337" s="674"/>
      <c r="O337" s="674"/>
      <c r="P337" s="674"/>
      <c r="Q337" s="674"/>
    </row>
    <row r="338" spans="2:17" x14ac:dyDescent="0.3">
      <c r="B338" s="674" t="s">
        <v>424</v>
      </c>
      <c r="C338" s="674"/>
      <c r="D338" s="674"/>
      <c r="E338" s="674"/>
      <c r="F338" s="674"/>
      <c r="G338" s="674"/>
      <c r="H338" s="674"/>
      <c r="I338" s="674"/>
      <c r="J338" s="674"/>
      <c r="K338" s="674"/>
      <c r="L338" s="674"/>
      <c r="M338" s="674"/>
      <c r="N338" s="674"/>
      <c r="O338" s="674"/>
      <c r="P338" s="674"/>
      <c r="Q338" s="674"/>
    </row>
    <row r="339" spans="2:17" x14ac:dyDescent="0.3">
      <c r="B339" s="674" t="s">
        <v>425</v>
      </c>
      <c r="C339" s="674"/>
      <c r="D339" s="674"/>
      <c r="E339" s="674"/>
      <c r="F339" s="674"/>
      <c r="G339" s="674"/>
      <c r="H339" s="674"/>
      <c r="I339" s="674"/>
      <c r="J339" s="674"/>
      <c r="K339" s="674"/>
      <c r="L339" s="674"/>
      <c r="M339" s="674"/>
      <c r="N339" s="674"/>
      <c r="O339" s="674"/>
      <c r="P339" s="674"/>
      <c r="Q339" s="674"/>
    </row>
    <row r="340" spans="2:17" x14ac:dyDescent="0.3">
      <c r="B340" s="674"/>
      <c r="C340" s="674"/>
      <c r="D340" s="674"/>
      <c r="E340" s="674"/>
      <c r="F340" s="674"/>
      <c r="G340" s="674"/>
      <c r="H340" s="674"/>
      <c r="I340" s="674"/>
      <c r="J340" s="674"/>
      <c r="K340" s="674"/>
      <c r="L340" s="674"/>
      <c r="M340" s="674"/>
      <c r="N340" s="674"/>
      <c r="O340" s="674"/>
      <c r="P340" s="674"/>
      <c r="Q340" s="674"/>
    </row>
    <row r="341" spans="2:17" x14ac:dyDescent="0.3">
      <c r="B341" s="673" t="s">
        <v>401</v>
      </c>
      <c r="C341" s="674"/>
      <c r="D341" s="674"/>
      <c r="E341" s="674"/>
      <c r="F341" s="674"/>
      <c r="G341" s="674"/>
      <c r="H341" s="674"/>
      <c r="I341" s="674"/>
      <c r="J341" s="674"/>
      <c r="K341" s="674"/>
      <c r="L341" s="674"/>
      <c r="M341" s="674"/>
      <c r="N341" s="674"/>
      <c r="O341" s="674"/>
      <c r="P341" s="674"/>
      <c r="Q341" s="674"/>
    </row>
    <row r="342" spans="2:17" x14ac:dyDescent="0.3">
      <c r="B342" s="674" t="s">
        <v>402</v>
      </c>
      <c r="C342" s="674"/>
      <c r="D342" s="674"/>
      <c r="E342" s="674"/>
      <c r="F342" s="674"/>
      <c r="G342" s="674"/>
      <c r="H342" s="674"/>
      <c r="I342" s="674"/>
      <c r="J342" s="674"/>
      <c r="K342" s="674"/>
      <c r="L342" s="674"/>
      <c r="M342" s="674"/>
      <c r="N342" s="674"/>
      <c r="O342" s="674"/>
      <c r="P342" s="674"/>
      <c r="Q342" s="674"/>
    </row>
    <row r="343" spans="2:17" x14ac:dyDescent="0.3">
      <c r="B343" s="674" t="s">
        <v>403</v>
      </c>
      <c r="C343" s="674"/>
      <c r="D343" s="674"/>
      <c r="E343" s="674"/>
      <c r="F343" s="674"/>
      <c r="G343" s="674"/>
      <c r="H343" s="674"/>
      <c r="I343" s="674"/>
      <c r="J343" s="674"/>
      <c r="K343" s="674"/>
      <c r="L343" s="674"/>
      <c r="M343" s="674"/>
      <c r="N343" s="674"/>
      <c r="O343" s="674"/>
      <c r="P343" s="674"/>
      <c r="Q343" s="674"/>
    </row>
  </sheetData>
  <hyperlinks>
    <hyperlink ref="P236" r:id="rId1" display="http://www.paragon-group.co.uk" xr:uid="{1EB20F78-CAFE-4E26-A630-75D74E336002}"/>
    <hyperlink ref="I9" r:id="rId2" display="http://www.paragon-group.co.uk" xr:uid="{B29B6BD3-9568-4F07-AD1D-7F32F79B6BF1}"/>
    <hyperlink ref="P324" r:id="rId3" display="http://www.paragon-group.co.uk" xr:uid="{7534A6D1-93E6-490E-81EA-E9DB56B8C86C}"/>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40" max="22" man="1"/>
    <brk id="200" max="22" man="1"/>
  </rowBreaks>
  <drawing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22421-0B80-42DB-B63D-CDC93F010EEB}">
  <sheetPr>
    <tabColor rgb="FF89CB31"/>
  </sheetPr>
  <dimension ref="A1:Z343"/>
  <sheetViews>
    <sheetView showGridLines="0" showOutlineSymbols="0" zoomScale="70" zoomScaleNormal="70" workbookViewId="0"/>
  </sheetViews>
  <sheetFormatPr defaultColWidth="9.81640625" defaultRowHeight="15.6" x14ac:dyDescent="0.3"/>
  <cols>
    <col min="1" max="1" width="4" style="407" customWidth="1"/>
    <col min="2" max="2" width="71.08984375" style="407" customWidth="1"/>
    <col min="3" max="3" width="2.08984375" style="407" customWidth="1"/>
    <col min="4" max="4" width="19.1796875" style="407" customWidth="1"/>
    <col min="5" max="5" width="2.08984375" style="407" customWidth="1"/>
    <col min="6" max="6" width="25.08984375" style="407" customWidth="1"/>
    <col min="7" max="7" width="2.08984375" style="407" customWidth="1"/>
    <col min="8" max="8" width="16.08984375" style="407" customWidth="1"/>
    <col min="9" max="9" width="2.81640625" style="407" customWidth="1"/>
    <col min="10" max="10" width="16.08984375" style="407" customWidth="1"/>
    <col min="11" max="11" width="2.08984375" style="407" customWidth="1"/>
    <col min="12" max="12" width="17.81640625" style="407" customWidth="1"/>
    <col min="13" max="13" width="2.1796875" style="407" customWidth="1"/>
    <col min="14" max="14" width="14.81640625" style="407" customWidth="1"/>
    <col min="15" max="15" width="2.1796875" style="407" customWidth="1"/>
    <col min="16" max="16" width="15.54296875" style="407" customWidth="1"/>
    <col min="17" max="17" width="2.08984375" style="407" customWidth="1"/>
    <col min="18" max="18" width="15.54296875" style="407" customWidth="1"/>
    <col min="19" max="20" width="12.81640625" style="407" customWidth="1"/>
    <col min="21" max="21" width="7.81640625" style="407" customWidth="1"/>
    <col min="22" max="22" width="14.81640625" style="407" customWidth="1"/>
    <col min="23" max="23" width="11.81640625" style="407" customWidth="1"/>
    <col min="24" max="16384" width="9.81640625" style="407"/>
  </cols>
  <sheetData>
    <row r="1" spans="1:24" ht="21" x14ac:dyDescent="0.4">
      <c r="A1" s="402"/>
      <c r="B1" s="403" t="s">
        <v>238</v>
      </c>
      <c r="C1" s="404"/>
      <c r="D1" s="404"/>
      <c r="E1" s="404"/>
      <c r="F1" s="404"/>
      <c r="G1" s="404"/>
      <c r="H1" s="404"/>
      <c r="I1" s="404"/>
      <c r="J1" s="404"/>
      <c r="K1" s="404"/>
      <c r="L1" s="404"/>
      <c r="M1" s="404"/>
      <c r="N1" s="404"/>
      <c r="O1" s="404"/>
      <c r="P1" s="404"/>
      <c r="Q1" s="404"/>
      <c r="R1" s="404"/>
      <c r="S1" s="404"/>
      <c r="T1" s="404"/>
      <c r="U1" s="404"/>
      <c r="V1" s="404"/>
      <c r="W1" s="405"/>
      <c r="X1" s="406"/>
    </row>
    <row r="2" spans="1:24" x14ac:dyDescent="0.3">
      <c r="A2" s="408"/>
      <c r="B2" s="409"/>
      <c r="C2" s="410"/>
      <c r="D2" s="410"/>
      <c r="E2" s="410"/>
      <c r="F2" s="410"/>
      <c r="G2" s="410"/>
      <c r="H2" s="410"/>
      <c r="I2" s="410"/>
      <c r="J2" s="410"/>
      <c r="K2" s="410"/>
      <c r="L2" s="410"/>
      <c r="M2" s="410"/>
      <c r="N2" s="410"/>
      <c r="O2" s="410"/>
      <c r="P2" s="410"/>
      <c r="Q2" s="410"/>
      <c r="R2" s="410"/>
      <c r="S2" s="410"/>
      <c r="T2" s="410"/>
      <c r="U2" s="410"/>
      <c r="V2" s="410"/>
      <c r="W2" s="411"/>
      <c r="X2" s="406"/>
    </row>
    <row r="3" spans="1:24" x14ac:dyDescent="0.3">
      <c r="A3" s="412"/>
      <c r="B3" s="413" t="s">
        <v>239</v>
      </c>
      <c r="C3" s="410"/>
      <c r="D3" s="410"/>
      <c r="E3" s="410"/>
      <c r="F3" s="410"/>
      <c r="G3" s="410"/>
      <c r="H3" s="410"/>
      <c r="I3" s="410"/>
      <c r="J3" s="410"/>
      <c r="K3" s="410"/>
      <c r="L3" s="410"/>
      <c r="M3" s="410"/>
      <c r="N3" s="410"/>
      <c r="O3" s="410"/>
      <c r="P3" s="410"/>
      <c r="Q3" s="410"/>
      <c r="R3" s="410"/>
      <c r="S3" s="410"/>
      <c r="T3" s="410"/>
      <c r="U3" s="410"/>
      <c r="V3" s="410"/>
      <c r="W3" s="411"/>
      <c r="X3" s="406"/>
    </row>
    <row r="4" spans="1:24" x14ac:dyDescent="0.3">
      <c r="A4" s="408"/>
      <c r="B4" s="409"/>
      <c r="C4" s="410"/>
      <c r="D4" s="410"/>
      <c r="E4" s="410"/>
      <c r="F4" s="410"/>
      <c r="G4" s="410"/>
      <c r="H4" s="410"/>
      <c r="I4" s="410"/>
      <c r="J4" s="410"/>
      <c r="K4" s="410"/>
      <c r="L4" s="410"/>
      <c r="M4" s="410"/>
      <c r="N4" s="410"/>
      <c r="O4" s="410"/>
      <c r="P4" s="410"/>
      <c r="Q4" s="410"/>
      <c r="R4" s="410"/>
      <c r="S4" s="410"/>
      <c r="T4" s="410"/>
      <c r="U4" s="410"/>
      <c r="V4" s="410"/>
      <c r="W4" s="411"/>
      <c r="X4" s="406"/>
    </row>
    <row r="5" spans="1:24" x14ac:dyDescent="0.3">
      <c r="A5" s="408"/>
      <c r="B5" s="414" t="s">
        <v>140</v>
      </c>
      <c r="C5" s="410"/>
      <c r="D5" s="410"/>
      <c r="E5" s="410"/>
      <c r="F5" s="410"/>
      <c r="G5" s="410"/>
      <c r="H5" s="410"/>
      <c r="I5" s="410"/>
      <c r="J5" s="410"/>
      <c r="K5" s="410"/>
      <c r="L5" s="410"/>
      <c r="M5" s="410"/>
      <c r="N5" s="410"/>
      <c r="O5" s="410"/>
      <c r="P5" s="410"/>
      <c r="Q5" s="410"/>
      <c r="R5" s="410"/>
      <c r="S5" s="410"/>
      <c r="T5" s="410"/>
      <c r="U5" s="410"/>
      <c r="V5" s="410"/>
      <c r="W5" s="411"/>
      <c r="X5" s="406"/>
    </row>
    <row r="6" spans="1:24" x14ac:dyDescent="0.3">
      <c r="A6" s="408"/>
      <c r="B6" s="414" t="s">
        <v>142</v>
      </c>
      <c r="C6" s="410"/>
      <c r="D6" s="410"/>
      <c r="E6" s="410"/>
      <c r="F6" s="410"/>
      <c r="G6" s="410"/>
      <c r="H6" s="410"/>
      <c r="I6" s="410"/>
      <c r="J6" s="410"/>
      <c r="K6" s="410"/>
      <c r="L6" s="410"/>
      <c r="M6" s="410"/>
      <c r="N6" s="410"/>
      <c r="O6" s="410"/>
      <c r="P6" s="410"/>
      <c r="Q6" s="410"/>
      <c r="R6" s="410"/>
      <c r="S6" s="410"/>
      <c r="T6" s="410"/>
      <c r="U6" s="410"/>
      <c r="V6" s="410"/>
      <c r="W6" s="411"/>
      <c r="X6" s="406"/>
    </row>
    <row r="7" spans="1:24" x14ac:dyDescent="0.3">
      <c r="A7" s="408"/>
      <c r="B7" s="414" t="s">
        <v>141</v>
      </c>
      <c r="C7" s="410"/>
      <c r="D7" s="410"/>
      <c r="E7" s="410"/>
      <c r="F7" s="410"/>
      <c r="G7" s="410"/>
      <c r="H7" s="410"/>
      <c r="I7" s="410"/>
      <c r="J7" s="410"/>
      <c r="K7" s="410"/>
      <c r="L7" s="410"/>
      <c r="M7" s="410"/>
      <c r="N7" s="410"/>
      <c r="O7" s="410"/>
      <c r="P7" s="410"/>
      <c r="Q7" s="410"/>
      <c r="R7" s="410"/>
      <c r="S7" s="410"/>
      <c r="T7" s="410"/>
      <c r="U7" s="410"/>
      <c r="V7" s="410"/>
      <c r="W7" s="411"/>
      <c r="X7" s="406"/>
    </row>
    <row r="8" spans="1:24" x14ac:dyDescent="0.3">
      <c r="A8" s="408"/>
      <c r="B8" s="415"/>
      <c r="C8" s="410"/>
      <c r="D8" s="410"/>
      <c r="E8" s="410"/>
      <c r="F8" s="410"/>
      <c r="G8" s="410"/>
      <c r="H8" s="410"/>
      <c r="I8" s="410"/>
      <c r="J8" s="410"/>
      <c r="K8" s="410"/>
      <c r="L8" s="410"/>
      <c r="M8" s="410"/>
      <c r="N8" s="410"/>
      <c r="O8" s="410"/>
      <c r="P8" s="410"/>
      <c r="Q8" s="410"/>
      <c r="R8" s="410"/>
      <c r="S8" s="410"/>
      <c r="T8" s="410"/>
      <c r="U8" s="410"/>
      <c r="V8" s="410"/>
      <c r="W8" s="411"/>
      <c r="X8" s="406"/>
    </row>
    <row r="9" spans="1:24" ht="18" x14ac:dyDescent="0.35">
      <c r="A9" s="408"/>
      <c r="B9" s="413" t="s">
        <v>169</v>
      </c>
      <c r="C9" s="410"/>
      <c r="D9" s="410"/>
      <c r="E9" s="410"/>
      <c r="F9" s="410"/>
      <c r="G9" s="410"/>
      <c r="H9" s="410"/>
      <c r="I9" s="416" t="s">
        <v>370</v>
      </c>
      <c r="J9" s="410"/>
      <c r="K9" s="410"/>
      <c r="L9" s="417"/>
      <c r="M9" s="410"/>
      <c r="N9" s="418"/>
      <c r="O9" s="410"/>
      <c r="P9" s="410"/>
      <c r="Q9" s="410"/>
      <c r="R9" s="410"/>
      <c r="S9" s="410"/>
      <c r="T9" s="410"/>
      <c r="U9" s="410"/>
      <c r="V9" s="410"/>
      <c r="W9" s="411"/>
      <c r="X9" s="406"/>
    </row>
    <row r="10" spans="1:24" x14ac:dyDescent="0.3">
      <c r="A10" s="408"/>
      <c r="B10" s="415"/>
      <c r="C10" s="419"/>
      <c r="D10" s="419"/>
      <c r="E10" s="419"/>
      <c r="F10" s="410"/>
      <c r="G10" s="410"/>
      <c r="H10" s="410"/>
      <c r="I10" s="410"/>
      <c r="J10" s="410"/>
      <c r="K10" s="410"/>
      <c r="L10" s="410"/>
      <c r="M10" s="410"/>
      <c r="N10" s="410"/>
      <c r="O10" s="410"/>
      <c r="P10" s="410"/>
      <c r="Q10" s="410"/>
      <c r="R10" s="410"/>
      <c r="S10" s="410"/>
      <c r="T10" s="410"/>
      <c r="U10" s="410"/>
      <c r="V10" s="410"/>
      <c r="W10" s="411"/>
      <c r="X10" s="406"/>
    </row>
    <row r="11" spans="1:24" x14ac:dyDescent="0.3">
      <c r="A11" s="408"/>
      <c r="B11" s="420" t="s">
        <v>0</v>
      </c>
      <c r="C11" s="410"/>
      <c r="D11" s="410"/>
      <c r="E11" s="410"/>
      <c r="F11" s="410"/>
      <c r="G11" s="410"/>
      <c r="H11" s="410"/>
      <c r="I11" s="410"/>
      <c r="J11" s="410"/>
      <c r="K11" s="410"/>
      <c r="L11" s="410"/>
      <c r="M11" s="410"/>
      <c r="N11" s="410"/>
      <c r="O11" s="410"/>
      <c r="P11" s="410"/>
      <c r="Q11" s="410"/>
      <c r="R11" s="410"/>
      <c r="S11" s="410"/>
      <c r="T11" s="410"/>
      <c r="U11" s="410"/>
      <c r="V11" s="410"/>
      <c r="W11" s="411"/>
      <c r="X11" s="406"/>
    </row>
    <row r="12" spans="1:24" ht="16.2" thickBot="1" x14ac:dyDescent="0.35">
      <c r="A12" s="408"/>
      <c r="B12" s="419"/>
      <c r="C12" s="410"/>
      <c r="D12" s="410"/>
      <c r="E12" s="410"/>
      <c r="F12" s="410"/>
      <c r="G12" s="410"/>
      <c r="H12" s="410"/>
      <c r="I12" s="410"/>
      <c r="J12" s="410"/>
      <c r="K12" s="410"/>
      <c r="L12" s="410"/>
      <c r="M12" s="410"/>
      <c r="N12" s="410"/>
      <c r="O12" s="410"/>
      <c r="P12" s="410"/>
      <c r="Q12" s="410"/>
      <c r="R12" s="410"/>
      <c r="S12" s="410"/>
      <c r="T12" s="410"/>
      <c r="U12" s="410"/>
      <c r="V12" s="410"/>
      <c r="W12" s="411"/>
      <c r="X12" s="406"/>
    </row>
    <row r="13" spans="1:24" x14ac:dyDescent="0.3">
      <c r="A13" s="402"/>
      <c r="B13" s="404"/>
      <c r="C13" s="404"/>
      <c r="D13" s="404"/>
      <c r="E13" s="404"/>
      <c r="F13" s="404"/>
      <c r="G13" s="404"/>
      <c r="H13" s="404"/>
      <c r="I13" s="404"/>
      <c r="J13" s="404"/>
      <c r="K13" s="404"/>
      <c r="L13" s="404"/>
      <c r="M13" s="404"/>
      <c r="N13" s="404"/>
      <c r="O13" s="404"/>
      <c r="P13" s="404"/>
      <c r="Q13" s="404"/>
      <c r="R13" s="404"/>
      <c r="S13" s="404"/>
      <c r="T13" s="404"/>
      <c r="U13" s="404"/>
      <c r="V13" s="404"/>
      <c r="W13" s="405"/>
      <c r="X13" s="406"/>
    </row>
    <row r="14" spans="1:24" s="426" customFormat="1" x14ac:dyDescent="0.3">
      <c r="A14" s="421"/>
      <c r="B14" s="420" t="s">
        <v>1</v>
      </c>
      <c r="C14" s="422"/>
      <c r="D14" s="422"/>
      <c r="E14" s="422"/>
      <c r="F14" s="422"/>
      <c r="G14" s="422"/>
      <c r="H14" s="422"/>
      <c r="I14" s="422"/>
      <c r="J14" s="422"/>
      <c r="K14" s="422"/>
      <c r="L14" s="422"/>
      <c r="M14" s="422"/>
      <c r="N14" s="422"/>
      <c r="O14" s="422"/>
      <c r="P14" s="422"/>
      <c r="Q14" s="422"/>
      <c r="R14" s="422"/>
      <c r="S14" s="422"/>
      <c r="T14" s="422"/>
      <c r="U14" s="422"/>
      <c r="V14" s="423" t="s">
        <v>240</v>
      </c>
      <c r="W14" s="424"/>
      <c r="X14" s="425"/>
    </row>
    <row r="15" spans="1:24" s="426" customFormat="1" x14ac:dyDescent="0.3">
      <c r="A15" s="421"/>
      <c r="B15" s="420" t="s">
        <v>2</v>
      </c>
      <c r="C15" s="422"/>
      <c r="D15" s="422"/>
      <c r="E15" s="422"/>
      <c r="F15" s="422"/>
      <c r="G15" s="422"/>
      <c r="H15" s="427"/>
      <c r="I15" s="427"/>
      <c r="J15" s="427"/>
      <c r="K15" s="427"/>
      <c r="L15" s="427"/>
      <c r="M15" s="427"/>
      <c r="N15" s="427"/>
      <c r="O15" s="427"/>
      <c r="P15" s="427"/>
      <c r="Q15" s="427"/>
      <c r="R15" s="427" t="s">
        <v>105</v>
      </c>
      <c r="S15" s="428">
        <v>0.57609999999999995</v>
      </c>
      <c r="T15" s="429" t="s">
        <v>143</v>
      </c>
      <c r="U15" s="428">
        <v>0.4239</v>
      </c>
      <c r="V15" s="423"/>
      <c r="W15" s="424"/>
      <c r="X15" s="425"/>
    </row>
    <row r="16" spans="1:24" s="426" customFormat="1" x14ac:dyDescent="0.3">
      <c r="A16" s="421"/>
      <c r="B16" s="420" t="s">
        <v>3</v>
      </c>
      <c r="C16" s="422"/>
      <c r="D16" s="422"/>
      <c r="E16" s="422"/>
      <c r="F16" s="422"/>
      <c r="G16" s="422"/>
      <c r="H16" s="427"/>
      <c r="I16" s="427"/>
      <c r="J16" s="427"/>
      <c r="K16" s="427"/>
      <c r="L16" s="427"/>
      <c r="M16" s="427"/>
      <c r="N16" s="427"/>
      <c r="O16" s="427"/>
      <c r="P16" s="427"/>
      <c r="Q16" s="427"/>
      <c r="R16" s="427" t="s">
        <v>105</v>
      </c>
      <c r="S16" s="428">
        <v>0.69899999999999995</v>
      </c>
      <c r="T16" s="429" t="s">
        <v>143</v>
      </c>
      <c r="U16" s="428">
        <v>0.30099999999999999</v>
      </c>
      <c r="V16" s="423"/>
      <c r="W16" s="424"/>
      <c r="X16" s="425"/>
    </row>
    <row r="17" spans="1:24" s="426" customFormat="1" x14ac:dyDescent="0.3">
      <c r="A17" s="421"/>
      <c r="B17" s="420" t="s">
        <v>4</v>
      </c>
      <c r="C17" s="422"/>
      <c r="D17" s="422"/>
      <c r="E17" s="422"/>
      <c r="F17" s="422"/>
      <c r="G17" s="422"/>
      <c r="H17" s="422"/>
      <c r="I17" s="422"/>
      <c r="J17" s="422"/>
      <c r="K17" s="422"/>
      <c r="L17" s="422"/>
      <c r="M17" s="422"/>
      <c r="N17" s="422"/>
      <c r="O17" s="422"/>
      <c r="P17" s="422"/>
      <c r="Q17" s="422"/>
      <c r="R17" s="422"/>
      <c r="S17" s="422"/>
      <c r="T17" s="422"/>
      <c r="U17" s="422"/>
      <c r="V17" s="430">
        <v>39016</v>
      </c>
      <c r="W17" s="424"/>
      <c r="X17" s="425"/>
    </row>
    <row r="18" spans="1:24" s="426" customFormat="1" x14ac:dyDescent="0.3">
      <c r="A18" s="421"/>
      <c r="B18" s="420" t="s">
        <v>5</v>
      </c>
      <c r="C18" s="422"/>
      <c r="D18" s="422"/>
      <c r="E18" s="422"/>
      <c r="F18" s="422"/>
      <c r="G18" s="422"/>
      <c r="H18" s="422"/>
      <c r="I18" s="422"/>
      <c r="J18" s="422"/>
      <c r="K18" s="422"/>
      <c r="L18" s="422"/>
      <c r="M18" s="422"/>
      <c r="N18" s="422"/>
      <c r="O18" s="422"/>
      <c r="P18" s="422"/>
      <c r="Q18" s="422"/>
      <c r="R18" s="422"/>
      <c r="S18" s="422"/>
      <c r="T18" s="422"/>
      <c r="U18" s="422"/>
      <c r="V18" s="430">
        <v>44218</v>
      </c>
      <c r="W18" s="424"/>
      <c r="X18" s="425"/>
    </row>
    <row r="19" spans="1:24" s="426" customFormat="1" x14ac:dyDescent="0.3">
      <c r="A19" s="421"/>
      <c r="B19" s="422"/>
      <c r="C19" s="422"/>
      <c r="D19" s="422"/>
      <c r="E19" s="422"/>
      <c r="F19" s="422"/>
      <c r="G19" s="422"/>
      <c r="H19" s="422"/>
      <c r="I19" s="422"/>
      <c r="J19" s="422"/>
      <c r="K19" s="422"/>
      <c r="L19" s="422"/>
      <c r="M19" s="422"/>
      <c r="N19" s="422"/>
      <c r="O19" s="422"/>
      <c r="P19" s="422"/>
      <c r="Q19" s="422"/>
      <c r="R19" s="422"/>
      <c r="S19" s="422"/>
      <c r="T19" s="422"/>
      <c r="U19" s="422"/>
      <c r="V19" s="431"/>
      <c r="W19" s="424"/>
      <c r="X19" s="425"/>
    </row>
    <row r="20" spans="1:24" s="426" customFormat="1" x14ac:dyDescent="0.3">
      <c r="A20" s="421"/>
      <c r="B20" s="432" t="s">
        <v>6</v>
      </c>
      <c r="C20" s="422"/>
      <c r="D20" s="422"/>
      <c r="E20" s="422"/>
      <c r="F20" s="422"/>
      <c r="G20" s="422"/>
      <c r="H20" s="422"/>
      <c r="I20" s="422"/>
      <c r="J20" s="422"/>
      <c r="K20" s="422"/>
      <c r="L20" s="422"/>
      <c r="M20" s="422"/>
      <c r="N20" s="422"/>
      <c r="O20" s="422"/>
      <c r="P20" s="422"/>
      <c r="Q20" s="422"/>
      <c r="R20" s="422"/>
      <c r="S20" s="422"/>
      <c r="T20" s="431" t="s">
        <v>106</v>
      </c>
      <c r="U20" s="422"/>
      <c r="V20" s="422"/>
      <c r="W20" s="424"/>
      <c r="X20" s="425"/>
    </row>
    <row r="21" spans="1:24" x14ac:dyDescent="0.3">
      <c r="A21" s="408"/>
      <c r="B21" s="410"/>
      <c r="C21" s="410"/>
      <c r="D21" s="410"/>
      <c r="E21" s="410"/>
      <c r="F21" s="410"/>
      <c r="G21" s="410"/>
      <c r="H21" s="410"/>
      <c r="I21" s="410"/>
      <c r="J21" s="410"/>
      <c r="K21" s="410"/>
      <c r="L21" s="410"/>
      <c r="M21" s="410"/>
      <c r="N21" s="410"/>
      <c r="O21" s="410"/>
      <c r="P21" s="410"/>
      <c r="Q21" s="410"/>
      <c r="R21" s="410"/>
      <c r="S21" s="410"/>
      <c r="T21" s="410"/>
      <c r="U21" s="410"/>
      <c r="V21" s="433"/>
      <c r="W21" s="411"/>
      <c r="X21" s="406"/>
    </row>
    <row r="22" spans="1:24" x14ac:dyDescent="0.3">
      <c r="A22" s="434"/>
      <c r="B22" s="435"/>
      <c r="C22" s="436"/>
      <c r="D22" s="436" t="s">
        <v>180</v>
      </c>
      <c r="E22" s="436"/>
      <c r="F22" s="436" t="s">
        <v>181</v>
      </c>
      <c r="G22" s="436"/>
      <c r="H22" s="436" t="s">
        <v>182</v>
      </c>
      <c r="I22" s="436"/>
      <c r="J22" s="436" t="s">
        <v>223</v>
      </c>
      <c r="K22" s="436"/>
      <c r="L22" s="436" t="s">
        <v>183</v>
      </c>
      <c r="M22" s="436"/>
      <c r="N22" s="436" t="s">
        <v>184</v>
      </c>
      <c r="O22" s="436"/>
      <c r="P22" s="436" t="s">
        <v>224</v>
      </c>
      <c r="Q22" s="436"/>
      <c r="R22" s="436" t="s">
        <v>185</v>
      </c>
      <c r="S22" s="437"/>
      <c r="T22" s="437"/>
      <c r="U22" s="435"/>
      <c r="V22" s="435"/>
      <c r="W22" s="438"/>
      <c r="X22" s="406"/>
    </row>
    <row r="23" spans="1:24" s="426" customFormat="1" x14ac:dyDescent="0.3">
      <c r="A23" s="439"/>
      <c r="B23" s="440" t="s">
        <v>7</v>
      </c>
      <c r="C23" s="441"/>
      <c r="D23" s="441" t="s">
        <v>216</v>
      </c>
      <c r="E23" s="441"/>
      <c r="F23" s="441" t="s">
        <v>144</v>
      </c>
      <c r="G23" s="441"/>
      <c r="H23" s="441" t="s">
        <v>144</v>
      </c>
      <c r="I23" s="441"/>
      <c r="J23" s="441" t="s">
        <v>144</v>
      </c>
      <c r="K23" s="441"/>
      <c r="L23" s="441" t="s">
        <v>186</v>
      </c>
      <c r="M23" s="441"/>
      <c r="N23" s="441" t="s">
        <v>186</v>
      </c>
      <c r="O23" s="441"/>
      <c r="P23" s="441" t="s">
        <v>145</v>
      </c>
      <c r="Q23" s="441"/>
      <c r="R23" s="441" t="s">
        <v>145</v>
      </c>
      <c r="S23" s="441"/>
      <c r="T23" s="441"/>
      <c r="U23" s="440"/>
      <c r="V23" s="440"/>
      <c r="W23" s="442"/>
      <c r="X23" s="425"/>
    </row>
    <row r="24" spans="1:24" s="426" customFormat="1" x14ac:dyDescent="0.3">
      <c r="A24" s="443"/>
      <c r="B24" s="444" t="s">
        <v>8</v>
      </c>
      <c r="C24" s="445"/>
      <c r="D24" s="445" t="s">
        <v>217</v>
      </c>
      <c r="E24" s="445"/>
      <c r="F24" s="445" t="s">
        <v>146</v>
      </c>
      <c r="G24" s="445"/>
      <c r="H24" s="445" t="s">
        <v>146</v>
      </c>
      <c r="I24" s="445"/>
      <c r="J24" s="445" t="s">
        <v>146</v>
      </c>
      <c r="K24" s="445"/>
      <c r="L24" s="445" t="s">
        <v>168</v>
      </c>
      <c r="M24" s="445"/>
      <c r="N24" s="445" t="s">
        <v>168</v>
      </c>
      <c r="O24" s="445"/>
      <c r="P24" s="445" t="s">
        <v>147</v>
      </c>
      <c r="Q24" s="445"/>
      <c r="R24" s="445" t="s">
        <v>147</v>
      </c>
      <c r="S24" s="445"/>
      <c r="T24" s="445"/>
      <c r="U24" s="444"/>
      <c r="V24" s="444"/>
      <c r="W24" s="446"/>
      <c r="X24" s="425"/>
    </row>
    <row r="25" spans="1:24" s="426" customFormat="1" x14ac:dyDescent="0.3">
      <c r="A25" s="447"/>
      <c r="B25" s="444" t="s">
        <v>193</v>
      </c>
      <c r="C25" s="448"/>
      <c r="D25" s="445" t="s">
        <v>218</v>
      </c>
      <c r="E25" s="445"/>
      <c r="F25" s="445" t="s">
        <v>146</v>
      </c>
      <c r="G25" s="445"/>
      <c r="H25" s="445" t="s">
        <v>146</v>
      </c>
      <c r="I25" s="445"/>
      <c r="J25" s="445" t="s">
        <v>146</v>
      </c>
      <c r="K25" s="445"/>
      <c r="L25" s="445" t="s">
        <v>168</v>
      </c>
      <c r="M25" s="445"/>
      <c r="N25" s="445" t="s">
        <v>168</v>
      </c>
      <c r="O25" s="445"/>
      <c r="P25" s="445" t="s">
        <v>147</v>
      </c>
      <c r="Q25" s="445"/>
      <c r="R25" s="445" t="s">
        <v>147</v>
      </c>
      <c r="S25" s="448"/>
      <c r="T25" s="445"/>
      <c r="U25" s="444"/>
      <c r="V25" s="444"/>
      <c r="W25" s="446"/>
      <c r="X25" s="425"/>
    </row>
    <row r="26" spans="1:24" s="426" customFormat="1" x14ac:dyDescent="0.3">
      <c r="A26" s="447"/>
      <c r="B26" s="449" t="s">
        <v>9</v>
      </c>
      <c r="C26" s="448"/>
      <c r="D26" s="448" t="s">
        <v>144</v>
      </c>
      <c r="E26" s="448"/>
      <c r="F26" s="448" t="s">
        <v>144</v>
      </c>
      <c r="G26" s="448"/>
      <c r="H26" s="448" t="s">
        <v>144</v>
      </c>
      <c r="I26" s="448"/>
      <c r="J26" s="448" t="s">
        <v>144</v>
      </c>
      <c r="K26" s="448"/>
      <c r="L26" s="448" t="s">
        <v>186</v>
      </c>
      <c r="M26" s="448"/>
      <c r="N26" s="448" t="s">
        <v>186</v>
      </c>
      <c r="O26" s="448"/>
      <c r="P26" s="448" t="s">
        <v>145</v>
      </c>
      <c r="Q26" s="448"/>
      <c r="R26" s="448" t="s">
        <v>145</v>
      </c>
      <c r="S26" s="448"/>
      <c r="T26" s="445"/>
      <c r="U26" s="444"/>
      <c r="V26" s="444"/>
      <c r="W26" s="446"/>
      <c r="X26" s="425"/>
    </row>
    <row r="27" spans="1:24" s="426" customFormat="1" x14ac:dyDescent="0.3">
      <c r="A27" s="443"/>
      <c r="B27" s="449" t="s">
        <v>194</v>
      </c>
      <c r="C27" s="445"/>
      <c r="D27" s="448" t="s">
        <v>168</v>
      </c>
      <c r="E27" s="448"/>
      <c r="F27" s="448" t="s">
        <v>168</v>
      </c>
      <c r="G27" s="448"/>
      <c r="H27" s="448" t="s">
        <v>168</v>
      </c>
      <c r="I27" s="448"/>
      <c r="J27" s="448" t="s">
        <v>168</v>
      </c>
      <c r="K27" s="448"/>
      <c r="L27" s="448" t="s">
        <v>168</v>
      </c>
      <c r="M27" s="448"/>
      <c r="N27" s="448" t="s">
        <v>168</v>
      </c>
      <c r="O27" s="448"/>
      <c r="P27" s="448" t="s">
        <v>360</v>
      </c>
      <c r="Q27" s="448"/>
      <c r="R27" s="448" t="s">
        <v>360</v>
      </c>
      <c r="S27" s="445"/>
      <c r="T27" s="450"/>
      <c r="U27" s="444"/>
      <c r="V27" s="444"/>
      <c r="W27" s="446"/>
      <c r="X27" s="425"/>
    </row>
    <row r="28" spans="1:24" s="426" customFormat="1" x14ac:dyDescent="0.3">
      <c r="A28" s="443"/>
      <c r="B28" s="449" t="s">
        <v>195</v>
      </c>
      <c r="C28" s="445"/>
      <c r="D28" s="448" t="s">
        <v>146</v>
      </c>
      <c r="E28" s="448"/>
      <c r="F28" s="448" t="s">
        <v>146</v>
      </c>
      <c r="G28" s="448"/>
      <c r="H28" s="448" t="s">
        <v>146</v>
      </c>
      <c r="I28" s="448"/>
      <c r="J28" s="448" t="s">
        <v>146</v>
      </c>
      <c r="K28" s="448"/>
      <c r="L28" s="448" t="s">
        <v>146</v>
      </c>
      <c r="M28" s="448"/>
      <c r="N28" s="448" t="s">
        <v>146</v>
      </c>
      <c r="O28" s="448"/>
      <c r="P28" s="448" t="s">
        <v>360</v>
      </c>
      <c r="Q28" s="448"/>
      <c r="R28" s="448" t="s">
        <v>360</v>
      </c>
      <c r="S28" s="445"/>
      <c r="T28" s="450"/>
      <c r="U28" s="444"/>
      <c r="V28" s="444"/>
      <c r="W28" s="446"/>
      <c r="X28" s="425"/>
    </row>
    <row r="29" spans="1:24" s="426" customFormat="1" x14ac:dyDescent="0.3">
      <c r="A29" s="443"/>
      <c r="B29" s="444" t="s">
        <v>10</v>
      </c>
      <c r="C29" s="451"/>
      <c r="D29" s="445" t="s">
        <v>348</v>
      </c>
      <c r="E29" s="445"/>
      <c r="F29" s="450" t="s">
        <v>242</v>
      </c>
      <c r="G29" s="445"/>
      <c r="H29" s="445" t="s">
        <v>243</v>
      </c>
      <c r="I29" s="445"/>
      <c r="J29" s="445" t="s">
        <v>245</v>
      </c>
      <c r="K29" s="445"/>
      <c r="L29" s="445" t="s">
        <v>246</v>
      </c>
      <c r="M29" s="445"/>
      <c r="N29" s="445" t="s">
        <v>247</v>
      </c>
      <c r="O29" s="445"/>
      <c r="P29" s="445" t="s">
        <v>248</v>
      </c>
      <c r="Q29" s="445"/>
      <c r="R29" s="445" t="s">
        <v>249</v>
      </c>
      <c r="S29" s="452"/>
      <c r="T29" s="452"/>
      <c r="U29" s="451"/>
      <c r="V29" s="452"/>
      <c r="W29" s="453"/>
      <c r="X29" s="425"/>
    </row>
    <row r="30" spans="1:24" s="426" customFormat="1" x14ac:dyDescent="0.3">
      <c r="A30" s="443"/>
      <c r="B30" s="444" t="s">
        <v>10</v>
      </c>
      <c r="C30" s="451"/>
      <c r="D30" s="445" t="s">
        <v>241</v>
      </c>
      <c r="E30" s="445"/>
      <c r="F30" s="450" t="s">
        <v>121</v>
      </c>
      <c r="G30" s="445"/>
      <c r="H30" s="445" t="s">
        <v>121</v>
      </c>
      <c r="I30" s="445"/>
      <c r="J30" s="445" t="s">
        <v>244</v>
      </c>
      <c r="K30" s="445"/>
      <c r="L30" s="445" t="s">
        <v>121</v>
      </c>
      <c r="M30" s="445"/>
      <c r="N30" s="445" t="s">
        <v>121</v>
      </c>
      <c r="O30" s="445"/>
      <c r="P30" s="445" t="s">
        <v>121</v>
      </c>
      <c r="Q30" s="445"/>
      <c r="R30" s="445" t="s">
        <v>121</v>
      </c>
      <c r="S30" s="452"/>
      <c r="T30" s="452"/>
      <c r="U30" s="451"/>
      <c r="V30" s="452"/>
      <c r="W30" s="453"/>
      <c r="X30" s="425"/>
    </row>
    <row r="31" spans="1:24" s="426" customFormat="1" x14ac:dyDescent="0.3">
      <c r="A31" s="447"/>
      <c r="B31" s="444" t="s">
        <v>136</v>
      </c>
      <c r="C31" s="454"/>
      <c r="D31" s="455">
        <v>1500000</v>
      </c>
      <c r="E31" s="451"/>
      <c r="F31" s="452">
        <v>125000</v>
      </c>
      <c r="G31" s="452"/>
      <c r="H31" s="456">
        <v>315000</v>
      </c>
      <c r="I31" s="456"/>
      <c r="J31" s="455">
        <v>350000</v>
      </c>
      <c r="K31" s="452"/>
      <c r="L31" s="452">
        <v>56000</v>
      </c>
      <c r="M31" s="452"/>
      <c r="N31" s="456">
        <v>84000</v>
      </c>
      <c r="O31" s="452"/>
      <c r="P31" s="452">
        <v>13000</v>
      </c>
      <c r="Q31" s="452"/>
      <c r="R31" s="456">
        <v>81000</v>
      </c>
      <c r="S31" s="457"/>
      <c r="T31" s="457"/>
      <c r="U31" s="454"/>
      <c r="V31" s="457"/>
      <c r="W31" s="453"/>
      <c r="X31" s="425"/>
    </row>
    <row r="32" spans="1:24" s="426" customFormat="1" x14ac:dyDescent="0.3">
      <c r="A32" s="443"/>
      <c r="B32" s="444" t="s">
        <v>135</v>
      </c>
      <c r="C32" s="451"/>
      <c r="D32" s="458">
        <f>D34*D38</f>
        <v>302497.84965759999</v>
      </c>
      <c r="E32" s="451"/>
      <c r="F32" s="452">
        <f>F31*F38</f>
        <v>47391.524999999994</v>
      </c>
      <c r="G32" s="452"/>
      <c r="H32" s="456">
        <f>H31*H38</f>
        <v>119426.643</v>
      </c>
      <c r="I32" s="456"/>
      <c r="J32" s="455">
        <f>J31*J38</f>
        <v>132695.32500000001</v>
      </c>
      <c r="K32" s="452"/>
      <c r="L32" s="452">
        <f>L31*L38</f>
        <v>49255.886399999996</v>
      </c>
      <c r="M32" s="452"/>
      <c r="N32" s="456">
        <f>N31*N38</f>
        <v>73883.829599999997</v>
      </c>
      <c r="O32" s="452"/>
      <c r="P32" s="452">
        <f>P31*P38</f>
        <v>11434.402199999999</v>
      </c>
      <c r="Q32" s="452"/>
      <c r="R32" s="456">
        <f>R31*R38</f>
        <v>71245.121399999989</v>
      </c>
      <c r="S32" s="452"/>
      <c r="T32" s="452"/>
      <c r="U32" s="451"/>
      <c r="V32" s="452"/>
      <c r="W32" s="453"/>
      <c r="X32" s="425"/>
    </row>
    <row r="33" spans="1:24" s="426" customFormat="1" x14ac:dyDescent="0.3">
      <c r="A33" s="443"/>
      <c r="B33" s="449" t="s">
        <v>137</v>
      </c>
      <c r="C33" s="451"/>
      <c r="D33" s="459">
        <f>D34*D37</f>
        <v>297991.38881440001</v>
      </c>
      <c r="E33" s="454"/>
      <c r="F33" s="457">
        <f>F37*F31</f>
        <v>46685.525000000016</v>
      </c>
      <c r="G33" s="457"/>
      <c r="H33" s="460">
        <f>H31*H37</f>
        <v>117647.52300000003</v>
      </c>
      <c r="I33" s="460"/>
      <c r="J33" s="461">
        <f>J37*J31</f>
        <v>130718.48999999993</v>
      </c>
      <c r="K33" s="457"/>
      <c r="L33" s="457">
        <f>L31*L37</f>
        <v>48522.095999999998</v>
      </c>
      <c r="M33" s="457"/>
      <c r="N33" s="460">
        <f>N31*N37</f>
        <v>72783.144</v>
      </c>
      <c r="O33" s="457"/>
      <c r="P33" s="457">
        <f>P31*P37</f>
        <v>11264.057999999999</v>
      </c>
      <c r="Q33" s="457"/>
      <c r="R33" s="460">
        <f>R31*R37</f>
        <v>70183.745999999999</v>
      </c>
      <c r="S33" s="452"/>
      <c r="T33" s="452"/>
      <c r="U33" s="451"/>
      <c r="V33" s="452"/>
      <c r="W33" s="453"/>
      <c r="X33" s="425"/>
    </row>
    <row r="34" spans="1:24" s="426" customFormat="1" x14ac:dyDescent="0.3">
      <c r="A34" s="447"/>
      <c r="B34" s="444" t="s">
        <v>298</v>
      </c>
      <c r="C34" s="454"/>
      <c r="D34" s="452">
        <v>797872</v>
      </c>
      <c r="E34" s="451"/>
      <c r="F34" s="452">
        <v>125000</v>
      </c>
      <c r="G34" s="452"/>
      <c r="H34" s="452">
        <v>211409</v>
      </c>
      <c r="I34" s="452"/>
      <c r="J34" s="452">
        <v>186170</v>
      </c>
      <c r="K34" s="452"/>
      <c r="L34" s="452">
        <v>56000</v>
      </c>
      <c r="M34" s="452"/>
      <c r="N34" s="452">
        <v>56376</v>
      </c>
      <c r="O34" s="452"/>
      <c r="P34" s="452">
        <v>13000</v>
      </c>
      <c r="Q34" s="452"/>
      <c r="R34" s="452">
        <v>54363</v>
      </c>
      <c r="S34" s="457"/>
      <c r="T34" s="457"/>
      <c r="U34" s="454"/>
      <c r="V34" s="452">
        <f>SUM(C34:R34)</f>
        <v>1500190</v>
      </c>
      <c r="W34" s="453"/>
      <c r="X34" s="425"/>
    </row>
    <row r="35" spans="1:24" s="426" customFormat="1" x14ac:dyDescent="0.3">
      <c r="A35" s="447"/>
      <c r="B35" s="444" t="s">
        <v>299</v>
      </c>
      <c r="C35" s="454"/>
      <c r="D35" s="452">
        <f>D34*D38</f>
        <v>302497.84965759999</v>
      </c>
      <c r="E35" s="451"/>
      <c r="F35" s="452">
        <f>F34*F38</f>
        <v>47391.524999999994</v>
      </c>
      <c r="G35" s="452"/>
      <c r="H35" s="452">
        <f>H34*H38</f>
        <v>80151.959269799991</v>
      </c>
      <c r="I35" s="452"/>
      <c r="J35" s="452">
        <f>J34*J38</f>
        <v>70582.539015000002</v>
      </c>
      <c r="K35" s="452"/>
      <c r="L35" s="452">
        <f>L34*L38</f>
        <v>49255.886399999996</v>
      </c>
      <c r="M35" s="452"/>
      <c r="N35" s="452">
        <f>N34*N38</f>
        <v>49586.604494399995</v>
      </c>
      <c r="O35" s="452"/>
      <c r="P35" s="452">
        <f>P34*P38</f>
        <v>11434.402199999999</v>
      </c>
      <c r="Q35" s="452"/>
      <c r="R35" s="452">
        <f>R34*R38</f>
        <v>47816.031292199994</v>
      </c>
      <c r="S35" s="452"/>
      <c r="T35" s="452"/>
      <c r="U35" s="451"/>
      <c r="V35" s="452">
        <f>SUM(C35:R35)+1</f>
        <v>658717.79732899985</v>
      </c>
      <c r="W35" s="453"/>
      <c r="X35" s="425"/>
    </row>
    <row r="36" spans="1:24" s="426" customFormat="1" x14ac:dyDescent="0.3">
      <c r="A36" s="447"/>
      <c r="B36" s="449" t="s">
        <v>304</v>
      </c>
      <c r="C36" s="454"/>
      <c r="D36" s="457">
        <f>D34*D37</f>
        <v>297991.38881440001</v>
      </c>
      <c r="E36" s="454"/>
      <c r="F36" s="457">
        <f>F34*F37</f>
        <v>46685.525000000016</v>
      </c>
      <c r="G36" s="457"/>
      <c r="H36" s="457">
        <f>H34*H37</f>
        <v>78957.921237800023</v>
      </c>
      <c r="I36" s="457"/>
      <c r="J36" s="457">
        <f>J34*J37</f>
        <v>69531.032237999956</v>
      </c>
      <c r="K36" s="457"/>
      <c r="L36" s="457">
        <f>L34*L37</f>
        <v>48522.095999999998</v>
      </c>
      <c r="M36" s="457"/>
      <c r="N36" s="457">
        <f>N34*N37</f>
        <v>48847.887215999996</v>
      </c>
      <c r="O36" s="457"/>
      <c r="P36" s="457">
        <f>P34*P37</f>
        <v>11264.057999999999</v>
      </c>
      <c r="Q36" s="457"/>
      <c r="R36" s="457">
        <f>R34*R37</f>
        <v>47103.691157999994</v>
      </c>
      <c r="S36" s="462"/>
      <c r="T36" s="462"/>
      <c r="U36" s="451"/>
      <c r="V36" s="457">
        <f>SUM(C36:R36)</f>
        <v>648903.59966419998</v>
      </c>
      <c r="W36" s="453"/>
      <c r="X36" s="425"/>
    </row>
    <row r="37" spans="1:24" s="473" customFormat="1" x14ac:dyDescent="0.3">
      <c r="A37" s="463"/>
      <c r="B37" s="464" t="s">
        <v>133</v>
      </c>
      <c r="C37" s="465"/>
      <c r="D37" s="466">
        <v>0.3734827</v>
      </c>
      <c r="E37" s="467"/>
      <c r="F37" s="466">
        <v>0.3734842000000001</v>
      </c>
      <c r="G37" s="468"/>
      <c r="H37" s="466">
        <v>0.3734842000000001</v>
      </c>
      <c r="I37" s="468"/>
      <c r="J37" s="466">
        <v>0.3734813999999998</v>
      </c>
      <c r="K37" s="468"/>
      <c r="L37" s="466">
        <v>0.86646599999999996</v>
      </c>
      <c r="M37" s="468"/>
      <c r="N37" s="466">
        <v>0.86646599999999996</v>
      </c>
      <c r="O37" s="468"/>
      <c r="P37" s="466">
        <v>0.86646599999999996</v>
      </c>
      <c r="Q37" s="468"/>
      <c r="R37" s="466">
        <v>0.86646599999999996</v>
      </c>
      <c r="S37" s="469"/>
      <c r="T37" s="469"/>
      <c r="U37" s="470"/>
      <c r="V37" s="470"/>
      <c r="W37" s="471"/>
      <c r="X37" s="472"/>
    </row>
    <row r="38" spans="1:24" s="473" customFormat="1" x14ac:dyDescent="0.3">
      <c r="A38" s="463"/>
      <c r="B38" s="465" t="s">
        <v>134</v>
      </c>
      <c r="C38" s="465"/>
      <c r="D38" s="474">
        <v>0.37913079999999999</v>
      </c>
      <c r="E38" s="475"/>
      <c r="F38" s="474">
        <v>0.37913219999999997</v>
      </c>
      <c r="G38" s="476"/>
      <c r="H38" s="474">
        <v>0.37913219999999997</v>
      </c>
      <c r="I38" s="476"/>
      <c r="J38" s="474">
        <v>0.37912950000000001</v>
      </c>
      <c r="K38" s="476"/>
      <c r="L38" s="474">
        <v>0.87956939999999995</v>
      </c>
      <c r="M38" s="476"/>
      <c r="N38" s="474">
        <v>0.87956939999999995</v>
      </c>
      <c r="O38" s="476"/>
      <c r="P38" s="474">
        <v>0.87956939999999995</v>
      </c>
      <c r="Q38" s="476"/>
      <c r="R38" s="474">
        <v>0.87956939999999995</v>
      </c>
      <c r="S38" s="477"/>
      <c r="T38" s="478"/>
      <c r="U38" s="470"/>
      <c r="V38" s="477"/>
      <c r="W38" s="471"/>
      <c r="X38" s="472"/>
    </row>
    <row r="39" spans="1:24" s="426" customFormat="1" x14ac:dyDescent="0.3">
      <c r="A39" s="443"/>
      <c r="B39" s="444" t="s">
        <v>11</v>
      </c>
      <c r="C39" s="444"/>
      <c r="D39" s="450" t="s">
        <v>226</v>
      </c>
      <c r="E39" s="444"/>
      <c r="F39" s="450" t="s">
        <v>226</v>
      </c>
      <c r="G39" s="450"/>
      <c r="H39" s="450" t="s">
        <v>226</v>
      </c>
      <c r="I39" s="450"/>
      <c r="J39" s="450" t="s">
        <v>256</v>
      </c>
      <c r="K39" s="450"/>
      <c r="L39" s="450" t="s">
        <v>254</v>
      </c>
      <c r="M39" s="450"/>
      <c r="N39" s="450" t="s">
        <v>257</v>
      </c>
      <c r="O39" s="450"/>
      <c r="P39" s="450" t="s">
        <v>258</v>
      </c>
      <c r="Q39" s="450"/>
      <c r="R39" s="450" t="s">
        <v>259</v>
      </c>
      <c r="S39" s="479"/>
      <c r="T39" s="480"/>
      <c r="U39" s="444"/>
      <c r="V39" s="444"/>
      <c r="W39" s="446"/>
      <c r="X39" s="425"/>
    </row>
    <row r="40" spans="1:24" s="426" customFormat="1" x14ac:dyDescent="0.3">
      <c r="A40" s="443"/>
      <c r="B40" s="444" t="s">
        <v>12</v>
      </c>
      <c r="C40" s="444"/>
      <c r="D40" s="480">
        <v>2.8574999999999998E-3</v>
      </c>
      <c r="E40" s="444"/>
      <c r="F40" s="480">
        <v>2.8574999999999998E-3</v>
      </c>
      <c r="G40" s="479"/>
      <c r="H40" s="480">
        <v>0</v>
      </c>
      <c r="I40" s="480"/>
      <c r="J40" s="480">
        <v>4.1688000000000003E-3</v>
      </c>
      <c r="K40" s="479"/>
      <c r="L40" s="480">
        <v>4.4574999999999997E-3</v>
      </c>
      <c r="M40" s="479"/>
      <c r="N40" s="480">
        <v>0</v>
      </c>
      <c r="O40" s="479"/>
      <c r="P40" s="480">
        <v>8.4574999999999997E-3</v>
      </c>
      <c r="Q40" s="479"/>
      <c r="R40" s="480">
        <v>2.7200000000000002E-3</v>
      </c>
      <c r="S40" s="479"/>
      <c r="T40" s="480"/>
      <c r="U40" s="444"/>
      <c r="V40" s="450"/>
      <c r="W40" s="446"/>
      <c r="X40" s="425"/>
    </row>
    <row r="41" spans="1:24" s="426" customFormat="1" x14ac:dyDescent="0.3">
      <c r="A41" s="443"/>
      <c r="B41" s="444" t="s">
        <v>13</v>
      </c>
      <c r="C41" s="444"/>
      <c r="D41" s="480">
        <v>3.2238000000000002E-3</v>
      </c>
      <c r="E41" s="444"/>
      <c r="F41" s="480">
        <v>3.2238000000000002E-3</v>
      </c>
      <c r="G41" s="479"/>
      <c r="H41" s="480">
        <v>0</v>
      </c>
      <c r="I41" s="480"/>
      <c r="J41" s="480">
        <v>4.5500000000000002E-3</v>
      </c>
      <c r="K41" s="479"/>
      <c r="L41" s="480">
        <v>4.8237999999999996E-3</v>
      </c>
      <c r="M41" s="479"/>
      <c r="N41" s="480">
        <v>0</v>
      </c>
      <c r="O41" s="479"/>
      <c r="P41" s="480">
        <v>8.8237999999999997E-3</v>
      </c>
      <c r="Q41" s="479"/>
      <c r="R41" s="480">
        <v>3.4499999999999999E-3</v>
      </c>
      <c r="S41" s="479"/>
      <c r="T41" s="480"/>
      <c r="U41" s="444"/>
      <c r="V41" s="479" t="s">
        <v>196</v>
      </c>
      <c r="W41" s="446"/>
      <c r="X41" s="425"/>
    </row>
    <row r="42" spans="1:24" s="426" customFormat="1" x14ac:dyDescent="0.3">
      <c r="A42" s="443"/>
      <c r="B42" s="444" t="s">
        <v>300</v>
      </c>
      <c r="C42" s="444"/>
      <c r="D42" s="450" t="s">
        <v>226</v>
      </c>
      <c r="E42" s="444"/>
      <c r="F42" s="450" t="s">
        <v>226</v>
      </c>
      <c r="G42" s="450"/>
      <c r="H42" s="450" t="s">
        <v>227</v>
      </c>
      <c r="I42" s="450"/>
      <c r="J42" s="450" t="s">
        <v>237</v>
      </c>
      <c r="K42" s="450"/>
      <c r="L42" s="450" t="s">
        <v>254</v>
      </c>
      <c r="M42" s="450"/>
      <c r="N42" s="450" t="s">
        <v>260</v>
      </c>
      <c r="O42" s="450"/>
      <c r="P42" s="450" t="s">
        <v>258</v>
      </c>
      <c r="Q42" s="450"/>
      <c r="R42" s="450" t="s">
        <v>261</v>
      </c>
      <c r="S42" s="479"/>
      <c r="T42" s="480"/>
      <c r="U42" s="444"/>
      <c r="V42" s="444"/>
      <c r="W42" s="446"/>
      <c r="X42" s="425"/>
    </row>
    <row r="43" spans="1:24" s="426" customFormat="1" x14ac:dyDescent="0.3">
      <c r="A43" s="443"/>
      <c r="B43" s="444" t="s">
        <v>301</v>
      </c>
      <c r="C43" s="481"/>
      <c r="D43" s="480">
        <f>+D40</f>
        <v>2.8574999999999998E-3</v>
      </c>
      <c r="E43" s="480"/>
      <c r="F43" s="480">
        <f>+F40</f>
        <v>2.8574999999999998E-3</v>
      </c>
      <c r="G43" s="480"/>
      <c r="H43" s="480">
        <v>3.1015000000000001E-3</v>
      </c>
      <c r="I43" s="480"/>
      <c r="J43" s="480">
        <v>2.9375E-3</v>
      </c>
      <c r="K43" s="480"/>
      <c r="L43" s="480">
        <f>+L40</f>
        <v>4.4574999999999997E-3</v>
      </c>
      <c r="M43" s="480"/>
      <c r="N43" s="480">
        <v>4.6375000000000001E-3</v>
      </c>
      <c r="O43" s="480"/>
      <c r="P43" s="480">
        <f>+P40</f>
        <v>8.4574999999999997E-3</v>
      </c>
      <c r="Q43" s="479"/>
      <c r="R43" s="480">
        <v>8.8575000000000008E-3</v>
      </c>
      <c r="S43" s="450"/>
      <c r="T43" s="450"/>
      <c r="U43" s="444"/>
      <c r="V43" s="479">
        <f>SUMPRODUCT(D43:R43,D35:R35)/V35</f>
        <v>3.682137257713197E-3</v>
      </c>
      <c r="W43" s="446"/>
      <c r="X43" s="425"/>
    </row>
    <row r="44" spans="1:24" s="426" customFormat="1" x14ac:dyDescent="0.3">
      <c r="A44" s="443"/>
      <c r="B44" s="444" t="s">
        <v>302</v>
      </c>
      <c r="C44" s="481"/>
      <c r="D44" s="480">
        <v>3.2238000000000002E-3</v>
      </c>
      <c r="E44" s="480"/>
      <c r="F44" s="480">
        <v>3.2238000000000002E-3</v>
      </c>
      <c r="G44" s="480"/>
      <c r="H44" s="480">
        <v>3.4678E-3</v>
      </c>
      <c r="I44" s="480"/>
      <c r="J44" s="480">
        <v>3.3038E-3</v>
      </c>
      <c r="K44" s="480"/>
      <c r="L44" s="480">
        <v>4.8237999999999996E-3</v>
      </c>
      <c r="M44" s="480"/>
      <c r="N44" s="480">
        <v>5.0038000000000001E-3</v>
      </c>
      <c r="O44" s="480"/>
      <c r="P44" s="480">
        <v>8.8237999999999997E-3</v>
      </c>
      <c r="Q44" s="479"/>
      <c r="R44" s="480">
        <v>9.2238000000000007E-3</v>
      </c>
      <c r="S44" s="450"/>
      <c r="T44" s="450"/>
      <c r="U44" s="444"/>
      <c r="V44" s="444"/>
      <c r="W44" s="446"/>
      <c r="X44" s="425"/>
    </row>
    <row r="45" spans="1:24" s="426" customFormat="1" x14ac:dyDescent="0.3">
      <c r="A45" s="443"/>
      <c r="B45" s="444" t="s">
        <v>14</v>
      </c>
      <c r="C45" s="444"/>
      <c r="D45" s="481">
        <v>40466</v>
      </c>
      <c r="E45" s="481"/>
      <c r="F45" s="481">
        <v>40466</v>
      </c>
      <c r="G45" s="481"/>
      <c r="H45" s="481">
        <v>40466</v>
      </c>
      <c r="I45" s="481"/>
      <c r="J45" s="481">
        <v>40466</v>
      </c>
      <c r="K45" s="481"/>
      <c r="L45" s="481">
        <v>40466</v>
      </c>
      <c r="M45" s="481"/>
      <c r="N45" s="481">
        <v>40466</v>
      </c>
      <c r="O45" s="481"/>
      <c r="P45" s="481">
        <v>40466</v>
      </c>
      <c r="Q45" s="481"/>
      <c r="R45" s="481">
        <v>40466</v>
      </c>
      <c r="S45" s="450"/>
      <c r="T45" s="450"/>
      <c r="U45" s="444"/>
      <c r="V45" s="444"/>
      <c r="W45" s="446"/>
      <c r="X45" s="425"/>
    </row>
    <row r="46" spans="1:24" s="426" customFormat="1" x14ac:dyDescent="0.3">
      <c r="A46" s="443"/>
      <c r="B46" s="444" t="s">
        <v>15</v>
      </c>
      <c r="C46" s="444"/>
      <c r="D46" s="481">
        <v>41105</v>
      </c>
      <c r="E46" s="481"/>
      <c r="F46" s="481">
        <v>40831</v>
      </c>
      <c r="G46" s="481"/>
      <c r="H46" s="481">
        <v>40831</v>
      </c>
      <c r="I46" s="481"/>
      <c r="J46" s="481">
        <v>40831</v>
      </c>
      <c r="K46" s="450"/>
      <c r="L46" s="481">
        <v>40831</v>
      </c>
      <c r="M46" s="450"/>
      <c r="N46" s="481">
        <v>40831</v>
      </c>
      <c r="O46" s="450"/>
      <c r="P46" s="481">
        <v>40831</v>
      </c>
      <c r="Q46" s="450"/>
      <c r="R46" s="481">
        <v>40831</v>
      </c>
      <c r="S46" s="450"/>
      <c r="T46" s="450"/>
      <c r="U46" s="444"/>
      <c r="V46" s="444"/>
      <c r="W46" s="446"/>
      <c r="X46" s="425"/>
    </row>
    <row r="47" spans="1:24" s="426" customFormat="1" x14ac:dyDescent="0.3">
      <c r="A47" s="443"/>
      <c r="B47" s="444" t="s">
        <v>122</v>
      </c>
      <c r="C47" s="444"/>
      <c r="D47" s="450" t="s">
        <v>226</v>
      </c>
      <c r="E47" s="444"/>
      <c r="F47" s="450" t="s">
        <v>226</v>
      </c>
      <c r="G47" s="450"/>
      <c r="H47" s="450" t="s">
        <v>226</v>
      </c>
      <c r="I47" s="450"/>
      <c r="J47" s="450" t="s">
        <v>256</v>
      </c>
      <c r="K47" s="450"/>
      <c r="L47" s="450" t="s">
        <v>254</v>
      </c>
      <c r="M47" s="450"/>
      <c r="N47" s="450" t="s">
        <v>257</v>
      </c>
      <c r="O47" s="450"/>
      <c r="P47" s="450" t="s">
        <v>258</v>
      </c>
      <c r="Q47" s="450"/>
      <c r="R47" s="450" t="s">
        <v>259</v>
      </c>
      <c r="S47" s="482"/>
      <c r="T47" s="482"/>
      <c r="U47" s="482"/>
      <c r="V47" s="482"/>
      <c r="W47" s="446"/>
      <c r="X47" s="425"/>
    </row>
    <row r="48" spans="1:24" s="426" customFormat="1" x14ac:dyDescent="0.3">
      <c r="A48" s="443"/>
      <c r="B48" s="444" t="s">
        <v>303</v>
      </c>
      <c r="C48" s="444"/>
      <c r="D48" s="450" t="s">
        <v>226</v>
      </c>
      <c r="E48" s="444"/>
      <c r="F48" s="450" t="s">
        <v>226</v>
      </c>
      <c r="G48" s="450"/>
      <c r="H48" s="450" t="s">
        <v>227</v>
      </c>
      <c r="I48" s="450"/>
      <c r="J48" s="450" t="s">
        <v>237</v>
      </c>
      <c r="K48" s="450"/>
      <c r="L48" s="450" t="s">
        <v>254</v>
      </c>
      <c r="M48" s="450"/>
      <c r="N48" s="450" t="s">
        <v>260</v>
      </c>
      <c r="O48" s="450"/>
      <c r="P48" s="450" t="s">
        <v>258</v>
      </c>
      <c r="Q48" s="450"/>
      <c r="R48" s="450" t="s">
        <v>261</v>
      </c>
      <c r="S48" s="444"/>
      <c r="T48" s="444"/>
      <c r="U48" s="444"/>
      <c r="V48" s="479"/>
      <c r="W48" s="446"/>
      <c r="X48" s="425"/>
    </row>
    <row r="49" spans="1:25" s="426" customFormat="1" x14ac:dyDescent="0.3">
      <c r="A49" s="443"/>
      <c r="B49" s="444"/>
      <c r="C49" s="444"/>
      <c r="D49" s="450"/>
      <c r="E49" s="444"/>
      <c r="F49" s="450"/>
      <c r="G49" s="450"/>
      <c r="H49" s="450"/>
      <c r="I49" s="450"/>
      <c r="J49" s="450"/>
      <c r="K49" s="450"/>
      <c r="L49" s="450"/>
      <c r="M49" s="450"/>
      <c r="N49" s="450"/>
      <c r="O49" s="450"/>
      <c r="P49" s="450"/>
      <c r="Q49" s="450"/>
      <c r="R49" s="450"/>
      <c r="S49" s="444"/>
      <c r="T49" s="444"/>
      <c r="U49" s="444"/>
      <c r="V49" s="479" t="s">
        <v>196</v>
      </c>
      <c r="W49" s="446"/>
      <c r="X49" s="425"/>
    </row>
    <row r="50" spans="1:25" s="426" customFormat="1" x14ac:dyDescent="0.3">
      <c r="A50" s="443"/>
      <c r="B50" s="444" t="s">
        <v>172</v>
      </c>
      <c r="C50" s="444"/>
      <c r="D50" s="450"/>
      <c r="E50" s="444"/>
      <c r="F50" s="450"/>
      <c r="G50" s="450"/>
      <c r="H50" s="450"/>
      <c r="I50" s="450"/>
      <c r="J50" s="450"/>
      <c r="K50" s="450"/>
      <c r="L50" s="450"/>
      <c r="M50" s="450"/>
      <c r="N50" s="450"/>
      <c r="O50" s="450"/>
      <c r="P50" s="450"/>
      <c r="Q50" s="450"/>
      <c r="R50" s="450"/>
      <c r="S50" s="444"/>
      <c r="T50" s="444"/>
      <c r="U50" s="444"/>
      <c r="V50" s="479">
        <f>SUM(L34:R34)/SUM(D34:J34)</f>
        <v>0.13611940162868597</v>
      </c>
      <c r="W50" s="446"/>
      <c r="X50" s="425"/>
    </row>
    <row r="51" spans="1:25" s="426" customFormat="1" x14ac:dyDescent="0.3">
      <c r="A51" s="443"/>
      <c r="B51" s="444" t="s">
        <v>173</v>
      </c>
      <c r="C51" s="444"/>
      <c r="D51" s="444"/>
      <c r="E51" s="444"/>
      <c r="F51" s="483"/>
      <c r="G51" s="444"/>
      <c r="H51" s="444"/>
      <c r="I51" s="444"/>
      <c r="J51" s="444"/>
      <c r="K51" s="444"/>
      <c r="L51" s="444"/>
      <c r="M51" s="444"/>
      <c r="N51" s="444"/>
      <c r="O51" s="444"/>
      <c r="P51" s="444"/>
      <c r="Q51" s="444"/>
      <c r="R51" s="444"/>
      <c r="S51" s="444"/>
      <c r="T51" s="444"/>
      <c r="U51" s="444"/>
      <c r="V51" s="479">
        <f>SUM(L36:R36)/SUM(D36:J36)</f>
        <v>0.31579179076145836</v>
      </c>
      <c r="W51" s="446"/>
      <c r="X51" s="425"/>
    </row>
    <row r="52" spans="1:25" s="426" customFormat="1" x14ac:dyDescent="0.3">
      <c r="A52" s="443"/>
      <c r="B52" s="444" t="s">
        <v>174</v>
      </c>
      <c r="C52" s="444"/>
      <c r="D52" s="444"/>
      <c r="E52" s="444"/>
      <c r="F52" s="444"/>
      <c r="G52" s="444"/>
      <c r="H52" s="444"/>
      <c r="I52" s="444"/>
      <c r="J52" s="444"/>
      <c r="K52" s="444"/>
      <c r="L52" s="444"/>
      <c r="M52" s="444"/>
      <c r="N52" s="444"/>
      <c r="O52" s="444"/>
      <c r="P52" s="444"/>
      <c r="Q52" s="444"/>
      <c r="R52" s="444"/>
      <c r="S52" s="444"/>
      <c r="T52" s="450" t="s">
        <v>107</v>
      </c>
      <c r="U52" s="450" t="s">
        <v>112</v>
      </c>
      <c r="V52" s="452">
        <f>+V34/2-SUM(L34:R34)</f>
        <v>570356</v>
      </c>
      <c r="W52" s="446"/>
      <c r="X52" s="425"/>
    </row>
    <row r="53" spans="1:25" s="426" customFormat="1" x14ac:dyDescent="0.3">
      <c r="A53" s="443"/>
      <c r="B53" s="444"/>
      <c r="C53" s="444"/>
      <c r="D53" s="444"/>
      <c r="E53" s="444"/>
      <c r="F53" s="444"/>
      <c r="G53" s="444"/>
      <c r="H53" s="444"/>
      <c r="I53" s="444"/>
      <c r="J53" s="444"/>
      <c r="K53" s="444"/>
      <c r="L53" s="444"/>
      <c r="M53" s="444"/>
      <c r="N53" s="444"/>
      <c r="O53" s="444"/>
      <c r="P53" s="444"/>
      <c r="Q53" s="444"/>
      <c r="R53" s="444"/>
      <c r="S53" s="444"/>
      <c r="T53" s="444"/>
      <c r="U53" s="444"/>
      <c r="V53" s="484"/>
      <c r="W53" s="446"/>
      <c r="X53" s="425"/>
    </row>
    <row r="54" spans="1:25" s="426" customFormat="1" x14ac:dyDescent="0.3">
      <c r="A54" s="443"/>
      <c r="B54" s="444" t="s">
        <v>358</v>
      </c>
      <c r="C54" s="444"/>
      <c r="D54" s="444"/>
      <c r="E54" s="444"/>
      <c r="F54" s="444"/>
      <c r="G54" s="444"/>
      <c r="H54" s="444"/>
      <c r="I54" s="444"/>
      <c r="J54" s="444"/>
      <c r="K54" s="444"/>
      <c r="L54" s="444"/>
      <c r="M54" s="444"/>
      <c r="N54" s="444"/>
      <c r="O54" s="444"/>
      <c r="P54" s="444"/>
      <c r="Q54" s="444"/>
      <c r="R54" s="444"/>
      <c r="S54" s="444"/>
      <c r="T54" s="450"/>
      <c r="U54" s="450"/>
      <c r="V54" s="485" t="s">
        <v>114</v>
      </c>
      <c r="W54" s="486"/>
      <c r="X54" s="487"/>
    </row>
    <row r="55" spans="1:25" s="426" customFormat="1" x14ac:dyDescent="0.3">
      <c r="A55" s="443"/>
      <c r="B55" s="449" t="s">
        <v>204</v>
      </c>
      <c r="C55" s="449"/>
      <c r="D55" s="449"/>
      <c r="E55" s="449"/>
      <c r="F55" s="449"/>
      <c r="G55" s="449"/>
      <c r="H55" s="449"/>
      <c r="I55" s="449"/>
      <c r="J55" s="449"/>
      <c r="K55" s="449"/>
      <c r="L55" s="449"/>
      <c r="M55" s="449"/>
      <c r="N55" s="449"/>
      <c r="O55" s="449"/>
      <c r="P55" s="449"/>
      <c r="Q55" s="449"/>
      <c r="R55" s="449"/>
      <c r="S55" s="449"/>
      <c r="T55" s="488"/>
      <c r="U55" s="488"/>
      <c r="V55" s="489">
        <v>44211</v>
      </c>
      <c r="W55" s="486"/>
      <c r="X55" s="487"/>
    </row>
    <row r="56" spans="1:25" s="426" customFormat="1" x14ac:dyDescent="0.3">
      <c r="A56" s="443"/>
      <c r="B56" s="444" t="s">
        <v>124</v>
      </c>
      <c r="C56" s="444"/>
      <c r="D56" s="444"/>
      <c r="E56" s="444"/>
      <c r="F56" s="444"/>
      <c r="G56" s="444"/>
      <c r="H56" s="490"/>
      <c r="I56" s="490"/>
      <c r="J56" s="490"/>
      <c r="K56" s="490"/>
      <c r="L56" s="490"/>
      <c r="M56" s="490"/>
      <c r="N56" s="490"/>
      <c r="O56" s="490"/>
      <c r="P56" s="490"/>
      <c r="Q56" s="490"/>
      <c r="R56" s="444">
        <f>+V56-T56+1</f>
        <v>92</v>
      </c>
      <c r="S56" s="490"/>
      <c r="T56" s="491">
        <v>44027</v>
      </c>
      <c r="U56" s="492"/>
      <c r="V56" s="491">
        <v>44118</v>
      </c>
      <c r="W56" s="486"/>
      <c r="X56" s="487"/>
    </row>
    <row r="57" spans="1:25" s="426" customFormat="1" x14ac:dyDescent="0.3">
      <c r="A57" s="443"/>
      <c r="B57" s="444" t="s">
        <v>125</v>
      </c>
      <c r="C57" s="444"/>
      <c r="D57" s="444"/>
      <c r="E57" s="444"/>
      <c r="F57" s="444"/>
      <c r="G57" s="444"/>
      <c r="H57" s="444"/>
      <c r="I57" s="444"/>
      <c r="J57" s="444"/>
      <c r="K57" s="444"/>
      <c r="L57" s="444"/>
      <c r="M57" s="444"/>
      <c r="N57" s="444"/>
      <c r="O57" s="444"/>
      <c r="P57" s="444"/>
      <c r="Q57" s="444"/>
      <c r="R57" s="444">
        <f>+V57-T57+1</f>
        <v>92</v>
      </c>
      <c r="S57" s="444"/>
      <c r="T57" s="491">
        <v>44119</v>
      </c>
      <c r="U57" s="492"/>
      <c r="V57" s="491">
        <v>44210</v>
      </c>
      <c r="W57" s="486"/>
      <c r="X57" s="487"/>
    </row>
    <row r="58" spans="1:25" s="426" customFormat="1" x14ac:dyDescent="0.3">
      <c r="A58" s="443"/>
      <c r="B58" s="444" t="s">
        <v>357</v>
      </c>
      <c r="C58" s="444"/>
      <c r="D58" s="444"/>
      <c r="E58" s="444"/>
      <c r="F58" s="444"/>
      <c r="G58" s="444"/>
      <c r="H58" s="444"/>
      <c r="I58" s="444"/>
      <c r="J58" s="444"/>
      <c r="K58" s="444"/>
      <c r="L58" s="444"/>
      <c r="M58" s="444"/>
      <c r="N58" s="444"/>
      <c r="O58" s="444"/>
      <c r="P58" s="444"/>
      <c r="Q58" s="444"/>
      <c r="R58" s="444"/>
      <c r="S58" s="444"/>
      <c r="T58" s="491"/>
      <c r="U58" s="492"/>
      <c r="V58" s="491" t="s">
        <v>123</v>
      </c>
      <c r="W58" s="486"/>
      <c r="X58" s="487"/>
    </row>
    <row r="59" spans="1:25" s="426" customFormat="1" x14ac:dyDescent="0.3">
      <c r="A59" s="443"/>
      <c r="B59" s="444" t="s">
        <v>356</v>
      </c>
      <c r="C59" s="444"/>
      <c r="D59" s="444"/>
      <c r="E59" s="444"/>
      <c r="F59" s="444"/>
      <c r="G59" s="444"/>
      <c r="H59" s="444"/>
      <c r="I59" s="444"/>
      <c r="J59" s="444"/>
      <c r="K59" s="444"/>
      <c r="L59" s="444"/>
      <c r="M59" s="444"/>
      <c r="N59" s="444"/>
      <c r="O59" s="444"/>
      <c r="P59" s="444"/>
      <c r="Q59" s="444"/>
      <c r="R59" s="444"/>
      <c r="S59" s="444"/>
      <c r="T59" s="491"/>
      <c r="U59" s="492"/>
      <c r="V59" s="491" t="s">
        <v>157</v>
      </c>
      <c r="W59" s="486"/>
      <c r="X59" s="487"/>
      <c r="Y59" s="493"/>
    </row>
    <row r="60" spans="1:25" s="426" customFormat="1" x14ac:dyDescent="0.3">
      <c r="A60" s="443"/>
      <c r="B60" s="444" t="s">
        <v>16</v>
      </c>
      <c r="C60" s="444"/>
      <c r="D60" s="444"/>
      <c r="E60" s="444"/>
      <c r="F60" s="444"/>
      <c r="G60" s="444"/>
      <c r="H60" s="444"/>
      <c r="I60" s="444"/>
      <c r="J60" s="444"/>
      <c r="K60" s="444"/>
      <c r="L60" s="444"/>
      <c r="M60" s="444"/>
      <c r="N60" s="444"/>
      <c r="O60" s="444"/>
      <c r="P60" s="444"/>
      <c r="Q60" s="444"/>
      <c r="R60" s="444"/>
      <c r="S60" s="444"/>
      <c r="T60" s="491"/>
      <c r="U60" s="492"/>
      <c r="V60" s="491">
        <v>44200</v>
      </c>
      <c r="W60" s="486"/>
      <c r="X60" s="487"/>
    </row>
    <row r="61" spans="1:25" s="426" customFormat="1" x14ac:dyDescent="0.3">
      <c r="A61" s="421"/>
      <c r="B61" s="494"/>
      <c r="C61" s="494"/>
      <c r="D61" s="494"/>
      <c r="E61" s="494"/>
      <c r="F61" s="494"/>
      <c r="G61" s="494"/>
      <c r="H61" s="494"/>
      <c r="I61" s="494"/>
      <c r="J61" s="494"/>
      <c r="K61" s="494"/>
      <c r="L61" s="494"/>
      <c r="M61" s="494"/>
      <c r="N61" s="494"/>
      <c r="O61" s="494"/>
      <c r="P61" s="494"/>
      <c r="Q61" s="494"/>
      <c r="R61" s="494"/>
      <c r="S61" s="494"/>
      <c r="T61" s="495"/>
      <c r="U61" s="496"/>
      <c r="V61" s="495"/>
      <c r="W61" s="497"/>
      <c r="X61" s="487"/>
    </row>
    <row r="62" spans="1:25" s="426" customFormat="1" x14ac:dyDescent="0.3">
      <c r="A62" s="421"/>
      <c r="B62" s="422"/>
      <c r="C62" s="422"/>
      <c r="D62" s="422"/>
      <c r="E62" s="422"/>
      <c r="F62" s="422"/>
      <c r="G62" s="422"/>
      <c r="H62" s="422"/>
      <c r="I62" s="422"/>
      <c r="J62" s="422"/>
      <c r="K62" s="422"/>
      <c r="L62" s="422"/>
      <c r="M62" s="422"/>
      <c r="N62" s="422"/>
      <c r="O62" s="422"/>
      <c r="P62" s="422"/>
      <c r="Q62" s="422"/>
      <c r="R62" s="422"/>
      <c r="S62" s="422"/>
      <c r="T62" s="498"/>
      <c r="U62" s="499"/>
      <c r="V62" s="498"/>
      <c r="W62" s="497"/>
      <c r="X62" s="487"/>
    </row>
    <row r="63" spans="1:25" s="426" customFormat="1" ht="18.600000000000001" thickBot="1" x14ac:dyDescent="0.4">
      <c r="A63" s="500"/>
      <c r="B63" s="501" t="s">
        <v>423</v>
      </c>
      <c r="C63" s="502"/>
      <c r="D63" s="502"/>
      <c r="E63" s="502"/>
      <c r="F63" s="502"/>
      <c r="G63" s="502"/>
      <c r="H63" s="502"/>
      <c r="I63" s="502"/>
      <c r="J63" s="502"/>
      <c r="K63" s="502"/>
      <c r="L63" s="502"/>
      <c r="M63" s="502"/>
      <c r="N63" s="502"/>
      <c r="O63" s="502"/>
      <c r="P63" s="502"/>
      <c r="Q63" s="502"/>
      <c r="R63" s="502"/>
      <c r="S63" s="502"/>
      <c r="T63" s="502"/>
      <c r="U63" s="502"/>
      <c r="V63" s="503"/>
      <c r="W63" s="504"/>
      <c r="X63" s="487"/>
    </row>
    <row r="64" spans="1:25" x14ac:dyDescent="0.3">
      <c r="A64" s="505"/>
      <c r="B64" s="506" t="s">
        <v>17</v>
      </c>
      <c r="C64" s="507"/>
      <c r="D64" s="507"/>
      <c r="E64" s="507"/>
      <c r="F64" s="507"/>
      <c r="G64" s="507"/>
      <c r="H64" s="507"/>
      <c r="I64" s="507"/>
      <c r="J64" s="507"/>
      <c r="K64" s="507"/>
      <c r="L64" s="507"/>
      <c r="M64" s="507"/>
      <c r="N64" s="507"/>
      <c r="O64" s="507"/>
      <c r="P64" s="507"/>
      <c r="Q64" s="507"/>
      <c r="R64" s="507"/>
      <c r="S64" s="507"/>
      <c r="T64" s="507"/>
      <c r="U64" s="507"/>
      <c r="V64" s="508"/>
      <c r="W64" s="509"/>
      <c r="X64" s="406"/>
    </row>
    <row r="65" spans="1:24" x14ac:dyDescent="0.3">
      <c r="A65" s="408"/>
      <c r="B65" s="419"/>
      <c r="C65" s="410"/>
      <c r="D65" s="410"/>
      <c r="E65" s="410"/>
      <c r="F65" s="410"/>
      <c r="G65" s="410"/>
      <c r="H65" s="410"/>
      <c r="I65" s="410"/>
      <c r="J65" s="410"/>
      <c r="K65" s="410"/>
      <c r="L65" s="410"/>
      <c r="M65" s="410"/>
      <c r="N65" s="410"/>
      <c r="O65" s="410"/>
      <c r="P65" s="410"/>
      <c r="Q65" s="410"/>
      <c r="R65" s="410"/>
      <c r="S65" s="410"/>
      <c r="T65" s="410"/>
      <c r="U65" s="410"/>
      <c r="V65" s="510"/>
      <c r="W65" s="411"/>
      <c r="X65" s="406"/>
    </row>
    <row r="66" spans="1:24" s="473" customFormat="1" ht="46.8" x14ac:dyDescent="0.3">
      <c r="A66" s="511"/>
      <c r="B66" s="512" t="s">
        <v>18</v>
      </c>
      <c r="C66" s="513"/>
      <c r="D66" s="513"/>
      <c r="E66" s="513"/>
      <c r="F66" s="513"/>
      <c r="G66" s="513"/>
      <c r="H66" s="513"/>
      <c r="I66" s="513"/>
      <c r="J66" s="513"/>
      <c r="K66" s="513"/>
      <c r="L66" s="513" t="s">
        <v>95</v>
      </c>
      <c r="M66" s="513"/>
      <c r="N66" s="513" t="s">
        <v>97</v>
      </c>
      <c r="O66" s="513"/>
      <c r="P66" s="513" t="s">
        <v>99</v>
      </c>
      <c r="Q66" s="513"/>
      <c r="R66" s="513" t="s">
        <v>101</v>
      </c>
      <c r="S66" s="513"/>
      <c r="T66" s="513" t="s">
        <v>108</v>
      </c>
      <c r="U66" s="513"/>
      <c r="V66" s="514" t="s">
        <v>115</v>
      </c>
      <c r="W66" s="515"/>
      <c r="X66" s="472"/>
    </row>
    <row r="67" spans="1:24" s="426" customFormat="1" x14ac:dyDescent="0.3">
      <c r="A67" s="443"/>
      <c r="B67" s="444" t="s">
        <v>19</v>
      </c>
      <c r="C67" s="516"/>
      <c r="D67" s="516"/>
      <c r="E67" s="516"/>
      <c r="F67" s="516"/>
      <c r="G67" s="516"/>
      <c r="H67" s="516"/>
      <c r="I67" s="516"/>
      <c r="J67" s="516"/>
      <c r="K67" s="516"/>
      <c r="L67" s="516">
        <f>1085286</f>
        <v>1085286</v>
      </c>
      <c r="M67" s="516"/>
      <c r="N67" s="517">
        <v>658717</v>
      </c>
      <c r="O67" s="516"/>
      <c r="P67" s="516">
        <v>9813</v>
      </c>
      <c r="Q67" s="516"/>
      <c r="R67" s="516">
        <v>0</v>
      </c>
      <c r="S67" s="516"/>
      <c r="T67" s="516">
        <v>0</v>
      </c>
      <c r="U67" s="516"/>
      <c r="V67" s="517">
        <f>+N67-P67+R67-T67</f>
        <v>648904</v>
      </c>
      <c r="W67" s="446"/>
      <c r="X67" s="425"/>
    </row>
    <row r="68" spans="1:24" s="426" customFormat="1" x14ac:dyDescent="0.3">
      <c r="A68" s="443"/>
      <c r="B68" s="444" t="s">
        <v>20</v>
      </c>
      <c r="C68" s="516"/>
      <c r="D68" s="516"/>
      <c r="E68" s="516"/>
      <c r="F68" s="516"/>
      <c r="G68" s="516"/>
      <c r="H68" s="516"/>
      <c r="I68" s="516"/>
      <c r="J68" s="516"/>
      <c r="K68" s="516"/>
      <c r="L68" s="516">
        <v>35</v>
      </c>
      <c r="M68" s="516"/>
      <c r="N68" s="517">
        <v>0</v>
      </c>
      <c r="O68" s="516"/>
      <c r="P68" s="516">
        <v>0</v>
      </c>
      <c r="Q68" s="516"/>
      <c r="R68" s="516">
        <v>0</v>
      </c>
      <c r="S68" s="516"/>
      <c r="T68" s="516">
        <v>0</v>
      </c>
      <c r="U68" s="516"/>
      <c r="V68" s="517">
        <f>+N68-P68</f>
        <v>0</v>
      </c>
      <c r="W68" s="446"/>
      <c r="X68" s="425"/>
    </row>
    <row r="69" spans="1:24" s="426" customFormat="1" x14ac:dyDescent="0.3">
      <c r="A69" s="443"/>
      <c r="B69" s="444"/>
      <c r="C69" s="516"/>
      <c r="D69" s="516"/>
      <c r="E69" s="516"/>
      <c r="F69" s="516"/>
      <c r="G69" s="516"/>
      <c r="H69" s="516"/>
      <c r="I69" s="516"/>
      <c r="J69" s="516"/>
      <c r="K69" s="516"/>
      <c r="L69" s="516"/>
      <c r="M69" s="516"/>
      <c r="N69" s="517"/>
      <c r="O69" s="516"/>
      <c r="P69" s="516"/>
      <c r="Q69" s="516"/>
      <c r="R69" s="516"/>
      <c r="S69" s="516"/>
      <c r="T69" s="516"/>
      <c r="U69" s="516"/>
      <c r="V69" s="517"/>
      <c r="W69" s="446"/>
      <c r="X69" s="425"/>
    </row>
    <row r="70" spans="1:24" s="426" customFormat="1" x14ac:dyDescent="0.3">
      <c r="A70" s="443"/>
      <c r="B70" s="444" t="s">
        <v>21</v>
      </c>
      <c r="C70" s="516"/>
      <c r="D70" s="516"/>
      <c r="E70" s="516"/>
      <c r="F70" s="516"/>
      <c r="G70" s="516"/>
      <c r="H70" s="516"/>
      <c r="I70" s="516"/>
      <c r="J70" s="516"/>
      <c r="K70" s="516"/>
      <c r="L70" s="516">
        <f>SUM(L67:L69)</f>
        <v>1085321</v>
      </c>
      <c r="M70" s="516"/>
      <c r="N70" s="516">
        <f>N67+N68</f>
        <v>658717</v>
      </c>
      <c r="O70" s="516"/>
      <c r="P70" s="516">
        <f>SUM(P67:P69)</f>
        <v>9813</v>
      </c>
      <c r="Q70" s="516"/>
      <c r="R70" s="516">
        <f>SUM(R67:R69)</f>
        <v>0</v>
      </c>
      <c r="S70" s="516"/>
      <c r="T70" s="516">
        <f>SUM(T67:T69)</f>
        <v>0</v>
      </c>
      <c r="U70" s="516"/>
      <c r="V70" s="516">
        <f>SUM(V67:V69)</f>
        <v>648904</v>
      </c>
      <c r="W70" s="446"/>
      <c r="X70" s="425"/>
    </row>
    <row r="71" spans="1:24" x14ac:dyDescent="0.3">
      <c r="A71" s="408"/>
      <c r="B71" s="518"/>
      <c r="C71" s="519"/>
      <c r="D71" s="519"/>
      <c r="E71" s="519"/>
      <c r="F71" s="519"/>
      <c r="G71" s="519"/>
      <c r="H71" s="519"/>
      <c r="I71" s="519"/>
      <c r="J71" s="519"/>
      <c r="K71" s="519"/>
      <c r="L71" s="519"/>
      <c r="M71" s="519"/>
      <c r="N71" s="519"/>
      <c r="O71" s="519"/>
      <c r="P71" s="519"/>
      <c r="Q71" s="519"/>
      <c r="R71" s="519"/>
      <c r="S71" s="519"/>
      <c r="T71" s="519"/>
      <c r="U71" s="519"/>
      <c r="V71" s="520"/>
      <c r="W71" s="411"/>
      <c r="X71" s="406"/>
    </row>
    <row r="72" spans="1:24" x14ac:dyDescent="0.3">
      <c r="A72" s="408"/>
      <c r="B72" s="413" t="s">
        <v>22</v>
      </c>
      <c r="C72" s="521"/>
      <c r="D72" s="521"/>
      <c r="E72" s="521"/>
      <c r="F72" s="521"/>
      <c r="G72" s="521"/>
      <c r="H72" s="521"/>
      <c r="I72" s="521"/>
      <c r="J72" s="521"/>
      <c r="K72" s="521"/>
      <c r="L72" s="521"/>
      <c r="M72" s="521"/>
      <c r="N72" s="521"/>
      <c r="O72" s="521"/>
      <c r="P72" s="521"/>
      <c r="Q72" s="521"/>
      <c r="R72" s="521"/>
      <c r="S72" s="521"/>
      <c r="T72" s="521"/>
      <c r="U72" s="521"/>
      <c r="V72" s="522"/>
      <c r="W72" s="411"/>
      <c r="X72" s="406"/>
    </row>
    <row r="73" spans="1:24" x14ac:dyDescent="0.3">
      <c r="A73" s="408"/>
      <c r="B73" s="410"/>
      <c r="C73" s="521"/>
      <c r="D73" s="521"/>
      <c r="E73" s="521"/>
      <c r="F73" s="521"/>
      <c r="G73" s="521"/>
      <c r="H73" s="521"/>
      <c r="I73" s="521"/>
      <c r="J73" s="521"/>
      <c r="K73" s="521"/>
      <c r="L73" s="521"/>
      <c r="M73" s="521"/>
      <c r="N73" s="521"/>
      <c r="O73" s="521"/>
      <c r="P73" s="521"/>
      <c r="Q73" s="521"/>
      <c r="R73" s="521"/>
      <c r="S73" s="521"/>
      <c r="T73" s="521"/>
      <c r="U73" s="521"/>
      <c r="V73" s="522"/>
      <c r="W73" s="411"/>
      <c r="X73" s="406"/>
    </row>
    <row r="74" spans="1:24" s="426" customFormat="1" x14ac:dyDescent="0.3">
      <c r="A74" s="443"/>
      <c r="B74" s="444" t="s">
        <v>19</v>
      </c>
      <c r="C74" s="516"/>
      <c r="D74" s="516"/>
      <c r="E74" s="516"/>
      <c r="F74" s="516"/>
      <c r="G74" s="516"/>
      <c r="H74" s="516"/>
      <c r="I74" s="516"/>
      <c r="J74" s="516"/>
      <c r="K74" s="516"/>
      <c r="L74" s="516"/>
      <c r="M74" s="516"/>
      <c r="N74" s="516"/>
      <c r="O74" s="516"/>
      <c r="P74" s="516"/>
      <c r="Q74" s="516"/>
      <c r="R74" s="516"/>
      <c r="S74" s="516"/>
      <c r="T74" s="516"/>
      <c r="U74" s="516"/>
      <c r="V74" s="516"/>
      <c r="W74" s="446"/>
      <c r="X74" s="425"/>
    </row>
    <row r="75" spans="1:24" s="426" customFormat="1" x14ac:dyDescent="0.3">
      <c r="A75" s="443"/>
      <c r="B75" s="444" t="s">
        <v>20</v>
      </c>
      <c r="C75" s="516"/>
      <c r="D75" s="516"/>
      <c r="E75" s="516"/>
      <c r="F75" s="516"/>
      <c r="G75" s="516"/>
      <c r="H75" s="516"/>
      <c r="I75" s="516"/>
      <c r="J75" s="516"/>
      <c r="K75" s="516"/>
      <c r="L75" s="516"/>
      <c r="M75" s="516"/>
      <c r="N75" s="516"/>
      <c r="O75" s="516"/>
      <c r="P75" s="516"/>
      <c r="Q75" s="516"/>
      <c r="R75" s="516"/>
      <c r="S75" s="516"/>
      <c r="T75" s="516"/>
      <c r="U75" s="516"/>
      <c r="V75" s="516"/>
      <c r="W75" s="446"/>
      <c r="X75" s="425"/>
    </row>
    <row r="76" spans="1:24" s="426" customFormat="1" x14ac:dyDescent="0.3">
      <c r="A76" s="443"/>
      <c r="B76" s="444"/>
      <c r="C76" s="516"/>
      <c r="D76" s="516"/>
      <c r="E76" s="516"/>
      <c r="F76" s="516"/>
      <c r="G76" s="516"/>
      <c r="H76" s="516"/>
      <c r="I76" s="516"/>
      <c r="J76" s="516"/>
      <c r="K76" s="516"/>
      <c r="L76" s="516"/>
      <c r="M76" s="516"/>
      <c r="N76" s="516"/>
      <c r="O76" s="516"/>
      <c r="P76" s="516"/>
      <c r="Q76" s="516"/>
      <c r="R76" s="516"/>
      <c r="S76" s="516"/>
      <c r="T76" s="516"/>
      <c r="U76" s="516"/>
      <c r="V76" s="516"/>
      <c r="W76" s="446"/>
      <c r="X76" s="425"/>
    </row>
    <row r="77" spans="1:24" s="426" customFormat="1" x14ac:dyDescent="0.3">
      <c r="A77" s="443"/>
      <c r="B77" s="444" t="s">
        <v>21</v>
      </c>
      <c r="C77" s="516"/>
      <c r="D77" s="516"/>
      <c r="E77" s="516"/>
      <c r="F77" s="516"/>
      <c r="G77" s="516"/>
      <c r="H77" s="516"/>
      <c r="I77" s="516"/>
      <c r="J77" s="516"/>
      <c r="K77" s="516"/>
      <c r="L77" s="516"/>
      <c r="M77" s="516"/>
      <c r="N77" s="516"/>
      <c r="O77" s="516"/>
      <c r="P77" s="516"/>
      <c r="Q77" s="516"/>
      <c r="R77" s="516"/>
      <c r="S77" s="516"/>
      <c r="T77" s="516"/>
      <c r="U77" s="516"/>
      <c r="V77" s="516"/>
      <c r="W77" s="446"/>
      <c r="X77" s="425"/>
    </row>
    <row r="78" spans="1:24" s="426" customFormat="1" x14ac:dyDescent="0.3">
      <c r="A78" s="443"/>
      <c r="B78" s="444"/>
      <c r="C78" s="516"/>
      <c r="D78" s="516"/>
      <c r="E78" s="516"/>
      <c r="F78" s="516"/>
      <c r="G78" s="516"/>
      <c r="H78" s="516"/>
      <c r="I78" s="516"/>
      <c r="J78" s="516"/>
      <c r="K78" s="516"/>
      <c r="L78" s="516"/>
      <c r="M78" s="516"/>
      <c r="N78" s="516"/>
      <c r="O78" s="516"/>
      <c r="P78" s="516"/>
      <c r="Q78" s="516"/>
      <c r="R78" s="516"/>
      <c r="S78" s="516"/>
      <c r="T78" s="516"/>
      <c r="U78" s="516"/>
      <c r="V78" s="516"/>
      <c r="W78" s="446"/>
      <c r="X78" s="425"/>
    </row>
    <row r="79" spans="1:24" s="426" customFormat="1" x14ac:dyDescent="0.3">
      <c r="A79" s="443"/>
      <c r="B79" s="444" t="s">
        <v>23</v>
      </c>
      <c r="C79" s="516"/>
      <c r="D79" s="516"/>
      <c r="E79" s="516"/>
      <c r="F79" s="516"/>
      <c r="G79" s="516"/>
      <c r="H79" s="516"/>
      <c r="I79" s="516"/>
      <c r="J79" s="516"/>
      <c r="K79" s="516"/>
      <c r="L79" s="516">
        <v>0</v>
      </c>
      <c r="M79" s="516"/>
      <c r="N79" s="516">
        <v>0</v>
      </c>
      <c r="O79" s="516"/>
      <c r="P79" s="516"/>
      <c r="Q79" s="516"/>
      <c r="R79" s="516"/>
      <c r="S79" s="516"/>
      <c r="T79" s="516"/>
      <c r="U79" s="516"/>
      <c r="V79" s="517">
        <v>0</v>
      </c>
      <c r="W79" s="446"/>
      <c r="X79" s="425"/>
    </row>
    <row r="80" spans="1:24" s="426" customFormat="1" x14ac:dyDescent="0.3">
      <c r="A80" s="443"/>
      <c r="B80" s="444" t="s">
        <v>120</v>
      </c>
      <c r="C80" s="516"/>
      <c r="D80" s="516"/>
      <c r="E80" s="516"/>
      <c r="F80" s="516"/>
      <c r="G80" s="516"/>
      <c r="H80" s="516"/>
      <c r="I80" s="516"/>
      <c r="J80" s="516"/>
      <c r="K80" s="516"/>
      <c r="L80" s="516">
        <f>414862+7</f>
        <v>414869</v>
      </c>
      <c r="M80" s="516"/>
      <c r="N80" s="516">
        <v>0</v>
      </c>
      <c r="O80" s="516"/>
      <c r="P80" s="516">
        <v>0</v>
      </c>
      <c r="Q80" s="516"/>
      <c r="R80" s="516"/>
      <c r="S80" s="516"/>
      <c r="T80" s="516"/>
      <c r="U80" s="516"/>
      <c r="V80" s="516">
        <f>SUM(N80:R80)</f>
        <v>0</v>
      </c>
      <c r="W80" s="446"/>
      <c r="X80" s="425"/>
    </row>
    <row r="81" spans="1:24" s="426" customFormat="1" x14ac:dyDescent="0.3">
      <c r="A81" s="443"/>
      <c r="B81" s="444" t="s">
        <v>149</v>
      </c>
      <c r="C81" s="516"/>
      <c r="D81" s="516"/>
      <c r="E81" s="516"/>
      <c r="F81" s="516"/>
      <c r="G81" s="516"/>
      <c r="H81" s="516"/>
      <c r="I81" s="516"/>
      <c r="J81" s="516"/>
      <c r="K81" s="516"/>
      <c r="L81" s="516">
        <v>0</v>
      </c>
      <c r="M81" s="516"/>
      <c r="N81" s="516">
        <v>0</v>
      </c>
      <c r="O81" s="516"/>
      <c r="P81" s="516">
        <v>0</v>
      </c>
      <c r="Q81" s="516"/>
      <c r="R81" s="516"/>
      <c r="S81" s="516"/>
      <c r="T81" s="516"/>
      <c r="U81" s="516"/>
      <c r="V81" s="516">
        <f>+N81+P81</f>
        <v>0</v>
      </c>
      <c r="W81" s="446"/>
      <c r="X81" s="425"/>
    </row>
    <row r="82" spans="1:24" s="426" customFormat="1" x14ac:dyDescent="0.3">
      <c r="A82" s="443"/>
      <c r="B82" s="444" t="s">
        <v>25</v>
      </c>
      <c r="C82" s="516"/>
      <c r="D82" s="516"/>
      <c r="E82" s="516"/>
      <c r="F82" s="516"/>
      <c r="G82" s="516"/>
      <c r="H82" s="516"/>
      <c r="I82" s="516"/>
      <c r="J82" s="516"/>
      <c r="K82" s="516"/>
      <c r="L82" s="516">
        <v>0</v>
      </c>
      <c r="M82" s="516"/>
      <c r="N82" s="516">
        <v>0</v>
      </c>
      <c r="O82" s="516"/>
      <c r="P82" s="516"/>
      <c r="Q82" s="516"/>
      <c r="R82" s="516"/>
      <c r="S82" s="516"/>
      <c r="T82" s="516"/>
      <c r="U82" s="516"/>
      <c r="V82" s="516">
        <v>0</v>
      </c>
      <c r="W82" s="446"/>
      <c r="X82" s="425"/>
    </row>
    <row r="83" spans="1:24" s="426" customFormat="1" x14ac:dyDescent="0.3">
      <c r="A83" s="523"/>
      <c r="B83" s="524" t="s">
        <v>26</v>
      </c>
      <c r="C83" s="525"/>
      <c r="D83" s="525"/>
      <c r="E83" s="525"/>
      <c r="F83" s="525"/>
      <c r="G83" s="525"/>
      <c r="H83" s="525"/>
      <c r="I83" s="525"/>
      <c r="J83" s="525"/>
      <c r="K83" s="525"/>
      <c r="L83" s="525">
        <f>SUM(L70:L82)</f>
        <v>1500190</v>
      </c>
      <c r="M83" s="525"/>
      <c r="N83" s="525">
        <f>SUM(N70:N82)</f>
        <v>658717</v>
      </c>
      <c r="O83" s="525"/>
      <c r="P83" s="525"/>
      <c r="Q83" s="525"/>
      <c r="R83" s="525"/>
      <c r="S83" s="525"/>
      <c r="T83" s="525"/>
      <c r="U83" s="525"/>
      <c r="V83" s="525">
        <f>SUM(V70:V82)</f>
        <v>648904</v>
      </c>
      <c r="W83" s="526"/>
      <c r="X83" s="425"/>
    </row>
    <row r="84" spans="1:24" x14ac:dyDescent="0.3">
      <c r="A84" s="527"/>
      <c r="B84" s="528"/>
      <c r="C84" s="529"/>
      <c r="D84" s="529"/>
      <c r="E84" s="529"/>
      <c r="F84" s="529"/>
      <c r="G84" s="529"/>
      <c r="H84" s="529"/>
      <c r="I84" s="529"/>
      <c r="J84" s="529"/>
      <c r="K84" s="529"/>
      <c r="L84" s="529"/>
      <c r="M84" s="529"/>
      <c r="N84" s="529"/>
      <c r="O84" s="529"/>
      <c r="P84" s="529"/>
      <c r="Q84" s="529"/>
      <c r="R84" s="529"/>
      <c r="S84" s="529"/>
      <c r="T84" s="529"/>
      <c r="U84" s="529"/>
      <c r="V84" s="529"/>
      <c r="W84" s="530"/>
      <c r="X84" s="406"/>
    </row>
    <row r="85" spans="1:24" x14ac:dyDescent="0.3">
      <c r="A85" s="408"/>
      <c r="B85" s="531"/>
      <c r="C85" s="531"/>
      <c r="D85" s="531"/>
      <c r="E85" s="531"/>
      <c r="F85" s="531"/>
      <c r="G85" s="531"/>
      <c r="H85" s="531"/>
      <c r="I85" s="531"/>
      <c r="J85" s="531"/>
      <c r="K85" s="531"/>
      <c r="L85" s="531"/>
      <c r="M85" s="531"/>
      <c r="N85" s="531"/>
      <c r="O85" s="531"/>
      <c r="P85" s="531"/>
      <c r="Q85" s="531"/>
      <c r="R85" s="531"/>
      <c r="S85" s="531"/>
      <c r="T85" s="531"/>
      <c r="U85" s="531"/>
      <c r="V85" s="531"/>
      <c r="W85" s="532"/>
      <c r="X85" s="406"/>
    </row>
    <row r="86" spans="1:24" x14ac:dyDescent="0.3">
      <c r="A86" s="533"/>
      <c r="B86" s="534" t="s">
        <v>27</v>
      </c>
      <c r="C86" s="534"/>
      <c r="D86" s="534"/>
      <c r="E86" s="534"/>
      <c r="F86" s="534"/>
      <c r="G86" s="534"/>
      <c r="H86" s="535"/>
      <c r="I86" s="535"/>
      <c r="J86" s="535"/>
      <c r="K86" s="535"/>
      <c r="L86" s="536" t="s">
        <v>96</v>
      </c>
      <c r="M86" s="535"/>
      <c r="N86" s="537">
        <f>+T201</f>
        <v>44196</v>
      </c>
      <c r="O86" s="535"/>
      <c r="P86" s="535"/>
      <c r="Q86" s="535"/>
      <c r="R86" s="535"/>
      <c r="S86" s="535"/>
      <c r="T86" s="535" t="s">
        <v>109</v>
      </c>
      <c r="U86" s="535"/>
      <c r="V86" s="535" t="s">
        <v>116</v>
      </c>
      <c r="W86" s="538"/>
      <c r="X86" s="406"/>
    </row>
    <row r="87" spans="1:24" s="426" customFormat="1" x14ac:dyDescent="0.3">
      <c r="A87" s="439"/>
      <c r="B87" s="440" t="s">
        <v>28</v>
      </c>
      <c r="C87" s="440"/>
      <c r="D87" s="440"/>
      <c r="E87" s="440"/>
      <c r="F87" s="440"/>
      <c r="G87" s="440"/>
      <c r="H87" s="440"/>
      <c r="I87" s="440"/>
      <c r="J87" s="440"/>
      <c r="K87" s="440"/>
      <c r="L87" s="440"/>
      <c r="M87" s="440"/>
      <c r="N87" s="440"/>
      <c r="O87" s="440"/>
      <c r="P87" s="440"/>
      <c r="Q87" s="440"/>
      <c r="R87" s="440"/>
      <c r="S87" s="440"/>
      <c r="T87" s="539">
        <v>0</v>
      </c>
      <c r="U87" s="440"/>
      <c r="V87" s="540">
        <v>0</v>
      </c>
      <c r="W87" s="442"/>
      <c r="X87" s="425"/>
    </row>
    <row r="88" spans="1:24" s="426" customFormat="1" x14ac:dyDescent="0.3">
      <c r="A88" s="443"/>
      <c r="B88" s="444" t="s">
        <v>29</v>
      </c>
      <c r="C88" s="444"/>
      <c r="D88" s="444"/>
      <c r="E88" s="444"/>
      <c r="F88" s="444"/>
      <c r="G88" s="444"/>
      <c r="H88" s="482"/>
      <c r="I88" s="482"/>
      <c r="J88" s="482"/>
      <c r="K88" s="541"/>
      <c r="L88" s="482"/>
      <c r="M88" s="444"/>
      <c r="N88" s="542"/>
      <c r="O88" s="444"/>
      <c r="P88" s="444"/>
      <c r="Q88" s="444"/>
      <c r="R88" s="444"/>
      <c r="S88" s="444"/>
      <c r="T88" s="516">
        <f>9813-27</f>
        <v>9786</v>
      </c>
      <c r="U88" s="444"/>
      <c r="V88" s="517"/>
      <c r="W88" s="446"/>
      <c r="X88" s="425"/>
    </row>
    <row r="89" spans="1:24" s="426" customFormat="1" x14ac:dyDescent="0.3">
      <c r="A89" s="443"/>
      <c r="B89" s="444" t="s">
        <v>219</v>
      </c>
      <c r="C89" s="444"/>
      <c r="D89" s="444"/>
      <c r="E89" s="444"/>
      <c r="F89" s="444"/>
      <c r="G89" s="444"/>
      <c r="H89" s="482"/>
      <c r="I89" s="482"/>
      <c r="J89" s="482"/>
      <c r="K89" s="541"/>
      <c r="L89" s="482"/>
      <c r="M89" s="444"/>
      <c r="N89" s="542"/>
      <c r="O89" s="444"/>
      <c r="P89" s="444"/>
      <c r="Q89" s="444"/>
      <c r="R89" s="444"/>
      <c r="S89" s="444"/>
      <c r="T89" s="516"/>
      <c r="U89" s="444"/>
      <c r="V89" s="517">
        <f>2621+1779-373-817</f>
        <v>3210</v>
      </c>
      <c r="W89" s="446"/>
      <c r="X89" s="425"/>
    </row>
    <row r="90" spans="1:24" s="426" customFormat="1" x14ac:dyDescent="0.3">
      <c r="A90" s="443"/>
      <c r="B90" s="444" t="s">
        <v>214</v>
      </c>
      <c r="C90" s="444"/>
      <c r="D90" s="444"/>
      <c r="E90" s="444"/>
      <c r="F90" s="444"/>
      <c r="G90" s="444"/>
      <c r="H90" s="482"/>
      <c r="I90" s="482"/>
      <c r="J90" s="482"/>
      <c r="K90" s="541"/>
      <c r="L90" s="482"/>
      <c r="M90" s="444"/>
      <c r="N90" s="542"/>
      <c r="O90" s="444"/>
      <c r="P90" s="444"/>
      <c r="Q90" s="444"/>
      <c r="R90" s="444"/>
      <c r="S90" s="444"/>
      <c r="T90" s="516"/>
      <c r="U90" s="444"/>
      <c r="V90" s="517">
        <f>59+29</f>
        <v>88</v>
      </c>
      <c r="W90" s="446"/>
      <c r="X90" s="425"/>
    </row>
    <row r="91" spans="1:24" s="426" customFormat="1" x14ac:dyDescent="0.3">
      <c r="A91" s="443"/>
      <c r="B91" s="444" t="s">
        <v>215</v>
      </c>
      <c r="C91" s="444"/>
      <c r="D91" s="444"/>
      <c r="E91" s="444"/>
      <c r="F91" s="444"/>
      <c r="G91" s="444"/>
      <c r="H91" s="482"/>
      <c r="I91" s="482"/>
      <c r="J91" s="482"/>
      <c r="K91" s="541"/>
      <c r="L91" s="482"/>
      <c r="M91" s="444"/>
      <c r="N91" s="542"/>
      <c r="O91" s="444"/>
      <c r="P91" s="444"/>
      <c r="Q91" s="444"/>
      <c r="R91" s="444"/>
      <c r="S91" s="444"/>
      <c r="T91" s="516"/>
      <c r="U91" s="444"/>
      <c r="V91" s="517">
        <v>10</v>
      </c>
      <c r="W91" s="446"/>
      <c r="X91" s="425"/>
    </row>
    <row r="92" spans="1:24" s="426" customFormat="1" x14ac:dyDescent="0.3">
      <c r="A92" s="443"/>
      <c r="B92" s="444" t="s">
        <v>277</v>
      </c>
      <c r="C92" s="444"/>
      <c r="D92" s="444"/>
      <c r="E92" s="444"/>
      <c r="F92" s="444"/>
      <c r="G92" s="444"/>
      <c r="H92" s="482"/>
      <c r="I92" s="482"/>
      <c r="J92" s="482"/>
      <c r="K92" s="541"/>
      <c r="L92" s="482"/>
      <c r="M92" s="444"/>
      <c r="N92" s="542"/>
      <c r="O92" s="444"/>
      <c r="P92" s="444"/>
      <c r="Q92" s="444"/>
      <c r="R92" s="444"/>
      <c r="S92" s="444"/>
      <c r="T92" s="516"/>
      <c r="U92" s="444"/>
      <c r="V92" s="517">
        <v>0</v>
      </c>
      <c r="W92" s="446"/>
      <c r="X92" s="425"/>
    </row>
    <row r="93" spans="1:24" s="426" customFormat="1" x14ac:dyDescent="0.3">
      <c r="A93" s="443"/>
      <c r="B93" s="444" t="s">
        <v>138</v>
      </c>
      <c r="C93" s="444"/>
      <c r="D93" s="444"/>
      <c r="E93" s="444"/>
      <c r="F93" s="444"/>
      <c r="G93" s="444"/>
      <c r="H93" s="444"/>
      <c r="I93" s="444"/>
      <c r="J93" s="444"/>
      <c r="K93" s="444"/>
      <c r="L93" s="444"/>
      <c r="M93" s="444"/>
      <c r="N93" s="444"/>
      <c r="O93" s="444"/>
      <c r="P93" s="444"/>
      <c r="Q93" s="444"/>
      <c r="R93" s="444"/>
      <c r="S93" s="444"/>
      <c r="T93" s="516"/>
      <c r="U93" s="444"/>
      <c r="V93" s="517">
        <v>0</v>
      </c>
      <c r="W93" s="446"/>
      <c r="X93" s="425"/>
    </row>
    <row r="94" spans="1:24" s="426" customFormat="1" x14ac:dyDescent="0.3">
      <c r="A94" s="443"/>
      <c r="B94" s="444" t="s">
        <v>265</v>
      </c>
      <c r="C94" s="444"/>
      <c r="D94" s="444"/>
      <c r="E94" s="444"/>
      <c r="F94" s="444"/>
      <c r="G94" s="444"/>
      <c r="H94" s="444"/>
      <c r="I94" s="444"/>
      <c r="J94" s="444"/>
      <c r="K94" s="444"/>
      <c r="L94" s="444"/>
      <c r="M94" s="444"/>
      <c r="N94" s="444"/>
      <c r="O94" s="444"/>
      <c r="P94" s="444"/>
      <c r="Q94" s="444"/>
      <c r="R94" s="444"/>
      <c r="S94" s="444"/>
      <c r="T94" s="516"/>
      <c r="U94" s="444"/>
      <c r="V94" s="517">
        <v>250</v>
      </c>
      <c r="W94" s="446"/>
      <c r="X94" s="425"/>
    </row>
    <row r="95" spans="1:24" s="426" customFormat="1" x14ac:dyDescent="0.3">
      <c r="A95" s="443"/>
      <c r="B95" s="444" t="s">
        <v>30</v>
      </c>
      <c r="C95" s="444"/>
      <c r="D95" s="444"/>
      <c r="E95" s="444"/>
      <c r="F95" s="444"/>
      <c r="G95" s="444"/>
      <c r="H95" s="444"/>
      <c r="I95" s="444"/>
      <c r="J95" s="444"/>
      <c r="K95" s="444"/>
      <c r="L95" s="444"/>
      <c r="M95" s="444"/>
      <c r="N95" s="444"/>
      <c r="O95" s="444"/>
      <c r="P95" s="444"/>
      <c r="Q95" s="444"/>
      <c r="R95" s="444"/>
      <c r="S95" s="444"/>
      <c r="T95" s="516">
        <f>SUM(T87:T94)</f>
        <v>9786</v>
      </c>
      <c r="U95" s="444"/>
      <c r="V95" s="516">
        <f>SUM(V87:V94)</f>
        <v>3558</v>
      </c>
      <c r="W95" s="446"/>
      <c r="X95" s="425"/>
    </row>
    <row r="96" spans="1:24" s="426" customFormat="1" x14ac:dyDescent="0.3">
      <c r="A96" s="443"/>
      <c r="B96" s="444" t="s">
        <v>164</v>
      </c>
      <c r="C96" s="444"/>
      <c r="D96" s="444"/>
      <c r="E96" s="444"/>
      <c r="F96" s="444"/>
      <c r="G96" s="444"/>
      <c r="H96" s="444"/>
      <c r="I96" s="444"/>
      <c r="J96" s="444"/>
      <c r="K96" s="444"/>
      <c r="L96" s="444"/>
      <c r="M96" s="444"/>
      <c r="N96" s="444"/>
      <c r="O96" s="444"/>
      <c r="P96" s="444"/>
      <c r="Q96" s="444"/>
      <c r="R96" s="444"/>
      <c r="S96" s="444"/>
      <c r="T96" s="516">
        <f>-V96</f>
        <v>0</v>
      </c>
      <c r="U96" s="444"/>
      <c r="V96" s="516">
        <v>0</v>
      </c>
      <c r="W96" s="446"/>
      <c r="X96" s="425"/>
    </row>
    <row r="97" spans="1:26" s="426" customFormat="1" x14ac:dyDescent="0.3">
      <c r="A97" s="443"/>
      <c r="B97" s="444" t="s">
        <v>31</v>
      </c>
      <c r="C97" s="444"/>
      <c r="D97" s="444"/>
      <c r="E97" s="444"/>
      <c r="F97" s="444"/>
      <c r="G97" s="444"/>
      <c r="H97" s="444"/>
      <c r="I97" s="444"/>
      <c r="J97" s="444"/>
      <c r="K97" s="444"/>
      <c r="L97" s="444"/>
      <c r="M97" s="444"/>
      <c r="N97" s="444"/>
      <c r="O97" s="444"/>
      <c r="P97" s="444"/>
      <c r="Q97" s="444"/>
      <c r="R97" s="444"/>
      <c r="S97" s="444"/>
      <c r="T97" s="516">
        <f>-V97</f>
        <v>0</v>
      </c>
      <c r="U97" s="444"/>
      <c r="V97" s="517">
        <v>0</v>
      </c>
      <c r="W97" s="446"/>
      <c r="X97" s="425"/>
    </row>
    <row r="98" spans="1:26" s="426" customFormat="1" x14ac:dyDescent="0.3">
      <c r="A98" s="443"/>
      <c r="B98" s="444" t="s">
        <v>288</v>
      </c>
      <c r="C98" s="444"/>
      <c r="D98" s="444"/>
      <c r="E98" s="444"/>
      <c r="F98" s="444"/>
      <c r="G98" s="444"/>
      <c r="H98" s="444"/>
      <c r="I98" s="444"/>
      <c r="J98" s="444"/>
      <c r="K98" s="444"/>
      <c r="L98" s="444"/>
      <c r="M98" s="444"/>
      <c r="N98" s="444"/>
      <c r="O98" s="444"/>
      <c r="P98" s="444"/>
      <c r="Q98" s="444"/>
      <c r="R98" s="444"/>
      <c r="S98" s="444"/>
      <c r="T98" s="516"/>
      <c r="U98" s="444"/>
      <c r="V98" s="517">
        <v>-70</v>
      </c>
      <c r="W98" s="446"/>
      <c r="X98" s="425"/>
    </row>
    <row r="99" spans="1:26" s="426" customFormat="1" x14ac:dyDescent="0.3">
      <c r="A99" s="443"/>
      <c r="B99" s="444" t="s">
        <v>32</v>
      </c>
      <c r="C99" s="444"/>
      <c r="D99" s="444"/>
      <c r="E99" s="444"/>
      <c r="F99" s="444"/>
      <c r="G99" s="444"/>
      <c r="H99" s="444"/>
      <c r="I99" s="444"/>
      <c r="J99" s="444"/>
      <c r="K99" s="444"/>
      <c r="L99" s="444"/>
      <c r="M99" s="444"/>
      <c r="N99" s="444"/>
      <c r="O99" s="444"/>
      <c r="P99" s="444"/>
      <c r="Q99" s="444"/>
      <c r="R99" s="444"/>
      <c r="S99" s="444"/>
      <c r="T99" s="516">
        <f>T95+T97+T96</f>
        <v>9786</v>
      </c>
      <c r="U99" s="444"/>
      <c r="V99" s="516">
        <f>V95+V97+V96+V98</f>
        <v>3488</v>
      </c>
      <c r="W99" s="446"/>
      <c r="X99" s="425"/>
    </row>
    <row r="100" spans="1:26" x14ac:dyDescent="0.3">
      <c r="A100" s="543"/>
      <c r="B100" s="544" t="s">
        <v>33</v>
      </c>
      <c r="C100" s="465"/>
      <c r="D100" s="465"/>
      <c r="E100" s="465"/>
      <c r="F100" s="465"/>
      <c r="G100" s="465"/>
      <c r="H100" s="465"/>
      <c r="I100" s="465"/>
      <c r="J100" s="465"/>
      <c r="K100" s="465"/>
      <c r="L100" s="465"/>
      <c r="M100" s="465"/>
      <c r="N100" s="465"/>
      <c r="O100" s="465"/>
      <c r="P100" s="465"/>
      <c r="Q100" s="465"/>
      <c r="R100" s="465"/>
      <c r="S100" s="465"/>
      <c r="T100" s="545"/>
      <c r="U100" s="465"/>
      <c r="V100" s="546"/>
      <c r="W100" s="547"/>
      <c r="X100" s="406"/>
    </row>
    <row r="101" spans="1:26" s="426" customFormat="1" x14ac:dyDescent="0.3">
      <c r="A101" s="443">
        <v>1</v>
      </c>
      <c r="B101" s="444" t="s">
        <v>34</v>
      </c>
      <c r="C101" s="444"/>
      <c r="D101" s="444"/>
      <c r="E101" s="444"/>
      <c r="F101" s="444"/>
      <c r="G101" s="444"/>
      <c r="H101" s="444"/>
      <c r="I101" s="444"/>
      <c r="J101" s="444"/>
      <c r="K101" s="444"/>
      <c r="L101" s="444"/>
      <c r="M101" s="444"/>
      <c r="N101" s="444"/>
      <c r="O101" s="444"/>
      <c r="P101" s="444"/>
      <c r="Q101" s="444"/>
      <c r="R101" s="444"/>
      <c r="S101" s="444"/>
      <c r="T101" s="444"/>
      <c r="U101" s="444"/>
      <c r="V101" s="517">
        <v>0</v>
      </c>
      <c r="W101" s="446"/>
      <c r="X101" s="425"/>
    </row>
    <row r="102" spans="1:26" s="426" customFormat="1" x14ac:dyDescent="0.3">
      <c r="A102" s="443">
        <f>+A101+1</f>
        <v>2</v>
      </c>
      <c r="B102" s="444" t="s">
        <v>416</v>
      </c>
      <c r="C102" s="444"/>
      <c r="D102" s="444"/>
      <c r="E102" s="444"/>
      <c r="F102" s="444"/>
      <c r="G102" s="444"/>
      <c r="H102" s="444"/>
      <c r="I102" s="444"/>
      <c r="J102" s="444"/>
      <c r="K102" s="444"/>
      <c r="L102" s="444"/>
      <c r="M102" s="444"/>
      <c r="N102" s="444"/>
      <c r="O102" s="444"/>
      <c r="P102" s="444"/>
      <c r="Q102" s="444"/>
      <c r="R102" s="444"/>
      <c r="S102" s="444"/>
      <c r="T102" s="444"/>
      <c r="U102" s="444"/>
      <c r="V102" s="517">
        <f>-2</f>
        <v>-2</v>
      </c>
      <c r="W102" s="446"/>
      <c r="X102" s="425"/>
    </row>
    <row r="103" spans="1:26" s="426" customFormat="1" x14ac:dyDescent="0.3">
      <c r="A103" s="443">
        <f>+A102+1</f>
        <v>3</v>
      </c>
      <c r="B103" s="548" t="s">
        <v>332</v>
      </c>
      <c r="C103" s="444"/>
      <c r="D103" s="444"/>
      <c r="E103" s="444"/>
      <c r="F103" s="444"/>
      <c r="G103" s="444"/>
      <c r="H103" s="444"/>
      <c r="I103" s="444"/>
      <c r="J103" s="444"/>
      <c r="K103" s="444"/>
      <c r="L103" s="444"/>
      <c r="M103" s="444"/>
      <c r="N103" s="444"/>
      <c r="O103" s="444"/>
      <c r="P103" s="444"/>
      <c r="Q103" s="444"/>
      <c r="R103" s="444"/>
      <c r="S103" s="444"/>
      <c r="T103" s="444"/>
      <c r="U103" s="444"/>
      <c r="V103" s="517">
        <f>-254-126-9</f>
        <v>-389</v>
      </c>
      <c r="W103" s="446"/>
      <c r="X103" s="425"/>
    </row>
    <row r="104" spans="1:26" s="426" customFormat="1" x14ac:dyDescent="0.3">
      <c r="A104" s="443" t="s">
        <v>130</v>
      </c>
      <c r="B104" s="444" t="s">
        <v>119</v>
      </c>
      <c r="C104" s="444"/>
      <c r="D104" s="444"/>
      <c r="E104" s="444"/>
      <c r="F104" s="444"/>
      <c r="G104" s="444"/>
      <c r="H104" s="444"/>
      <c r="I104" s="444"/>
      <c r="J104" s="444"/>
      <c r="K104" s="444"/>
      <c r="L104" s="444"/>
      <c r="M104" s="444"/>
      <c r="N104" s="444"/>
      <c r="O104" s="444"/>
      <c r="P104" s="444"/>
      <c r="Q104" s="444"/>
      <c r="R104" s="444"/>
      <c r="S104" s="444"/>
      <c r="T104" s="444"/>
      <c r="U104" s="444"/>
      <c r="V104" s="517">
        <v>0</v>
      </c>
      <c r="W104" s="446"/>
      <c r="X104" s="425"/>
    </row>
    <row r="105" spans="1:26" s="426" customFormat="1" x14ac:dyDescent="0.3">
      <c r="A105" s="443" t="s">
        <v>131</v>
      </c>
      <c r="B105" s="444" t="s">
        <v>362</v>
      </c>
      <c r="C105" s="444"/>
      <c r="D105" s="444"/>
      <c r="E105" s="444"/>
      <c r="F105" s="444"/>
      <c r="G105" s="444"/>
      <c r="H105" s="444"/>
      <c r="I105" s="444"/>
      <c r="J105" s="444"/>
      <c r="K105" s="444"/>
      <c r="L105" s="444"/>
      <c r="M105" s="444"/>
      <c r="N105" s="444"/>
      <c r="O105" s="444"/>
      <c r="P105" s="444"/>
      <c r="Q105" s="444"/>
      <c r="R105" s="444"/>
      <c r="S105" s="444"/>
      <c r="T105" s="444"/>
      <c r="U105" s="444"/>
      <c r="V105" s="517">
        <f>-218-34</f>
        <v>-252</v>
      </c>
      <c r="W105" s="446"/>
      <c r="X105" s="425"/>
      <c r="Y105" s="549"/>
      <c r="Z105" s="549"/>
    </row>
    <row r="106" spans="1:26" s="426" customFormat="1" x14ac:dyDescent="0.3">
      <c r="A106" s="443" t="s">
        <v>153</v>
      </c>
      <c r="B106" s="444" t="s">
        <v>363</v>
      </c>
      <c r="C106" s="444"/>
      <c r="D106" s="444"/>
      <c r="E106" s="444"/>
      <c r="F106" s="444"/>
      <c r="G106" s="444"/>
      <c r="H106" s="444"/>
      <c r="I106" s="444"/>
      <c r="J106" s="444"/>
      <c r="K106" s="444"/>
      <c r="L106" s="444"/>
      <c r="M106" s="444"/>
      <c r="N106" s="444"/>
      <c r="O106" s="444"/>
      <c r="P106" s="444"/>
      <c r="Q106" s="444"/>
      <c r="R106" s="444"/>
      <c r="S106" s="444"/>
      <c r="T106" s="444"/>
      <c r="U106" s="444"/>
      <c r="V106" s="517">
        <f>-63-52</f>
        <v>-115</v>
      </c>
      <c r="W106" s="446"/>
      <c r="X106" s="425"/>
      <c r="Y106" s="549"/>
    </row>
    <row r="107" spans="1:26" s="426" customFormat="1" x14ac:dyDescent="0.3">
      <c r="A107" s="443" t="s">
        <v>266</v>
      </c>
      <c r="B107" s="444" t="s">
        <v>269</v>
      </c>
      <c r="C107" s="444"/>
      <c r="D107" s="444"/>
      <c r="E107" s="444"/>
      <c r="F107" s="444"/>
      <c r="G107" s="444"/>
      <c r="H107" s="444"/>
      <c r="I107" s="444"/>
      <c r="J107" s="444"/>
      <c r="K107" s="444"/>
      <c r="L107" s="444"/>
      <c r="M107" s="444"/>
      <c r="N107" s="444"/>
      <c r="O107" s="444"/>
      <c r="P107" s="444"/>
      <c r="Q107" s="444"/>
      <c r="R107" s="444"/>
      <c r="S107" s="444"/>
      <c r="T107" s="444"/>
      <c r="U107" s="444"/>
      <c r="V107" s="517">
        <v>0</v>
      </c>
      <c r="W107" s="446"/>
      <c r="X107" s="425"/>
    </row>
    <row r="108" spans="1:26" s="426" customFormat="1" x14ac:dyDescent="0.3">
      <c r="A108" s="443" t="s">
        <v>208</v>
      </c>
      <c r="B108" s="444" t="s">
        <v>188</v>
      </c>
      <c r="C108" s="444"/>
      <c r="D108" s="444"/>
      <c r="E108" s="444"/>
      <c r="F108" s="444"/>
      <c r="G108" s="444"/>
      <c r="H108" s="444"/>
      <c r="I108" s="444"/>
      <c r="J108" s="444"/>
      <c r="K108" s="444"/>
      <c r="L108" s="444"/>
      <c r="M108" s="444"/>
      <c r="N108" s="444"/>
      <c r="O108" s="444"/>
      <c r="P108" s="444"/>
      <c r="Q108" s="444"/>
      <c r="R108" s="444"/>
      <c r="S108" s="444"/>
      <c r="T108" s="444"/>
      <c r="U108" s="444"/>
      <c r="V108" s="517">
        <v>-58</v>
      </c>
      <c r="W108" s="446"/>
      <c r="X108" s="425"/>
      <c r="Y108" s="549"/>
    </row>
    <row r="109" spans="1:26" s="426" customFormat="1" x14ac:dyDescent="0.3">
      <c r="A109" s="443" t="s">
        <v>209</v>
      </c>
      <c r="B109" s="444" t="s">
        <v>189</v>
      </c>
      <c r="C109" s="444"/>
      <c r="D109" s="444"/>
      <c r="E109" s="444"/>
      <c r="F109" s="444"/>
      <c r="G109" s="444"/>
      <c r="H109" s="444"/>
      <c r="I109" s="444"/>
      <c r="J109" s="444"/>
      <c r="K109" s="444"/>
      <c r="L109" s="444"/>
      <c r="M109" s="444"/>
      <c r="N109" s="444"/>
      <c r="O109" s="444"/>
      <c r="P109" s="444"/>
      <c r="Q109" s="444"/>
      <c r="R109" s="444"/>
      <c r="S109" s="444"/>
      <c r="T109" s="444"/>
      <c r="U109" s="444"/>
      <c r="V109" s="517">
        <v>-55</v>
      </c>
      <c r="W109" s="446"/>
      <c r="X109" s="425"/>
      <c r="Y109" s="549"/>
    </row>
    <row r="110" spans="1:26" s="426" customFormat="1" x14ac:dyDescent="0.3">
      <c r="A110" s="443" t="s">
        <v>210</v>
      </c>
      <c r="B110" s="444" t="s">
        <v>199</v>
      </c>
      <c r="C110" s="444"/>
      <c r="D110" s="444"/>
      <c r="E110" s="444"/>
      <c r="F110" s="444"/>
      <c r="G110" s="444"/>
      <c r="H110" s="444"/>
      <c r="I110" s="444"/>
      <c r="J110" s="444"/>
      <c r="K110" s="444"/>
      <c r="L110" s="444"/>
      <c r="M110" s="444"/>
      <c r="N110" s="444"/>
      <c r="O110" s="444"/>
      <c r="P110" s="444"/>
      <c r="Q110" s="444"/>
      <c r="R110" s="444"/>
      <c r="S110" s="444"/>
      <c r="T110" s="444"/>
      <c r="U110" s="444"/>
      <c r="V110" s="517">
        <v>-107</v>
      </c>
      <c r="W110" s="446"/>
      <c r="X110" s="425"/>
      <c r="Y110" s="549"/>
    </row>
    <row r="111" spans="1:26" s="426" customFormat="1" x14ac:dyDescent="0.3">
      <c r="A111" s="443" t="s">
        <v>230</v>
      </c>
      <c r="B111" s="444" t="s">
        <v>229</v>
      </c>
      <c r="C111" s="444"/>
      <c r="D111" s="444"/>
      <c r="E111" s="444"/>
      <c r="F111" s="444"/>
      <c r="G111" s="444"/>
      <c r="H111" s="444"/>
      <c r="I111" s="444"/>
      <c r="J111" s="444"/>
      <c r="K111" s="444"/>
      <c r="L111" s="444"/>
      <c r="M111" s="444"/>
      <c r="N111" s="444"/>
      <c r="O111" s="444"/>
      <c r="P111" s="444"/>
      <c r="Q111" s="444"/>
      <c r="R111" s="444"/>
      <c r="S111" s="444"/>
      <c r="T111" s="444"/>
      <c r="U111" s="444"/>
      <c r="V111" s="517">
        <v>-24</v>
      </c>
      <c r="W111" s="446"/>
      <c r="X111" s="425"/>
      <c r="Y111" s="549"/>
    </row>
    <row r="112" spans="1:26" s="426" customFormat="1" x14ac:dyDescent="0.3">
      <c r="A112" s="550">
        <v>7</v>
      </c>
      <c r="B112" s="548" t="s">
        <v>333</v>
      </c>
      <c r="C112" s="548"/>
      <c r="D112" s="548"/>
      <c r="E112" s="548"/>
      <c r="F112" s="548"/>
      <c r="G112" s="444"/>
      <c r="H112" s="444"/>
      <c r="I112" s="444"/>
      <c r="J112" s="444"/>
      <c r="K112" s="444"/>
      <c r="L112" s="444"/>
      <c r="M112" s="444"/>
      <c r="N112" s="444"/>
      <c r="O112" s="444"/>
      <c r="P112" s="444"/>
      <c r="Q112" s="444"/>
      <c r="R112" s="444"/>
      <c r="S112" s="444"/>
      <c r="T112" s="444"/>
      <c r="U112" s="444"/>
      <c r="V112" s="517">
        <v>0</v>
      </c>
      <c r="W112" s="446"/>
      <c r="X112" s="425"/>
      <c r="Y112" s="549"/>
    </row>
    <row r="113" spans="1:24" s="426" customFormat="1" x14ac:dyDescent="0.3">
      <c r="A113" s="443">
        <f t="shared" ref="A113:A123" si="0">+A112+1</f>
        <v>8</v>
      </c>
      <c r="B113" s="444" t="s">
        <v>35</v>
      </c>
      <c r="C113" s="444"/>
      <c r="D113" s="444"/>
      <c r="E113" s="444"/>
      <c r="F113" s="444"/>
      <c r="G113" s="444"/>
      <c r="H113" s="444"/>
      <c r="I113" s="444"/>
      <c r="J113" s="444"/>
      <c r="K113" s="444"/>
      <c r="L113" s="444"/>
      <c r="M113" s="444"/>
      <c r="N113" s="444"/>
      <c r="O113" s="444"/>
      <c r="P113" s="444"/>
      <c r="Q113" s="444"/>
      <c r="R113" s="444"/>
      <c r="S113" s="444"/>
      <c r="T113" s="444"/>
      <c r="U113" s="444"/>
      <c r="V113" s="517">
        <v>-11</v>
      </c>
      <c r="W113" s="446"/>
      <c r="X113" s="425"/>
    </row>
    <row r="114" spans="1:24" s="426" customFormat="1" x14ac:dyDescent="0.3">
      <c r="A114" s="443">
        <f t="shared" si="0"/>
        <v>9</v>
      </c>
      <c r="B114" s="444" t="s">
        <v>45</v>
      </c>
      <c r="C114" s="444"/>
      <c r="D114" s="444"/>
      <c r="E114" s="444"/>
      <c r="F114" s="444"/>
      <c r="G114" s="444"/>
      <c r="H114" s="444"/>
      <c r="I114" s="444"/>
      <c r="J114" s="444"/>
      <c r="K114" s="444"/>
      <c r="L114" s="444"/>
      <c r="M114" s="444"/>
      <c r="N114" s="444"/>
      <c r="O114" s="444"/>
      <c r="P114" s="444"/>
      <c r="Q114" s="444"/>
      <c r="R114" s="444"/>
      <c r="S114" s="444"/>
      <c r="T114" s="516">
        <f>-V114</f>
        <v>27</v>
      </c>
      <c r="U114" s="444"/>
      <c r="V114" s="517">
        <v>-27</v>
      </c>
      <c r="W114" s="446"/>
      <c r="X114" s="425"/>
    </row>
    <row r="115" spans="1:24" s="426" customFormat="1" x14ac:dyDescent="0.3">
      <c r="A115" s="443">
        <f t="shared" si="0"/>
        <v>10</v>
      </c>
      <c r="B115" s="444" t="s">
        <v>128</v>
      </c>
      <c r="C115" s="444"/>
      <c r="D115" s="444"/>
      <c r="E115" s="444"/>
      <c r="F115" s="444"/>
      <c r="G115" s="444"/>
      <c r="H115" s="444"/>
      <c r="I115" s="444"/>
      <c r="J115" s="444"/>
      <c r="K115" s="444"/>
      <c r="L115" s="444"/>
      <c r="M115" s="444"/>
      <c r="N115" s="444"/>
      <c r="O115" s="444"/>
      <c r="P115" s="444"/>
      <c r="Q115" s="444"/>
      <c r="R115" s="444"/>
      <c r="S115" s="444"/>
      <c r="T115" s="444"/>
      <c r="U115" s="444"/>
      <c r="V115" s="517">
        <v>0</v>
      </c>
      <c r="W115" s="446"/>
      <c r="X115" s="425"/>
    </row>
    <row r="116" spans="1:24" s="426" customFormat="1" x14ac:dyDescent="0.3">
      <c r="A116" s="443">
        <f t="shared" si="0"/>
        <v>11</v>
      </c>
      <c r="B116" s="444" t="s">
        <v>271</v>
      </c>
      <c r="C116" s="444"/>
      <c r="D116" s="444"/>
      <c r="E116" s="444"/>
      <c r="F116" s="444"/>
      <c r="G116" s="444"/>
      <c r="H116" s="444"/>
      <c r="I116" s="444"/>
      <c r="J116" s="444"/>
      <c r="K116" s="444"/>
      <c r="L116" s="444"/>
      <c r="M116" s="444"/>
      <c r="N116" s="444"/>
      <c r="O116" s="444"/>
      <c r="P116" s="444"/>
      <c r="Q116" s="444"/>
      <c r="R116" s="444"/>
      <c r="S116" s="444"/>
      <c r="T116" s="444"/>
      <c r="U116" s="444"/>
      <c r="V116" s="517">
        <v>0</v>
      </c>
      <c r="W116" s="446"/>
      <c r="X116" s="425"/>
    </row>
    <row r="117" spans="1:24" s="426" customFormat="1" x14ac:dyDescent="0.3">
      <c r="A117" s="443">
        <f t="shared" si="0"/>
        <v>12</v>
      </c>
      <c r="B117" s="444" t="s">
        <v>36</v>
      </c>
      <c r="C117" s="444"/>
      <c r="D117" s="444"/>
      <c r="E117" s="444"/>
      <c r="F117" s="444"/>
      <c r="G117" s="444"/>
      <c r="H117" s="444"/>
      <c r="I117" s="444"/>
      <c r="J117" s="444"/>
      <c r="K117" s="444"/>
      <c r="L117" s="444"/>
      <c r="M117" s="444"/>
      <c r="N117" s="444"/>
      <c r="O117" s="444"/>
      <c r="P117" s="444"/>
      <c r="Q117" s="444"/>
      <c r="R117" s="444"/>
      <c r="S117" s="444"/>
      <c r="T117" s="444"/>
      <c r="U117" s="444"/>
      <c r="V117" s="517">
        <v>0</v>
      </c>
      <c r="W117" s="446"/>
      <c r="X117" s="425"/>
    </row>
    <row r="118" spans="1:24" s="426" customFormat="1" x14ac:dyDescent="0.3">
      <c r="A118" s="443">
        <f t="shared" si="0"/>
        <v>13</v>
      </c>
      <c r="B118" s="444" t="s">
        <v>270</v>
      </c>
      <c r="C118" s="444"/>
      <c r="D118" s="444"/>
      <c r="E118" s="444"/>
      <c r="F118" s="444"/>
      <c r="G118" s="444"/>
      <c r="H118" s="444"/>
      <c r="I118" s="444"/>
      <c r="J118" s="444"/>
      <c r="K118" s="444"/>
      <c r="L118" s="444"/>
      <c r="M118" s="444"/>
      <c r="N118" s="444"/>
      <c r="O118" s="444"/>
      <c r="P118" s="444"/>
      <c r="Q118" s="444"/>
      <c r="R118" s="444"/>
      <c r="S118" s="444"/>
      <c r="T118" s="444"/>
      <c r="U118" s="444"/>
      <c r="V118" s="517">
        <v>0</v>
      </c>
      <c r="W118" s="446"/>
      <c r="X118" s="425"/>
    </row>
    <row r="119" spans="1:24" s="426" customFormat="1" x14ac:dyDescent="0.3">
      <c r="A119" s="443">
        <f t="shared" si="0"/>
        <v>14</v>
      </c>
      <c r="B119" s="444" t="s">
        <v>152</v>
      </c>
      <c r="C119" s="444"/>
      <c r="D119" s="444"/>
      <c r="E119" s="444"/>
      <c r="F119" s="444"/>
      <c r="G119" s="444"/>
      <c r="H119" s="444"/>
      <c r="I119" s="444"/>
      <c r="J119" s="444"/>
      <c r="K119" s="444"/>
      <c r="L119" s="444"/>
      <c r="M119" s="444"/>
      <c r="N119" s="444"/>
      <c r="O119" s="444"/>
      <c r="P119" s="444"/>
      <c r="Q119" s="444"/>
      <c r="R119" s="444"/>
      <c r="S119" s="444"/>
      <c r="T119" s="444"/>
      <c r="U119" s="444"/>
      <c r="V119" s="517">
        <v>-254</v>
      </c>
      <c r="W119" s="446"/>
      <c r="X119" s="425"/>
    </row>
    <row r="120" spans="1:24" s="426" customFormat="1" x14ac:dyDescent="0.3">
      <c r="A120" s="443">
        <f t="shared" si="0"/>
        <v>15</v>
      </c>
      <c r="B120" s="548" t="s">
        <v>382</v>
      </c>
      <c r="C120" s="444"/>
      <c r="D120" s="444"/>
      <c r="E120" s="444"/>
      <c r="F120" s="444"/>
      <c r="G120" s="444"/>
      <c r="H120" s="444"/>
      <c r="I120" s="444"/>
      <c r="J120" s="444"/>
      <c r="K120" s="444"/>
      <c r="L120" s="444"/>
      <c r="M120" s="444"/>
      <c r="N120" s="444"/>
      <c r="O120" s="444"/>
      <c r="P120" s="444"/>
      <c r="Q120" s="444"/>
      <c r="R120" s="444"/>
      <c r="S120" s="444"/>
      <c r="T120" s="444"/>
      <c r="U120" s="444"/>
      <c r="V120" s="517">
        <v>-291</v>
      </c>
      <c r="W120" s="446"/>
      <c r="X120" s="425"/>
    </row>
    <row r="121" spans="1:24" s="426" customFormat="1" x14ac:dyDescent="0.3">
      <c r="A121" s="443">
        <f t="shared" si="0"/>
        <v>16</v>
      </c>
      <c r="B121" s="444" t="s">
        <v>383</v>
      </c>
      <c r="C121" s="444"/>
      <c r="D121" s="444"/>
      <c r="E121" s="444"/>
      <c r="F121" s="444"/>
      <c r="G121" s="444"/>
      <c r="H121" s="444"/>
      <c r="I121" s="444"/>
      <c r="J121" s="444"/>
      <c r="K121" s="444"/>
      <c r="L121" s="444"/>
      <c r="M121" s="444"/>
      <c r="N121" s="444"/>
      <c r="O121" s="444"/>
      <c r="P121" s="444"/>
      <c r="Q121" s="444"/>
      <c r="R121" s="444"/>
      <c r="S121" s="444"/>
      <c r="T121" s="444"/>
      <c r="U121" s="444"/>
      <c r="V121" s="517">
        <v>-250</v>
      </c>
      <c r="W121" s="446"/>
      <c r="X121" s="425"/>
    </row>
    <row r="122" spans="1:24" s="426" customFormat="1" x14ac:dyDescent="0.3">
      <c r="A122" s="443">
        <f t="shared" si="0"/>
        <v>17</v>
      </c>
      <c r="B122" s="444" t="s">
        <v>384</v>
      </c>
      <c r="C122" s="444"/>
      <c r="D122" s="444"/>
      <c r="E122" s="444"/>
      <c r="F122" s="444"/>
      <c r="G122" s="444"/>
      <c r="H122" s="444"/>
      <c r="I122" s="444"/>
      <c r="J122" s="444"/>
      <c r="K122" s="444"/>
      <c r="L122" s="444"/>
      <c r="M122" s="444"/>
      <c r="N122" s="444"/>
      <c r="O122" s="444"/>
      <c r="P122" s="444"/>
      <c r="Q122" s="444"/>
      <c r="R122" s="444"/>
      <c r="S122" s="444"/>
      <c r="T122" s="444"/>
      <c r="U122" s="444"/>
      <c r="V122" s="517">
        <v>0</v>
      </c>
      <c r="W122" s="446"/>
      <c r="X122" s="425"/>
    </row>
    <row r="123" spans="1:24" s="426" customFormat="1" x14ac:dyDescent="0.3">
      <c r="A123" s="443">
        <f t="shared" si="0"/>
        <v>18</v>
      </c>
      <c r="B123" s="444" t="s">
        <v>385</v>
      </c>
      <c r="C123" s="444"/>
      <c r="D123" s="444"/>
      <c r="E123" s="444"/>
      <c r="F123" s="444"/>
      <c r="G123" s="444"/>
      <c r="H123" s="444"/>
      <c r="I123" s="444"/>
      <c r="J123" s="444"/>
      <c r="K123" s="444"/>
      <c r="L123" s="444"/>
      <c r="M123" s="444"/>
      <c r="N123" s="444"/>
      <c r="O123" s="444"/>
      <c r="P123" s="444"/>
      <c r="Q123" s="444"/>
      <c r="R123" s="444"/>
      <c r="S123" s="444"/>
      <c r="T123" s="444"/>
      <c r="U123" s="444"/>
      <c r="V123" s="517">
        <f>-V99-SUM(V101:V122)</f>
        <v>-1653</v>
      </c>
      <c r="W123" s="446"/>
      <c r="X123" s="425"/>
    </row>
    <row r="124" spans="1:24" x14ac:dyDescent="0.3">
      <c r="A124" s="543"/>
      <c r="B124" s="544" t="s">
        <v>37</v>
      </c>
      <c r="C124" s="465"/>
      <c r="D124" s="465"/>
      <c r="E124" s="465"/>
      <c r="F124" s="465"/>
      <c r="G124" s="465"/>
      <c r="H124" s="465"/>
      <c r="I124" s="465"/>
      <c r="J124" s="465"/>
      <c r="K124" s="465"/>
      <c r="L124" s="465"/>
      <c r="M124" s="465"/>
      <c r="N124" s="465"/>
      <c r="O124" s="465"/>
      <c r="P124" s="465"/>
      <c r="Q124" s="465"/>
      <c r="R124" s="465"/>
      <c r="S124" s="465"/>
      <c r="T124" s="465"/>
      <c r="U124" s="465"/>
      <c r="V124" s="551"/>
      <c r="W124" s="547"/>
      <c r="X124" s="406"/>
    </row>
    <row r="125" spans="1:24" s="426" customFormat="1" x14ac:dyDescent="0.3">
      <c r="A125" s="443"/>
      <c r="B125" s="444" t="s">
        <v>176</v>
      </c>
      <c r="C125" s="444"/>
      <c r="D125" s="444"/>
      <c r="E125" s="444"/>
      <c r="F125" s="444"/>
      <c r="G125" s="444"/>
      <c r="H125" s="444"/>
      <c r="I125" s="444"/>
      <c r="J125" s="444"/>
      <c r="K125" s="444"/>
      <c r="L125" s="444"/>
      <c r="M125" s="444"/>
      <c r="N125" s="444"/>
      <c r="O125" s="444"/>
      <c r="P125" s="444"/>
      <c r="Q125" s="444"/>
      <c r="R125" s="444"/>
      <c r="S125" s="444"/>
      <c r="T125" s="516">
        <f>-T185</f>
        <v>0</v>
      </c>
      <c r="U125" s="516"/>
      <c r="V125" s="517"/>
      <c r="W125" s="446"/>
      <c r="X125" s="425"/>
    </row>
    <row r="126" spans="1:24" s="426" customFormat="1" x14ac:dyDescent="0.3">
      <c r="A126" s="443"/>
      <c r="B126" s="444" t="s">
        <v>177</v>
      </c>
      <c r="C126" s="444"/>
      <c r="D126" s="444"/>
      <c r="E126" s="444"/>
      <c r="F126" s="444"/>
      <c r="G126" s="444"/>
      <c r="H126" s="444"/>
      <c r="I126" s="444"/>
      <c r="J126" s="444"/>
      <c r="K126" s="444"/>
      <c r="L126" s="444"/>
      <c r="M126" s="444"/>
      <c r="N126" s="444"/>
      <c r="O126" s="444"/>
      <c r="P126" s="444"/>
      <c r="Q126" s="444"/>
      <c r="R126" s="444"/>
      <c r="S126" s="444"/>
      <c r="T126" s="516">
        <v>0</v>
      </c>
      <c r="U126" s="516"/>
      <c r="V126" s="517"/>
      <c r="W126" s="446"/>
      <c r="X126" s="425"/>
    </row>
    <row r="127" spans="1:24" s="426" customFormat="1" x14ac:dyDescent="0.3">
      <c r="A127" s="443"/>
      <c r="B127" s="444" t="s">
        <v>38</v>
      </c>
      <c r="C127" s="444"/>
      <c r="D127" s="444"/>
      <c r="E127" s="444"/>
      <c r="F127" s="444"/>
      <c r="G127" s="444"/>
      <c r="H127" s="444"/>
      <c r="I127" s="444"/>
      <c r="J127" s="444"/>
      <c r="K127" s="444"/>
      <c r="L127" s="444"/>
      <c r="M127" s="444"/>
      <c r="N127" s="444"/>
      <c r="O127" s="444"/>
      <c r="P127" s="444"/>
      <c r="Q127" s="444"/>
      <c r="R127" s="444"/>
      <c r="S127" s="444"/>
      <c r="T127" s="516">
        <f>-S185</f>
        <v>0</v>
      </c>
      <c r="U127" s="516"/>
      <c r="V127" s="517"/>
      <c r="W127" s="446"/>
      <c r="X127" s="425"/>
    </row>
    <row r="128" spans="1:24" s="426" customFormat="1" x14ac:dyDescent="0.3">
      <c r="A128" s="443"/>
      <c r="B128" s="444" t="s">
        <v>386</v>
      </c>
      <c r="C128" s="444"/>
      <c r="D128" s="444"/>
      <c r="E128" s="444"/>
      <c r="F128" s="444"/>
      <c r="G128" s="444"/>
      <c r="H128" s="444"/>
      <c r="I128" s="444"/>
      <c r="J128" s="444"/>
      <c r="K128" s="444"/>
      <c r="L128" s="444"/>
      <c r="M128" s="444"/>
      <c r="N128" s="444"/>
      <c r="O128" s="444"/>
      <c r="P128" s="444"/>
      <c r="Q128" s="444"/>
      <c r="R128" s="444"/>
      <c r="S128" s="444"/>
      <c r="T128" s="516">
        <v>-4506</v>
      </c>
      <c r="U128" s="516"/>
      <c r="V128" s="517"/>
      <c r="W128" s="446"/>
      <c r="X128" s="425"/>
    </row>
    <row r="129" spans="1:24" s="426" customFormat="1" x14ac:dyDescent="0.3">
      <c r="A129" s="443"/>
      <c r="B129" s="444" t="s">
        <v>198</v>
      </c>
      <c r="C129" s="444"/>
      <c r="D129" s="444"/>
      <c r="E129" s="444"/>
      <c r="F129" s="444"/>
      <c r="G129" s="444"/>
      <c r="H129" s="444"/>
      <c r="I129" s="444"/>
      <c r="J129" s="444"/>
      <c r="K129" s="444"/>
      <c r="L129" s="444"/>
      <c r="M129" s="444"/>
      <c r="N129" s="444"/>
      <c r="O129" s="444"/>
      <c r="P129" s="444"/>
      <c r="Q129" s="444"/>
      <c r="R129" s="444"/>
      <c r="S129" s="444"/>
      <c r="T129" s="516">
        <v>-706</v>
      </c>
      <c r="U129" s="516"/>
      <c r="V129" s="517"/>
      <c r="W129" s="446"/>
      <c r="X129" s="425"/>
    </row>
    <row r="130" spans="1:24" s="426" customFormat="1" x14ac:dyDescent="0.3">
      <c r="A130" s="443"/>
      <c r="B130" s="444" t="s">
        <v>197</v>
      </c>
      <c r="C130" s="444"/>
      <c r="D130" s="444"/>
      <c r="E130" s="444"/>
      <c r="F130" s="444"/>
      <c r="G130" s="444"/>
      <c r="H130" s="444"/>
      <c r="I130" s="444"/>
      <c r="J130" s="444"/>
      <c r="K130" s="444"/>
      <c r="L130" s="444"/>
      <c r="M130" s="444"/>
      <c r="N130" s="444"/>
      <c r="O130" s="444"/>
      <c r="P130" s="444"/>
      <c r="Q130" s="444"/>
      <c r="R130" s="444"/>
      <c r="S130" s="444"/>
      <c r="T130" s="516">
        <v>-1194</v>
      </c>
      <c r="U130" s="516"/>
      <c r="V130" s="517"/>
      <c r="W130" s="446"/>
      <c r="X130" s="425"/>
    </row>
    <row r="131" spans="1:24" s="426" customFormat="1" x14ac:dyDescent="0.3">
      <c r="A131" s="443"/>
      <c r="B131" s="444" t="s">
        <v>232</v>
      </c>
      <c r="C131" s="444"/>
      <c r="D131" s="444"/>
      <c r="E131" s="444"/>
      <c r="F131" s="444"/>
      <c r="G131" s="444"/>
      <c r="H131" s="444"/>
      <c r="I131" s="444"/>
      <c r="J131" s="444"/>
      <c r="K131" s="444"/>
      <c r="L131" s="444"/>
      <c r="M131" s="444"/>
      <c r="N131" s="444"/>
      <c r="O131" s="444"/>
      <c r="P131" s="444"/>
      <c r="Q131" s="444"/>
      <c r="R131" s="444"/>
      <c r="S131" s="444"/>
      <c r="T131" s="516">
        <v>-1052</v>
      </c>
      <c r="U131" s="516"/>
      <c r="V131" s="517"/>
      <c r="W131" s="446"/>
      <c r="X131" s="425"/>
    </row>
    <row r="132" spans="1:24" s="426" customFormat="1" x14ac:dyDescent="0.3">
      <c r="A132" s="443"/>
      <c r="B132" s="444" t="s">
        <v>192</v>
      </c>
      <c r="C132" s="444"/>
      <c r="D132" s="444"/>
      <c r="E132" s="444"/>
      <c r="F132" s="444"/>
      <c r="G132" s="444"/>
      <c r="H132" s="444"/>
      <c r="I132" s="444"/>
      <c r="J132" s="444"/>
      <c r="K132" s="444"/>
      <c r="L132" s="444"/>
      <c r="M132" s="444"/>
      <c r="N132" s="444"/>
      <c r="O132" s="444"/>
      <c r="P132" s="444"/>
      <c r="Q132" s="444"/>
      <c r="R132" s="444"/>
      <c r="S132" s="444"/>
      <c r="T132" s="516">
        <v>-734</v>
      </c>
      <c r="U132" s="516"/>
      <c r="V132" s="517"/>
      <c r="W132" s="446"/>
      <c r="X132" s="425"/>
    </row>
    <row r="133" spans="1:24" s="426" customFormat="1" x14ac:dyDescent="0.3">
      <c r="A133" s="443"/>
      <c r="B133" s="444" t="s">
        <v>191</v>
      </c>
      <c r="C133" s="444"/>
      <c r="D133" s="444"/>
      <c r="E133" s="444"/>
      <c r="F133" s="444"/>
      <c r="G133" s="444"/>
      <c r="H133" s="444"/>
      <c r="I133" s="444"/>
      <c r="J133" s="444"/>
      <c r="K133" s="444"/>
      <c r="L133" s="444"/>
      <c r="M133" s="444"/>
      <c r="N133" s="444"/>
      <c r="O133" s="444"/>
      <c r="P133" s="444"/>
      <c r="Q133" s="444"/>
      <c r="R133" s="444"/>
      <c r="S133" s="444"/>
      <c r="T133" s="516">
        <v>-739</v>
      </c>
      <c r="U133" s="516"/>
      <c r="V133" s="517"/>
      <c r="W133" s="446"/>
      <c r="X133" s="425"/>
    </row>
    <row r="134" spans="1:24" s="426" customFormat="1" x14ac:dyDescent="0.3">
      <c r="A134" s="443"/>
      <c r="B134" s="444" t="s">
        <v>233</v>
      </c>
      <c r="C134" s="444"/>
      <c r="D134" s="444"/>
      <c r="E134" s="444"/>
      <c r="F134" s="444"/>
      <c r="G134" s="444"/>
      <c r="H134" s="444"/>
      <c r="I134" s="444"/>
      <c r="J134" s="444"/>
      <c r="K134" s="444"/>
      <c r="L134" s="444"/>
      <c r="M134" s="444"/>
      <c r="N134" s="444"/>
      <c r="O134" s="444"/>
      <c r="P134" s="444"/>
      <c r="Q134" s="444"/>
      <c r="R134" s="444"/>
      <c r="S134" s="444"/>
      <c r="T134" s="516">
        <v>-170</v>
      </c>
      <c r="U134" s="516"/>
      <c r="V134" s="517"/>
      <c r="W134" s="446"/>
      <c r="X134" s="425"/>
    </row>
    <row r="135" spans="1:24" s="426" customFormat="1" x14ac:dyDescent="0.3">
      <c r="A135" s="443"/>
      <c r="B135" s="444" t="s">
        <v>190</v>
      </c>
      <c r="C135" s="444"/>
      <c r="D135" s="444"/>
      <c r="E135" s="444"/>
      <c r="F135" s="444"/>
      <c r="G135" s="444"/>
      <c r="H135" s="444"/>
      <c r="I135" s="444"/>
      <c r="J135" s="444"/>
      <c r="K135" s="444"/>
      <c r="L135" s="444"/>
      <c r="M135" s="444"/>
      <c r="N135" s="444"/>
      <c r="O135" s="444"/>
      <c r="P135" s="444"/>
      <c r="Q135" s="444"/>
      <c r="R135" s="444"/>
      <c r="S135" s="444"/>
      <c r="T135" s="516">
        <v>-712</v>
      </c>
      <c r="U135" s="516"/>
      <c r="V135" s="517"/>
      <c r="W135" s="446"/>
      <c r="X135" s="425"/>
    </row>
    <row r="136" spans="1:24" s="426" customFormat="1" x14ac:dyDescent="0.3">
      <c r="A136" s="443"/>
      <c r="B136" s="444" t="s">
        <v>39</v>
      </c>
      <c r="C136" s="444"/>
      <c r="D136" s="444"/>
      <c r="E136" s="444"/>
      <c r="F136" s="444"/>
      <c r="G136" s="444"/>
      <c r="H136" s="444"/>
      <c r="I136" s="444"/>
      <c r="J136" s="444"/>
      <c r="K136" s="444"/>
      <c r="L136" s="444"/>
      <c r="M136" s="444"/>
      <c r="N136" s="444"/>
      <c r="O136" s="444"/>
      <c r="P136" s="444"/>
      <c r="Q136" s="444"/>
      <c r="R136" s="444"/>
      <c r="S136" s="444"/>
      <c r="T136" s="516">
        <f>SUM(T125:T135)</f>
        <v>-9813</v>
      </c>
      <c r="U136" s="516"/>
      <c r="V136" s="516">
        <f>SUM(V100:V133)</f>
        <v>-3488</v>
      </c>
      <c r="W136" s="446"/>
      <c r="X136" s="425"/>
    </row>
    <row r="137" spans="1:24" s="426" customFormat="1" x14ac:dyDescent="0.3">
      <c r="A137" s="443"/>
      <c r="B137" s="444" t="s">
        <v>40</v>
      </c>
      <c r="C137" s="444"/>
      <c r="D137" s="444"/>
      <c r="E137" s="444"/>
      <c r="F137" s="444"/>
      <c r="G137" s="444"/>
      <c r="H137" s="444"/>
      <c r="I137" s="444"/>
      <c r="J137" s="444"/>
      <c r="K137" s="444"/>
      <c r="L137" s="444"/>
      <c r="M137" s="444"/>
      <c r="N137" s="444"/>
      <c r="O137" s="444"/>
      <c r="P137" s="444"/>
      <c r="Q137" s="444"/>
      <c r="R137" s="444"/>
      <c r="S137" s="444"/>
      <c r="T137" s="516">
        <f>T99+T136+T114</f>
        <v>0</v>
      </c>
      <c r="U137" s="516"/>
      <c r="V137" s="516">
        <f>V99+V136</f>
        <v>0</v>
      </c>
      <c r="W137" s="446"/>
      <c r="X137" s="425"/>
    </row>
    <row r="138" spans="1:24" s="426" customFormat="1" x14ac:dyDescent="0.3">
      <c r="A138" s="421"/>
      <c r="B138" s="494"/>
      <c r="C138" s="494"/>
      <c r="D138" s="494"/>
      <c r="E138" s="494"/>
      <c r="F138" s="494"/>
      <c r="G138" s="494"/>
      <c r="H138" s="494"/>
      <c r="I138" s="494"/>
      <c r="J138" s="494"/>
      <c r="K138" s="494"/>
      <c r="L138" s="494"/>
      <c r="M138" s="494"/>
      <c r="N138" s="494"/>
      <c r="O138" s="494"/>
      <c r="P138" s="494"/>
      <c r="Q138" s="494"/>
      <c r="R138" s="494"/>
      <c r="S138" s="494"/>
      <c r="T138" s="552"/>
      <c r="U138" s="552"/>
      <c r="V138" s="552"/>
      <c r="W138" s="424"/>
      <c r="X138" s="425"/>
    </row>
    <row r="139" spans="1:24" s="426" customFormat="1" x14ac:dyDescent="0.3">
      <c r="A139" s="421"/>
      <c r="B139" s="422"/>
      <c r="C139" s="422"/>
      <c r="D139" s="422"/>
      <c r="E139" s="422"/>
      <c r="F139" s="422"/>
      <c r="G139" s="422"/>
      <c r="H139" s="422"/>
      <c r="I139" s="422"/>
      <c r="J139" s="422"/>
      <c r="K139" s="422"/>
      <c r="L139" s="422"/>
      <c r="M139" s="422"/>
      <c r="N139" s="422"/>
      <c r="O139" s="422"/>
      <c r="P139" s="422"/>
      <c r="Q139" s="422"/>
      <c r="R139" s="422"/>
      <c r="S139" s="422"/>
      <c r="T139" s="422"/>
      <c r="U139" s="422"/>
      <c r="V139" s="553"/>
      <c r="W139" s="424"/>
      <c r="X139" s="425"/>
    </row>
    <row r="140" spans="1:24" s="426" customFormat="1" ht="18.600000000000001" thickBot="1" x14ac:dyDescent="0.4">
      <c r="A140" s="500"/>
      <c r="B140" s="501" t="str">
        <f>B63</f>
        <v>PM13 INVESTOR REPORT QUARTER ENDING DECEMBER 2020</v>
      </c>
      <c r="C140" s="502"/>
      <c r="D140" s="502"/>
      <c r="E140" s="502"/>
      <c r="F140" s="502"/>
      <c r="G140" s="502"/>
      <c r="H140" s="502"/>
      <c r="I140" s="502"/>
      <c r="J140" s="502"/>
      <c r="K140" s="502"/>
      <c r="L140" s="502"/>
      <c r="M140" s="502"/>
      <c r="N140" s="502"/>
      <c r="O140" s="502"/>
      <c r="P140" s="502"/>
      <c r="Q140" s="502"/>
      <c r="R140" s="502"/>
      <c r="S140" s="502"/>
      <c r="T140" s="502"/>
      <c r="U140" s="502"/>
      <c r="V140" s="554"/>
      <c r="W140" s="555"/>
      <c r="X140" s="425"/>
    </row>
    <row r="141" spans="1:24" x14ac:dyDescent="0.3">
      <c r="A141" s="505"/>
      <c r="B141" s="506" t="s">
        <v>41</v>
      </c>
      <c r="C141" s="507"/>
      <c r="D141" s="507"/>
      <c r="E141" s="507"/>
      <c r="F141" s="507"/>
      <c r="G141" s="507"/>
      <c r="H141" s="507"/>
      <c r="I141" s="507"/>
      <c r="J141" s="507"/>
      <c r="K141" s="507"/>
      <c r="L141" s="507"/>
      <c r="M141" s="507"/>
      <c r="N141" s="507"/>
      <c r="O141" s="507"/>
      <c r="P141" s="507"/>
      <c r="Q141" s="507"/>
      <c r="R141" s="507"/>
      <c r="S141" s="507"/>
      <c r="T141" s="507"/>
      <c r="U141" s="507"/>
      <c r="V141" s="508"/>
      <c r="W141" s="509"/>
      <c r="X141" s="406"/>
    </row>
    <row r="142" spans="1:24" x14ac:dyDescent="0.3">
      <c r="A142" s="408"/>
      <c r="B142" s="556"/>
      <c r="C142" s="410"/>
      <c r="D142" s="410"/>
      <c r="E142" s="410"/>
      <c r="F142" s="410"/>
      <c r="G142" s="410"/>
      <c r="H142" s="410"/>
      <c r="I142" s="410"/>
      <c r="J142" s="410"/>
      <c r="K142" s="410"/>
      <c r="L142" s="410"/>
      <c r="M142" s="410"/>
      <c r="N142" s="410"/>
      <c r="O142" s="410"/>
      <c r="P142" s="410"/>
      <c r="Q142" s="410"/>
      <c r="R142" s="410"/>
      <c r="S142" s="410"/>
      <c r="T142" s="410"/>
      <c r="U142" s="410"/>
      <c r="V142" s="510"/>
      <c r="W142" s="411"/>
      <c r="X142" s="406"/>
    </row>
    <row r="143" spans="1:24" x14ac:dyDescent="0.3">
      <c r="A143" s="408"/>
      <c r="B143" s="557" t="s">
        <v>42</v>
      </c>
      <c r="C143" s="410"/>
      <c r="D143" s="410"/>
      <c r="E143" s="410"/>
      <c r="F143" s="410"/>
      <c r="G143" s="410"/>
      <c r="H143" s="410"/>
      <c r="I143" s="410"/>
      <c r="J143" s="410"/>
      <c r="K143" s="410"/>
      <c r="L143" s="410"/>
      <c r="M143" s="410"/>
      <c r="N143" s="410"/>
      <c r="O143" s="410"/>
      <c r="P143" s="410"/>
      <c r="Q143" s="410"/>
      <c r="R143" s="410"/>
      <c r="S143" s="410"/>
      <c r="T143" s="410"/>
      <c r="U143" s="410"/>
      <c r="V143" s="510"/>
      <c r="W143" s="411"/>
      <c r="X143" s="406"/>
    </row>
    <row r="144" spans="1:24" x14ac:dyDescent="0.3">
      <c r="A144" s="543"/>
      <c r="B144" s="444" t="s">
        <v>43</v>
      </c>
      <c r="C144" s="444"/>
      <c r="D144" s="444"/>
      <c r="E144" s="444"/>
      <c r="F144" s="444"/>
      <c r="G144" s="444"/>
      <c r="H144" s="444"/>
      <c r="I144" s="444"/>
      <c r="J144" s="444"/>
      <c r="K144" s="444"/>
      <c r="L144" s="444"/>
      <c r="M144" s="444"/>
      <c r="N144" s="444"/>
      <c r="O144" s="444"/>
      <c r="P144" s="444"/>
      <c r="Q144" s="444"/>
      <c r="R144" s="444"/>
      <c r="S144" s="444"/>
      <c r="T144" s="444"/>
      <c r="U144" s="444"/>
      <c r="V144" s="517">
        <f>+V34*0.019</f>
        <v>28503.61</v>
      </c>
      <c r="W144" s="558"/>
      <c r="X144" s="406"/>
    </row>
    <row r="145" spans="1:25" x14ac:dyDescent="0.3">
      <c r="A145" s="543"/>
      <c r="B145" s="444" t="s">
        <v>44</v>
      </c>
      <c r="C145" s="444"/>
      <c r="D145" s="444"/>
      <c r="E145" s="444"/>
      <c r="F145" s="444"/>
      <c r="G145" s="444"/>
      <c r="H145" s="444"/>
      <c r="I145" s="444"/>
      <c r="J145" s="444"/>
      <c r="K145" s="444"/>
      <c r="L145" s="444"/>
      <c r="M145" s="444"/>
      <c r="N145" s="444"/>
      <c r="O145" s="444"/>
      <c r="P145" s="444"/>
      <c r="Q145" s="444"/>
      <c r="R145" s="444"/>
      <c r="S145" s="444"/>
      <c r="T145" s="444"/>
      <c r="U145" s="444"/>
      <c r="V145" s="517">
        <v>28504</v>
      </c>
      <c r="W145" s="558"/>
      <c r="X145" s="406"/>
    </row>
    <row r="146" spans="1:25" x14ac:dyDescent="0.3">
      <c r="A146" s="543"/>
      <c r="B146" s="444" t="s">
        <v>139</v>
      </c>
      <c r="C146" s="444"/>
      <c r="D146" s="444"/>
      <c r="E146" s="444"/>
      <c r="F146" s="444"/>
      <c r="G146" s="444"/>
      <c r="H146" s="444"/>
      <c r="I146" s="444"/>
      <c r="J146" s="444"/>
      <c r="K146" s="444"/>
      <c r="L146" s="444"/>
      <c r="M146" s="444"/>
      <c r="N146" s="444"/>
      <c r="O146" s="444"/>
      <c r="P146" s="444"/>
      <c r="Q146" s="444"/>
      <c r="R146" s="444"/>
      <c r="S146" s="444"/>
      <c r="T146" s="444"/>
      <c r="U146" s="444"/>
      <c r="V146" s="517"/>
      <c r="W146" s="558"/>
      <c r="X146" s="406"/>
    </row>
    <row r="147" spans="1:25" x14ac:dyDescent="0.3">
      <c r="A147" s="543"/>
      <c r="B147" s="444" t="s">
        <v>126</v>
      </c>
      <c r="C147" s="444"/>
      <c r="D147" s="444"/>
      <c r="E147" s="444"/>
      <c r="F147" s="444"/>
      <c r="G147" s="444"/>
      <c r="H147" s="444"/>
      <c r="I147" s="444"/>
      <c r="J147" s="444"/>
      <c r="K147" s="444"/>
      <c r="L147" s="444"/>
      <c r="M147" s="444"/>
      <c r="N147" s="444"/>
      <c r="O147" s="444"/>
      <c r="P147" s="444"/>
      <c r="Q147" s="444"/>
      <c r="R147" s="444"/>
      <c r="S147" s="444"/>
      <c r="T147" s="444"/>
      <c r="U147" s="444"/>
      <c r="V147" s="517">
        <v>0</v>
      </c>
      <c r="W147" s="558"/>
      <c r="X147" s="406"/>
    </row>
    <row r="148" spans="1:25" x14ac:dyDescent="0.3">
      <c r="A148" s="543"/>
      <c r="B148" s="444" t="s">
        <v>127</v>
      </c>
      <c r="C148" s="444"/>
      <c r="D148" s="444"/>
      <c r="E148" s="444"/>
      <c r="F148" s="444"/>
      <c r="G148" s="444"/>
      <c r="H148" s="444"/>
      <c r="I148" s="444"/>
      <c r="J148" s="444"/>
      <c r="K148" s="444"/>
      <c r="L148" s="444"/>
      <c r="M148" s="444"/>
      <c r="N148" s="444"/>
      <c r="O148" s="444"/>
      <c r="P148" s="444"/>
      <c r="Q148" s="444"/>
      <c r="R148" s="444"/>
      <c r="S148" s="444"/>
      <c r="T148" s="444"/>
      <c r="U148" s="444"/>
      <c r="V148" s="517">
        <v>0</v>
      </c>
      <c r="W148" s="558"/>
      <c r="X148" s="406"/>
    </row>
    <row r="149" spans="1:25" x14ac:dyDescent="0.3">
      <c r="A149" s="543"/>
      <c r="B149" s="444" t="s">
        <v>178</v>
      </c>
      <c r="C149" s="444"/>
      <c r="D149" s="444"/>
      <c r="E149" s="444"/>
      <c r="F149" s="444"/>
      <c r="G149" s="444"/>
      <c r="H149" s="444"/>
      <c r="I149" s="444"/>
      <c r="J149" s="444"/>
      <c r="K149" s="444"/>
      <c r="L149" s="444"/>
      <c r="M149" s="444"/>
      <c r="N149" s="444"/>
      <c r="O149" s="444"/>
      <c r="P149" s="444"/>
      <c r="Q149" s="444"/>
      <c r="R149" s="444"/>
      <c r="S149" s="444"/>
      <c r="T149" s="444"/>
      <c r="U149" s="444"/>
      <c r="V149" s="517">
        <v>0</v>
      </c>
      <c r="W149" s="558"/>
      <c r="X149" s="406"/>
    </row>
    <row r="150" spans="1:25" x14ac:dyDescent="0.3">
      <c r="A150" s="543"/>
      <c r="B150" s="444" t="s">
        <v>45</v>
      </c>
      <c r="C150" s="444"/>
      <c r="D150" s="444"/>
      <c r="E150" s="444"/>
      <c r="F150" s="444"/>
      <c r="G150" s="444"/>
      <c r="H150" s="444"/>
      <c r="I150" s="444"/>
      <c r="J150" s="444"/>
      <c r="K150" s="444"/>
      <c r="L150" s="444"/>
      <c r="M150" s="444"/>
      <c r="N150" s="444"/>
      <c r="O150" s="444"/>
      <c r="P150" s="444"/>
      <c r="Q150" s="444"/>
      <c r="R150" s="444"/>
      <c r="S150" s="444"/>
      <c r="T150" s="444"/>
      <c r="U150" s="444"/>
      <c r="V150" s="517">
        <v>0</v>
      </c>
      <c r="W150" s="558"/>
      <c r="X150" s="406"/>
    </row>
    <row r="151" spans="1:25" x14ac:dyDescent="0.3">
      <c r="A151" s="543"/>
      <c r="B151" s="444" t="s">
        <v>132</v>
      </c>
      <c r="C151" s="444"/>
      <c r="D151" s="444"/>
      <c r="E151" s="444"/>
      <c r="F151" s="444"/>
      <c r="G151" s="444"/>
      <c r="H151" s="444"/>
      <c r="I151" s="444"/>
      <c r="J151" s="444"/>
      <c r="K151" s="444"/>
      <c r="L151" s="444"/>
      <c r="M151" s="444"/>
      <c r="N151" s="444"/>
      <c r="O151" s="444"/>
      <c r="P151" s="444"/>
      <c r="Q151" s="444"/>
      <c r="R151" s="444"/>
      <c r="S151" s="444"/>
      <c r="T151" s="444"/>
      <c r="U151" s="444"/>
      <c r="V151" s="517">
        <v>0</v>
      </c>
      <c r="W151" s="558"/>
      <c r="X151" s="406"/>
    </row>
    <row r="152" spans="1:25" x14ac:dyDescent="0.3">
      <c r="A152" s="543"/>
      <c r="B152" s="444" t="s">
        <v>267</v>
      </c>
      <c r="C152" s="444"/>
      <c r="D152" s="444"/>
      <c r="E152" s="444"/>
      <c r="F152" s="444"/>
      <c r="G152" s="444"/>
      <c r="H152" s="444"/>
      <c r="I152" s="444"/>
      <c r="J152" s="444"/>
      <c r="K152" s="444"/>
      <c r="L152" s="444"/>
      <c r="M152" s="444"/>
      <c r="N152" s="444"/>
      <c r="O152" s="444"/>
      <c r="P152" s="444"/>
      <c r="Q152" s="444"/>
      <c r="R152" s="444"/>
      <c r="S152" s="444"/>
      <c r="T152" s="444"/>
      <c r="U152" s="444"/>
      <c r="V152" s="517">
        <v>0</v>
      </c>
      <c r="W152" s="558"/>
      <c r="X152" s="406"/>
      <c r="Y152" s="559"/>
    </row>
    <row r="153" spans="1:25" x14ac:dyDescent="0.3">
      <c r="A153" s="543"/>
      <c r="B153" s="444" t="s">
        <v>46</v>
      </c>
      <c r="C153" s="444"/>
      <c r="D153" s="444"/>
      <c r="E153" s="444"/>
      <c r="F153" s="444"/>
      <c r="G153" s="444"/>
      <c r="H153" s="444"/>
      <c r="I153" s="444"/>
      <c r="J153" s="444"/>
      <c r="K153" s="444"/>
      <c r="L153" s="444"/>
      <c r="M153" s="444"/>
      <c r="N153" s="444"/>
      <c r="O153" s="444"/>
      <c r="P153" s="444"/>
      <c r="Q153" s="444"/>
      <c r="R153" s="444"/>
      <c r="S153" s="444"/>
      <c r="T153" s="444"/>
      <c r="U153" s="444"/>
      <c r="V153" s="517">
        <f>SUM(V145:V152)</f>
        <v>28504</v>
      </c>
      <c r="W153" s="558"/>
      <c r="X153" s="406"/>
    </row>
    <row r="154" spans="1:25" x14ac:dyDescent="0.3">
      <c r="A154" s="543"/>
      <c r="B154" s="465"/>
      <c r="C154" s="465"/>
      <c r="D154" s="465"/>
      <c r="E154" s="465"/>
      <c r="F154" s="465"/>
      <c r="G154" s="465"/>
      <c r="H154" s="465"/>
      <c r="I154" s="465"/>
      <c r="J154" s="465"/>
      <c r="K154" s="465"/>
      <c r="L154" s="465"/>
      <c r="M154" s="465"/>
      <c r="N154" s="465"/>
      <c r="O154" s="465"/>
      <c r="P154" s="465"/>
      <c r="Q154" s="465"/>
      <c r="R154" s="465"/>
      <c r="S154" s="465"/>
      <c r="T154" s="465"/>
      <c r="U154" s="465"/>
      <c r="V154" s="546"/>
      <c r="W154" s="547"/>
      <c r="X154" s="406"/>
    </row>
    <row r="155" spans="1:25" x14ac:dyDescent="0.3">
      <c r="A155" s="543"/>
      <c r="B155" s="544" t="s">
        <v>417</v>
      </c>
      <c r="C155" s="465"/>
      <c r="D155" s="465"/>
      <c r="E155" s="465"/>
      <c r="F155" s="465"/>
      <c r="G155" s="465"/>
      <c r="H155" s="465"/>
      <c r="I155" s="465"/>
      <c r="J155" s="465"/>
      <c r="K155" s="465"/>
      <c r="L155" s="465"/>
      <c r="M155" s="465"/>
      <c r="N155" s="465"/>
      <c r="O155" s="465"/>
      <c r="P155" s="465"/>
      <c r="Q155" s="465"/>
      <c r="R155" s="465"/>
      <c r="S155" s="465"/>
      <c r="T155" s="465"/>
      <c r="U155" s="465"/>
      <c r="V155" s="546"/>
      <c r="W155" s="547"/>
      <c r="X155" s="406"/>
    </row>
    <row r="156" spans="1:25" x14ac:dyDescent="0.3">
      <c r="A156" s="543"/>
      <c r="B156" s="444" t="s">
        <v>158</v>
      </c>
      <c r="C156" s="444"/>
      <c r="D156" s="444"/>
      <c r="E156" s="444"/>
      <c r="F156" s="444"/>
      <c r="G156" s="444"/>
      <c r="H156" s="444"/>
      <c r="I156" s="444"/>
      <c r="J156" s="444"/>
      <c r="K156" s="444"/>
      <c r="L156" s="444"/>
      <c r="M156" s="444"/>
      <c r="N156" s="444"/>
      <c r="O156" s="444"/>
      <c r="P156" s="444"/>
      <c r="Q156" s="444"/>
      <c r="R156" s="444"/>
      <c r="S156" s="444"/>
      <c r="T156" s="444"/>
      <c r="U156" s="444"/>
      <c r="V156" s="517">
        <v>15000</v>
      </c>
      <c r="W156" s="558"/>
      <c r="X156" s="406"/>
    </row>
    <row r="157" spans="1:25" x14ac:dyDescent="0.3">
      <c r="A157" s="543"/>
      <c r="B157" s="444" t="s">
        <v>175</v>
      </c>
      <c r="C157" s="444"/>
      <c r="D157" s="444"/>
      <c r="E157" s="444"/>
      <c r="F157" s="444"/>
      <c r="G157" s="444"/>
      <c r="H157" s="444"/>
      <c r="I157" s="444"/>
      <c r="J157" s="444"/>
      <c r="K157" s="444"/>
      <c r="L157" s="444"/>
      <c r="M157" s="444"/>
      <c r="N157" s="444"/>
      <c r="O157" s="444"/>
      <c r="P157" s="444"/>
      <c r="Q157" s="444"/>
      <c r="R157" s="444"/>
      <c r="S157" s="444"/>
      <c r="T157" s="444"/>
      <c r="U157" s="444"/>
      <c r="V157" s="517">
        <v>0</v>
      </c>
      <c r="W157" s="558"/>
      <c r="X157" s="406"/>
    </row>
    <row r="158" spans="1:25" x14ac:dyDescent="0.3">
      <c r="A158" s="543"/>
      <c r="B158" s="444" t="s">
        <v>341</v>
      </c>
      <c r="C158" s="444"/>
      <c r="D158" s="444"/>
      <c r="E158" s="444"/>
      <c r="F158" s="444"/>
      <c r="G158" s="444"/>
      <c r="H158" s="444"/>
      <c r="I158" s="444"/>
      <c r="J158" s="444"/>
      <c r="K158" s="444"/>
      <c r="L158" s="444"/>
      <c r="M158" s="444"/>
      <c r="N158" s="444"/>
      <c r="O158" s="444"/>
      <c r="P158" s="444"/>
      <c r="Q158" s="444"/>
      <c r="R158" s="444"/>
      <c r="S158" s="444"/>
      <c r="T158" s="444"/>
      <c r="U158" s="444"/>
      <c r="V158" s="517">
        <v>0</v>
      </c>
      <c r="W158" s="558"/>
      <c r="X158" s="406"/>
    </row>
    <row r="159" spans="1:25" x14ac:dyDescent="0.3">
      <c r="A159" s="543"/>
      <c r="B159" s="465"/>
      <c r="C159" s="465"/>
      <c r="D159" s="465"/>
      <c r="E159" s="465"/>
      <c r="F159" s="465"/>
      <c r="G159" s="465"/>
      <c r="H159" s="465"/>
      <c r="I159" s="465"/>
      <c r="J159" s="465"/>
      <c r="K159" s="465"/>
      <c r="L159" s="465"/>
      <c r="M159" s="465"/>
      <c r="N159" s="465"/>
      <c r="O159" s="465"/>
      <c r="P159" s="465"/>
      <c r="Q159" s="465"/>
      <c r="R159" s="465"/>
      <c r="S159" s="465"/>
      <c r="T159" s="465"/>
      <c r="U159" s="465"/>
      <c r="V159" s="546"/>
      <c r="W159" s="547"/>
      <c r="X159" s="406"/>
    </row>
    <row r="160" spans="1:25" x14ac:dyDescent="0.3">
      <c r="A160" s="408"/>
      <c r="B160" s="518"/>
      <c r="C160" s="518"/>
      <c r="D160" s="518"/>
      <c r="E160" s="518"/>
      <c r="F160" s="518"/>
      <c r="G160" s="518"/>
      <c r="H160" s="518"/>
      <c r="I160" s="518"/>
      <c r="J160" s="518"/>
      <c r="K160" s="518"/>
      <c r="L160" s="518"/>
      <c r="M160" s="518"/>
      <c r="N160" s="518"/>
      <c r="O160" s="518"/>
      <c r="P160" s="518"/>
      <c r="Q160" s="518"/>
      <c r="R160" s="518"/>
      <c r="S160" s="518"/>
      <c r="T160" s="518"/>
      <c r="U160" s="518"/>
      <c r="V160" s="560"/>
      <c r="W160" s="411"/>
      <c r="X160" s="406"/>
    </row>
    <row r="161" spans="1:24" x14ac:dyDescent="0.3">
      <c r="A161" s="408"/>
      <c r="B161" s="557" t="s">
        <v>24</v>
      </c>
      <c r="C161" s="410"/>
      <c r="D161" s="410"/>
      <c r="E161" s="410"/>
      <c r="F161" s="410"/>
      <c r="G161" s="410"/>
      <c r="H161" s="410"/>
      <c r="I161" s="410"/>
      <c r="J161" s="410"/>
      <c r="K161" s="410"/>
      <c r="L161" s="410"/>
      <c r="M161" s="410"/>
      <c r="N161" s="410"/>
      <c r="O161" s="410"/>
      <c r="P161" s="410"/>
      <c r="Q161" s="410"/>
      <c r="R161" s="410"/>
      <c r="S161" s="410"/>
      <c r="T161" s="410"/>
      <c r="U161" s="410"/>
      <c r="V161" s="510"/>
      <c r="W161" s="411"/>
      <c r="X161" s="406"/>
    </row>
    <row r="162" spans="1:24" x14ac:dyDescent="0.3">
      <c r="A162" s="543"/>
      <c r="B162" s="444" t="s">
        <v>47</v>
      </c>
      <c r="C162" s="444"/>
      <c r="D162" s="444"/>
      <c r="E162" s="444"/>
      <c r="F162" s="444"/>
      <c r="G162" s="444"/>
      <c r="H162" s="444"/>
      <c r="I162" s="444"/>
      <c r="J162" s="444"/>
      <c r="K162" s="444"/>
      <c r="L162" s="444"/>
      <c r="M162" s="444"/>
      <c r="N162" s="444"/>
      <c r="O162" s="444"/>
      <c r="P162" s="444"/>
      <c r="Q162" s="444"/>
      <c r="R162" s="444"/>
      <c r="S162" s="444"/>
      <c r="T162" s="444"/>
      <c r="U162" s="444"/>
      <c r="V162" s="561" t="s">
        <v>121</v>
      </c>
      <c r="W162" s="558"/>
      <c r="X162" s="406"/>
    </row>
    <row r="163" spans="1:24" x14ac:dyDescent="0.3">
      <c r="A163" s="543"/>
      <c r="B163" s="444" t="s">
        <v>48</v>
      </c>
      <c r="C163" s="444"/>
      <c r="D163" s="444"/>
      <c r="E163" s="444"/>
      <c r="F163" s="444"/>
      <c r="G163" s="444"/>
      <c r="H163" s="444"/>
      <c r="I163" s="444"/>
      <c r="J163" s="444"/>
      <c r="K163" s="444"/>
      <c r="L163" s="444"/>
      <c r="M163" s="444"/>
      <c r="N163" s="444"/>
      <c r="O163" s="444"/>
      <c r="P163" s="444"/>
      <c r="Q163" s="444"/>
      <c r="R163" s="444"/>
      <c r="S163" s="444"/>
      <c r="T163" s="444"/>
      <c r="U163" s="444"/>
      <c r="V163" s="561" t="s">
        <v>121</v>
      </c>
      <c r="W163" s="558"/>
      <c r="X163" s="406"/>
    </row>
    <row r="164" spans="1:24" x14ac:dyDescent="0.3">
      <c r="A164" s="543"/>
      <c r="B164" s="444" t="s">
        <v>49</v>
      </c>
      <c r="C164" s="444"/>
      <c r="D164" s="444"/>
      <c r="E164" s="444"/>
      <c r="F164" s="444"/>
      <c r="G164" s="444"/>
      <c r="H164" s="444"/>
      <c r="I164" s="444"/>
      <c r="J164" s="444"/>
      <c r="K164" s="444"/>
      <c r="L164" s="444"/>
      <c r="M164" s="444"/>
      <c r="N164" s="444"/>
      <c r="O164" s="444"/>
      <c r="P164" s="444"/>
      <c r="Q164" s="444"/>
      <c r="R164" s="444"/>
      <c r="S164" s="444"/>
      <c r="T164" s="444"/>
      <c r="U164" s="444"/>
      <c r="V164" s="561" t="s">
        <v>121</v>
      </c>
      <c r="W164" s="558"/>
      <c r="X164" s="406"/>
    </row>
    <row r="165" spans="1:24" x14ac:dyDescent="0.3">
      <c r="A165" s="543"/>
      <c r="B165" s="444" t="s">
        <v>50</v>
      </c>
      <c r="C165" s="444"/>
      <c r="D165" s="444"/>
      <c r="E165" s="444"/>
      <c r="F165" s="444"/>
      <c r="G165" s="444"/>
      <c r="H165" s="444"/>
      <c r="I165" s="444"/>
      <c r="J165" s="444"/>
      <c r="K165" s="444"/>
      <c r="L165" s="444"/>
      <c r="M165" s="444"/>
      <c r="N165" s="444"/>
      <c r="O165" s="444"/>
      <c r="P165" s="444"/>
      <c r="Q165" s="444"/>
      <c r="R165" s="444"/>
      <c r="S165" s="444"/>
      <c r="T165" s="444"/>
      <c r="U165" s="444"/>
      <c r="V165" s="561" t="s">
        <v>121</v>
      </c>
      <c r="W165" s="558"/>
      <c r="X165" s="406"/>
    </row>
    <row r="166" spans="1:24" x14ac:dyDescent="0.3">
      <c r="A166" s="408"/>
      <c r="B166" s="518"/>
      <c r="C166" s="518"/>
      <c r="D166" s="518"/>
      <c r="E166" s="518"/>
      <c r="F166" s="518"/>
      <c r="G166" s="518"/>
      <c r="H166" s="518"/>
      <c r="I166" s="518"/>
      <c r="J166" s="518"/>
      <c r="K166" s="518"/>
      <c r="L166" s="518"/>
      <c r="M166" s="518"/>
      <c r="N166" s="518"/>
      <c r="O166" s="518"/>
      <c r="P166" s="518"/>
      <c r="Q166" s="518"/>
      <c r="R166" s="518"/>
      <c r="S166" s="518"/>
      <c r="T166" s="518"/>
      <c r="U166" s="518"/>
      <c r="V166" s="560"/>
      <c r="W166" s="411"/>
      <c r="X166" s="406"/>
    </row>
    <row r="167" spans="1:24" x14ac:dyDescent="0.3">
      <c r="A167" s="408"/>
      <c r="B167" s="557" t="s">
        <v>51</v>
      </c>
      <c r="C167" s="410"/>
      <c r="D167" s="410"/>
      <c r="E167" s="410"/>
      <c r="F167" s="410"/>
      <c r="G167" s="410"/>
      <c r="H167" s="410"/>
      <c r="I167" s="410"/>
      <c r="J167" s="410"/>
      <c r="K167" s="410"/>
      <c r="L167" s="410"/>
      <c r="M167" s="410"/>
      <c r="N167" s="410"/>
      <c r="O167" s="410"/>
      <c r="P167" s="410"/>
      <c r="Q167" s="410"/>
      <c r="R167" s="410"/>
      <c r="S167" s="410"/>
      <c r="T167" s="410"/>
      <c r="U167" s="410"/>
      <c r="V167" s="562"/>
      <c r="W167" s="411"/>
      <c r="X167" s="406"/>
    </row>
    <row r="168" spans="1:24" x14ac:dyDescent="0.3">
      <c r="A168" s="563"/>
      <c r="B168" s="548" t="s">
        <v>52</v>
      </c>
      <c r="C168" s="548"/>
      <c r="D168" s="548"/>
      <c r="E168" s="548"/>
      <c r="F168" s="548"/>
      <c r="G168" s="548"/>
      <c r="H168" s="548"/>
      <c r="I168" s="548"/>
      <c r="J168" s="548"/>
      <c r="K168" s="548"/>
      <c r="L168" s="548"/>
      <c r="M168" s="548"/>
      <c r="N168" s="548"/>
      <c r="O168" s="548"/>
      <c r="P168" s="548"/>
      <c r="Q168" s="548"/>
      <c r="R168" s="548"/>
      <c r="S168" s="548"/>
      <c r="T168" s="548"/>
      <c r="U168" s="548"/>
      <c r="V168" s="564">
        <v>0</v>
      </c>
      <c r="W168" s="565"/>
      <c r="X168" s="406"/>
    </row>
    <row r="169" spans="1:24" x14ac:dyDescent="0.3">
      <c r="A169" s="563"/>
      <c r="B169" s="548" t="s">
        <v>53</v>
      </c>
      <c r="C169" s="548"/>
      <c r="D169" s="548"/>
      <c r="E169" s="548"/>
      <c r="F169" s="548"/>
      <c r="G169" s="548"/>
      <c r="H169" s="548"/>
      <c r="I169" s="548"/>
      <c r="J169" s="548"/>
      <c r="K169" s="548"/>
      <c r="L169" s="548"/>
      <c r="M169" s="548"/>
      <c r="N169" s="548"/>
      <c r="O169" s="548"/>
      <c r="P169" s="548"/>
      <c r="Q169" s="548"/>
      <c r="R169" s="548"/>
      <c r="S169" s="548"/>
      <c r="T169" s="548"/>
      <c r="U169" s="548"/>
      <c r="V169" s="564">
        <v>27</v>
      </c>
      <c r="W169" s="565"/>
      <c r="X169" s="406"/>
    </row>
    <row r="170" spans="1:24" x14ac:dyDescent="0.3">
      <c r="A170" s="563"/>
      <c r="B170" s="548" t="s">
        <v>54</v>
      </c>
      <c r="C170" s="548"/>
      <c r="D170" s="548"/>
      <c r="E170" s="548"/>
      <c r="F170" s="548"/>
      <c r="G170" s="548"/>
      <c r="H170" s="548"/>
      <c r="I170" s="548"/>
      <c r="J170" s="548"/>
      <c r="K170" s="548"/>
      <c r="L170" s="548"/>
      <c r="M170" s="548"/>
      <c r="N170" s="548"/>
      <c r="O170" s="548"/>
      <c r="P170" s="548"/>
      <c r="Q170" s="548"/>
      <c r="R170" s="548"/>
      <c r="S170" s="548"/>
      <c r="T170" s="548"/>
      <c r="U170" s="548"/>
      <c r="V170" s="564">
        <f>V169+V168</f>
        <v>27</v>
      </c>
      <c r="W170" s="565"/>
      <c r="X170" s="406"/>
    </row>
    <row r="171" spans="1:24" x14ac:dyDescent="0.3">
      <c r="A171" s="563"/>
      <c r="B171" s="444" t="s">
        <v>318</v>
      </c>
      <c r="C171" s="548"/>
      <c r="D171" s="548"/>
      <c r="E171" s="548"/>
      <c r="F171" s="548"/>
      <c r="G171" s="548"/>
      <c r="H171" s="548"/>
      <c r="I171" s="548"/>
      <c r="J171" s="548"/>
      <c r="K171" s="548"/>
      <c r="L171" s="548"/>
      <c r="M171" s="548"/>
      <c r="N171" s="548"/>
      <c r="O171" s="548"/>
      <c r="P171" s="548"/>
      <c r="Q171" s="548"/>
      <c r="R171" s="548"/>
      <c r="S171" s="548"/>
      <c r="T171" s="548"/>
      <c r="U171" s="548"/>
      <c r="V171" s="564">
        <f>V114</f>
        <v>-27</v>
      </c>
      <c r="W171" s="565"/>
      <c r="X171" s="406"/>
    </row>
    <row r="172" spans="1:24" x14ac:dyDescent="0.3">
      <c r="A172" s="563"/>
      <c r="B172" s="548" t="s">
        <v>55</v>
      </c>
      <c r="C172" s="548"/>
      <c r="D172" s="548"/>
      <c r="E172" s="548"/>
      <c r="F172" s="548"/>
      <c r="G172" s="548"/>
      <c r="H172" s="548"/>
      <c r="I172" s="548"/>
      <c r="J172" s="548"/>
      <c r="K172" s="548"/>
      <c r="L172" s="548"/>
      <c r="M172" s="548"/>
      <c r="N172" s="548"/>
      <c r="O172" s="548"/>
      <c r="P172" s="548"/>
      <c r="Q172" s="548"/>
      <c r="R172" s="548"/>
      <c r="S172" s="548"/>
      <c r="T172" s="548"/>
      <c r="U172" s="548"/>
      <c r="V172" s="564">
        <f>V170+V171</f>
        <v>0</v>
      </c>
      <c r="W172" s="565"/>
      <c r="X172" s="406"/>
    </row>
    <row r="173" spans="1:24" x14ac:dyDescent="0.3">
      <c r="A173" s="563"/>
      <c r="B173" s="548" t="s">
        <v>288</v>
      </c>
      <c r="C173" s="548"/>
      <c r="D173" s="548"/>
      <c r="E173" s="548"/>
      <c r="F173" s="548"/>
      <c r="G173" s="548"/>
      <c r="H173" s="548"/>
      <c r="I173" s="548"/>
      <c r="J173" s="548"/>
      <c r="K173" s="548"/>
      <c r="L173" s="548"/>
      <c r="M173" s="548"/>
      <c r="N173" s="548"/>
      <c r="O173" s="548"/>
      <c r="P173" s="548"/>
      <c r="Q173" s="548"/>
      <c r="R173" s="548"/>
      <c r="S173" s="548"/>
      <c r="T173" s="548"/>
      <c r="U173" s="548"/>
      <c r="V173" s="564">
        <f>-V98</f>
        <v>70</v>
      </c>
      <c r="W173" s="565"/>
      <c r="X173" s="406"/>
    </row>
    <row r="174" spans="1:24" ht="16.2" thickBot="1" x14ac:dyDescent="0.35">
      <c r="A174" s="408"/>
      <c r="B174" s="518"/>
      <c r="C174" s="518"/>
      <c r="D174" s="518"/>
      <c r="E174" s="518"/>
      <c r="F174" s="518"/>
      <c r="G174" s="518"/>
      <c r="H174" s="518"/>
      <c r="I174" s="518"/>
      <c r="J174" s="518"/>
      <c r="K174" s="518"/>
      <c r="L174" s="518"/>
      <c r="M174" s="518"/>
      <c r="N174" s="518"/>
      <c r="O174" s="518"/>
      <c r="P174" s="518"/>
      <c r="Q174" s="518"/>
      <c r="R174" s="518"/>
      <c r="S174" s="518"/>
      <c r="T174" s="518"/>
      <c r="U174" s="518"/>
      <c r="V174" s="560"/>
      <c r="W174" s="411"/>
      <c r="X174" s="406"/>
    </row>
    <row r="175" spans="1:24" x14ac:dyDescent="0.3">
      <c r="A175" s="402"/>
      <c r="B175" s="404"/>
      <c r="C175" s="404"/>
      <c r="D175" s="404"/>
      <c r="E175" s="404"/>
      <c r="F175" s="404"/>
      <c r="G175" s="404"/>
      <c r="H175" s="404"/>
      <c r="I175" s="404"/>
      <c r="J175" s="404"/>
      <c r="K175" s="404"/>
      <c r="L175" s="404"/>
      <c r="M175" s="404"/>
      <c r="N175" s="404"/>
      <c r="O175" s="404"/>
      <c r="P175" s="404"/>
      <c r="Q175" s="404"/>
      <c r="R175" s="404"/>
      <c r="S175" s="404"/>
      <c r="T175" s="404"/>
      <c r="U175" s="404"/>
      <c r="V175" s="566"/>
      <c r="W175" s="405"/>
      <c r="X175" s="406"/>
    </row>
    <row r="176" spans="1:24" x14ac:dyDescent="0.3">
      <c r="A176" s="408"/>
      <c r="B176" s="557" t="s">
        <v>56</v>
      </c>
      <c r="C176" s="410"/>
      <c r="D176" s="410"/>
      <c r="E176" s="410"/>
      <c r="F176" s="410"/>
      <c r="G176" s="410"/>
      <c r="H176" s="410"/>
      <c r="I176" s="410"/>
      <c r="J176" s="410"/>
      <c r="K176" s="410"/>
      <c r="L176" s="410"/>
      <c r="M176" s="410"/>
      <c r="N176" s="410"/>
      <c r="O176" s="410"/>
      <c r="P176" s="410"/>
      <c r="Q176" s="410"/>
      <c r="R176" s="410"/>
      <c r="S176" s="410"/>
      <c r="T176" s="410"/>
      <c r="U176" s="410"/>
      <c r="V176" s="510"/>
      <c r="W176" s="411"/>
      <c r="X176" s="406"/>
    </row>
    <row r="177" spans="1:24" x14ac:dyDescent="0.3">
      <c r="A177" s="408"/>
      <c r="B177" s="556"/>
      <c r="C177" s="410"/>
      <c r="D177" s="410"/>
      <c r="E177" s="410"/>
      <c r="F177" s="410"/>
      <c r="G177" s="410"/>
      <c r="H177" s="410"/>
      <c r="I177" s="410"/>
      <c r="J177" s="410"/>
      <c r="K177" s="410"/>
      <c r="L177" s="410"/>
      <c r="M177" s="410"/>
      <c r="N177" s="410"/>
      <c r="O177" s="410"/>
      <c r="P177" s="410"/>
      <c r="Q177" s="410"/>
      <c r="R177" s="410"/>
      <c r="S177" s="410"/>
      <c r="T177" s="410"/>
      <c r="U177" s="410"/>
      <c r="V177" s="510"/>
      <c r="W177" s="411"/>
      <c r="X177" s="406"/>
    </row>
    <row r="178" spans="1:24" x14ac:dyDescent="0.3">
      <c r="A178" s="543"/>
      <c r="B178" s="444" t="s">
        <v>57</v>
      </c>
      <c r="C178" s="444"/>
      <c r="D178" s="444"/>
      <c r="E178" s="444"/>
      <c r="F178" s="444"/>
      <c r="G178" s="444"/>
      <c r="H178" s="444"/>
      <c r="I178" s="444"/>
      <c r="J178" s="444"/>
      <c r="K178" s="444"/>
      <c r="L178" s="444"/>
      <c r="M178" s="444"/>
      <c r="N178" s="444"/>
      <c r="O178" s="444"/>
      <c r="P178" s="444"/>
      <c r="Q178" s="444"/>
      <c r="R178" s="444"/>
      <c r="S178" s="444"/>
      <c r="T178" s="444"/>
      <c r="U178" s="444"/>
      <c r="V178" s="517">
        <f>V70</f>
        <v>648904</v>
      </c>
      <c r="W178" s="558"/>
      <c r="X178" s="406"/>
    </row>
    <row r="179" spans="1:24" x14ac:dyDescent="0.3">
      <c r="A179" s="543"/>
      <c r="B179" s="444" t="s">
        <v>58</v>
      </c>
      <c r="C179" s="444"/>
      <c r="D179" s="444"/>
      <c r="E179" s="444"/>
      <c r="F179" s="444"/>
      <c r="G179" s="444"/>
      <c r="H179" s="444"/>
      <c r="I179" s="444"/>
      <c r="J179" s="444"/>
      <c r="K179" s="444"/>
      <c r="L179" s="444"/>
      <c r="M179" s="444"/>
      <c r="N179" s="444"/>
      <c r="O179" s="444"/>
      <c r="P179" s="444"/>
      <c r="Q179" s="444"/>
      <c r="R179" s="444"/>
      <c r="S179" s="444"/>
      <c r="T179" s="444"/>
      <c r="U179" s="444"/>
      <c r="V179" s="517">
        <f>V83</f>
        <v>648904</v>
      </c>
      <c r="W179" s="558"/>
      <c r="X179" s="406"/>
    </row>
    <row r="180" spans="1:24" ht="16.2" thickBot="1" x14ac:dyDescent="0.35">
      <c r="A180" s="408"/>
      <c r="B180" s="518"/>
      <c r="C180" s="518"/>
      <c r="D180" s="518"/>
      <c r="E180" s="518"/>
      <c r="F180" s="518"/>
      <c r="G180" s="518"/>
      <c r="H180" s="518"/>
      <c r="I180" s="518"/>
      <c r="J180" s="518"/>
      <c r="K180" s="518"/>
      <c r="L180" s="518"/>
      <c r="M180" s="518"/>
      <c r="N180" s="518"/>
      <c r="O180" s="518"/>
      <c r="P180" s="518"/>
      <c r="Q180" s="518"/>
      <c r="R180" s="518"/>
      <c r="S180" s="518"/>
      <c r="T180" s="518"/>
      <c r="U180" s="518"/>
      <c r="V180" s="560"/>
      <c r="W180" s="411"/>
      <c r="X180" s="406"/>
    </row>
    <row r="181" spans="1:24" x14ac:dyDescent="0.3">
      <c r="A181" s="402"/>
      <c r="B181" s="404"/>
      <c r="C181" s="404"/>
      <c r="D181" s="404"/>
      <c r="E181" s="404"/>
      <c r="F181" s="404"/>
      <c r="G181" s="404"/>
      <c r="H181" s="404"/>
      <c r="I181" s="404"/>
      <c r="J181" s="404"/>
      <c r="K181" s="404"/>
      <c r="L181" s="404"/>
      <c r="M181" s="404"/>
      <c r="N181" s="404"/>
      <c r="O181" s="404"/>
      <c r="P181" s="404"/>
      <c r="Q181" s="404"/>
      <c r="R181" s="404"/>
      <c r="S181" s="404"/>
      <c r="T181" s="404"/>
      <c r="U181" s="404"/>
      <c r="V181" s="566"/>
      <c r="W181" s="405"/>
      <c r="X181" s="406"/>
    </row>
    <row r="182" spans="1:24" s="473" customFormat="1" x14ac:dyDescent="0.3">
      <c r="A182" s="511"/>
      <c r="B182" s="557" t="s">
        <v>59</v>
      </c>
      <c r="C182" s="567"/>
      <c r="D182" s="567"/>
      <c r="E182" s="567"/>
      <c r="F182" s="567"/>
      <c r="G182" s="567"/>
      <c r="H182" s="568"/>
      <c r="I182" s="568"/>
      <c r="J182" s="568"/>
      <c r="K182" s="568"/>
      <c r="L182" s="568"/>
      <c r="M182" s="568"/>
      <c r="N182" s="568"/>
      <c r="O182" s="568"/>
      <c r="P182" s="568"/>
      <c r="Q182" s="568"/>
      <c r="R182" s="568"/>
      <c r="S182" s="568" t="s">
        <v>102</v>
      </c>
      <c r="T182" s="568" t="s">
        <v>179</v>
      </c>
      <c r="U182" s="413"/>
      <c r="V182" s="569" t="s">
        <v>117</v>
      </c>
      <c r="W182" s="570"/>
      <c r="X182" s="472"/>
    </row>
    <row r="183" spans="1:24" s="426" customFormat="1" x14ac:dyDescent="0.3">
      <c r="A183" s="443"/>
      <c r="B183" s="444" t="s">
        <v>60</v>
      </c>
      <c r="C183" s="444"/>
      <c r="D183" s="444"/>
      <c r="E183" s="444"/>
      <c r="F183" s="444"/>
      <c r="G183" s="444"/>
      <c r="H183" s="444"/>
      <c r="I183" s="444"/>
      <c r="J183" s="444"/>
      <c r="K183" s="444"/>
      <c r="L183" s="444"/>
      <c r="M183" s="444"/>
      <c r="N183" s="444"/>
      <c r="O183" s="444"/>
      <c r="P183" s="444"/>
      <c r="Q183" s="444"/>
      <c r="R183" s="444"/>
      <c r="S183" s="517">
        <f>+V34*0.16</f>
        <v>240030.4</v>
      </c>
      <c r="T183" s="482"/>
      <c r="U183" s="444"/>
      <c r="V183" s="517"/>
      <c r="W183" s="446"/>
      <c r="X183" s="425"/>
    </row>
    <row r="184" spans="1:24" s="426" customFormat="1" x14ac:dyDescent="0.3">
      <c r="A184" s="443"/>
      <c r="B184" s="444" t="s">
        <v>61</v>
      </c>
      <c r="C184" s="444"/>
      <c r="D184" s="444"/>
      <c r="E184" s="444"/>
      <c r="F184" s="444"/>
      <c r="G184" s="444"/>
      <c r="H184" s="444"/>
      <c r="I184" s="444"/>
      <c r="J184" s="444"/>
      <c r="K184" s="444"/>
      <c r="L184" s="444"/>
      <c r="M184" s="444"/>
      <c r="N184" s="444"/>
      <c r="O184" s="444"/>
      <c r="P184" s="444"/>
      <c r="Q184" s="444"/>
      <c r="R184" s="444"/>
      <c r="S184" s="517">
        <f>+'Sept 20'!S186</f>
        <v>55845</v>
      </c>
      <c r="T184" s="517">
        <f>+'Sept 20'!T186</f>
        <v>9760</v>
      </c>
      <c r="U184" s="444"/>
      <c r="V184" s="517">
        <f>S184+T184</f>
        <v>65605</v>
      </c>
      <c r="W184" s="446"/>
      <c r="X184" s="425"/>
    </row>
    <row r="185" spans="1:24" s="426" customFormat="1" x14ac:dyDescent="0.3">
      <c r="A185" s="443"/>
      <c r="B185" s="444" t="s">
        <v>62</v>
      </c>
      <c r="C185" s="444"/>
      <c r="D185" s="444"/>
      <c r="E185" s="444"/>
      <c r="F185" s="444"/>
      <c r="G185" s="444"/>
      <c r="H185" s="444"/>
      <c r="I185" s="444"/>
      <c r="J185" s="444"/>
      <c r="K185" s="444"/>
      <c r="L185" s="444"/>
      <c r="M185" s="444"/>
      <c r="N185" s="444"/>
      <c r="O185" s="444"/>
      <c r="P185" s="444"/>
      <c r="Q185" s="444"/>
      <c r="R185" s="444"/>
      <c r="S185" s="516">
        <v>0</v>
      </c>
      <c r="T185" s="516">
        <v>0</v>
      </c>
      <c r="U185" s="444"/>
      <c r="V185" s="517">
        <f>S185+T185</f>
        <v>0</v>
      </c>
      <c r="W185" s="446"/>
      <c r="X185" s="425"/>
    </row>
    <row r="186" spans="1:24" s="426" customFormat="1" x14ac:dyDescent="0.3">
      <c r="A186" s="443"/>
      <c r="B186" s="444" t="s">
        <v>63</v>
      </c>
      <c r="C186" s="444"/>
      <c r="D186" s="444"/>
      <c r="E186" s="444"/>
      <c r="F186" s="444"/>
      <c r="G186" s="444"/>
      <c r="H186" s="444"/>
      <c r="I186" s="444"/>
      <c r="J186" s="444"/>
      <c r="K186" s="444"/>
      <c r="L186" s="444"/>
      <c r="M186" s="444"/>
      <c r="N186" s="444"/>
      <c r="O186" s="444"/>
      <c r="P186" s="444"/>
      <c r="Q186" s="444"/>
      <c r="R186" s="444"/>
      <c r="S186" s="517">
        <f>+S184+S185</f>
        <v>55845</v>
      </c>
      <c r="T186" s="517">
        <f>T185+T184</f>
        <v>9760</v>
      </c>
      <c r="U186" s="444"/>
      <c r="V186" s="517">
        <f>S186+T186</f>
        <v>65605</v>
      </c>
      <c r="W186" s="446"/>
      <c r="X186" s="425"/>
    </row>
    <row r="187" spans="1:24" s="426" customFormat="1" x14ac:dyDescent="0.3">
      <c r="A187" s="443"/>
      <c r="B187" s="444" t="s">
        <v>64</v>
      </c>
      <c r="C187" s="444"/>
      <c r="D187" s="444"/>
      <c r="E187" s="444"/>
      <c r="F187" s="444"/>
      <c r="G187" s="444"/>
      <c r="H187" s="444"/>
      <c r="I187" s="444"/>
      <c r="J187" s="444"/>
      <c r="K187" s="444"/>
      <c r="L187" s="444"/>
      <c r="M187" s="444"/>
      <c r="N187" s="444"/>
      <c r="O187" s="444"/>
      <c r="P187" s="444"/>
      <c r="Q187" s="444"/>
      <c r="R187" s="444"/>
      <c r="S187" s="517">
        <f>S183-S186-T186</f>
        <v>174425.4</v>
      </c>
      <c r="T187" s="482"/>
      <c r="U187" s="444"/>
      <c r="V187" s="517"/>
      <c r="W187" s="446"/>
      <c r="X187" s="425"/>
    </row>
    <row r="188" spans="1:24" ht="16.2" thickBot="1" x14ac:dyDescent="0.35">
      <c r="A188" s="408"/>
      <c r="B188" s="518"/>
      <c r="C188" s="518"/>
      <c r="D188" s="518"/>
      <c r="E188" s="518"/>
      <c r="F188" s="518"/>
      <c r="G188" s="518"/>
      <c r="H188" s="518"/>
      <c r="I188" s="518"/>
      <c r="J188" s="518"/>
      <c r="K188" s="518"/>
      <c r="L188" s="518"/>
      <c r="M188" s="518"/>
      <c r="N188" s="518"/>
      <c r="O188" s="518"/>
      <c r="P188" s="518"/>
      <c r="Q188" s="518"/>
      <c r="R188" s="518"/>
      <c r="S188" s="518"/>
      <c r="T188" s="518"/>
      <c r="U188" s="518"/>
      <c r="V188" s="560"/>
      <c r="W188" s="411"/>
      <c r="X188" s="406"/>
    </row>
    <row r="189" spans="1:24" x14ac:dyDescent="0.3">
      <c r="A189" s="402"/>
      <c r="B189" s="404"/>
      <c r="C189" s="404"/>
      <c r="D189" s="404"/>
      <c r="E189" s="404"/>
      <c r="F189" s="404"/>
      <c r="G189" s="404"/>
      <c r="H189" s="404"/>
      <c r="I189" s="404"/>
      <c r="J189" s="404"/>
      <c r="K189" s="404"/>
      <c r="L189" s="404"/>
      <c r="M189" s="404"/>
      <c r="N189" s="404"/>
      <c r="O189" s="404"/>
      <c r="P189" s="404"/>
      <c r="Q189" s="404"/>
      <c r="R189" s="404"/>
      <c r="S189" s="404"/>
      <c r="T189" s="404"/>
      <c r="U189" s="404"/>
      <c r="V189" s="566"/>
      <c r="W189" s="405"/>
      <c r="X189" s="406"/>
    </row>
    <row r="190" spans="1:24" x14ac:dyDescent="0.3">
      <c r="A190" s="408"/>
      <c r="B190" s="557" t="s">
        <v>65</v>
      </c>
      <c r="C190" s="410"/>
      <c r="D190" s="410"/>
      <c r="E190" s="410"/>
      <c r="F190" s="410"/>
      <c r="G190" s="410"/>
      <c r="H190" s="410"/>
      <c r="I190" s="410"/>
      <c r="J190" s="410"/>
      <c r="K190" s="410"/>
      <c r="L190" s="410"/>
      <c r="M190" s="410"/>
      <c r="N190" s="410"/>
      <c r="O190" s="410"/>
      <c r="P190" s="410"/>
      <c r="Q190" s="410"/>
      <c r="R190" s="410"/>
      <c r="S190" s="410"/>
      <c r="T190" s="410"/>
      <c r="U190" s="410"/>
      <c r="V190" s="571"/>
      <c r="W190" s="411"/>
      <c r="X190" s="406"/>
    </row>
    <row r="191" spans="1:24" s="426" customFormat="1" x14ac:dyDescent="0.3">
      <c r="A191" s="443"/>
      <c r="B191" s="444" t="s">
        <v>66</v>
      </c>
      <c r="C191" s="444"/>
      <c r="D191" s="444"/>
      <c r="E191" s="444"/>
      <c r="F191" s="444"/>
      <c r="G191" s="444"/>
      <c r="H191" s="444"/>
      <c r="I191" s="444"/>
      <c r="J191" s="444"/>
      <c r="K191" s="444"/>
      <c r="L191" s="444"/>
      <c r="M191" s="444"/>
      <c r="N191" s="444"/>
      <c r="O191" s="444"/>
      <c r="P191" s="444"/>
      <c r="Q191" s="444"/>
      <c r="R191" s="444"/>
      <c r="S191" s="444"/>
      <c r="T191" s="444"/>
      <c r="U191" s="444"/>
      <c r="V191" s="561">
        <f>(V99+V101+V102+V103+V104)/-(V105+V106)</f>
        <v>8.438692098092643</v>
      </c>
      <c r="W191" s="446" t="s">
        <v>118</v>
      </c>
      <c r="X191" s="425"/>
    </row>
    <row r="192" spans="1:24" s="426" customFormat="1" x14ac:dyDescent="0.3">
      <c r="A192" s="443"/>
      <c r="B192" s="444" t="s">
        <v>67</v>
      </c>
      <c r="C192" s="444"/>
      <c r="D192" s="444"/>
      <c r="E192" s="444"/>
      <c r="F192" s="444"/>
      <c r="G192" s="444"/>
      <c r="H192" s="444"/>
      <c r="I192" s="444"/>
      <c r="J192" s="444"/>
      <c r="K192" s="444"/>
      <c r="L192" s="444"/>
      <c r="M192" s="444"/>
      <c r="N192" s="444"/>
      <c r="O192" s="444"/>
      <c r="P192" s="444"/>
      <c r="Q192" s="444"/>
      <c r="R192" s="444"/>
      <c r="S192" s="444"/>
      <c r="T192" s="444"/>
      <c r="U192" s="444"/>
      <c r="V192" s="572">
        <v>2.0099999999999998</v>
      </c>
      <c r="W192" s="446" t="s">
        <v>118</v>
      </c>
      <c r="X192" s="425"/>
    </row>
    <row r="193" spans="1:24" s="426" customFormat="1" x14ac:dyDescent="0.3">
      <c r="A193" s="443"/>
      <c r="B193" s="444" t="s">
        <v>68</v>
      </c>
      <c r="C193" s="444"/>
      <c r="D193" s="444"/>
      <c r="E193" s="444"/>
      <c r="F193" s="444"/>
      <c r="G193" s="444"/>
      <c r="H193" s="444"/>
      <c r="I193" s="444"/>
      <c r="J193" s="444"/>
      <c r="K193" s="444"/>
      <c r="L193" s="444"/>
      <c r="M193" s="444"/>
      <c r="N193" s="444"/>
      <c r="O193" s="444"/>
      <c r="P193" s="444"/>
      <c r="Q193" s="444"/>
      <c r="R193" s="444"/>
      <c r="S193" s="444"/>
      <c r="T193" s="444"/>
      <c r="U193" s="444"/>
      <c r="V193" s="561">
        <f>(V99+V101+V102+V103+V104+V105+V106)/-(V108+V109)</f>
        <v>24.159292035398231</v>
      </c>
      <c r="W193" s="446" t="s">
        <v>118</v>
      </c>
      <c r="X193" s="425"/>
    </row>
    <row r="194" spans="1:24" s="426" customFormat="1" x14ac:dyDescent="0.3">
      <c r="A194" s="443"/>
      <c r="B194" s="444" t="s">
        <v>69</v>
      </c>
      <c r="C194" s="444"/>
      <c r="D194" s="444"/>
      <c r="E194" s="444"/>
      <c r="F194" s="444"/>
      <c r="G194" s="444"/>
      <c r="H194" s="444"/>
      <c r="I194" s="444"/>
      <c r="J194" s="444"/>
      <c r="K194" s="444"/>
      <c r="L194" s="444"/>
      <c r="M194" s="444"/>
      <c r="N194" s="444"/>
      <c r="O194" s="444"/>
      <c r="P194" s="444"/>
      <c r="Q194" s="444"/>
      <c r="R194" s="444"/>
      <c r="S194" s="444"/>
      <c r="T194" s="444"/>
      <c r="U194" s="444"/>
      <c r="V194" s="572">
        <v>8.25</v>
      </c>
      <c r="W194" s="446" t="s">
        <v>118</v>
      </c>
      <c r="X194" s="425"/>
    </row>
    <row r="195" spans="1:24" s="426" customFormat="1" x14ac:dyDescent="0.3">
      <c r="A195" s="443"/>
      <c r="B195" s="444" t="s">
        <v>201</v>
      </c>
      <c r="C195" s="444"/>
      <c r="D195" s="444"/>
      <c r="E195" s="444"/>
      <c r="F195" s="444"/>
      <c r="G195" s="444"/>
      <c r="H195" s="444"/>
      <c r="I195" s="444"/>
      <c r="J195" s="444"/>
      <c r="K195" s="444"/>
      <c r="L195" s="444"/>
      <c r="M195" s="444"/>
      <c r="N195" s="444"/>
      <c r="O195" s="444"/>
      <c r="P195" s="444"/>
      <c r="Q195" s="444"/>
      <c r="R195" s="444"/>
      <c r="S195" s="444"/>
      <c r="T195" s="444"/>
      <c r="U195" s="444"/>
      <c r="V195" s="561">
        <f>(V99+V101+V102+V103+V104+V105+V106+V108+V109)/-(V110+V111)</f>
        <v>19.977099236641223</v>
      </c>
      <c r="W195" s="446" t="s">
        <v>118</v>
      </c>
      <c r="X195" s="425"/>
    </row>
    <row r="196" spans="1:24" s="426" customFormat="1" x14ac:dyDescent="0.3">
      <c r="A196" s="443"/>
      <c r="B196" s="444" t="s">
        <v>202</v>
      </c>
      <c r="C196" s="444"/>
      <c r="D196" s="444"/>
      <c r="E196" s="444"/>
      <c r="F196" s="444"/>
      <c r="G196" s="444"/>
      <c r="H196" s="444"/>
      <c r="I196" s="444"/>
      <c r="J196" s="444"/>
      <c r="K196" s="444"/>
      <c r="L196" s="444"/>
      <c r="M196" s="444"/>
      <c r="N196" s="444"/>
      <c r="O196" s="444"/>
      <c r="P196" s="444"/>
      <c r="Q196" s="444"/>
      <c r="R196" s="444"/>
      <c r="S196" s="444"/>
      <c r="T196" s="444"/>
      <c r="U196" s="444"/>
      <c r="V196" s="572">
        <v>10.16</v>
      </c>
      <c r="W196" s="446" t="s">
        <v>118</v>
      </c>
      <c r="X196" s="425"/>
    </row>
    <row r="197" spans="1:24" x14ac:dyDescent="0.3">
      <c r="A197" s="543"/>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547"/>
      <c r="X197" s="406"/>
    </row>
    <row r="198" spans="1:24" x14ac:dyDescent="0.3">
      <c r="A198" s="408"/>
      <c r="B198" s="518"/>
      <c r="C198" s="518"/>
      <c r="D198" s="518"/>
      <c r="E198" s="518"/>
      <c r="F198" s="518"/>
      <c r="G198" s="518"/>
      <c r="H198" s="518"/>
      <c r="I198" s="518"/>
      <c r="J198" s="518"/>
      <c r="K198" s="518"/>
      <c r="L198" s="518"/>
      <c r="M198" s="518"/>
      <c r="N198" s="518"/>
      <c r="O198" s="518"/>
      <c r="P198" s="518"/>
      <c r="Q198" s="518"/>
      <c r="R198" s="518"/>
      <c r="S198" s="518"/>
      <c r="T198" s="518"/>
      <c r="U198" s="518"/>
      <c r="V198" s="518"/>
      <c r="W198" s="411"/>
      <c r="X198" s="406"/>
    </row>
    <row r="199" spans="1:24" x14ac:dyDescent="0.3">
      <c r="A199" s="408"/>
      <c r="B199" s="410"/>
      <c r="C199" s="410"/>
      <c r="D199" s="410"/>
      <c r="E199" s="410"/>
      <c r="F199" s="410"/>
      <c r="G199" s="410"/>
      <c r="H199" s="410"/>
      <c r="I199" s="410"/>
      <c r="J199" s="410"/>
      <c r="K199" s="410"/>
      <c r="L199" s="410"/>
      <c r="M199" s="410"/>
      <c r="N199" s="410"/>
      <c r="O199" s="410"/>
      <c r="P199" s="410"/>
      <c r="Q199" s="410"/>
      <c r="R199" s="410"/>
      <c r="S199" s="410"/>
      <c r="T199" s="410"/>
      <c r="U199" s="410"/>
      <c r="V199" s="410"/>
      <c r="W199" s="411"/>
      <c r="X199" s="406"/>
    </row>
    <row r="200" spans="1:24" ht="18.600000000000001" thickBot="1" x14ac:dyDescent="0.4">
      <c r="A200" s="573"/>
      <c r="B200" s="501" t="str">
        <f>B140</f>
        <v>PM13 INVESTOR REPORT QUARTER ENDING DECEMBER 2020</v>
      </c>
      <c r="C200" s="574"/>
      <c r="D200" s="574"/>
      <c r="E200" s="574"/>
      <c r="F200" s="574"/>
      <c r="G200" s="574"/>
      <c r="H200" s="574"/>
      <c r="I200" s="574"/>
      <c r="J200" s="574"/>
      <c r="K200" s="574"/>
      <c r="L200" s="574"/>
      <c r="M200" s="574"/>
      <c r="N200" s="574"/>
      <c r="O200" s="574"/>
      <c r="P200" s="574"/>
      <c r="Q200" s="574"/>
      <c r="R200" s="574"/>
      <c r="S200" s="574"/>
      <c r="T200" s="574"/>
      <c r="U200" s="574"/>
      <c r="V200" s="574"/>
      <c r="W200" s="575"/>
      <c r="X200" s="406"/>
    </row>
    <row r="201" spans="1:24" x14ac:dyDescent="0.3">
      <c r="A201" s="505"/>
      <c r="B201" s="506" t="s">
        <v>70</v>
      </c>
      <c r="C201" s="576"/>
      <c r="D201" s="576"/>
      <c r="E201" s="576"/>
      <c r="F201" s="576"/>
      <c r="G201" s="577"/>
      <c r="H201" s="577"/>
      <c r="I201" s="577"/>
      <c r="J201" s="577"/>
      <c r="K201" s="577"/>
      <c r="L201" s="577"/>
      <c r="M201" s="577"/>
      <c r="N201" s="577"/>
      <c r="O201" s="577"/>
      <c r="P201" s="577"/>
      <c r="Q201" s="577"/>
      <c r="R201" s="577"/>
      <c r="S201" s="577"/>
      <c r="T201" s="577">
        <v>44196</v>
      </c>
      <c r="U201" s="507"/>
      <c r="V201" s="507"/>
      <c r="W201" s="509"/>
      <c r="X201" s="406"/>
    </row>
    <row r="202" spans="1:24" x14ac:dyDescent="0.3">
      <c r="A202" s="578"/>
      <c r="B202" s="579"/>
      <c r="C202" s="580"/>
      <c r="D202" s="580"/>
      <c r="E202" s="580"/>
      <c r="F202" s="580"/>
      <c r="G202" s="581"/>
      <c r="H202" s="581"/>
      <c r="I202" s="581"/>
      <c r="J202" s="581"/>
      <c r="K202" s="581"/>
      <c r="L202" s="581"/>
      <c r="M202" s="581"/>
      <c r="N202" s="581"/>
      <c r="O202" s="581"/>
      <c r="P202" s="581"/>
      <c r="Q202" s="581"/>
      <c r="R202" s="581"/>
      <c r="S202" s="581"/>
      <c r="T202" s="581"/>
      <c r="U202" s="410"/>
      <c r="V202" s="410"/>
      <c r="W202" s="411"/>
      <c r="X202" s="406"/>
    </row>
    <row r="203" spans="1:24" s="426" customFormat="1" x14ac:dyDescent="0.3">
      <c r="A203" s="443"/>
      <c r="B203" s="444" t="s">
        <v>71</v>
      </c>
      <c r="C203" s="582"/>
      <c r="D203" s="582"/>
      <c r="E203" s="582"/>
      <c r="F203" s="582"/>
      <c r="G203" s="488"/>
      <c r="H203" s="488"/>
      <c r="I203" s="488"/>
      <c r="J203" s="488"/>
      <c r="K203" s="488"/>
      <c r="L203" s="488"/>
      <c r="M203" s="488"/>
      <c r="N203" s="488"/>
      <c r="O203" s="488"/>
      <c r="P203" s="488"/>
      <c r="Q203" s="488"/>
      <c r="R203" s="488"/>
      <c r="S203" s="488"/>
      <c r="T203" s="479">
        <v>5.4539999999999998E-2</v>
      </c>
      <c r="U203" s="444"/>
      <c r="V203" s="444"/>
      <c r="W203" s="446"/>
      <c r="X203" s="425"/>
    </row>
    <row r="204" spans="1:24" s="426" customFormat="1" x14ac:dyDescent="0.3">
      <c r="A204" s="443"/>
      <c r="B204" s="444" t="s">
        <v>154</v>
      </c>
      <c r="C204" s="582"/>
      <c r="D204" s="582"/>
      <c r="E204" s="582"/>
      <c r="F204" s="582"/>
      <c r="G204" s="488"/>
      <c r="H204" s="488"/>
      <c r="I204" s="488"/>
      <c r="J204" s="488"/>
      <c r="K204" s="488"/>
      <c r="L204" s="488"/>
      <c r="M204" s="488"/>
      <c r="N204" s="488"/>
      <c r="O204" s="488"/>
      <c r="P204" s="488"/>
      <c r="Q204" s="488"/>
      <c r="R204" s="488"/>
      <c r="S204" s="488"/>
      <c r="T204" s="479">
        <f>'Dec 06'!T199</f>
        <v>5.238600504269459E-2</v>
      </c>
      <c r="U204" s="444"/>
      <c r="V204" s="444"/>
      <c r="W204" s="446"/>
      <c r="X204" s="425"/>
    </row>
    <row r="205" spans="1:24" s="426" customFormat="1" x14ac:dyDescent="0.3">
      <c r="A205" s="443"/>
      <c r="B205" s="444" t="s">
        <v>72</v>
      </c>
      <c r="C205" s="582"/>
      <c r="D205" s="582"/>
      <c r="E205" s="582"/>
      <c r="F205" s="582"/>
      <c r="G205" s="488"/>
      <c r="H205" s="488"/>
      <c r="I205" s="488"/>
      <c r="J205" s="488"/>
      <c r="K205" s="488"/>
      <c r="L205" s="488"/>
      <c r="M205" s="488"/>
      <c r="N205" s="488"/>
      <c r="O205" s="488"/>
      <c r="P205" s="488"/>
      <c r="Q205" s="488"/>
      <c r="R205" s="488"/>
      <c r="S205" s="488"/>
      <c r="T205" s="479">
        <f>+T203-T204</f>
        <v>2.1539949573054079E-3</v>
      </c>
      <c r="U205" s="444"/>
      <c r="V205" s="444"/>
      <c r="W205" s="446"/>
      <c r="X205" s="425"/>
    </row>
    <row r="206" spans="1:24" s="426" customFormat="1" x14ac:dyDescent="0.3">
      <c r="A206" s="443"/>
      <c r="B206" s="444" t="s">
        <v>73</v>
      </c>
      <c r="C206" s="582"/>
      <c r="D206" s="582"/>
      <c r="E206" s="582"/>
      <c r="F206" s="582"/>
      <c r="G206" s="488"/>
      <c r="H206" s="488"/>
      <c r="I206" s="488"/>
      <c r="J206" s="488"/>
      <c r="K206" s="488"/>
      <c r="L206" s="488"/>
      <c r="M206" s="488"/>
      <c r="N206" s="488"/>
      <c r="O206" s="488"/>
      <c r="P206" s="488"/>
      <c r="Q206" s="488"/>
      <c r="R206" s="488"/>
      <c r="S206" s="488"/>
      <c r="T206" s="479">
        <v>1.83E-2</v>
      </c>
      <c r="U206" s="444"/>
      <c r="V206" s="444"/>
      <c r="W206" s="446"/>
      <c r="X206" s="425"/>
    </row>
    <row r="207" spans="1:24" s="426" customFormat="1" x14ac:dyDescent="0.3">
      <c r="A207" s="443"/>
      <c r="B207" s="444" t="s">
        <v>222</v>
      </c>
      <c r="C207" s="582"/>
      <c r="D207" s="582"/>
      <c r="E207" s="582"/>
      <c r="F207" s="582"/>
      <c r="G207" s="488"/>
      <c r="H207" s="488"/>
      <c r="I207" s="488"/>
      <c r="J207" s="488"/>
      <c r="K207" s="488"/>
      <c r="L207" s="488"/>
      <c r="M207" s="488"/>
      <c r="N207" s="488"/>
      <c r="O207" s="488"/>
      <c r="P207" s="488"/>
      <c r="Q207" s="488"/>
      <c r="R207" s="488"/>
      <c r="S207" s="488"/>
      <c r="T207" s="479">
        <f>V43</f>
        <v>3.682137257713197E-3</v>
      </c>
      <c r="U207" s="444"/>
      <c r="V207" s="444"/>
      <c r="W207" s="446"/>
      <c r="X207" s="425"/>
    </row>
    <row r="208" spans="1:24" s="426" customFormat="1" x14ac:dyDescent="0.3">
      <c r="A208" s="443"/>
      <c r="B208" s="444" t="s">
        <v>74</v>
      </c>
      <c r="C208" s="582"/>
      <c r="D208" s="582"/>
      <c r="E208" s="582"/>
      <c r="F208" s="582"/>
      <c r="G208" s="488"/>
      <c r="H208" s="488"/>
      <c r="I208" s="488"/>
      <c r="J208" s="488"/>
      <c r="K208" s="488"/>
      <c r="L208" s="488"/>
      <c r="M208" s="488"/>
      <c r="N208" s="488"/>
      <c r="O208" s="488"/>
      <c r="P208" s="488"/>
      <c r="Q208" s="488"/>
      <c r="R208" s="488"/>
      <c r="S208" s="488"/>
      <c r="T208" s="479">
        <f>T206-T207</f>
        <v>1.4617862742286804E-2</v>
      </c>
      <c r="U208" s="444"/>
      <c r="V208" s="444"/>
      <c r="W208" s="446"/>
      <c r="X208" s="425"/>
    </row>
    <row r="209" spans="1:24" s="426" customFormat="1" x14ac:dyDescent="0.3">
      <c r="A209" s="443"/>
      <c r="B209" s="444" t="s">
        <v>274</v>
      </c>
      <c r="C209" s="582"/>
      <c r="D209" s="582"/>
      <c r="E209" s="582"/>
      <c r="F209" s="582"/>
      <c r="G209" s="488"/>
      <c r="H209" s="488"/>
      <c r="I209" s="488"/>
      <c r="J209" s="488"/>
      <c r="K209" s="488"/>
      <c r="L209" s="488"/>
      <c r="M209" s="488"/>
      <c r="N209" s="488"/>
      <c r="O209" s="488"/>
      <c r="P209" s="488"/>
      <c r="Q209" s="488"/>
      <c r="R209" s="488"/>
      <c r="S209" s="488"/>
      <c r="T209" s="479">
        <f>+V99/N70</f>
        <v>5.2951419198229285E-3</v>
      </c>
      <c r="U209" s="444"/>
      <c r="V209" s="444"/>
      <c r="W209" s="446"/>
      <c r="X209" s="425"/>
    </row>
    <row r="210" spans="1:24" s="426" customFormat="1" x14ac:dyDescent="0.3">
      <c r="A210" s="443"/>
      <c r="B210" s="444" t="s">
        <v>211</v>
      </c>
      <c r="C210" s="582"/>
      <c r="D210" s="582"/>
      <c r="E210" s="582"/>
      <c r="F210" s="582"/>
      <c r="G210" s="488"/>
      <c r="H210" s="488"/>
      <c r="I210" s="488"/>
      <c r="J210" s="488"/>
      <c r="K210" s="488"/>
      <c r="L210" s="488"/>
      <c r="M210" s="488"/>
      <c r="N210" s="488"/>
      <c r="O210" s="488"/>
      <c r="P210" s="488"/>
      <c r="Q210" s="488"/>
      <c r="R210" s="488"/>
      <c r="S210" s="488"/>
      <c r="T210" s="583">
        <v>50771</v>
      </c>
      <c r="U210" s="444"/>
      <c r="V210" s="444"/>
      <c r="W210" s="446"/>
      <c r="X210" s="425"/>
    </row>
    <row r="211" spans="1:24" s="426" customFormat="1" x14ac:dyDescent="0.3">
      <c r="A211" s="443"/>
      <c r="B211" s="444" t="s">
        <v>212</v>
      </c>
      <c r="C211" s="582"/>
      <c r="D211" s="582"/>
      <c r="E211" s="582"/>
      <c r="F211" s="582"/>
      <c r="G211" s="488"/>
      <c r="H211" s="488"/>
      <c r="I211" s="488"/>
      <c r="J211" s="488"/>
      <c r="K211" s="488"/>
      <c r="L211" s="488"/>
      <c r="M211" s="488"/>
      <c r="N211" s="488"/>
      <c r="O211" s="488"/>
      <c r="P211" s="488"/>
      <c r="Q211" s="488"/>
      <c r="R211" s="488"/>
      <c r="S211" s="488"/>
      <c r="T211" s="583">
        <v>50771</v>
      </c>
      <c r="U211" s="444"/>
      <c r="V211" s="444"/>
      <c r="W211" s="446"/>
      <c r="X211" s="425"/>
    </row>
    <row r="212" spans="1:24" s="426" customFormat="1" x14ac:dyDescent="0.3">
      <c r="A212" s="443"/>
      <c r="B212" s="444" t="s">
        <v>213</v>
      </c>
      <c r="C212" s="582"/>
      <c r="D212" s="582"/>
      <c r="E212" s="582"/>
      <c r="F212" s="582"/>
      <c r="G212" s="488"/>
      <c r="H212" s="488"/>
      <c r="I212" s="488"/>
      <c r="J212" s="488"/>
      <c r="K212" s="488"/>
      <c r="L212" s="488"/>
      <c r="M212" s="488"/>
      <c r="N212" s="488"/>
      <c r="O212" s="488"/>
      <c r="P212" s="488"/>
      <c r="Q212" s="488"/>
      <c r="R212" s="488"/>
      <c r="S212" s="488"/>
      <c r="T212" s="583">
        <v>50771</v>
      </c>
      <c r="U212" s="444"/>
      <c r="V212" s="444"/>
      <c r="W212" s="446"/>
      <c r="X212" s="425"/>
    </row>
    <row r="213" spans="1:24" s="426" customFormat="1" x14ac:dyDescent="0.3">
      <c r="A213" s="443"/>
      <c r="B213" s="444" t="s">
        <v>75</v>
      </c>
      <c r="C213" s="582"/>
      <c r="D213" s="582"/>
      <c r="E213" s="582"/>
      <c r="F213" s="582"/>
      <c r="G213" s="488"/>
      <c r="H213" s="488"/>
      <c r="I213" s="488"/>
      <c r="J213" s="488"/>
      <c r="K213" s="488"/>
      <c r="L213" s="488"/>
      <c r="M213" s="488"/>
      <c r="N213" s="488"/>
      <c r="O213" s="488"/>
      <c r="P213" s="488"/>
      <c r="Q213" s="488"/>
      <c r="R213" s="488"/>
      <c r="S213" s="488"/>
      <c r="T213" s="484">
        <v>20.66</v>
      </c>
      <c r="U213" s="444" t="s">
        <v>113</v>
      </c>
      <c r="V213" s="444"/>
      <c r="W213" s="446"/>
      <c r="X213" s="425"/>
    </row>
    <row r="214" spans="1:24" s="426" customFormat="1" x14ac:dyDescent="0.3">
      <c r="A214" s="443"/>
      <c r="B214" s="444" t="s">
        <v>76</v>
      </c>
      <c r="C214" s="582"/>
      <c r="D214" s="582"/>
      <c r="E214" s="582"/>
      <c r="F214" s="582"/>
      <c r="G214" s="488"/>
      <c r="H214" s="488"/>
      <c r="I214" s="488"/>
      <c r="J214" s="488"/>
      <c r="K214" s="488"/>
      <c r="L214" s="488"/>
      <c r="M214" s="488"/>
      <c r="N214" s="488"/>
      <c r="O214" s="488"/>
      <c r="P214" s="488"/>
      <c r="Q214" s="488"/>
      <c r="R214" s="488"/>
      <c r="S214" s="488"/>
      <c r="T214" s="484">
        <v>7.94</v>
      </c>
      <c r="U214" s="444" t="s">
        <v>113</v>
      </c>
      <c r="V214" s="444"/>
      <c r="W214" s="446"/>
      <c r="X214" s="425"/>
    </row>
    <row r="215" spans="1:24" s="426" customFormat="1" x14ac:dyDescent="0.3">
      <c r="A215" s="443"/>
      <c r="B215" s="444" t="s">
        <v>77</v>
      </c>
      <c r="C215" s="582"/>
      <c r="D215" s="582"/>
      <c r="E215" s="582"/>
      <c r="F215" s="582"/>
      <c r="G215" s="488"/>
      <c r="H215" s="488"/>
      <c r="I215" s="488"/>
      <c r="J215" s="488"/>
      <c r="K215" s="488"/>
      <c r="L215" s="488"/>
      <c r="M215" s="488"/>
      <c r="N215" s="488"/>
      <c r="O215" s="488"/>
      <c r="P215" s="488"/>
      <c r="Q215" s="488"/>
      <c r="R215" s="488"/>
      <c r="S215" s="488"/>
      <c r="T215" s="479">
        <f>P67/N67</f>
        <v>1.4897140957345871E-2</v>
      </c>
      <c r="U215" s="444"/>
      <c r="V215" s="444"/>
      <c r="W215" s="446"/>
      <c r="X215" s="425"/>
    </row>
    <row r="216" spans="1:24" s="426" customFormat="1" x14ac:dyDescent="0.3">
      <c r="A216" s="443"/>
      <c r="B216" s="444" t="s">
        <v>78</v>
      </c>
      <c r="C216" s="582"/>
      <c r="D216" s="582"/>
      <c r="E216" s="582"/>
      <c r="F216" s="582"/>
      <c r="G216" s="488"/>
      <c r="H216" s="488"/>
      <c r="I216" s="488"/>
      <c r="J216" s="488"/>
      <c r="K216" s="488"/>
      <c r="L216" s="488"/>
      <c r="M216" s="488"/>
      <c r="N216" s="488"/>
      <c r="O216" s="488"/>
      <c r="P216" s="488"/>
      <c r="Q216" s="488"/>
      <c r="R216" s="488"/>
      <c r="S216" s="488"/>
      <c r="T216" s="479">
        <v>6.2700000000000006E-2</v>
      </c>
      <c r="U216" s="444"/>
      <c r="V216" s="444"/>
      <c r="W216" s="446"/>
      <c r="X216" s="425"/>
    </row>
    <row r="217" spans="1:24" s="426" customFormat="1" x14ac:dyDescent="0.3">
      <c r="A217" s="421"/>
      <c r="B217" s="494"/>
      <c r="C217" s="494"/>
      <c r="D217" s="494"/>
      <c r="E217" s="494"/>
      <c r="F217" s="494"/>
      <c r="G217" s="494"/>
      <c r="H217" s="494"/>
      <c r="I217" s="494"/>
      <c r="J217" s="494"/>
      <c r="K217" s="494"/>
      <c r="L217" s="494"/>
      <c r="M217" s="494"/>
      <c r="N217" s="494"/>
      <c r="O217" s="494"/>
      <c r="P217" s="494"/>
      <c r="Q217" s="494"/>
      <c r="R217" s="494"/>
      <c r="S217" s="494"/>
      <c r="T217" s="584"/>
      <c r="U217" s="494"/>
      <c r="V217" s="585"/>
      <c r="W217" s="424"/>
      <c r="X217" s="425"/>
    </row>
    <row r="218" spans="1:24" s="426" customFormat="1" x14ac:dyDescent="0.3">
      <c r="A218" s="586"/>
      <c r="B218" s="420" t="s">
        <v>79</v>
      </c>
      <c r="C218" s="429"/>
      <c r="D218" s="429"/>
      <c r="E218" s="429"/>
      <c r="F218" s="587"/>
      <c r="G218" s="429"/>
      <c r="H218" s="429"/>
      <c r="I218" s="429"/>
      <c r="J218" s="429"/>
      <c r="K218" s="429"/>
      <c r="L218" s="429"/>
      <c r="M218" s="429"/>
      <c r="N218" s="429"/>
      <c r="O218" s="429"/>
      <c r="P218" s="429"/>
      <c r="Q218" s="429"/>
      <c r="R218" s="429"/>
      <c r="S218" s="429" t="s">
        <v>103</v>
      </c>
      <c r="T218" s="587" t="s">
        <v>110</v>
      </c>
      <c r="U218" s="422"/>
      <c r="V218" s="422"/>
      <c r="W218" s="424"/>
      <c r="X218" s="425"/>
    </row>
    <row r="219" spans="1:24" s="426" customFormat="1" x14ac:dyDescent="0.3">
      <c r="A219" s="588"/>
      <c r="B219" s="444" t="s">
        <v>80</v>
      </c>
      <c r="C219" s="516"/>
      <c r="D219" s="516"/>
      <c r="E219" s="516"/>
      <c r="F219" s="444"/>
      <c r="G219" s="444"/>
      <c r="H219" s="450"/>
      <c r="I219" s="450"/>
      <c r="J219" s="450"/>
      <c r="K219" s="450"/>
      <c r="L219" s="450"/>
      <c r="M219" s="450"/>
      <c r="N219" s="450"/>
      <c r="O219" s="450"/>
      <c r="P219" s="450"/>
      <c r="Q219" s="450"/>
      <c r="R219" s="450"/>
      <c r="S219" s="450">
        <v>0</v>
      </c>
      <c r="T219" s="589">
        <v>0</v>
      </c>
      <c r="U219" s="444"/>
      <c r="V219" s="590"/>
      <c r="W219" s="591"/>
      <c r="X219" s="425"/>
    </row>
    <row r="220" spans="1:24" s="426" customFormat="1" x14ac:dyDescent="0.3">
      <c r="A220" s="588"/>
      <c r="B220" s="444" t="s">
        <v>148</v>
      </c>
      <c r="C220" s="516"/>
      <c r="D220" s="516"/>
      <c r="E220" s="516"/>
      <c r="F220" s="444"/>
      <c r="G220" s="444"/>
      <c r="H220" s="450"/>
      <c r="I220" s="450"/>
      <c r="J220" s="450"/>
      <c r="K220" s="450"/>
      <c r="L220" s="450"/>
      <c r="M220" s="450"/>
      <c r="N220" s="450"/>
      <c r="O220" s="450"/>
      <c r="P220" s="450"/>
      <c r="Q220" s="450"/>
      <c r="R220" s="450"/>
      <c r="S220" s="592">
        <f>+R272</f>
        <v>82</v>
      </c>
      <c r="T220" s="589">
        <f>+T272</f>
        <v>13698</v>
      </c>
      <c r="U220" s="444"/>
      <c r="V220" s="590"/>
      <c r="W220" s="591"/>
      <c r="X220" s="425"/>
    </row>
    <row r="221" spans="1:24" s="426" customFormat="1" x14ac:dyDescent="0.3">
      <c r="A221" s="588"/>
      <c r="B221" s="444" t="s">
        <v>81</v>
      </c>
      <c r="C221" s="516"/>
      <c r="D221" s="516"/>
      <c r="E221" s="516"/>
      <c r="F221" s="444"/>
      <c r="G221" s="444"/>
      <c r="H221" s="450"/>
      <c r="I221" s="450"/>
      <c r="J221" s="450"/>
      <c r="K221" s="450"/>
      <c r="L221" s="450"/>
      <c r="M221" s="450"/>
      <c r="N221" s="450"/>
      <c r="O221" s="450"/>
      <c r="P221" s="450"/>
      <c r="Q221" s="450"/>
      <c r="R221" s="450"/>
      <c r="S221" s="592">
        <f>+R294</f>
        <v>0</v>
      </c>
      <c r="T221" s="589">
        <f>+T294</f>
        <v>0</v>
      </c>
      <c r="U221" s="444"/>
      <c r="V221" s="590"/>
      <c r="W221" s="591"/>
      <c r="X221" s="425"/>
    </row>
    <row r="222" spans="1:24" x14ac:dyDescent="0.3">
      <c r="A222" s="593"/>
      <c r="B222" s="594" t="s">
        <v>82</v>
      </c>
      <c r="C222" s="595"/>
      <c r="D222" s="595"/>
      <c r="E222" s="595"/>
      <c r="F222" s="465"/>
      <c r="G222" s="465"/>
      <c r="H222" s="465"/>
      <c r="I222" s="465"/>
      <c r="J222" s="465"/>
      <c r="K222" s="465"/>
      <c r="L222" s="465"/>
      <c r="M222" s="465"/>
      <c r="N222" s="465"/>
      <c r="O222" s="465"/>
      <c r="P222" s="465"/>
      <c r="Q222" s="465"/>
      <c r="R222" s="465"/>
      <c r="S222" s="465"/>
      <c r="T222" s="589">
        <v>0</v>
      </c>
      <c r="U222" s="465"/>
      <c r="V222" s="596"/>
      <c r="W222" s="597"/>
      <c r="X222" s="406"/>
    </row>
    <row r="223" spans="1:24" x14ac:dyDescent="0.3">
      <c r="A223" s="593"/>
      <c r="B223" s="594" t="s">
        <v>275</v>
      </c>
      <c r="C223" s="595"/>
      <c r="D223" s="595"/>
      <c r="E223" s="595"/>
      <c r="F223" s="465"/>
      <c r="G223" s="465"/>
      <c r="H223" s="465"/>
      <c r="I223" s="465"/>
      <c r="J223" s="465"/>
      <c r="K223" s="465"/>
      <c r="L223" s="465"/>
      <c r="M223" s="465"/>
      <c r="N223" s="465"/>
      <c r="O223" s="465"/>
      <c r="P223" s="465"/>
      <c r="Q223" s="465"/>
      <c r="R223" s="465"/>
      <c r="S223" s="465"/>
      <c r="T223" s="589">
        <f>+N80</f>
        <v>0</v>
      </c>
      <c r="U223" s="465"/>
      <c r="V223" s="596"/>
      <c r="W223" s="597"/>
      <c r="X223" s="406"/>
    </row>
    <row r="224" spans="1:24" x14ac:dyDescent="0.3">
      <c r="A224" s="598"/>
      <c r="B224" s="594" t="s">
        <v>83</v>
      </c>
      <c r="C224" s="599"/>
      <c r="D224" s="599"/>
      <c r="E224" s="599"/>
      <c r="F224" s="599"/>
      <c r="G224" s="465"/>
      <c r="H224" s="465"/>
      <c r="I224" s="465"/>
      <c r="J224" s="465"/>
      <c r="K224" s="465"/>
      <c r="L224" s="465"/>
      <c r="M224" s="465"/>
      <c r="N224" s="465"/>
      <c r="O224" s="465"/>
      <c r="P224" s="465"/>
      <c r="Q224" s="465"/>
      <c r="R224" s="465"/>
      <c r="S224" s="465"/>
      <c r="T224" s="600"/>
      <c r="U224" s="465"/>
      <c r="V224" s="596"/>
      <c r="W224" s="601"/>
      <c r="X224" s="406"/>
    </row>
    <row r="225" spans="1:25" s="426" customFormat="1" x14ac:dyDescent="0.3">
      <c r="A225" s="602"/>
      <c r="B225" s="444" t="s">
        <v>84</v>
      </c>
      <c r="C225" s="444"/>
      <c r="D225" s="444"/>
      <c r="E225" s="444"/>
      <c r="F225" s="444"/>
      <c r="G225" s="444"/>
      <c r="H225" s="444"/>
      <c r="I225" s="444"/>
      <c r="J225" s="444"/>
      <c r="K225" s="444"/>
      <c r="L225" s="444"/>
      <c r="M225" s="444"/>
      <c r="N225" s="444"/>
      <c r="O225" s="444"/>
      <c r="P225" s="444"/>
      <c r="Q225" s="444"/>
      <c r="R225" s="444"/>
      <c r="S225" s="450"/>
      <c r="T225" s="589">
        <f>V169</f>
        <v>27</v>
      </c>
      <c r="U225" s="444"/>
      <c r="V225" s="590"/>
      <c r="W225" s="603"/>
      <c r="X225" s="425"/>
    </row>
    <row r="226" spans="1:25" s="426" customFormat="1" x14ac:dyDescent="0.3">
      <c r="A226" s="588"/>
      <c r="B226" s="444" t="s">
        <v>85</v>
      </c>
      <c r="C226" s="516"/>
      <c r="D226" s="516"/>
      <c r="E226" s="516"/>
      <c r="F226" s="516"/>
      <c r="G226" s="444"/>
      <c r="H226" s="444"/>
      <c r="I226" s="444"/>
      <c r="J226" s="444"/>
      <c r="K226" s="444"/>
      <c r="L226" s="444"/>
      <c r="M226" s="444"/>
      <c r="N226" s="444"/>
      <c r="O226" s="444"/>
      <c r="P226" s="444"/>
      <c r="Q226" s="444"/>
      <c r="R226" s="444"/>
      <c r="S226" s="450"/>
      <c r="T226" s="589">
        <f>'Sept 20'!T226+T225</f>
        <v>13281</v>
      </c>
      <c r="U226" s="444"/>
      <c r="V226" s="590"/>
      <c r="W226" s="603"/>
      <c r="X226" s="425"/>
    </row>
    <row r="227" spans="1:25" x14ac:dyDescent="0.3">
      <c r="A227" s="598"/>
      <c r="B227" s="594" t="s">
        <v>297</v>
      </c>
      <c r="C227" s="599"/>
      <c r="D227" s="599"/>
      <c r="E227" s="599"/>
      <c r="F227" s="599"/>
      <c r="G227" s="465"/>
      <c r="H227" s="465"/>
      <c r="I227" s="465"/>
      <c r="J227" s="465"/>
      <c r="K227" s="465"/>
      <c r="L227" s="465"/>
      <c r="M227" s="465"/>
      <c r="N227" s="465"/>
      <c r="O227" s="465"/>
      <c r="P227" s="465"/>
      <c r="Q227" s="465"/>
      <c r="R227" s="465"/>
      <c r="S227" s="604"/>
      <c r="T227" s="600"/>
      <c r="U227" s="465"/>
      <c r="V227" s="596"/>
      <c r="W227" s="601"/>
      <c r="X227" s="406"/>
    </row>
    <row r="228" spans="1:25" s="426" customFormat="1" x14ac:dyDescent="0.3">
      <c r="A228" s="602"/>
      <c r="B228" s="444" t="s">
        <v>295</v>
      </c>
      <c r="C228" s="444"/>
      <c r="D228" s="444"/>
      <c r="E228" s="444"/>
      <c r="F228" s="444"/>
      <c r="G228" s="444"/>
      <c r="H228" s="444"/>
      <c r="I228" s="444"/>
      <c r="J228" s="444"/>
      <c r="K228" s="444"/>
      <c r="L228" s="444"/>
      <c r="M228" s="444"/>
      <c r="N228" s="444"/>
      <c r="O228" s="444"/>
      <c r="P228" s="444"/>
      <c r="Q228" s="444"/>
      <c r="R228" s="444"/>
      <c r="S228" s="450">
        <v>0</v>
      </c>
      <c r="T228" s="589">
        <v>0</v>
      </c>
      <c r="U228" s="444"/>
      <c r="V228" s="590"/>
      <c r="W228" s="603"/>
      <c r="X228" s="425"/>
    </row>
    <row r="229" spans="1:25" s="426" customFormat="1" x14ac:dyDescent="0.3">
      <c r="A229" s="588"/>
      <c r="B229" s="444" t="s">
        <v>87</v>
      </c>
      <c r="C229" s="482"/>
      <c r="D229" s="482"/>
      <c r="E229" s="482"/>
      <c r="F229" s="605"/>
      <c r="G229" s="444"/>
      <c r="H229" s="444"/>
      <c r="I229" s="444"/>
      <c r="J229" s="444"/>
      <c r="K229" s="444"/>
      <c r="L229" s="444"/>
      <c r="M229" s="444"/>
      <c r="N229" s="444"/>
      <c r="O229" s="444"/>
      <c r="P229" s="444"/>
      <c r="Q229" s="444"/>
      <c r="R229" s="444"/>
      <c r="S229" s="444"/>
      <c r="T229" s="606">
        <v>0</v>
      </c>
      <c r="U229" s="444"/>
      <c r="V229" s="590"/>
      <c r="W229" s="603"/>
      <c r="X229" s="425"/>
    </row>
    <row r="230" spans="1:25" s="426" customFormat="1" x14ac:dyDescent="0.3">
      <c r="A230" s="588"/>
      <c r="B230" s="444" t="s">
        <v>88</v>
      </c>
      <c r="C230" s="482"/>
      <c r="D230" s="482"/>
      <c r="E230" s="482"/>
      <c r="F230" s="605"/>
      <c r="G230" s="444"/>
      <c r="H230" s="444"/>
      <c r="I230" s="444"/>
      <c r="J230" s="444"/>
      <c r="K230" s="444"/>
      <c r="L230" s="444"/>
      <c r="M230" s="444"/>
      <c r="N230" s="444"/>
      <c r="O230" s="444"/>
      <c r="P230" s="444"/>
      <c r="Q230" s="444"/>
      <c r="R230" s="444"/>
      <c r="S230" s="444"/>
      <c r="T230" s="606">
        <v>0</v>
      </c>
      <c r="U230" s="444"/>
      <c r="V230" s="590"/>
      <c r="W230" s="603"/>
      <c r="X230" s="425"/>
    </row>
    <row r="231" spans="1:25" x14ac:dyDescent="0.3">
      <c r="A231" s="593"/>
      <c r="B231" s="594" t="s">
        <v>220</v>
      </c>
      <c r="C231" s="607"/>
      <c r="D231" s="607"/>
      <c r="E231" s="607"/>
      <c r="F231" s="608"/>
      <c r="G231" s="465"/>
      <c r="H231" s="465"/>
      <c r="I231" s="465"/>
      <c r="J231" s="465"/>
      <c r="K231" s="465"/>
      <c r="L231" s="465"/>
      <c r="M231" s="465"/>
      <c r="N231" s="465"/>
      <c r="O231" s="465"/>
      <c r="P231" s="465"/>
      <c r="Q231" s="465"/>
      <c r="R231" s="465"/>
      <c r="S231" s="609"/>
      <c r="T231" s="610"/>
      <c r="U231" s="465"/>
      <c r="V231" s="596"/>
      <c r="W231" s="601"/>
      <c r="X231" s="406"/>
    </row>
    <row r="232" spans="1:25" s="426" customFormat="1" x14ac:dyDescent="0.3">
      <c r="A232" s="588"/>
      <c r="B232" s="444" t="s">
        <v>295</v>
      </c>
      <c r="C232" s="482"/>
      <c r="D232" s="482"/>
      <c r="E232" s="482"/>
      <c r="F232" s="605"/>
      <c r="G232" s="444"/>
      <c r="H232" s="444"/>
      <c r="I232" s="444"/>
      <c r="J232" s="444"/>
      <c r="K232" s="444"/>
      <c r="L232" s="444"/>
      <c r="M232" s="444"/>
      <c r="N232" s="444"/>
      <c r="O232" s="444"/>
      <c r="P232" s="444"/>
      <c r="Q232" s="444"/>
      <c r="R232" s="444"/>
      <c r="S232" s="450">
        <v>4</v>
      </c>
      <c r="T232" s="589">
        <v>485</v>
      </c>
      <c r="U232" s="444"/>
      <c r="V232" s="590"/>
      <c r="W232" s="603"/>
      <c r="X232" s="425"/>
    </row>
    <row r="233" spans="1:25" s="426" customFormat="1" x14ac:dyDescent="0.3">
      <c r="A233" s="588"/>
      <c r="B233" s="444" t="s">
        <v>221</v>
      </c>
      <c r="C233" s="482"/>
      <c r="D233" s="482"/>
      <c r="E233" s="482"/>
      <c r="F233" s="605"/>
      <c r="G233" s="444"/>
      <c r="H233" s="444"/>
      <c r="I233" s="444"/>
      <c r="J233" s="444"/>
      <c r="K233" s="444"/>
      <c r="L233" s="444"/>
      <c r="M233" s="444"/>
      <c r="N233" s="444"/>
      <c r="O233" s="444"/>
      <c r="P233" s="444"/>
      <c r="Q233" s="444"/>
      <c r="R233" s="444"/>
      <c r="S233" s="444"/>
      <c r="T233" s="606">
        <v>4.59</v>
      </c>
      <c r="U233" s="444"/>
      <c r="V233" s="590"/>
      <c r="W233" s="603"/>
      <c r="X233" s="425"/>
    </row>
    <row r="234" spans="1:25" x14ac:dyDescent="0.3">
      <c r="A234" s="593"/>
      <c r="B234" s="599"/>
      <c r="C234" s="607"/>
      <c r="D234" s="607"/>
      <c r="E234" s="607"/>
      <c r="F234" s="608"/>
      <c r="G234" s="465"/>
      <c r="H234" s="465"/>
      <c r="I234" s="465"/>
      <c r="J234" s="465"/>
      <c r="K234" s="465"/>
      <c r="L234" s="465"/>
      <c r="M234" s="465"/>
      <c r="N234" s="465"/>
      <c r="O234" s="465"/>
      <c r="P234" s="465"/>
      <c r="Q234" s="465"/>
      <c r="R234" s="465"/>
      <c r="S234" s="465"/>
      <c r="T234" s="611"/>
      <c r="U234" s="465"/>
      <c r="V234" s="596"/>
      <c r="W234" s="601"/>
      <c r="X234" s="406"/>
    </row>
    <row r="235" spans="1:25" x14ac:dyDescent="0.3">
      <c r="A235" s="593"/>
      <c r="B235" s="599"/>
      <c r="C235" s="607"/>
      <c r="D235" s="607"/>
      <c r="E235" s="607"/>
      <c r="F235" s="608"/>
      <c r="G235" s="465"/>
      <c r="H235" s="465"/>
      <c r="I235" s="465"/>
      <c r="J235" s="465"/>
      <c r="K235" s="465"/>
      <c r="L235" s="465"/>
      <c r="M235" s="465"/>
      <c r="N235" s="465"/>
      <c r="O235" s="465"/>
      <c r="P235" s="465"/>
      <c r="Q235" s="465"/>
      <c r="R235" s="465"/>
      <c r="S235" s="465"/>
      <c r="T235" s="611"/>
      <c r="U235" s="465"/>
      <c r="V235" s="596"/>
      <c r="W235" s="601"/>
      <c r="X235" s="406"/>
    </row>
    <row r="236" spans="1:25" ht="18" x14ac:dyDescent="0.35">
      <c r="A236" s="593"/>
      <c r="B236" s="612" t="s">
        <v>171</v>
      </c>
      <c r="C236" s="607"/>
      <c r="D236" s="607"/>
      <c r="E236" s="607"/>
      <c r="F236" s="608"/>
      <c r="G236" s="465"/>
      <c r="H236" s="465"/>
      <c r="I236" s="465"/>
      <c r="J236" s="465"/>
      <c r="K236" s="465"/>
      <c r="L236" s="465"/>
      <c r="M236" s="465"/>
      <c r="N236" s="465"/>
      <c r="O236" s="465"/>
      <c r="P236" s="613" t="s">
        <v>370</v>
      </c>
      <c r="Q236" s="465"/>
      <c r="R236" s="465"/>
      <c r="S236" s="465"/>
      <c r="T236" s="611"/>
      <c r="U236" s="465"/>
      <c r="V236" s="596"/>
      <c r="W236" s="601"/>
      <c r="X236" s="406"/>
    </row>
    <row r="237" spans="1:25" x14ac:dyDescent="0.3">
      <c r="A237" s="614"/>
      <c r="B237" s="615"/>
      <c r="C237" s="616"/>
      <c r="D237" s="616"/>
      <c r="E237" s="616"/>
      <c r="F237" s="617"/>
      <c r="G237" s="518"/>
      <c r="H237" s="518"/>
      <c r="I237" s="518"/>
      <c r="J237" s="518"/>
      <c r="K237" s="518"/>
      <c r="L237" s="518"/>
      <c r="M237" s="518"/>
      <c r="N237" s="518"/>
      <c r="O237" s="518"/>
      <c r="P237" s="518"/>
      <c r="Q237" s="518"/>
      <c r="R237" s="518"/>
      <c r="S237" s="518"/>
      <c r="T237" s="618"/>
      <c r="U237" s="518"/>
      <c r="V237" s="619"/>
      <c r="W237" s="620"/>
      <c r="X237" s="406"/>
    </row>
    <row r="238" spans="1:25" x14ac:dyDescent="0.3">
      <c r="A238" s="533"/>
      <c r="B238" s="534" t="s">
        <v>310</v>
      </c>
      <c r="C238" s="535"/>
      <c r="D238" s="535"/>
      <c r="E238" s="535"/>
      <c r="F238" s="621"/>
      <c r="G238" s="535"/>
      <c r="H238" s="535"/>
      <c r="I238" s="535"/>
      <c r="J238" s="535"/>
      <c r="K238" s="535"/>
      <c r="L238" s="535"/>
      <c r="M238" s="535"/>
      <c r="N238" s="535"/>
      <c r="O238" s="535"/>
      <c r="P238" s="535"/>
      <c r="Q238" s="535"/>
      <c r="R238" s="621" t="s">
        <v>103</v>
      </c>
      <c r="S238" s="535" t="s">
        <v>104</v>
      </c>
      <c r="T238" s="621" t="s">
        <v>111</v>
      </c>
      <c r="U238" s="535" t="s">
        <v>104</v>
      </c>
      <c r="V238" s="622"/>
      <c r="W238" s="623"/>
      <c r="X238" s="406"/>
    </row>
    <row r="239" spans="1:25" s="426" customFormat="1" x14ac:dyDescent="0.3">
      <c r="A239" s="421"/>
      <c r="B239" s="552" t="s">
        <v>89</v>
      </c>
      <c r="C239" s="624"/>
      <c r="D239" s="624"/>
      <c r="E239" s="624"/>
      <c r="F239" s="494"/>
      <c r="G239" s="624"/>
      <c r="H239" s="624"/>
      <c r="I239" s="624"/>
      <c r="J239" s="624"/>
      <c r="K239" s="624"/>
      <c r="L239" s="624"/>
      <c r="M239" s="624"/>
      <c r="N239" s="624"/>
      <c r="O239" s="624"/>
      <c r="P239" s="624"/>
      <c r="Q239" s="624"/>
      <c r="R239" s="539">
        <f t="shared" ref="R239:R246" si="1">+R251+R263+R285</f>
        <v>5030</v>
      </c>
      <c r="S239" s="625">
        <f t="shared" ref="S239:S246" si="2">R239/$R$248</f>
        <v>0.9923061747879266</v>
      </c>
      <c r="T239" s="540">
        <f t="shared" ref="T239:T246" si="3">+T251+T263+T285</f>
        <v>644659</v>
      </c>
      <c r="U239" s="625">
        <f t="shared" ref="U239:U246" si="4">T239/$T$248</f>
        <v>0.99345820028848641</v>
      </c>
      <c r="V239" s="585"/>
      <c r="W239" s="626"/>
      <c r="X239" s="425"/>
    </row>
    <row r="240" spans="1:25" s="426" customFormat="1" x14ac:dyDescent="0.3">
      <c r="A240" s="443"/>
      <c r="B240" s="516" t="s">
        <v>90</v>
      </c>
      <c r="C240" s="627"/>
      <c r="D240" s="627"/>
      <c r="E240" s="627"/>
      <c r="F240" s="444"/>
      <c r="G240" s="628"/>
      <c r="H240" s="627"/>
      <c r="I240" s="627"/>
      <c r="J240" s="627"/>
      <c r="K240" s="627"/>
      <c r="L240" s="627"/>
      <c r="M240" s="627"/>
      <c r="N240" s="627"/>
      <c r="O240" s="627"/>
      <c r="P240" s="627"/>
      <c r="Q240" s="627"/>
      <c r="R240" s="516">
        <f t="shared" si="1"/>
        <v>7</v>
      </c>
      <c r="S240" s="628">
        <f t="shared" si="2"/>
        <v>1.3809429867824028E-3</v>
      </c>
      <c r="T240" s="517">
        <f t="shared" si="3"/>
        <v>810</v>
      </c>
      <c r="U240" s="628">
        <f t="shared" si="4"/>
        <v>1.248258602196935E-3</v>
      </c>
      <c r="V240" s="590"/>
      <c r="W240" s="603"/>
      <c r="X240" s="425"/>
      <c r="Y240" s="549"/>
    </row>
    <row r="241" spans="1:25" s="426" customFormat="1" x14ac:dyDescent="0.3">
      <c r="A241" s="443"/>
      <c r="B241" s="516" t="s">
        <v>91</v>
      </c>
      <c r="C241" s="627"/>
      <c r="D241" s="627"/>
      <c r="E241" s="627"/>
      <c r="F241" s="444"/>
      <c r="G241" s="628"/>
      <c r="H241" s="627"/>
      <c r="I241" s="627"/>
      <c r="J241" s="627"/>
      <c r="K241" s="627"/>
      <c r="L241" s="627"/>
      <c r="M241" s="627"/>
      <c r="N241" s="627"/>
      <c r="O241" s="627"/>
      <c r="P241" s="627"/>
      <c r="Q241" s="627"/>
      <c r="R241" s="516">
        <f t="shared" si="1"/>
        <v>21</v>
      </c>
      <c r="S241" s="628">
        <f t="shared" si="2"/>
        <v>4.1428289603472083E-3</v>
      </c>
      <c r="T241" s="517">
        <f t="shared" si="3"/>
        <v>2352</v>
      </c>
      <c r="U241" s="628">
        <f t="shared" si="4"/>
        <v>3.6245731263792485E-3</v>
      </c>
      <c r="V241" s="590"/>
      <c r="W241" s="603"/>
      <c r="X241" s="425"/>
    </row>
    <row r="242" spans="1:25" s="426" customFormat="1" x14ac:dyDescent="0.3">
      <c r="A242" s="443"/>
      <c r="B242" s="516" t="s">
        <v>159</v>
      </c>
      <c r="C242" s="627"/>
      <c r="D242" s="627"/>
      <c r="E242" s="627"/>
      <c r="F242" s="444"/>
      <c r="G242" s="628"/>
      <c r="H242" s="627"/>
      <c r="I242" s="627"/>
      <c r="J242" s="627"/>
      <c r="K242" s="627"/>
      <c r="L242" s="627"/>
      <c r="M242" s="627"/>
      <c r="N242" s="627"/>
      <c r="O242" s="627"/>
      <c r="P242" s="627"/>
      <c r="Q242" s="627"/>
      <c r="R242" s="516">
        <f t="shared" si="1"/>
        <v>4</v>
      </c>
      <c r="S242" s="628">
        <f t="shared" si="2"/>
        <v>7.8911027816137304E-4</v>
      </c>
      <c r="T242" s="517">
        <f t="shared" si="3"/>
        <v>360</v>
      </c>
      <c r="U242" s="628">
        <f t="shared" si="4"/>
        <v>5.5478160097641562E-4</v>
      </c>
      <c r="V242" s="590"/>
      <c r="W242" s="603"/>
      <c r="X242" s="425"/>
      <c r="Y242" s="549"/>
    </row>
    <row r="243" spans="1:25" s="426" customFormat="1" x14ac:dyDescent="0.3">
      <c r="A243" s="443"/>
      <c r="B243" s="516" t="s">
        <v>160</v>
      </c>
      <c r="C243" s="627"/>
      <c r="D243" s="627"/>
      <c r="E243" s="627"/>
      <c r="F243" s="444"/>
      <c r="G243" s="628"/>
      <c r="H243" s="627"/>
      <c r="I243" s="627"/>
      <c r="J243" s="627"/>
      <c r="K243" s="627"/>
      <c r="L243" s="627"/>
      <c r="M243" s="627"/>
      <c r="N243" s="627"/>
      <c r="O243" s="627"/>
      <c r="P243" s="627"/>
      <c r="Q243" s="627"/>
      <c r="R243" s="516">
        <f t="shared" si="1"/>
        <v>1</v>
      </c>
      <c r="S243" s="628">
        <f t="shared" si="2"/>
        <v>1.9727756954034326E-4</v>
      </c>
      <c r="T243" s="517">
        <f t="shared" si="3"/>
        <v>63</v>
      </c>
      <c r="U243" s="628">
        <f t="shared" si="4"/>
        <v>9.7086780170872728E-5</v>
      </c>
      <c r="V243" s="590"/>
      <c r="W243" s="603"/>
      <c r="X243" s="425"/>
    </row>
    <row r="244" spans="1:25" s="426" customFormat="1" x14ac:dyDescent="0.3">
      <c r="A244" s="443"/>
      <c r="B244" s="516" t="s">
        <v>161</v>
      </c>
      <c r="C244" s="627"/>
      <c r="D244" s="627"/>
      <c r="E244" s="627"/>
      <c r="F244" s="444"/>
      <c r="G244" s="628"/>
      <c r="H244" s="627"/>
      <c r="I244" s="627"/>
      <c r="J244" s="627"/>
      <c r="K244" s="627"/>
      <c r="L244" s="627"/>
      <c r="M244" s="627"/>
      <c r="N244" s="627"/>
      <c r="O244" s="627"/>
      <c r="P244" s="627"/>
      <c r="Q244" s="627"/>
      <c r="R244" s="516">
        <f t="shared" si="1"/>
        <v>0</v>
      </c>
      <c r="S244" s="628">
        <f t="shared" si="2"/>
        <v>0</v>
      </c>
      <c r="T244" s="517">
        <f t="shared" si="3"/>
        <v>0</v>
      </c>
      <c r="U244" s="628">
        <f t="shared" si="4"/>
        <v>0</v>
      </c>
      <c r="V244" s="590"/>
      <c r="W244" s="603"/>
      <c r="X244" s="425"/>
      <c r="Y244" s="549"/>
    </row>
    <row r="245" spans="1:25" s="426" customFormat="1" x14ac:dyDescent="0.3">
      <c r="A245" s="443"/>
      <c r="B245" s="516" t="s">
        <v>162</v>
      </c>
      <c r="C245" s="627"/>
      <c r="D245" s="627"/>
      <c r="E245" s="627"/>
      <c r="F245" s="444"/>
      <c r="G245" s="628"/>
      <c r="H245" s="627"/>
      <c r="I245" s="627"/>
      <c r="J245" s="627"/>
      <c r="K245" s="627"/>
      <c r="L245" s="627"/>
      <c r="M245" s="627"/>
      <c r="N245" s="627"/>
      <c r="O245" s="627"/>
      <c r="P245" s="627"/>
      <c r="Q245" s="627"/>
      <c r="R245" s="516">
        <f t="shared" si="1"/>
        <v>0</v>
      </c>
      <c r="S245" s="628">
        <f t="shared" si="2"/>
        <v>0</v>
      </c>
      <c r="T245" s="517">
        <f t="shared" si="3"/>
        <v>0</v>
      </c>
      <c r="U245" s="628">
        <f t="shared" si="4"/>
        <v>0</v>
      </c>
      <c r="V245" s="590"/>
      <c r="W245" s="603"/>
      <c r="X245" s="425"/>
    </row>
    <row r="246" spans="1:25" s="426" customFormat="1" x14ac:dyDescent="0.3">
      <c r="A246" s="443"/>
      <c r="B246" s="516" t="s">
        <v>163</v>
      </c>
      <c r="C246" s="627"/>
      <c r="D246" s="627"/>
      <c r="E246" s="627"/>
      <c r="F246" s="444"/>
      <c r="G246" s="628"/>
      <c r="H246" s="627"/>
      <c r="I246" s="627"/>
      <c r="J246" s="627"/>
      <c r="K246" s="627"/>
      <c r="L246" s="627"/>
      <c r="M246" s="627"/>
      <c r="N246" s="627"/>
      <c r="O246" s="627"/>
      <c r="P246" s="627"/>
      <c r="Q246" s="627"/>
      <c r="R246" s="516">
        <f t="shared" si="1"/>
        <v>6</v>
      </c>
      <c r="S246" s="628">
        <f t="shared" si="2"/>
        <v>1.1836654172420597E-3</v>
      </c>
      <c r="T246" s="517">
        <f t="shared" si="3"/>
        <v>660</v>
      </c>
      <c r="U246" s="628">
        <f t="shared" si="4"/>
        <v>1.0170996017900952E-3</v>
      </c>
      <c r="V246" s="590"/>
      <c r="W246" s="603"/>
      <c r="X246" s="425"/>
      <c r="Y246" s="549"/>
    </row>
    <row r="247" spans="1:25" s="426" customFormat="1" x14ac:dyDescent="0.3">
      <c r="A247" s="443"/>
      <c r="B247" s="516"/>
      <c r="C247" s="627"/>
      <c r="D247" s="627"/>
      <c r="E247" s="627"/>
      <c r="F247" s="444"/>
      <c r="G247" s="628"/>
      <c r="H247" s="627"/>
      <c r="I247" s="627"/>
      <c r="J247" s="627"/>
      <c r="K247" s="627"/>
      <c r="L247" s="627"/>
      <c r="M247" s="627"/>
      <c r="N247" s="627"/>
      <c r="O247" s="627"/>
      <c r="P247" s="627"/>
      <c r="Q247" s="627"/>
      <c r="R247" s="516"/>
      <c r="S247" s="628"/>
      <c r="T247" s="517"/>
      <c r="U247" s="628"/>
      <c r="V247" s="590"/>
      <c r="W247" s="603"/>
      <c r="X247" s="425"/>
    </row>
    <row r="248" spans="1:25" s="426" customFormat="1" x14ac:dyDescent="0.3">
      <c r="A248" s="443"/>
      <c r="B248" s="444" t="s">
        <v>117</v>
      </c>
      <c r="C248" s="444"/>
      <c r="D248" s="444"/>
      <c r="E248" s="444"/>
      <c r="F248" s="444"/>
      <c r="G248" s="444"/>
      <c r="H248" s="629"/>
      <c r="I248" s="629"/>
      <c r="J248" s="629"/>
      <c r="K248" s="629"/>
      <c r="L248" s="629"/>
      <c r="M248" s="629"/>
      <c r="N248" s="629"/>
      <c r="O248" s="629"/>
      <c r="P248" s="629"/>
      <c r="Q248" s="629"/>
      <c r="R248" s="516">
        <f>SUM(R239:R247)</f>
        <v>5069</v>
      </c>
      <c r="S248" s="628">
        <f>SUM(S239:S247)</f>
        <v>1</v>
      </c>
      <c r="T248" s="517">
        <f>SUM(T239:T247)</f>
        <v>648904</v>
      </c>
      <c r="U248" s="628">
        <f>SUM(U239:U247)</f>
        <v>0.99999999999999989</v>
      </c>
      <c r="V248" s="444"/>
      <c r="W248" s="446"/>
      <c r="X248" s="425"/>
    </row>
    <row r="249" spans="1:25" x14ac:dyDescent="0.3">
      <c r="A249" s="614"/>
      <c r="B249" s="615"/>
      <c r="C249" s="616"/>
      <c r="D249" s="616"/>
      <c r="E249" s="616"/>
      <c r="F249" s="617"/>
      <c r="G249" s="518"/>
      <c r="H249" s="518"/>
      <c r="I249" s="518"/>
      <c r="J249" s="518"/>
      <c r="K249" s="518"/>
      <c r="L249" s="518"/>
      <c r="M249" s="518"/>
      <c r="N249" s="518"/>
      <c r="O249" s="518"/>
      <c r="P249" s="518"/>
      <c r="Q249" s="518"/>
      <c r="R249" s="518"/>
      <c r="S249" s="518"/>
      <c r="T249" s="618"/>
      <c r="U249" s="518"/>
      <c r="V249" s="619"/>
      <c r="W249" s="620"/>
      <c r="X249" s="406"/>
    </row>
    <row r="250" spans="1:25" x14ac:dyDescent="0.3">
      <c r="A250" s="533"/>
      <c r="B250" s="534" t="s">
        <v>165</v>
      </c>
      <c r="C250" s="535"/>
      <c r="D250" s="535"/>
      <c r="E250" s="535"/>
      <c r="F250" s="621"/>
      <c r="G250" s="535"/>
      <c r="H250" s="535"/>
      <c r="I250" s="535"/>
      <c r="J250" s="535"/>
      <c r="K250" s="535"/>
      <c r="L250" s="535"/>
      <c r="M250" s="535"/>
      <c r="N250" s="535"/>
      <c r="O250" s="535"/>
      <c r="P250" s="535"/>
      <c r="Q250" s="535"/>
      <c r="R250" s="621" t="s">
        <v>103</v>
      </c>
      <c r="S250" s="535" t="s">
        <v>104</v>
      </c>
      <c r="T250" s="621" t="s">
        <v>111</v>
      </c>
      <c r="U250" s="535" t="s">
        <v>104</v>
      </c>
      <c r="V250" s="622"/>
      <c r="W250" s="623"/>
      <c r="X250" s="406"/>
    </row>
    <row r="251" spans="1:25" s="426" customFormat="1" x14ac:dyDescent="0.3">
      <c r="A251" s="421"/>
      <c r="B251" s="552" t="s">
        <v>89</v>
      </c>
      <c r="C251" s="624"/>
      <c r="D251" s="624"/>
      <c r="E251" s="624"/>
      <c r="F251" s="494"/>
      <c r="G251" s="624"/>
      <c r="H251" s="624"/>
      <c r="I251" s="624"/>
      <c r="J251" s="624"/>
      <c r="K251" s="624"/>
      <c r="L251" s="624"/>
      <c r="M251" s="624"/>
      <c r="N251" s="624"/>
      <c r="O251" s="624"/>
      <c r="P251" s="624"/>
      <c r="Q251" s="624"/>
      <c r="R251" s="552">
        <v>4954</v>
      </c>
      <c r="S251" s="630">
        <f t="shared" ref="S251:S258" si="5">R251/$R$260</f>
        <v>0.99338279526769602</v>
      </c>
      <c r="T251" s="631">
        <v>631621</v>
      </c>
      <c r="U251" s="630">
        <f t="shared" ref="U251:U258" si="6">T251/$T$260</f>
        <v>0.99435616162315843</v>
      </c>
      <c r="V251" s="585"/>
      <c r="W251" s="626"/>
      <c r="X251" s="425"/>
    </row>
    <row r="252" spans="1:25" s="426" customFormat="1" x14ac:dyDescent="0.3">
      <c r="A252" s="443"/>
      <c r="B252" s="516" t="s">
        <v>90</v>
      </c>
      <c r="C252" s="627"/>
      <c r="D252" s="627"/>
      <c r="E252" s="627"/>
      <c r="F252" s="444"/>
      <c r="G252" s="628"/>
      <c r="H252" s="627"/>
      <c r="I252" s="627"/>
      <c r="J252" s="627"/>
      <c r="K252" s="627"/>
      <c r="L252" s="627"/>
      <c r="M252" s="627"/>
      <c r="N252" s="627"/>
      <c r="O252" s="627"/>
      <c r="P252" s="627"/>
      <c r="Q252" s="627"/>
      <c r="R252" s="516">
        <v>7</v>
      </c>
      <c r="S252" s="628">
        <f t="shared" si="5"/>
        <v>1.4036494886705434E-3</v>
      </c>
      <c r="T252" s="517">
        <v>810</v>
      </c>
      <c r="U252" s="628">
        <f t="shared" si="6"/>
        <v>1.2751768717549896E-3</v>
      </c>
      <c r="V252" s="590"/>
      <c r="W252" s="603"/>
      <c r="X252" s="425"/>
      <c r="Y252" s="549"/>
    </row>
    <row r="253" spans="1:25" s="426" customFormat="1" x14ac:dyDescent="0.3">
      <c r="A253" s="443"/>
      <c r="B253" s="516" t="s">
        <v>91</v>
      </c>
      <c r="C253" s="627"/>
      <c r="D253" s="627"/>
      <c r="E253" s="627"/>
      <c r="F253" s="444"/>
      <c r="G253" s="628"/>
      <c r="H253" s="627"/>
      <c r="I253" s="627"/>
      <c r="J253" s="627"/>
      <c r="K253" s="627"/>
      <c r="L253" s="627"/>
      <c r="M253" s="627"/>
      <c r="N253" s="627"/>
      <c r="O253" s="627"/>
      <c r="P253" s="627"/>
      <c r="Q253" s="627"/>
      <c r="R253" s="516">
        <v>21</v>
      </c>
      <c r="S253" s="628">
        <f t="shared" si="5"/>
        <v>4.2109484660116303E-3</v>
      </c>
      <c r="T253" s="517">
        <v>2352</v>
      </c>
      <c r="U253" s="628">
        <f t="shared" si="6"/>
        <v>3.7027358053922663E-3</v>
      </c>
      <c r="V253" s="590"/>
      <c r="W253" s="603"/>
      <c r="X253" s="425"/>
    </row>
    <row r="254" spans="1:25" s="426" customFormat="1" x14ac:dyDescent="0.3">
      <c r="A254" s="443"/>
      <c r="B254" s="516" t="s">
        <v>159</v>
      </c>
      <c r="C254" s="627"/>
      <c r="D254" s="627"/>
      <c r="E254" s="627"/>
      <c r="F254" s="444"/>
      <c r="G254" s="628"/>
      <c r="H254" s="627"/>
      <c r="I254" s="627"/>
      <c r="J254" s="627"/>
      <c r="K254" s="627"/>
      <c r="L254" s="627"/>
      <c r="M254" s="627"/>
      <c r="N254" s="627"/>
      <c r="O254" s="627"/>
      <c r="P254" s="627"/>
      <c r="Q254" s="627"/>
      <c r="R254" s="516">
        <v>4</v>
      </c>
      <c r="S254" s="628">
        <f t="shared" si="5"/>
        <v>8.0208542209745336E-4</v>
      </c>
      <c r="T254" s="517">
        <v>360</v>
      </c>
      <c r="U254" s="628">
        <f t="shared" si="6"/>
        <v>5.6674527633555102E-4</v>
      </c>
      <c r="V254" s="590"/>
      <c r="W254" s="603"/>
      <c r="X254" s="425"/>
      <c r="Y254" s="549"/>
    </row>
    <row r="255" spans="1:25" s="426" customFormat="1" x14ac:dyDescent="0.3">
      <c r="A255" s="443"/>
      <c r="B255" s="516" t="s">
        <v>160</v>
      </c>
      <c r="C255" s="627"/>
      <c r="D255" s="627"/>
      <c r="E255" s="627"/>
      <c r="F255" s="444"/>
      <c r="G255" s="628"/>
      <c r="H255" s="627"/>
      <c r="I255" s="627"/>
      <c r="J255" s="627"/>
      <c r="K255" s="627"/>
      <c r="L255" s="627"/>
      <c r="M255" s="627"/>
      <c r="N255" s="627"/>
      <c r="O255" s="627"/>
      <c r="P255" s="627"/>
      <c r="Q255" s="627"/>
      <c r="R255" s="516">
        <v>1</v>
      </c>
      <c r="S255" s="628">
        <f t="shared" si="5"/>
        <v>2.0052135552436334E-4</v>
      </c>
      <c r="T255" s="517">
        <v>63</v>
      </c>
      <c r="U255" s="628">
        <f t="shared" si="6"/>
        <v>9.9180423358721421E-5</v>
      </c>
      <c r="V255" s="590"/>
      <c r="W255" s="603"/>
      <c r="X255" s="425"/>
    </row>
    <row r="256" spans="1:25" s="426" customFormat="1" x14ac:dyDescent="0.3">
      <c r="A256" s="443"/>
      <c r="B256" s="516" t="s">
        <v>161</v>
      </c>
      <c r="C256" s="627"/>
      <c r="D256" s="627"/>
      <c r="E256" s="627"/>
      <c r="F256" s="444"/>
      <c r="G256" s="628"/>
      <c r="H256" s="627"/>
      <c r="I256" s="627"/>
      <c r="J256" s="627"/>
      <c r="K256" s="627"/>
      <c r="L256" s="627"/>
      <c r="M256" s="627"/>
      <c r="N256" s="627"/>
      <c r="O256" s="627"/>
      <c r="P256" s="627"/>
      <c r="Q256" s="627"/>
      <c r="R256" s="516">
        <v>0</v>
      </c>
      <c r="S256" s="628">
        <f t="shared" si="5"/>
        <v>0</v>
      </c>
      <c r="T256" s="517">
        <v>0</v>
      </c>
      <c r="U256" s="628">
        <f t="shared" si="6"/>
        <v>0</v>
      </c>
      <c r="V256" s="590"/>
      <c r="W256" s="603"/>
      <c r="X256" s="425"/>
      <c r="Y256" s="549"/>
    </row>
    <row r="257" spans="1:25" s="426" customFormat="1" x14ac:dyDescent="0.3">
      <c r="A257" s="443"/>
      <c r="B257" s="516" t="s">
        <v>162</v>
      </c>
      <c r="C257" s="627"/>
      <c r="D257" s="627"/>
      <c r="E257" s="627"/>
      <c r="F257" s="444"/>
      <c r="G257" s="628"/>
      <c r="H257" s="627"/>
      <c r="I257" s="627"/>
      <c r="J257" s="627"/>
      <c r="K257" s="627"/>
      <c r="L257" s="627"/>
      <c r="M257" s="627"/>
      <c r="N257" s="627"/>
      <c r="O257" s="627"/>
      <c r="P257" s="627"/>
      <c r="Q257" s="627"/>
      <c r="R257" s="516">
        <v>0</v>
      </c>
      <c r="S257" s="628">
        <f t="shared" si="5"/>
        <v>0</v>
      </c>
      <c r="T257" s="517">
        <v>0</v>
      </c>
      <c r="U257" s="628">
        <f t="shared" si="6"/>
        <v>0</v>
      </c>
      <c r="V257" s="590"/>
      <c r="W257" s="603"/>
      <c r="X257" s="425"/>
    </row>
    <row r="258" spans="1:25" s="426" customFormat="1" x14ac:dyDescent="0.3">
      <c r="A258" s="443"/>
      <c r="B258" s="516" t="s">
        <v>163</v>
      </c>
      <c r="C258" s="627"/>
      <c r="D258" s="627"/>
      <c r="E258" s="627"/>
      <c r="F258" s="444"/>
      <c r="G258" s="628"/>
      <c r="H258" s="627"/>
      <c r="I258" s="627"/>
      <c r="J258" s="627"/>
      <c r="K258" s="627"/>
      <c r="L258" s="627"/>
      <c r="M258" s="627"/>
      <c r="N258" s="627"/>
      <c r="O258" s="627"/>
      <c r="P258" s="627"/>
      <c r="Q258" s="627"/>
      <c r="R258" s="516">
        <v>0</v>
      </c>
      <c r="S258" s="628">
        <f t="shared" si="5"/>
        <v>0</v>
      </c>
      <c r="T258" s="517">
        <v>0</v>
      </c>
      <c r="U258" s="628">
        <f t="shared" si="6"/>
        <v>0</v>
      </c>
      <c r="V258" s="590"/>
      <c r="W258" s="603"/>
      <c r="X258" s="425"/>
      <c r="Y258" s="549"/>
    </row>
    <row r="259" spans="1:25" s="426" customFormat="1" x14ac:dyDescent="0.3">
      <c r="A259" s="443"/>
      <c r="B259" s="516"/>
      <c r="C259" s="627"/>
      <c r="D259" s="627"/>
      <c r="E259" s="627"/>
      <c r="F259" s="444"/>
      <c r="G259" s="628"/>
      <c r="H259" s="627"/>
      <c r="I259" s="627"/>
      <c r="J259" s="627"/>
      <c r="K259" s="627"/>
      <c r="L259" s="627"/>
      <c r="M259" s="627"/>
      <c r="N259" s="627"/>
      <c r="O259" s="627"/>
      <c r="P259" s="627"/>
      <c r="Q259" s="627"/>
      <c r="R259" s="516"/>
      <c r="S259" s="628"/>
      <c r="T259" s="517"/>
      <c r="U259" s="628"/>
      <c r="V259" s="590"/>
      <c r="W259" s="603"/>
      <c r="X259" s="425"/>
    </row>
    <row r="260" spans="1:25" s="426" customFormat="1" x14ac:dyDescent="0.3">
      <c r="A260" s="443"/>
      <c r="B260" s="444" t="s">
        <v>117</v>
      </c>
      <c r="C260" s="444"/>
      <c r="D260" s="444"/>
      <c r="E260" s="444"/>
      <c r="F260" s="444"/>
      <c r="G260" s="444"/>
      <c r="H260" s="629"/>
      <c r="I260" s="629"/>
      <c r="J260" s="629"/>
      <c r="K260" s="629"/>
      <c r="L260" s="629"/>
      <c r="M260" s="629"/>
      <c r="N260" s="629"/>
      <c r="O260" s="629"/>
      <c r="P260" s="629"/>
      <c r="Q260" s="629"/>
      <c r="R260" s="516">
        <f>SUM(R251:R259)</f>
        <v>4987</v>
      </c>
      <c r="S260" s="628">
        <f>SUM(S251:S259)</f>
        <v>1</v>
      </c>
      <c r="T260" s="517">
        <f>SUM(T251:T259)</f>
        <v>635206</v>
      </c>
      <c r="U260" s="628">
        <f>SUM(U251:U259)</f>
        <v>1</v>
      </c>
      <c r="V260" s="444"/>
      <c r="W260" s="446"/>
      <c r="X260" s="425"/>
    </row>
    <row r="261" spans="1:25" x14ac:dyDescent="0.3">
      <c r="A261" s="408"/>
      <c r="B261" s="518"/>
      <c r="C261" s="518"/>
      <c r="D261" s="518"/>
      <c r="E261" s="518"/>
      <c r="F261" s="518"/>
      <c r="G261" s="518"/>
      <c r="H261" s="632"/>
      <c r="I261" s="632"/>
      <c r="J261" s="632"/>
      <c r="K261" s="632"/>
      <c r="L261" s="632"/>
      <c r="M261" s="632"/>
      <c r="N261" s="632"/>
      <c r="O261" s="632"/>
      <c r="P261" s="632"/>
      <c r="Q261" s="632"/>
      <c r="R261" s="519"/>
      <c r="S261" s="633"/>
      <c r="T261" s="634"/>
      <c r="U261" s="633"/>
      <c r="V261" s="518"/>
      <c r="W261" s="411"/>
      <c r="X261" s="406"/>
    </row>
    <row r="262" spans="1:25" x14ac:dyDescent="0.3">
      <c r="A262" s="533"/>
      <c r="B262" s="534" t="s">
        <v>279</v>
      </c>
      <c r="C262" s="535"/>
      <c r="D262" s="535"/>
      <c r="E262" s="535"/>
      <c r="F262" s="621"/>
      <c r="G262" s="535"/>
      <c r="H262" s="535"/>
      <c r="I262" s="535"/>
      <c r="J262" s="535"/>
      <c r="K262" s="535"/>
      <c r="L262" s="535"/>
      <c r="M262" s="535"/>
      <c r="N262" s="535"/>
      <c r="O262" s="535"/>
      <c r="P262" s="535"/>
      <c r="Q262" s="535"/>
      <c r="R262" s="621" t="s">
        <v>103</v>
      </c>
      <c r="S262" s="535" t="s">
        <v>104</v>
      </c>
      <c r="T262" s="621" t="s">
        <v>111</v>
      </c>
      <c r="U262" s="535" t="s">
        <v>104</v>
      </c>
      <c r="V262" s="622"/>
      <c r="W262" s="538"/>
      <c r="X262" s="406"/>
    </row>
    <row r="263" spans="1:25" s="426" customFormat="1" x14ac:dyDescent="0.3">
      <c r="A263" s="421"/>
      <c r="B263" s="552" t="s">
        <v>89</v>
      </c>
      <c r="C263" s="624"/>
      <c r="D263" s="624"/>
      <c r="E263" s="624"/>
      <c r="F263" s="494"/>
      <c r="G263" s="624"/>
      <c r="H263" s="624"/>
      <c r="I263" s="624"/>
      <c r="J263" s="624"/>
      <c r="K263" s="624"/>
      <c r="L263" s="624"/>
      <c r="M263" s="624"/>
      <c r="N263" s="624"/>
      <c r="O263" s="624"/>
      <c r="P263" s="624"/>
      <c r="Q263" s="624"/>
      <c r="R263" s="552">
        <v>76</v>
      </c>
      <c r="S263" s="630">
        <f>R263/$R$272</f>
        <v>0.92682926829268297</v>
      </c>
      <c r="T263" s="631">
        <v>13038</v>
      </c>
      <c r="U263" s="630">
        <f t="shared" ref="U263:U270" si="7">T263/$T$272</f>
        <v>0.95181778361804648</v>
      </c>
      <c r="V263" s="494"/>
      <c r="W263" s="424"/>
      <c r="X263" s="425"/>
    </row>
    <row r="264" spans="1:25" s="426" customFormat="1" x14ac:dyDescent="0.3">
      <c r="A264" s="443"/>
      <c r="B264" s="516" t="s">
        <v>90</v>
      </c>
      <c r="C264" s="627"/>
      <c r="D264" s="627"/>
      <c r="E264" s="627"/>
      <c r="F264" s="444"/>
      <c r="G264" s="628"/>
      <c r="H264" s="627"/>
      <c r="I264" s="627"/>
      <c r="J264" s="627"/>
      <c r="K264" s="627"/>
      <c r="L264" s="627"/>
      <c r="M264" s="627"/>
      <c r="N264" s="627"/>
      <c r="O264" s="627"/>
      <c r="P264" s="627"/>
      <c r="Q264" s="627"/>
      <c r="R264" s="516">
        <v>0</v>
      </c>
      <c r="S264" s="628">
        <f t="shared" ref="S264:S268" si="8">R264/$R$272</f>
        <v>0</v>
      </c>
      <c r="T264" s="517">
        <v>0</v>
      </c>
      <c r="U264" s="628">
        <f t="shared" si="7"/>
        <v>0</v>
      </c>
      <c r="V264" s="444"/>
      <c r="W264" s="446"/>
      <c r="X264" s="425"/>
    </row>
    <row r="265" spans="1:25" s="426" customFormat="1" x14ac:dyDescent="0.3">
      <c r="A265" s="443"/>
      <c r="B265" s="516" t="s">
        <v>91</v>
      </c>
      <c r="C265" s="627"/>
      <c r="D265" s="627"/>
      <c r="E265" s="627"/>
      <c r="F265" s="444"/>
      <c r="G265" s="628"/>
      <c r="H265" s="627"/>
      <c r="I265" s="627"/>
      <c r="J265" s="627"/>
      <c r="K265" s="627"/>
      <c r="L265" s="627"/>
      <c r="M265" s="627"/>
      <c r="N265" s="627"/>
      <c r="O265" s="627"/>
      <c r="P265" s="627"/>
      <c r="Q265" s="627"/>
      <c r="R265" s="516">
        <v>0</v>
      </c>
      <c r="S265" s="628">
        <f t="shared" si="8"/>
        <v>0</v>
      </c>
      <c r="T265" s="517">
        <v>0</v>
      </c>
      <c r="U265" s="628">
        <f t="shared" si="7"/>
        <v>0</v>
      </c>
      <c r="V265" s="444"/>
      <c r="W265" s="446"/>
      <c r="X265" s="425"/>
    </row>
    <row r="266" spans="1:25" s="426" customFormat="1" x14ac:dyDescent="0.3">
      <c r="A266" s="443"/>
      <c r="B266" s="516" t="s">
        <v>159</v>
      </c>
      <c r="C266" s="627"/>
      <c r="D266" s="627"/>
      <c r="E266" s="627"/>
      <c r="F266" s="444"/>
      <c r="G266" s="628"/>
      <c r="H266" s="627"/>
      <c r="I266" s="627"/>
      <c r="J266" s="627"/>
      <c r="K266" s="627"/>
      <c r="L266" s="627"/>
      <c r="M266" s="627"/>
      <c r="N266" s="627"/>
      <c r="O266" s="627"/>
      <c r="P266" s="627"/>
      <c r="Q266" s="627"/>
      <c r="R266" s="516">
        <v>0</v>
      </c>
      <c r="S266" s="628">
        <f t="shared" si="8"/>
        <v>0</v>
      </c>
      <c r="T266" s="517">
        <v>0</v>
      </c>
      <c r="U266" s="628">
        <f t="shared" si="7"/>
        <v>0</v>
      </c>
      <c r="V266" s="444"/>
      <c r="W266" s="446"/>
      <c r="X266" s="425"/>
    </row>
    <row r="267" spans="1:25" s="426" customFormat="1" x14ac:dyDescent="0.3">
      <c r="A267" s="443"/>
      <c r="B267" s="516" t="s">
        <v>160</v>
      </c>
      <c r="C267" s="627"/>
      <c r="D267" s="627"/>
      <c r="E267" s="627"/>
      <c r="F267" s="444"/>
      <c r="G267" s="628"/>
      <c r="H267" s="627"/>
      <c r="I267" s="627"/>
      <c r="J267" s="627"/>
      <c r="K267" s="627"/>
      <c r="L267" s="627"/>
      <c r="M267" s="627"/>
      <c r="N267" s="627"/>
      <c r="O267" s="627"/>
      <c r="P267" s="627"/>
      <c r="Q267" s="627"/>
      <c r="R267" s="516">
        <v>0</v>
      </c>
      <c r="S267" s="628">
        <f t="shared" si="8"/>
        <v>0</v>
      </c>
      <c r="T267" s="517">
        <v>0</v>
      </c>
      <c r="U267" s="628">
        <f t="shared" si="7"/>
        <v>0</v>
      </c>
      <c r="V267" s="444"/>
      <c r="W267" s="446"/>
      <c r="X267" s="425"/>
    </row>
    <row r="268" spans="1:25" s="426" customFormat="1" x14ac:dyDescent="0.3">
      <c r="A268" s="443"/>
      <c r="B268" s="516" t="s">
        <v>161</v>
      </c>
      <c r="C268" s="627"/>
      <c r="D268" s="627"/>
      <c r="E268" s="627"/>
      <c r="F268" s="444"/>
      <c r="G268" s="628"/>
      <c r="H268" s="627"/>
      <c r="I268" s="627"/>
      <c r="J268" s="627"/>
      <c r="K268" s="627"/>
      <c r="L268" s="627"/>
      <c r="M268" s="627"/>
      <c r="N268" s="627"/>
      <c r="O268" s="627"/>
      <c r="P268" s="627"/>
      <c r="Q268" s="627"/>
      <c r="R268" s="516">
        <v>0</v>
      </c>
      <c r="S268" s="628">
        <f t="shared" si="8"/>
        <v>0</v>
      </c>
      <c r="T268" s="517">
        <v>0</v>
      </c>
      <c r="U268" s="628">
        <f t="shared" si="7"/>
        <v>0</v>
      </c>
      <c r="V268" s="444"/>
      <c r="W268" s="446"/>
      <c r="X268" s="425"/>
    </row>
    <row r="269" spans="1:25" s="426" customFormat="1" x14ac:dyDescent="0.3">
      <c r="A269" s="443"/>
      <c r="B269" s="516" t="s">
        <v>162</v>
      </c>
      <c r="C269" s="627"/>
      <c r="D269" s="627"/>
      <c r="E269" s="627"/>
      <c r="F269" s="444"/>
      <c r="G269" s="628"/>
      <c r="H269" s="627"/>
      <c r="I269" s="627"/>
      <c r="J269" s="627"/>
      <c r="K269" s="627"/>
      <c r="L269" s="627"/>
      <c r="M269" s="627"/>
      <c r="N269" s="627"/>
      <c r="O269" s="627"/>
      <c r="P269" s="627"/>
      <c r="Q269" s="627"/>
      <c r="R269" s="516">
        <v>0</v>
      </c>
      <c r="S269" s="628">
        <f>R269/$R$272</f>
        <v>0</v>
      </c>
      <c r="T269" s="517">
        <v>0</v>
      </c>
      <c r="U269" s="628">
        <f t="shared" si="7"/>
        <v>0</v>
      </c>
      <c r="V269" s="444"/>
      <c r="W269" s="446"/>
      <c r="X269" s="425"/>
    </row>
    <row r="270" spans="1:25" s="426" customFormat="1" x14ac:dyDescent="0.3">
      <c r="A270" s="443"/>
      <c r="B270" s="516" t="s">
        <v>163</v>
      </c>
      <c r="C270" s="627"/>
      <c r="D270" s="627"/>
      <c r="E270" s="627"/>
      <c r="F270" s="444"/>
      <c r="G270" s="628"/>
      <c r="H270" s="627"/>
      <c r="I270" s="627"/>
      <c r="J270" s="627"/>
      <c r="K270" s="627"/>
      <c r="L270" s="627"/>
      <c r="M270" s="627"/>
      <c r="N270" s="627"/>
      <c r="O270" s="627"/>
      <c r="P270" s="627"/>
      <c r="Q270" s="627"/>
      <c r="R270" s="516">
        <v>6</v>
      </c>
      <c r="S270" s="628">
        <f>R270/$R$272</f>
        <v>7.3170731707317069E-2</v>
      </c>
      <c r="T270" s="517">
        <v>660</v>
      </c>
      <c r="U270" s="628">
        <f t="shared" si="7"/>
        <v>4.8182216381953573E-2</v>
      </c>
      <c r="V270" s="444"/>
      <c r="W270" s="446"/>
      <c r="X270" s="425"/>
    </row>
    <row r="271" spans="1:25" s="426" customFormat="1" x14ac:dyDescent="0.3">
      <c r="A271" s="443"/>
      <c r="B271" s="516"/>
      <c r="C271" s="627"/>
      <c r="D271" s="627"/>
      <c r="E271" s="627"/>
      <c r="F271" s="444"/>
      <c r="G271" s="628"/>
      <c r="H271" s="627"/>
      <c r="I271" s="627"/>
      <c r="J271" s="627"/>
      <c r="K271" s="627"/>
      <c r="L271" s="627"/>
      <c r="M271" s="627"/>
      <c r="N271" s="627"/>
      <c r="O271" s="627"/>
      <c r="P271" s="627"/>
      <c r="Q271" s="627"/>
      <c r="R271" s="516"/>
      <c r="S271" s="628"/>
      <c r="T271" s="517"/>
      <c r="U271" s="628"/>
      <c r="V271" s="444"/>
      <c r="W271" s="446"/>
      <c r="X271" s="425"/>
    </row>
    <row r="272" spans="1:25" s="426" customFormat="1" x14ac:dyDescent="0.3">
      <c r="A272" s="443"/>
      <c r="B272" s="444" t="s">
        <v>117</v>
      </c>
      <c r="C272" s="444"/>
      <c r="D272" s="444"/>
      <c r="E272" s="444"/>
      <c r="F272" s="444"/>
      <c r="G272" s="444"/>
      <c r="H272" s="629"/>
      <c r="I272" s="629"/>
      <c r="J272" s="629"/>
      <c r="K272" s="629"/>
      <c r="L272" s="629"/>
      <c r="M272" s="629"/>
      <c r="N272" s="629"/>
      <c r="O272" s="629"/>
      <c r="P272" s="629"/>
      <c r="Q272" s="629"/>
      <c r="R272" s="516">
        <f>SUM(R263:R271)</f>
        <v>82</v>
      </c>
      <c r="S272" s="628">
        <f>SUM(S263:S271)</f>
        <v>1</v>
      </c>
      <c r="T272" s="517">
        <f>SUM(T263:T271)</f>
        <v>13698</v>
      </c>
      <c r="U272" s="628">
        <f>SUM(U263:U271)</f>
        <v>1</v>
      </c>
      <c r="V272" s="444"/>
      <c r="W272" s="446"/>
      <c r="X272" s="425"/>
    </row>
    <row r="273" spans="1:24" x14ac:dyDescent="0.3">
      <c r="A273" s="408"/>
      <c r="B273" s="518"/>
      <c r="C273" s="518"/>
      <c r="D273" s="518"/>
      <c r="E273" s="518"/>
      <c r="F273" s="518"/>
      <c r="G273" s="518"/>
      <c r="H273" s="632"/>
      <c r="I273" s="632"/>
      <c r="J273" s="632"/>
      <c r="K273" s="632"/>
      <c r="L273" s="632"/>
      <c r="M273" s="632"/>
      <c r="N273" s="632"/>
      <c r="O273" s="632"/>
      <c r="P273" s="632"/>
      <c r="Q273" s="632"/>
      <c r="R273" s="519"/>
      <c r="S273" s="633"/>
      <c r="T273" s="634"/>
      <c r="U273" s="633"/>
      <c r="V273" s="518"/>
      <c r="W273" s="411"/>
      <c r="X273" s="406"/>
    </row>
    <row r="274" spans="1:24" x14ac:dyDescent="0.3">
      <c r="A274" s="653"/>
      <c r="B274" s="654" t="s">
        <v>404</v>
      </c>
      <c r="C274" s="658"/>
      <c r="D274" s="658"/>
      <c r="E274" s="658"/>
      <c r="F274" s="657"/>
      <c r="G274" s="658"/>
      <c r="H274" s="658"/>
      <c r="I274" s="658"/>
      <c r="J274" s="658"/>
      <c r="K274" s="658"/>
      <c r="L274" s="658"/>
      <c r="M274" s="658"/>
      <c r="N274" s="658"/>
      <c r="O274" s="658"/>
      <c r="P274" s="658"/>
      <c r="Q274" s="658"/>
      <c r="R274" s="657" t="s">
        <v>103</v>
      </c>
      <c r="S274" s="658" t="s">
        <v>104</v>
      </c>
      <c r="T274" s="657" t="s">
        <v>111</v>
      </c>
      <c r="U274" s="658" t="s">
        <v>104</v>
      </c>
      <c r="V274" s="658"/>
      <c r="W274" s="658"/>
      <c r="X274" s="406"/>
    </row>
    <row r="275" spans="1:24" x14ac:dyDescent="0.3">
      <c r="A275" s="675"/>
      <c r="B275" s="676" t="s">
        <v>405</v>
      </c>
      <c r="C275" s="676"/>
      <c r="D275" s="676"/>
      <c r="E275" s="676"/>
      <c r="F275" s="676"/>
      <c r="G275" s="676"/>
      <c r="H275" s="677"/>
      <c r="I275" s="677"/>
      <c r="J275" s="677"/>
      <c r="K275" s="677"/>
      <c r="L275" s="677"/>
      <c r="M275" s="677"/>
      <c r="N275" s="677"/>
      <c r="O275" s="677"/>
      <c r="P275" s="677"/>
      <c r="Q275" s="677"/>
      <c r="R275" s="679">
        <v>77</v>
      </c>
      <c r="S275" s="680">
        <f>R275/R282</f>
        <v>0.93902439024390238</v>
      </c>
      <c r="T275" s="564">
        <v>12925</v>
      </c>
      <c r="U275" s="680">
        <f>T275/T282</f>
        <v>0.94356840414659071</v>
      </c>
      <c r="V275" s="677"/>
      <c r="W275" s="677"/>
      <c r="X275" s="406"/>
    </row>
    <row r="276" spans="1:24" x14ac:dyDescent="0.3">
      <c r="A276" s="675"/>
      <c r="B276" s="676" t="s">
        <v>406</v>
      </c>
      <c r="C276" s="676"/>
      <c r="D276" s="676"/>
      <c r="E276" s="676"/>
      <c r="F276" s="676"/>
      <c r="G276" s="676"/>
      <c r="H276" s="677"/>
      <c r="I276" s="677"/>
      <c r="J276" s="677"/>
      <c r="K276" s="677"/>
      <c r="L276" s="677"/>
      <c r="M276" s="677"/>
      <c r="N276" s="677"/>
      <c r="O276" s="677"/>
      <c r="P276" s="677"/>
      <c r="Q276" s="677"/>
      <c r="R276" s="679">
        <v>0</v>
      </c>
      <c r="S276" s="680">
        <f>R276/R282</f>
        <v>0</v>
      </c>
      <c r="T276" s="564">
        <v>0</v>
      </c>
      <c r="U276" s="680">
        <f>T276/T282</f>
        <v>0</v>
      </c>
      <c r="V276" s="677"/>
      <c r="W276" s="677"/>
      <c r="X276" s="406"/>
    </row>
    <row r="277" spans="1:24" x14ac:dyDescent="0.3">
      <c r="A277" s="675"/>
      <c r="B277" s="676" t="s">
        <v>407</v>
      </c>
      <c r="C277" s="676"/>
      <c r="D277" s="676"/>
      <c r="E277" s="676"/>
      <c r="F277" s="676"/>
      <c r="G277" s="676"/>
      <c r="H277" s="677"/>
      <c r="I277" s="677"/>
      <c r="J277" s="677"/>
      <c r="K277" s="677"/>
      <c r="L277" s="677"/>
      <c r="M277" s="677"/>
      <c r="N277" s="677"/>
      <c r="O277" s="677"/>
      <c r="P277" s="677"/>
      <c r="Q277" s="677"/>
      <c r="R277" s="679">
        <v>1</v>
      </c>
      <c r="S277" s="680">
        <f>R277/R282</f>
        <v>1.2195121951219513E-2</v>
      </c>
      <c r="T277" s="564">
        <v>445</v>
      </c>
      <c r="U277" s="680">
        <f>T277/T282</f>
        <v>3.2486494378741425E-2</v>
      </c>
      <c r="V277" s="677"/>
      <c r="W277" s="677"/>
      <c r="X277" s="406"/>
    </row>
    <row r="278" spans="1:24" x14ac:dyDescent="0.3">
      <c r="A278" s="675"/>
      <c r="B278" s="676" t="s">
        <v>408</v>
      </c>
      <c r="C278" s="676"/>
      <c r="D278" s="676"/>
      <c r="E278" s="676"/>
      <c r="F278" s="676"/>
      <c r="G278" s="676"/>
      <c r="H278" s="677"/>
      <c r="I278" s="677"/>
      <c r="J278" s="677"/>
      <c r="K278" s="677"/>
      <c r="L278" s="677"/>
      <c r="M278" s="677"/>
      <c r="N278" s="677"/>
      <c r="O278" s="677"/>
      <c r="P278" s="677"/>
      <c r="Q278" s="677"/>
      <c r="R278" s="679">
        <v>1</v>
      </c>
      <c r="S278" s="680">
        <f>R278/R282</f>
        <v>1.2195121951219513E-2</v>
      </c>
      <c r="T278" s="564">
        <v>48</v>
      </c>
      <c r="U278" s="680">
        <f>T278/T282</f>
        <v>3.504161191414805E-3</v>
      </c>
      <c r="V278" s="677"/>
      <c r="W278" s="677"/>
      <c r="X278" s="406"/>
    </row>
    <row r="279" spans="1:24" x14ac:dyDescent="0.3">
      <c r="A279" s="675"/>
      <c r="B279" s="676" t="s">
        <v>409</v>
      </c>
      <c r="C279" s="676"/>
      <c r="D279" s="676"/>
      <c r="E279" s="676"/>
      <c r="F279" s="676"/>
      <c r="G279" s="676"/>
      <c r="H279" s="677"/>
      <c r="I279" s="677"/>
      <c r="J279" s="677"/>
      <c r="K279" s="677"/>
      <c r="L279" s="677"/>
      <c r="M279" s="677"/>
      <c r="N279" s="677"/>
      <c r="O279" s="677"/>
      <c r="P279" s="677"/>
      <c r="Q279" s="677"/>
      <c r="R279" s="679">
        <v>2</v>
      </c>
      <c r="S279" s="680">
        <f>R279/R282</f>
        <v>2.4390243902439025E-2</v>
      </c>
      <c r="T279" s="564">
        <v>200</v>
      </c>
      <c r="U279" s="680">
        <f>T279/T282</f>
        <v>1.4600671630895021E-2</v>
      </c>
      <c r="V279" s="677"/>
      <c r="W279" s="677"/>
      <c r="X279" s="406"/>
    </row>
    <row r="280" spans="1:24" x14ac:dyDescent="0.3">
      <c r="A280" s="675"/>
      <c r="B280" s="678" t="s">
        <v>410</v>
      </c>
      <c r="C280" s="676"/>
      <c r="D280" s="676"/>
      <c r="E280" s="676"/>
      <c r="F280" s="676"/>
      <c r="G280" s="676"/>
      <c r="H280" s="677"/>
      <c r="I280" s="677"/>
      <c r="J280" s="677"/>
      <c r="K280" s="677"/>
      <c r="L280" s="677"/>
      <c r="M280" s="677"/>
      <c r="N280" s="677"/>
      <c r="O280" s="677"/>
      <c r="P280" s="677"/>
      <c r="Q280" s="677"/>
      <c r="R280" s="679">
        <v>1</v>
      </c>
      <c r="S280" s="680">
        <f>R280/R282</f>
        <v>1.2195121951219513E-2</v>
      </c>
      <c r="T280" s="564">
        <v>80</v>
      </c>
      <c r="U280" s="680">
        <f>T280/T282</f>
        <v>5.8402686523580088E-3</v>
      </c>
      <c r="V280" s="677"/>
      <c r="W280" s="677"/>
      <c r="X280" s="406"/>
    </row>
    <row r="281" spans="1:24" x14ac:dyDescent="0.3">
      <c r="A281" s="675"/>
      <c r="B281" s="676"/>
      <c r="C281" s="676"/>
      <c r="D281" s="676"/>
      <c r="E281" s="676"/>
      <c r="F281" s="676"/>
      <c r="G281" s="676"/>
      <c r="H281" s="677"/>
      <c r="I281" s="677"/>
      <c r="J281" s="677"/>
      <c r="K281" s="677"/>
      <c r="L281" s="677"/>
      <c r="M281" s="677"/>
      <c r="N281" s="677"/>
      <c r="O281" s="677"/>
      <c r="P281" s="677"/>
      <c r="Q281" s="677"/>
      <c r="R281" s="679"/>
      <c r="S281" s="680"/>
      <c r="T281" s="564"/>
      <c r="U281" s="680"/>
      <c r="V281" s="677"/>
      <c r="W281" s="677"/>
      <c r="X281" s="406"/>
    </row>
    <row r="282" spans="1:24" x14ac:dyDescent="0.3">
      <c r="A282" s="675"/>
      <c r="B282" s="676" t="s">
        <v>117</v>
      </c>
      <c r="C282" s="676"/>
      <c r="D282" s="676"/>
      <c r="E282" s="676"/>
      <c r="F282" s="676"/>
      <c r="G282" s="676"/>
      <c r="H282" s="677"/>
      <c r="I282" s="677"/>
      <c r="J282" s="677"/>
      <c r="K282" s="677"/>
      <c r="L282" s="677"/>
      <c r="M282" s="677"/>
      <c r="N282" s="677"/>
      <c r="O282" s="677"/>
      <c r="P282" s="677"/>
      <c r="Q282" s="677"/>
      <c r="R282" s="679">
        <f>SUM(R275:R281)</f>
        <v>82</v>
      </c>
      <c r="S282" s="680">
        <f>SUM(S275:S280)</f>
        <v>1</v>
      </c>
      <c r="T282" s="564">
        <f>SUM(T275:T280)</f>
        <v>13698</v>
      </c>
      <c r="U282" s="680">
        <f>SUM(U275:U281)</f>
        <v>1</v>
      </c>
      <c r="V282" s="677"/>
      <c r="W282" s="677"/>
      <c r="X282" s="406"/>
    </row>
    <row r="283" spans="1:24" x14ac:dyDescent="0.3">
      <c r="A283" s="408"/>
      <c r="B283" s="518"/>
      <c r="C283" s="518"/>
      <c r="D283" s="518"/>
      <c r="E283" s="518"/>
      <c r="F283" s="518"/>
      <c r="G283" s="518"/>
      <c r="H283" s="632"/>
      <c r="I283" s="632"/>
      <c r="J283" s="632"/>
      <c r="K283" s="632"/>
      <c r="L283" s="632"/>
      <c r="M283" s="632"/>
      <c r="N283" s="632"/>
      <c r="O283" s="632"/>
      <c r="P283" s="632"/>
      <c r="Q283" s="632"/>
      <c r="R283" s="519"/>
      <c r="S283" s="633"/>
      <c r="T283" s="634"/>
      <c r="U283" s="633"/>
      <c r="V283" s="518"/>
      <c r="W283" s="411"/>
      <c r="X283" s="406"/>
    </row>
    <row r="284" spans="1:24" x14ac:dyDescent="0.3">
      <c r="A284" s="533"/>
      <c r="B284" s="534" t="s">
        <v>166</v>
      </c>
      <c r="C284" s="622"/>
      <c r="D284" s="622"/>
      <c r="E284" s="622"/>
      <c r="F284" s="622"/>
      <c r="G284" s="622"/>
      <c r="H284" s="635"/>
      <c r="I284" s="635"/>
      <c r="J284" s="635"/>
      <c r="K284" s="635"/>
      <c r="L284" s="635"/>
      <c r="M284" s="635"/>
      <c r="N284" s="635"/>
      <c r="O284" s="635"/>
      <c r="P284" s="635"/>
      <c r="Q284" s="635"/>
      <c r="R284" s="621" t="s">
        <v>103</v>
      </c>
      <c r="S284" s="535" t="s">
        <v>104</v>
      </c>
      <c r="T284" s="621" t="s">
        <v>111</v>
      </c>
      <c r="U284" s="535" t="s">
        <v>104</v>
      </c>
      <c r="V284" s="622"/>
      <c r="W284" s="538"/>
      <c r="X284" s="406"/>
    </row>
    <row r="285" spans="1:24" s="426" customFormat="1" x14ac:dyDescent="0.3">
      <c r="A285" s="421"/>
      <c r="B285" s="552" t="s">
        <v>89</v>
      </c>
      <c r="C285" s="494"/>
      <c r="D285" s="494"/>
      <c r="E285" s="494"/>
      <c r="F285" s="494"/>
      <c r="G285" s="494"/>
      <c r="H285" s="636"/>
      <c r="I285" s="636"/>
      <c r="J285" s="636"/>
      <c r="K285" s="636"/>
      <c r="L285" s="636"/>
      <c r="M285" s="636"/>
      <c r="N285" s="636"/>
      <c r="O285" s="636"/>
      <c r="P285" s="636"/>
      <c r="Q285" s="636"/>
      <c r="R285" s="552">
        <v>0</v>
      </c>
      <c r="S285" s="630">
        <v>0</v>
      </c>
      <c r="T285" s="631">
        <v>0</v>
      </c>
      <c r="U285" s="630">
        <v>0</v>
      </c>
      <c r="V285" s="494"/>
      <c r="W285" s="424"/>
      <c r="X285" s="425"/>
    </row>
    <row r="286" spans="1:24" s="426" customFormat="1" x14ac:dyDescent="0.3">
      <c r="A286" s="443"/>
      <c r="B286" s="516" t="s">
        <v>90</v>
      </c>
      <c r="C286" s="444"/>
      <c r="D286" s="444"/>
      <c r="E286" s="444"/>
      <c r="F286" s="444"/>
      <c r="G286" s="444"/>
      <c r="H286" s="629"/>
      <c r="I286" s="629"/>
      <c r="J286" s="629"/>
      <c r="K286" s="629"/>
      <c r="L286" s="629"/>
      <c r="M286" s="629"/>
      <c r="N286" s="629"/>
      <c r="O286" s="629"/>
      <c r="P286" s="629"/>
      <c r="Q286" s="629"/>
      <c r="R286" s="516">
        <v>0</v>
      </c>
      <c r="S286" s="628">
        <v>0</v>
      </c>
      <c r="T286" s="517">
        <v>0</v>
      </c>
      <c r="U286" s="628">
        <v>0</v>
      </c>
      <c r="V286" s="444"/>
      <c r="W286" s="446"/>
      <c r="X286" s="425"/>
    </row>
    <row r="287" spans="1:24" s="426" customFormat="1" x14ac:dyDescent="0.3">
      <c r="A287" s="443"/>
      <c r="B287" s="516" t="s">
        <v>91</v>
      </c>
      <c r="C287" s="444"/>
      <c r="D287" s="444"/>
      <c r="E287" s="444"/>
      <c r="F287" s="444"/>
      <c r="G287" s="444"/>
      <c r="H287" s="629"/>
      <c r="I287" s="629"/>
      <c r="J287" s="629"/>
      <c r="K287" s="629"/>
      <c r="L287" s="629"/>
      <c r="M287" s="629"/>
      <c r="N287" s="629"/>
      <c r="O287" s="629"/>
      <c r="P287" s="629"/>
      <c r="Q287" s="629"/>
      <c r="R287" s="516">
        <v>0</v>
      </c>
      <c r="S287" s="628">
        <v>0</v>
      </c>
      <c r="T287" s="517">
        <v>0</v>
      </c>
      <c r="U287" s="628">
        <v>0</v>
      </c>
      <c r="V287" s="444"/>
      <c r="W287" s="446"/>
      <c r="X287" s="425"/>
    </row>
    <row r="288" spans="1:24" s="426" customFormat="1" x14ac:dyDescent="0.3">
      <c r="A288" s="443"/>
      <c r="B288" s="516" t="s">
        <v>159</v>
      </c>
      <c r="C288" s="444"/>
      <c r="D288" s="444"/>
      <c r="E288" s="444"/>
      <c r="F288" s="444"/>
      <c r="G288" s="444"/>
      <c r="H288" s="629"/>
      <c r="I288" s="629"/>
      <c r="J288" s="629"/>
      <c r="K288" s="629"/>
      <c r="L288" s="629"/>
      <c r="M288" s="629"/>
      <c r="N288" s="629"/>
      <c r="O288" s="629"/>
      <c r="P288" s="629"/>
      <c r="Q288" s="629"/>
      <c r="R288" s="516">
        <v>0</v>
      </c>
      <c r="S288" s="628">
        <v>0</v>
      </c>
      <c r="T288" s="517">
        <v>0</v>
      </c>
      <c r="U288" s="628">
        <v>0</v>
      </c>
      <c r="V288" s="444"/>
      <c r="W288" s="446"/>
      <c r="X288" s="425"/>
    </row>
    <row r="289" spans="1:24" s="426" customFormat="1" x14ac:dyDescent="0.3">
      <c r="A289" s="443"/>
      <c r="B289" s="516" t="s">
        <v>160</v>
      </c>
      <c r="C289" s="444"/>
      <c r="D289" s="444"/>
      <c r="E289" s="444"/>
      <c r="F289" s="444"/>
      <c r="G289" s="444"/>
      <c r="H289" s="629"/>
      <c r="I289" s="629"/>
      <c r="J289" s="629"/>
      <c r="K289" s="629"/>
      <c r="L289" s="629"/>
      <c r="M289" s="629"/>
      <c r="N289" s="629"/>
      <c r="O289" s="629"/>
      <c r="P289" s="629"/>
      <c r="Q289" s="629"/>
      <c r="R289" s="516">
        <v>0</v>
      </c>
      <c r="S289" s="628">
        <v>0</v>
      </c>
      <c r="T289" s="517">
        <v>0</v>
      </c>
      <c r="U289" s="628">
        <v>0</v>
      </c>
      <c r="V289" s="444"/>
      <c r="W289" s="446"/>
      <c r="X289" s="425"/>
    </row>
    <row r="290" spans="1:24" s="426" customFormat="1" x14ac:dyDescent="0.3">
      <c r="A290" s="443"/>
      <c r="B290" s="516" t="s">
        <v>161</v>
      </c>
      <c r="C290" s="444"/>
      <c r="D290" s="444"/>
      <c r="E290" s="444"/>
      <c r="F290" s="444"/>
      <c r="G290" s="444"/>
      <c r="H290" s="629"/>
      <c r="I290" s="629"/>
      <c r="J290" s="629"/>
      <c r="K290" s="629"/>
      <c r="L290" s="629"/>
      <c r="M290" s="629"/>
      <c r="N290" s="629"/>
      <c r="O290" s="629"/>
      <c r="P290" s="629"/>
      <c r="Q290" s="629"/>
      <c r="R290" s="516">
        <v>0</v>
      </c>
      <c r="S290" s="628">
        <v>0</v>
      </c>
      <c r="T290" s="517">
        <v>0</v>
      </c>
      <c r="U290" s="628">
        <v>0</v>
      </c>
      <c r="V290" s="444"/>
      <c r="W290" s="446"/>
      <c r="X290" s="425"/>
    </row>
    <row r="291" spans="1:24" s="426" customFormat="1" x14ac:dyDescent="0.3">
      <c r="A291" s="443"/>
      <c r="B291" s="516" t="s">
        <v>162</v>
      </c>
      <c r="C291" s="444"/>
      <c r="D291" s="444"/>
      <c r="E291" s="444"/>
      <c r="F291" s="444"/>
      <c r="G291" s="444"/>
      <c r="H291" s="629"/>
      <c r="I291" s="629"/>
      <c r="J291" s="629"/>
      <c r="K291" s="629"/>
      <c r="L291" s="629"/>
      <c r="M291" s="629"/>
      <c r="N291" s="629"/>
      <c r="O291" s="629"/>
      <c r="P291" s="629"/>
      <c r="Q291" s="629"/>
      <c r="R291" s="516">
        <v>0</v>
      </c>
      <c r="S291" s="628">
        <v>0</v>
      </c>
      <c r="T291" s="517">
        <v>0</v>
      </c>
      <c r="U291" s="628">
        <v>0</v>
      </c>
      <c r="V291" s="444"/>
      <c r="W291" s="446"/>
      <c r="X291" s="425"/>
    </row>
    <row r="292" spans="1:24" s="426" customFormat="1" x14ac:dyDescent="0.3">
      <c r="A292" s="443"/>
      <c r="B292" s="516" t="s">
        <v>163</v>
      </c>
      <c r="C292" s="444"/>
      <c r="D292" s="444"/>
      <c r="E292" s="444"/>
      <c r="F292" s="444"/>
      <c r="G292" s="444"/>
      <c r="H292" s="629"/>
      <c r="I292" s="629"/>
      <c r="J292" s="629"/>
      <c r="K292" s="629"/>
      <c r="L292" s="629"/>
      <c r="M292" s="629"/>
      <c r="N292" s="629"/>
      <c r="O292" s="629"/>
      <c r="P292" s="629"/>
      <c r="Q292" s="629"/>
      <c r="R292" s="516">
        <v>0</v>
      </c>
      <c r="S292" s="628">
        <v>0</v>
      </c>
      <c r="T292" s="517">
        <v>0</v>
      </c>
      <c r="U292" s="628">
        <v>0</v>
      </c>
      <c r="V292" s="444"/>
      <c r="W292" s="446"/>
      <c r="X292" s="425"/>
    </row>
    <row r="293" spans="1:24" s="426" customFormat="1" x14ac:dyDescent="0.3">
      <c r="A293" s="443"/>
      <c r="B293" s="516"/>
      <c r="C293" s="444"/>
      <c r="D293" s="444"/>
      <c r="E293" s="444"/>
      <c r="F293" s="444"/>
      <c r="G293" s="444"/>
      <c r="H293" s="629"/>
      <c r="I293" s="629"/>
      <c r="J293" s="629"/>
      <c r="K293" s="629"/>
      <c r="L293" s="629"/>
      <c r="M293" s="629"/>
      <c r="N293" s="629"/>
      <c r="O293" s="629"/>
      <c r="P293" s="629"/>
      <c r="Q293" s="629"/>
      <c r="R293" s="516"/>
      <c r="S293" s="628"/>
      <c r="T293" s="517"/>
      <c r="U293" s="628"/>
      <c r="V293" s="444"/>
      <c r="W293" s="446"/>
      <c r="X293" s="425"/>
    </row>
    <row r="294" spans="1:24" s="426" customFormat="1" x14ac:dyDescent="0.3">
      <c r="A294" s="443"/>
      <c r="B294" s="444" t="s">
        <v>117</v>
      </c>
      <c r="C294" s="444"/>
      <c r="D294" s="444"/>
      <c r="E294" s="444"/>
      <c r="F294" s="444"/>
      <c r="G294" s="444"/>
      <c r="H294" s="629"/>
      <c r="I294" s="629"/>
      <c r="J294" s="629"/>
      <c r="K294" s="629"/>
      <c r="L294" s="629"/>
      <c r="M294" s="629"/>
      <c r="N294" s="629"/>
      <c r="O294" s="629"/>
      <c r="P294" s="629"/>
      <c r="Q294" s="629"/>
      <c r="R294" s="516">
        <f>SUM(R285:R292)</f>
        <v>0</v>
      </c>
      <c r="S294" s="628">
        <f>SUM(S285:S292)</f>
        <v>0</v>
      </c>
      <c r="T294" s="517">
        <f>SUM(T285:T292)</f>
        <v>0</v>
      </c>
      <c r="U294" s="628">
        <f>SUM(U285:U292)</f>
        <v>0</v>
      </c>
      <c r="V294" s="444"/>
      <c r="W294" s="446"/>
      <c r="X294" s="425"/>
    </row>
    <row r="295" spans="1:24" s="426" customFormat="1" x14ac:dyDescent="0.3">
      <c r="A295" s="443"/>
      <c r="B295" s="444"/>
      <c r="C295" s="444"/>
      <c r="D295" s="444"/>
      <c r="E295" s="444"/>
      <c r="F295" s="444"/>
      <c r="G295" s="444"/>
      <c r="H295" s="629"/>
      <c r="I295" s="629"/>
      <c r="J295" s="629"/>
      <c r="K295" s="629"/>
      <c r="L295" s="629"/>
      <c r="M295" s="629"/>
      <c r="N295" s="629"/>
      <c r="O295" s="629"/>
      <c r="P295" s="629"/>
      <c r="Q295" s="629"/>
      <c r="R295" s="516"/>
      <c r="S295" s="628"/>
      <c r="T295" s="517"/>
      <c r="U295" s="628"/>
      <c r="V295" s="444"/>
      <c r="W295" s="446"/>
      <c r="X295" s="425"/>
    </row>
    <row r="296" spans="1:24" s="426" customFormat="1" x14ac:dyDescent="0.3">
      <c r="A296" s="443"/>
      <c r="B296" s="449" t="s">
        <v>167</v>
      </c>
      <c r="C296" s="444"/>
      <c r="D296" s="444"/>
      <c r="E296" s="444"/>
      <c r="F296" s="444"/>
      <c r="G296" s="444"/>
      <c r="H296" s="629"/>
      <c r="I296" s="629"/>
      <c r="J296" s="629"/>
      <c r="K296" s="629"/>
      <c r="L296" s="629"/>
      <c r="M296" s="629"/>
      <c r="N296" s="629"/>
      <c r="O296" s="629"/>
      <c r="P296" s="629"/>
      <c r="Q296" s="629"/>
      <c r="R296" s="637">
        <f>R294+R272+R260</f>
        <v>5069</v>
      </c>
      <c r="S296" s="628"/>
      <c r="T296" s="638">
        <f>+T294+T272+T260</f>
        <v>648904</v>
      </c>
      <c r="U296" s="628"/>
      <c r="V296" s="444"/>
      <c r="W296" s="446"/>
      <c r="X296" s="425"/>
    </row>
    <row r="297" spans="1:24" s="426" customFormat="1" x14ac:dyDescent="0.3">
      <c r="A297" s="421"/>
      <c r="B297" s="650"/>
      <c r="C297" s="494"/>
      <c r="D297" s="494"/>
      <c r="E297" s="494"/>
      <c r="F297" s="494"/>
      <c r="G297" s="494"/>
      <c r="H297" s="636"/>
      <c r="I297" s="636"/>
      <c r="J297" s="636"/>
      <c r="K297" s="636"/>
      <c r="L297" s="636"/>
      <c r="M297" s="636"/>
      <c r="N297" s="636"/>
      <c r="O297" s="636"/>
      <c r="P297" s="636"/>
      <c r="Q297" s="636"/>
      <c r="R297" s="651"/>
      <c r="S297" s="630"/>
      <c r="T297" s="652"/>
      <c r="U297" s="630"/>
      <c r="V297" s="494"/>
      <c r="W297" s="424"/>
      <c r="X297" s="425"/>
    </row>
    <row r="298" spans="1:24" s="426" customFormat="1" x14ac:dyDescent="0.3">
      <c r="A298" s="653" t="s">
        <v>390</v>
      </c>
      <c r="B298" s="654" t="s">
        <v>389</v>
      </c>
      <c r="C298" s="655"/>
      <c r="D298" s="655"/>
      <c r="E298" s="655"/>
      <c r="F298" s="655"/>
      <c r="G298" s="655"/>
      <c r="H298" s="656"/>
      <c r="I298" s="656"/>
      <c r="J298" s="656"/>
      <c r="K298" s="656"/>
      <c r="L298" s="656"/>
      <c r="M298" s="656"/>
      <c r="N298" s="656"/>
      <c r="O298" s="635"/>
      <c r="P298" s="635"/>
      <c r="Q298" s="635"/>
      <c r="R298" s="657" t="s">
        <v>103</v>
      </c>
      <c r="S298" s="658" t="s">
        <v>104</v>
      </c>
      <c r="T298" s="657" t="s">
        <v>111</v>
      </c>
      <c r="U298" s="658" t="s">
        <v>104</v>
      </c>
      <c r="V298" s="654" t="s">
        <v>419</v>
      </c>
      <c r="W298" s="538"/>
      <c r="X298" s="425"/>
    </row>
    <row r="299" spans="1:24" s="426" customFormat="1" x14ac:dyDescent="0.3">
      <c r="A299" s="659"/>
      <c r="B299" s="660" t="s">
        <v>89</v>
      </c>
      <c r="C299" s="661"/>
      <c r="D299" s="661"/>
      <c r="E299" s="661"/>
      <c r="F299" s="661"/>
      <c r="G299" s="661"/>
      <c r="H299" s="662"/>
      <c r="I299" s="662"/>
      <c r="J299" s="662"/>
      <c r="K299" s="662"/>
      <c r="L299" s="662"/>
      <c r="M299" s="662"/>
      <c r="N299" s="662"/>
      <c r="O299" s="636"/>
      <c r="P299" s="636"/>
      <c r="Q299" s="636"/>
      <c r="R299" s="660">
        <v>24</v>
      </c>
      <c r="S299" s="663">
        <f>R299/$R$308</f>
        <v>0.8571428571428571</v>
      </c>
      <c r="T299" s="664">
        <v>3109</v>
      </c>
      <c r="U299" s="663">
        <f>T299/$T$308</f>
        <v>0.85201425047958346</v>
      </c>
      <c r="V299" s="494"/>
      <c r="W299" s="424"/>
      <c r="X299" s="425"/>
    </row>
    <row r="300" spans="1:24" s="426" customFormat="1" x14ac:dyDescent="0.3">
      <c r="A300" s="665"/>
      <c r="B300" s="666" t="s">
        <v>90</v>
      </c>
      <c r="C300" s="667"/>
      <c r="D300" s="667"/>
      <c r="E300" s="667"/>
      <c r="F300" s="667"/>
      <c r="G300" s="667"/>
      <c r="H300" s="668"/>
      <c r="I300" s="668"/>
      <c r="J300" s="668"/>
      <c r="K300" s="668"/>
      <c r="L300" s="668"/>
      <c r="M300" s="668"/>
      <c r="N300" s="668"/>
      <c r="O300" s="629"/>
      <c r="P300" s="629"/>
      <c r="Q300" s="629"/>
      <c r="R300" s="666">
        <v>1</v>
      </c>
      <c r="S300" s="672">
        <f t="shared" ref="S300:S306" si="9">R300/$R$308</f>
        <v>3.5714285714285712E-2</v>
      </c>
      <c r="T300" s="670">
        <v>98</v>
      </c>
      <c r="U300" s="669">
        <f t="shared" ref="U300:U306" si="10">T300/$T$308</f>
        <v>2.6856673061112633E-2</v>
      </c>
      <c r="V300" s="444"/>
      <c r="W300" s="446"/>
      <c r="X300" s="425"/>
    </row>
    <row r="301" spans="1:24" s="426" customFormat="1" x14ac:dyDescent="0.3">
      <c r="A301" s="665"/>
      <c r="B301" s="666" t="s">
        <v>91</v>
      </c>
      <c r="C301" s="667"/>
      <c r="D301" s="667"/>
      <c r="E301" s="667"/>
      <c r="F301" s="667"/>
      <c r="G301" s="667"/>
      <c r="H301" s="668"/>
      <c r="I301" s="668"/>
      <c r="J301" s="668"/>
      <c r="K301" s="668"/>
      <c r="L301" s="668"/>
      <c r="M301" s="668"/>
      <c r="N301" s="668"/>
      <c r="O301" s="629"/>
      <c r="P301" s="629"/>
      <c r="Q301" s="629"/>
      <c r="R301" s="666">
        <v>3</v>
      </c>
      <c r="S301" s="672">
        <f t="shared" si="9"/>
        <v>0.10714285714285714</v>
      </c>
      <c r="T301" s="670">
        <v>442</v>
      </c>
      <c r="U301" s="669">
        <f t="shared" si="10"/>
        <v>0.12112907645930392</v>
      </c>
      <c r="V301" s="444"/>
      <c r="W301" s="446"/>
      <c r="X301" s="425"/>
    </row>
    <row r="302" spans="1:24" s="426" customFormat="1" x14ac:dyDescent="0.3">
      <c r="A302" s="665"/>
      <c r="B302" s="666" t="s">
        <v>159</v>
      </c>
      <c r="C302" s="667"/>
      <c r="D302" s="667"/>
      <c r="E302" s="667"/>
      <c r="F302" s="667"/>
      <c r="G302" s="667"/>
      <c r="H302" s="668"/>
      <c r="I302" s="668"/>
      <c r="J302" s="668"/>
      <c r="K302" s="668"/>
      <c r="L302" s="668"/>
      <c r="M302" s="668"/>
      <c r="N302" s="668"/>
      <c r="O302" s="629"/>
      <c r="P302" s="629"/>
      <c r="Q302" s="629"/>
      <c r="R302" s="666">
        <v>0</v>
      </c>
      <c r="S302" s="672">
        <f t="shared" si="9"/>
        <v>0</v>
      </c>
      <c r="T302" s="670">
        <v>0</v>
      </c>
      <c r="U302" s="669">
        <f t="shared" si="10"/>
        <v>0</v>
      </c>
      <c r="V302" s="444"/>
      <c r="W302" s="446"/>
      <c r="X302" s="425"/>
    </row>
    <row r="303" spans="1:24" s="426" customFormat="1" x14ac:dyDescent="0.3">
      <c r="A303" s="665"/>
      <c r="B303" s="666" t="s">
        <v>160</v>
      </c>
      <c r="C303" s="667"/>
      <c r="D303" s="667"/>
      <c r="E303" s="667"/>
      <c r="F303" s="667"/>
      <c r="G303" s="667"/>
      <c r="H303" s="668"/>
      <c r="I303" s="668"/>
      <c r="J303" s="668"/>
      <c r="K303" s="668"/>
      <c r="L303" s="668"/>
      <c r="M303" s="668"/>
      <c r="N303" s="668"/>
      <c r="O303" s="629"/>
      <c r="P303" s="629"/>
      <c r="Q303" s="629"/>
      <c r="R303" s="666">
        <v>0</v>
      </c>
      <c r="S303" s="672">
        <f t="shared" si="9"/>
        <v>0</v>
      </c>
      <c r="T303" s="670">
        <v>0</v>
      </c>
      <c r="U303" s="669">
        <f t="shared" si="10"/>
        <v>0</v>
      </c>
      <c r="V303" s="444"/>
      <c r="W303" s="446"/>
      <c r="X303" s="425"/>
    </row>
    <row r="304" spans="1:24" s="426" customFormat="1" x14ac:dyDescent="0.3">
      <c r="A304" s="665"/>
      <c r="B304" s="666" t="s">
        <v>161</v>
      </c>
      <c r="C304" s="667"/>
      <c r="D304" s="667"/>
      <c r="E304" s="667"/>
      <c r="F304" s="667"/>
      <c r="G304" s="667"/>
      <c r="H304" s="668"/>
      <c r="I304" s="668"/>
      <c r="J304" s="668"/>
      <c r="K304" s="668"/>
      <c r="L304" s="668"/>
      <c r="M304" s="668"/>
      <c r="N304" s="668"/>
      <c r="O304" s="629"/>
      <c r="P304" s="629"/>
      <c r="Q304" s="629"/>
      <c r="R304" s="666">
        <v>0</v>
      </c>
      <c r="S304" s="672">
        <f t="shared" si="9"/>
        <v>0</v>
      </c>
      <c r="T304" s="670">
        <v>0</v>
      </c>
      <c r="U304" s="669">
        <f t="shared" si="10"/>
        <v>0</v>
      </c>
      <c r="V304" s="444"/>
      <c r="W304" s="446"/>
      <c r="X304" s="425"/>
    </row>
    <row r="305" spans="1:24" s="426" customFormat="1" x14ac:dyDescent="0.3">
      <c r="A305" s="665"/>
      <c r="B305" s="666" t="s">
        <v>162</v>
      </c>
      <c r="C305" s="667"/>
      <c r="D305" s="667"/>
      <c r="E305" s="667"/>
      <c r="F305" s="667"/>
      <c r="G305" s="667"/>
      <c r="H305" s="668"/>
      <c r="I305" s="668"/>
      <c r="J305" s="668"/>
      <c r="K305" s="668"/>
      <c r="L305" s="668"/>
      <c r="M305" s="668"/>
      <c r="N305" s="668"/>
      <c r="O305" s="629"/>
      <c r="P305" s="629"/>
      <c r="Q305" s="629"/>
      <c r="R305" s="666">
        <v>0</v>
      </c>
      <c r="S305" s="672">
        <f t="shared" si="9"/>
        <v>0</v>
      </c>
      <c r="T305" s="670">
        <v>0</v>
      </c>
      <c r="U305" s="669">
        <f t="shared" si="10"/>
        <v>0</v>
      </c>
      <c r="V305" s="444"/>
      <c r="W305" s="446"/>
      <c r="X305" s="425"/>
    </row>
    <row r="306" spans="1:24" s="426" customFormat="1" x14ac:dyDescent="0.3">
      <c r="A306" s="665"/>
      <c r="B306" s="666" t="s">
        <v>163</v>
      </c>
      <c r="C306" s="667"/>
      <c r="D306" s="667"/>
      <c r="E306" s="667"/>
      <c r="F306" s="667"/>
      <c r="G306" s="667"/>
      <c r="H306" s="668"/>
      <c r="I306" s="668"/>
      <c r="J306" s="668"/>
      <c r="K306" s="668"/>
      <c r="L306" s="668"/>
      <c r="M306" s="668"/>
      <c r="N306" s="668"/>
      <c r="O306" s="629"/>
      <c r="P306" s="629"/>
      <c r="Q306" s="629"/>
      <c r="R306" s="666">
        <v>0</v>
      </c>
      <c r="S306" s="663">
        <f t="shared" si="9"/>
        <v>0</v>
      </c>
      <c r="T306" s="670">
        <v>0</v>
      </c>
      <c r="U306" s="669">
        <f t="shared" si="10"/>
        <v>0</v>
      </c>
      <c r="V306" s="444"/>
      <c r="W306" s="446"/>
      <c r="X306" s="425"/>
    </row>
    <row r="307" spans="1:24" s="426" customFormat="1" x14ac:dyDescent="0.3">
      <c r="A307" s="665"/>
      <c r="B307" s="666"/>
      <c r="C307" s="667"/>
      <c r="D307" s="667"/>
      <c r="E307" s="667"/>
      <c r="F307" s="667"/>
      <c r="G307" s="667"/>
      <c r="H307" s="668"/>
      <c r="I307" s="668"/>
      <c r="J307" s="668"/>
      <c r="K307" s="668"/>
      <c r="L307" s="668"/>
      <c r="M307" s="668"/>
      <c r="N307" s="668"/>
      <c r="O307" s="629"/>
      <c r="P307" s="629"/>
      <c r="Q307" s="629"/>
      <c r="R307" s="666"/>
      <c r="S307" s="669"/>
      <c r="T307" s="670"/>
      <c r="U307" s="669"/>
      <c r="V307" s="444"/>
      <c r="W307" s="446"/>
      <c r="X307" s="425"/>
    </row>
    <row r="308" spans="1:24" s="426" customFormat="1" x14ac:dyDescent="0.3">
      <c r="A308" s="665"/>
      <c r="B308" s="667" t="s">
        <v>117</v>
      </c>
      <c r="C308" s="667"/>
      <c r="D308" s="667"/>
      <c r="E308" s="667"/>
      <c r="F308" s="667"/>
      <c r="G308" s="667"/>
      <c r="H308" s="668"/>
      <c r="I308" s="668"/>
      <c r="J308" s="668"/>
      <c r="K308" s="668"/>
      <c r="L308" s="668"/>
      <c r="M308" s="668"/>
      <c r="N308" s="668"/>
      <c r="O308" s="629"/>
      <c r="P308" s="629"/>
      <c r="Q308" s="629"/>
      <c r="R308" s="666">
        <f>SUM(R299:R306)</f>
        <v>28</v>
      </c>
      <c r="S308" s="669">
        <f>SUM(S299:S307)</f>
        <v>0.99999999999999989</v>
      </c>
      <c r="T308" s="670">
        <f>SUM(T299:T306)</f>
        <v>3649</v>
      </c>
      <c r="U308" s="669">
        <f>SUM(U299:U307)</f>
        <v>1</v>
      </c>
      <c r="V308" s="444"/>
      <c r="W308" s="446"/>
      <c r="X308" s="425"/>
    </row>
    <row r="309" spans="1:24" s="426" customFormat="1" ht="16.2" thickBot="1" x14ac:dyDescent="0.35">
      <c r="A309" s="665"/>
      <c r="B309" s="667" t="s">
        <v>411</v>
      </c>
      <c r="C309" s="667"/>
      <c r="D309" s="667"/>
      <c r="E309" s="667"/>
      <c r="F309" s="667"/>
      <c r="G309" s="667"/>
      <c r="H309" s="668"/>
      <c r="I309" s="668"/>
      <c r="J309" s="668"/>
      <c r="K309" s="668"/>
      <c r="L309" s="668"/>
      <c r="M309" s="668"/>
      <c r="N309" s="668"/>
      <c r="O309" s="629"/>
      <c r="P309" s="629"/>
      <c r="Q309" s="629"/>
      <c r="R309" s="683"/>
      <c r="S309" s="684">
        <f>R308/R296</f>
        <v>5.5237719471296111E-3</v>
      </c>
      <c r="T309" s="685"/>
      <c r="U309" s="684">
        <f>T308/T296</f>
        <v>5.6233279498970569E-3</v>
      </c>
      <c r="V309" s="686"/>
      <c r="W309" s="446"/>
      <c r="X309" s="425"/>
    </row>
    <row r="310" spans="1:24" s="426" customFormat="1" ht="16.2" thickTop="1" x14ac:dyDescent="0.3">
      <c r="A310" s="665"/>
      <c r="B310" s="667" t="s">
        <v>420</v>
      </c>
      <c r="C310" s="667"/>
      <c r="D310" s="667"/>
      <c r="E310" s="667"/>
      <c r="F310" s="667"/>
      <c r="G310" s="667"/>
      <c r="H310" s="668"/>
      <c r="I310" s="668"/>
      <c r="J310" s="668"/>
      <c r="K310" s="668"/>
      <c r="L310" s="668"/>
      <c r="M310" s="668"/>
      <c r="N310" s="668"/>
      <c r="O310" s="629"/>
      <c r="P310" s="629"/>
      <c r="Q310" s="629"/>
      <c r="R310" s="687">
        <v>6</v>
      </c>
      <c r="S310" s="688">
        <f>R310/R308</f>
        <v>0.21428571428571427</v>
      </c>
      <c r="T310" s="689">
        <v>605</v>
      </c>
      <c r="U310" s="688">
        <f>T310/T308</f>
        <v>0.16579884899972594</v>
      </c>
      <c r="V310" s="690">
        <v>0.81720430107526876</v>
      </c>
      <c r="W310" s="446"/>
      <c r="X310" s="425"/>
    </row>
    <row r="311" spans="1:24" s="426" customFormat="1" ht="16.2" thickBot="1" x14ac:dyDescent="0.35">
      <c r="A311" s="665"/>
      <c r="B311" s="667" t="s">
        <v>421</v>
      </c>
      <c r="C311" s="667"/>
      <c r="D311" s="667"/>
      <c r="E311" s="667"/>
      <c r="F311" s="667"/>
      <c r="G311" s="667"/>
      <c r="H311" s="668"/>
      <c r="I311" s="668"/>
      <c r="J311" s="668"/>
      <c r="K311" s="668"/>
      <c r="L311" s="668"/>
      <c r="M311" s="668"/>
      <c r="N311" s="668"/>
      <c r="O311" s="629"/>
      <c r="P311" s="629"/>
      <c r="Q311" s="629"/>
      <c r="R311" s="691">
        <v>22</v>
      </c>
      <c r="S311" s="692">
        <f>R311/R308</f>
        <v>0.7857142857142857</v>
      </c>
      <c r="T311" s="693">
        <v>3044</v>
      </c>
      <c r="U311" s="692">
        <f>T311/T308</f>
        <v>0.83420115100027403</v>
      </c>
      <c r="V311" s="694">
        <v>0.70527859237536661</v>
      </c>
      <c r="W311" s="446"/>
      <c r="X311" s="425"/>
    </row>
    <row r="312" spans="1:24" s="426" customFormat="1" ht="16.2" thickTop="1" x14ac:dyDescent="0.3">
      <c r="A312" s="421"/>
      <c r="B312" s="494"/>
      <c r="C312" s="494"/>
      <c r="D312" s="494"/>
      <c r="E312" s="494"/>
      <c r="F312" s="494"/>
      <c r="G312" s="494"/>
      <c r="H312" s="636"/>
      <c r="I312" s="636"/>
      <c r="J312" s="636"/>
      <c r="K312" s="636"/>
      <c r="L312" s="636"/>
      <c r="M312" s="636"/>
      <c r="N312" s="636"/>
      <c r="O312" s="671"/>
      <c r="P312" s="671"/>
      <c r="Q312" s="636"/>
      <c r="R312" s="636"/>
      <c r="S312" s="636"/>
      <c r="T312" s="631"/>
      <c r="U312" s="636"/>
      <c r="V312" s="494"/>
      <c r="W312" s="424"/>
      <c r="X312" s="425"/>
    </row>
    <row r="313" spans="1:24" s="426" customFormat="1" x14ac:dyDescent="0.3">
      <c r="A313" s="421"/>
      <c r="B313" s="420" t="s">
        <v>92</v>
      </c>
      <c r="C313" s="422"/>
      <c r="D313" s="422"/>
      <c r="E313" s="422"/>
      <c r="F313" s="429" t="s">
        <v>98</v>
      </c>
      <c r="G313" s="422"/>
      <c r="H313" s="420" t="s">
        <v>100</v>
      </c>
      <c r="I313" s="420"/>
      <c r="J313" s="420"/>
      <c r="K313" s="422"/>
      <c r="L313" s="422"/>
      <c r="M313" s="422"/>
      <c r="N313" s="422"/>
      <c r="O313" s="422"/>
      <c r="P313" s="422"/>
      <c r="Q313" s="422"/>
      <c r="R313" s="422"/>
      <c r="S313" s="422"/>
      <c r="T313" s="422"/>
      <c r="U313" s="422"/>
      <c r="V313" s="422"/>
      <c r="W313" s="424"/>
      <c r="X313" s="425"/>
    </row>
    <row r="314" spans="1:24" s="426" customFormat="1" x14ac:dyDescent="0.3">
      <c r="A314" s="421"/>
      <c r="B314" s="420" t="s">
        <v>336</v>
      </c>
      <c r="C314" s="420"/>
      <c r="D314" s="420"/>
      <c r="E314" s="420"/>
      <c r="F314" s="641" t="s">
        <v>282</v>
      </c>
      <c r="G314" s="420"/>
      <c r="H314" s="420" t="s">
        <v>371</v>
      </c>
      <c r="I314" s="422"/>
      <c r="J314" s="420"/>
      <c r="K314" s="422"/>
      <c r="L314" s="422"/>
      <c r="M314" s="422"/>
      <c r="N314" s="422"/>
      <c r="O314" s="422"/>
      <c r="P314" s="422"/>
      <c r="Q314" s="422"/>
      <c r="R314" s="422"/>
      <c r="S314" s="422"/>
      <c r="T314" s="422"/>
      <c r="U314" s="422"/>
      <c r="V314" s="422"/>
      <c r="W314" s="424"/>
      <c r="X314" s="425"/>
    </row>
    <row r="315" spans="1:24" s="426" customFormat="1" x14ac:dyDescent="0.3">
      <c r="A315" s="421"/>
      <c r="B315" s="420" t="s">
        <v>337</v>
      </c>
      <c r="C315" s="420"/>
      <c r="D315" s="420"/>
      <c r="E315" s="420"/>
      <c r="F315" s="641" t="s">
        <v>150</v>
      </c>
      <c r="G315" s="420"/>
      <c r="H315" s="420" t="s">
        <v>372</v>
      </c>
      <c r="I315" s="420"/>
      <c r="J315" s="420"/>
      <c r="K315" s="422"/>
      <c r="L315" s="422"/>
      <c r="M315" s="422"/>
      <c r="N315" s="422"/>
      <c r="O315" s="422"/>
      <c r="P315" s="422"/>
      <c r="Q315" s="422"/>
      <c r="R315" s="422"/>
      <c r="S315" s="422"/>
      <c r="T315" s="422"/>
      <c r="U315" s="422"/>
      <c r="V315" s="422"/>
      <c r="W315" s="424"/>
      <c r="X315" s="425"/>
    </row>
    <row r="316" spans="1:24" s="426" customFormat="1" x14ac:dyDescent="0.3">
      <c r="A316" s="421"/>
      <c r="B316" s="420"/>
      <c r="C316" s="420"/>
      <c r="D316" s="420"/>
      <c r="E316" s="420"/>
      <c r="F316" s="641"/>
      <c r="G316" s="420"/>
      <c r="H316" s="420"/>
      <c r="I316" s="420"/>
      <c r="J316" s="420"/>
      <c r="K316" s="422"/>
      <c r="L316" s="422"/>
      <c r="M316" s="422"/>
      <c r="N316" s="422"/>
      <c r="O316" s="422"/>
      <c r="P316" s="422"/>
      <c r="Q316" s="422"/>
      <c r="R316" s="422"/>
      <c r="S316" s="422"/>
      <c r="T316" s="422"/>
      <c r="U316" s="422"/>
      <c r="V316" s="422"/>
      <c r="W316" s="424"/>
      <c r="X316" s="425"/>
    </row>
    <row r="317" spans="1:24" s="426" customFormat="1" x14ac:dyDescent="0.3">
      <c r="A317" s="421"/>
      <c r="B317" s="494" t="s">
        <v>367</v>
      </c>
      <c r="C317" s="420"/>
      <c r="D317" s="420"/>
      <c r="E317" s="420"/>
      <c r="F317" s="641"/>
      <c r="G317" s="420"/>
      <c r="H317" s="420"/>
      <c r="I317" s="420"/>
      <c r="J317" s="420"/>
      <c r="K317" s="422"/>
      <c r="L317" s="422"/>
      <c r="M317" s="422"/>
      <c r="N317" s="422"/>
      <c r="O317" s="422"/>
      <c r="P317" s="422"/>
      <c r="Q317" s="422"/>
      <c r="R317" s="422"/>
      <c r="S317" s="422"/>
      <c r="T317" s="422"/>
      <c r="U317" s="422"/>
      <c r="V317" s="422"/>
      <c r="W317" s="424"/>
      <c r="X317" s="425"/>
    </row>
    <row r="318" spans="1:24" s="426" customFormat="1" x14ac:dyDescent="0.3">
      <c r="A318" s="421"/>
      <c r="B318" s="494" t="s">
        <v>373</v>
      </c>
      <c r="C318" s="420"/>
      <c r="D318" s="420"/>
      <c r="E318" s="420"/>
      <c r="F318" s="641"/>
      <c r="G318" s="420"/>
      <c r="H318" s="420"/>
      <c r="I318" s="420"/>
      <c r="J318" s="420"/>
      <c r="K318" s="422"/>
      <c r="L318" s="422"/>
      <c r="M318" s="422"/>
      <c r="N318" s="422"/>
      <c r="O318" s="422"/>
      <c r="P318" s="422"/>
      <c r="Q318" s="422"/>
      <c r="R318" s="422"/>
      <c r="S318" s="422"/>
      <c r="T318" s="422"/>
      <c r="U318" s="422"/>
      <c r="V318" s="422"/>
      <c r="W318" s="424"/>
      <c r="X318" s="425"/>
    </row>
    <row r="319" spans="1:24" s="426" customFormat="1" x14ac:dyDescent="0.3">
      <c r="A319" s="421"/>
      <c r="B319" s="494" t="s">
        <v>365</v>
      </c>
      <c r="C319" s="420"/>
      <c r="D319" s="420"/>
      <c r="E319" s="420"/>
      <c r="F319" s="641"/>
      <c r="G319" s="420"/>
      <c r="H319" s="420"/>
      <c r="I319" s="420"/>
      <c r="J319" s="420"/>
      <c r="K319" s="422"/>
      <c r="L319" s="422"/>
      <c r="M319" s="422"/>
      <c r="N319" s="422"/>
      <c r="O319" s="422"/>
      <c r="P319" s="422"/>
      <c r="Q319" s="422"/>
      <c r="R319" s="422"/>
      <c r="S319" s="422"/>
      <c r="T319" s="422"/>
      <c r="U319" s="422"/>
      <c r="V319" s="422"/>
      <c r="W319" s="424"/>
      <c r="X319" s="425"/>
    </row>
    <row r="320" spans="1:24" s="426" customFormat="1" x14ac:dyDescent="0.3">
      <c r="A320" s="421"/>
      <c r="B320" s="494" t="s">
        <v>366</v>
      </c>
      <c r="C320" s="420"/>
      <c r="D320" s="420"/>
      <c r="E320" s="420"/>
      <c r="F320" s="641"/>
      <c r="G320" s="420"/>
      <c r="H320" s="420"/>
      <c r="I320" s="420"/>
      <c r="J320" s="420"/>
      <c r="K320" s="422"/>
      <c r="L320" s="422"/>
      <c r="M320" s="422"/>
      <c r="N320" s="422"/>
      <c r="O320" s="422"/>
      <c r="P320" s="422"/>
      <c r="Q320" s="422"/>
      <c r="R320" s="422"/>
      <c r="S320" s="422"/>
      <c r="T320" s="422"/>
      <c r="U320" s="422"/>
      <c r="V320" s="422"/>
      <c r="W320" s="424"/>
      <c r="X320" s="425"/>
    </row>
    <row r="321" spans="1:24" s="426" customFormat="1" x14ac:dyDescent="0.3">
      <c r="A321" s="421"/>
      <c r="B321" s="494"/>
      <c r="C321" s="420"/>
      <c r="D321" s="420"/>
      <c r="E321" s="420"/>
      <c r="F321" s="641"/>
      <c r="G321" s="420"/>
      <c r="H321" s="420"/>
      <c r="I321" s="420"/>
      <c r="J321" s="420"/>
      <c r="K321" s="422"/>
      <c r="L321" s="422"/>
      <c r="M321" s="422"/>
      <c r="N321" s="422"/>
      <c r="O321" s="422"/>
      <c r="P321" s="422"/>
      <c r="Q321" s="422"/>
      <c r="R321" s="422"/>
      <c r="S321" s="422"/>
      <c r="T321" s="422"/>
      <c r="U321" s="422"/>
      <c r="V321" s="422"/>
      <c r="W321" s="424"/>
      <c r="X321" s="425"/>
    </row>
    <row r="322" spans="1:24" s="426" customFormat="1" x14ac:dyDescent="0.3">
      <c r="A322" s="421"/>
      <c r="B322" s="494" t="s">
        <v>418</v>
      </c>
      <c r="C322" s="420"/>
      <c r="D322" s="420"/>
      <c r="E322" s="420"/>
      <c r="F322" s="641"/>
      <c r="G322" s="420"/>
      <c r="H322" s="420"/>
      <c r="I322" s="420"/>
      <c r="J322" s="420"/>
      <c r="K322" s="422"/>
      <c r="L322" s="422"/>
      <c r="M322" s="422"/>
      <c r="N322" s="422"/>
      <c r="O322" s="422"/>
      <c r="P322" s="422"/>
      <c r="Q322" s="422"/>
      <c r="R322" s="422"/>
      <c r="S322" s="422"/>
      <c r="T322" s="422"/>
      <c r="U322" s="422"/>
      <c r="V322" s="422"/>
      <c r="W322" s="424"/>
      <c r="X322" s="425"/>
    </row>
    <row r="323" spans="1:24" x14ac:dyDescent="0.3">
      <c r="A323" s="408"/>
      <c r="B323" s="642"/>
      <c r="C323" s="642"/>
      <c r="D323" s="642"/>
      <c r="E323" s="642"/>
      <c r="F323" s="643"/>
      <c r="G323" s="642"/>
      <c r="H323" s="642"/>
      <c r="I323" s="642"/>
      <c r="J323" s="642"/>
      <c r="K323" s="531"/>
      <c r="L323" s="531"/>
      <c r="M323" s="531"/>
      <c r="N323" s="531"/>
      <c r="O323" s="531"/>
      <c r="P323" s="531"/>
      <c r="Q323" s="531"/>
      <c r="R323" s="531"/>
      <c r="S323" s="531"/>
      <c r="T323" s="531"/>
      <c r="U323" s="531"/>
      <c r="V323" s="531"/>
      <c r="W323" s="532"/>
      <c r="X323" s="406"/>
    </row>
    <row r="324" spans="1:24" ht="18" x14ac:dyDescent="0.35">
      <c r="A324" s="408"/>
      <c r="B324" s="644" t="s">
        <v>368</v>
      </c>
      <c r="C324" s="642"/>
      <c r="D324" s="642"/>
      <c r="E324" s="642"/>
      <c r="F324" s="642"/>
      <c r="G324" s="642"/>
      <c r="H324" s="531"/>
      <c r="I324" s="531"/>
      <c r="J324" s="531"/>
      <c r="K324" s="531"/>
      <c r="L324" s="410"/>
      <c r="M324" s="410"/>
      <c r="N324" s="645"/>
      <c r="O324" s="410"/>
      <c r="P324" s="646" t="s">
        <v>370</v>
      </c>
      <c r="Q324" s="531"/>
      <c r="R324" s="531"/>
      <c r="S324" s="531"/>
      <c r="T324" s="531"/>
      <c r="U324" s="531"/>
      <c r="V324" s="531"/>
      <c r="W324" s="532"/>
      <c r="X324" s="406"/>
    </row>
    <row r="325" spans="1:24" x14ac:dyDescent="0.3">
      <c r="A325" s="408"/>
      <c r="B325" s="642"/>
      <c r="C325" s="642"/>
      <c r="D325" s="642"/>
      <c r="E325" s="642"/>
      <c r="F325" s="642"/>
      <c r="G325" s="642"/>
      <c r="H325" s="531"/>
      <c r="I325" s="531"/>
      <c r="J325" s="531"/>
      <c r="K325" s="531"/>
      <c r="L325" s="531"/>
      <c r="M325" s="531"/>
      <c r="N325" s="531"/>
      <c r="O325" s="531"/>
      <c r="P325" s="531"/>
      <c r="Q325" s="531"/>
      <c r="R325" s="531"/>
      <c r="S325" s="531"/>
      <c r="T325" s="531"/>
      <c r="U325" s="531"/>
      <c r="V325" s="531"/>
      <c r="W325" s="532"/>
      <c r="X325" s="406"/>
    </row>
    <row r="326" spans="1:24" ht="18.600000000000001" thickBot="1" x14ac:dyDescent="0.4">
      <c r="A326" s="408"/>
      <c r="B326" s="647" t="str">
        <f>B200</f>
        <v>PM13 INVESTOR REPORT QUARTER ENDING DECEMBER 2020</v>
      </c>
      <c r="C326" s="642"/>
      <c r="D326" s="642"/>
      <c r="E326" s="642"/>
      <c r="F326" s="642"/>
      <c r="G326" s="642"/>
      <c r="H326" s="531"/>
      <c r="I326" s="531"/>
      <c r="J326" s="531"/>
      <c r="K326" s="531"/>
      <c r="L326" s="531"/>
      <c r="M326" s="531"/>
      <c r="N326" s="531"/>
      <c r="O326" s="531"/>
      <c r="P326" s="531"/>
      <c r="Q326" s="531"/>
      <c r="R326" s="531"/>
      <c r="S326" s="531"/>
      <c r="T326" s="531"/>
      <c r="U326" s="531"/>
      <c r="V326" s="531"/>
      <c r="W326" s="648"/>
      <c r="X326" s="406"/>
    </row>
    <row r="327" spans="1:24" x14ac:dyDescent="0.3">
      <c r="A327" s="649"/>
      <c r="B327" s="649"/>
      <c r="C327" s="649"/>
      <c r="D327" s="649"/>
      <c r="E327" s="649"/>
      <c r="F327" s="649"/>
      <c r="G327" s="649"/>
      <c r="H327" s="649"/>
      <c r="I327" s="649"/>
      <c r="J327" s="649"/>
      <c r="K327" s="649"/>
      <c r="L327" s="649"/>
      <c r="M327" s="649"/>
      <c r="N327" s="649"/>
      <c r="O327" s="649"/>
      <c r="P327" s="649"/>
      <c r="Q327" s="649"/>
      <c r="R327" s="649"/>
      <c r="S327" s="649"/>
      <c r="T327" s="649"/>
      <c r="U327" s="649"/>
      <c r="V327" s="649"/>
      <c r="W327" s="649"/>
    </row>
    <row r="328" spans="1:24" x14ac:dyDescent="0.3">
      <c r="B328" s="673" t="s">
        <v>393</v>
      </c>
      <c r="C328" s="674"/>
      <c r="D328" s="674"/>
      <c r="E328" s="674"/>
      <c r="F328" s="674"/>
      <c r="G328" s="674"/>
      <c r="H328" s="674"/>
      <c r="I328" s="674"/>
      <c r="J328" s="674"/>
      <c r="K328" s="674"/>
      <c r="L328" s="674"/>
      <c r="M328" s="674"/>
      <c r="N328" s="674"/>
      <c r="O328" s="674"/>
      <c r="P328" s="674"/>
      <c r="Q328" s="674"/>
    </row>
    <row r="329" spans="1:24" x14ac:dyDescent="0.3">
      <c r="B329" s="674" t="s">
        <v>394</v>
      </c>
      <c r="C329" s="674"/>
      <c r="D329" s="674"/>
      <c r="E329" s="674"/>
      <c r="F329" s="674"/>
      <c r="G329" s="674"/>
      <c r="H329" s="674"/>
      <c r="I329" s="674"/>
      <c r="J329" s="674"/>
      <c r="K329" s="674"/>
      <c r="L329" s="674"/>
      <c r="M329" s="674"/>
      <c r="N329" s="674"/>
      <c r="O329" s="674"/>
      <c r="P329" s="674"/>
      <c r="Q329" s="674"/>
    </row>
    <row r="330" spans="1:24" x14ac:dyDescent="0.3">
      <c r="B330" s="674" t="s">
        <v>395</v>
      </c>
      <c r="C330" s="674"/>
      <c r="D330" s="674"/>
      <c r="E330" s="674"/>
      <c r="F330" s="674"/>
      <c r="G330" s="674"/>
      <c r="H330" s="674"/>
      <c r="I330" s="674"/>
      <c r="J330" s="674"/>
      <c r="K330" s="674"/>
      <c r="L330" s="674"/>
      <c r="M330" s="674"/>
      <c r="N330" s="674"/>
      <c r="O330" s="674"/>
      <c r="P330" s="674"/>
      <c r="Q330" s="674"/>
    </row>
    <row r="331" spans="1:24" x14ac:dyDescent="0.3">
      <c r="B331" s="674" t="s">
        <v>396</v>
      </c>
      <c r="C331" s="674"/>
      <c r="D331" s="674"/>
      <c r="E331" s="674"/>
      <c r="F331" s="674"/>
      <c r="G331" s="674"/>
      <c r="H331" s="674"/>
      <c r="I331" s="674"/>
      <c r="J331" s="674"/>
      <c r="K331" s="674"/>
      <c r="L331" s="674"/>
      <c r="M331" s="674"/>
      <c r="N331" s="674"/>
      <c r="O331" s="674"/>
      <c r="P331" s="674"/>
      <c r="Q331" s="674"/>
    </row>
    <row r="332" spans="1:24" x14ac:dyDescent="0.3">
      <c r="B332" s="674" t="s">
        <v>397</v>
      </c>
      <c r="C332" s="674"/>
      <c r="D332" s="674"/>
      <c r="E332" s="674"/>
      <c r="F332" s="674"/>
      <c r="G332" s="674"/>
      <c r="H332" s="674"/>
      <c r="I332" s="674"/>
      <c r="J332" s="674"/>
      <c r="K332" s="674"/>
      <c r="L332" s="674"/>
      <c r="M332" s="674"/>
      <c r="N332" s="674"/>
      <c r="O332" s="674"/>
      <c r="P332" s="674"/>
      <c r="Q332" s="674"/>
    </row>
    <row r="333" spans="1:24" x14ac:dyDescent="0.3">
      <c r="B333" s="674" t="s">
        <v>398</v>
      </c>
      <c r="C333" s="674"/>
      <c r="D333" s="674"/>
      <c r="E333" s="674"/>
      <c r="F333" s="674"/>
      <c r="G333" s="674"/>
      <c r="H333" s="674"/>
      <c r="I333" s="674"/>
      <c r="J333" s="674"/>
      <c r="K333" s="674"/>
      <c r="L333" s="674"/>
      <c r="M333" s="674"/>
      <c r="N333" s="674"/>
      <c r="O333" s="674"/>
      <c r="P333" s="674"/>
      <c r="Q333" s="674"/>
    </row>
    <row r="334" spans="1:24" x14ac:dyDescent="0.3">
      <c r="B334" s="674" t="s">
        <v>399</v>
      </c>
      <c r="C334" s="674"/>
      <c r="D334" s="674"/>
      <c r="E334" s="674"/>
      <c r="F334" s="674"/>
      <c r="G334" s="674"/>
      <c r="H334" s="674"/>
      <c r="I334" s="674"/>
      <c r="J334" s="674"/>
      <c r="K334" s="674"/>
      <c r="L334" s="674"/>
      <c r="M334" s="674"/>
      <c r="N334" s="674"/>
      <c r="O334" s="674"/>
      <c r="P334" s="674"/>
      <c r="Q334" s="674"/>
    </row>
    <row r="335" spans="1:24" x14ac:dyDescent="0.3">
      <c r="B335" s="674" t="s">
        <v>400</v>
      </c>
      <c r="C335" s="674"/>
      <c r="D335" s="674"/>
      <c r="E335" s="674"/>
      <c r="F335" s="674"/>
      <c r="G335" s="674"/>
      <c r="H335" s="674"/>
      <c r="I335" s="674"/>
      <c r="J335" s="674"/>
      <c r="K335" s="674"/>
      <c r="L335" s="674"/>
      <c r="M335" s="674"/>
      <c r="N335" s="674"/>
      <c r="O335" s="674"/>
      <c r="P335" s="674"/>
      <c r="Q335" s="674"/>
    </row>
    <row r="336" spans="1:24" x14ac:dyDescent="0.3">
      <c r="B336" s="674"/>
      <c r="C336" s="674"/>
      <c r="D336" s="674"/>
      <c r="E336" s="674"/>
      <c r="F336" s="674"/>
      <c r="G336" s="674"/>
      <c r="H336" s="674"/>
      <c r="I336" s="674"/>
      <c r="J336" s="674"/>
      <c r="K336" s="674"/>
      <c r="L336" s="674"/>
      <c r="M336" s="674"/>
      <c r="N336" s="674"/>
      <c r="O336" s="674"/>
      <c r="P336" s="674"/>
      <c r="Q336" s="674"/>
    </row>
    <row r="337" spans="2:17" x14ac:dyDescent="0.3">
      <c r="B337" s="673" t="s">
        <v>412</v>
      </c>
      <c r="C337" s="674"/>
      <c r="D337" s="674"/>
      <c r="E337" s="674"/>
      <c r="F337" s="674"/>
      <c r="G337" s="674"/>
      <c r="H337" s="674"/>
      <c r="I337" s="674"/>
      <c r="J337" s="674"/>
      <c r="K337" s="674"/>
      <c r="L337" s="674"/>
      <c r="M337" s="674"/>
      <c r="N337" s="674"/>
      <c r="O337" s="674"/>
      <c r="P337" s="674"/>
      <c r="Q337" s="674"/>
    </row>
    <row r="338" spans="2:17" x14ac:dyDescent="0.3">
      <c r="B338" s="674" t="s">
        <v>424</v>
      </c>
      <c r="C338" s="674"/>
      <c r="D338" s="674"/>
      <c r="E338" s="674"/>
      <c r="F338" s="674"/>
      <c r="G338" s="674"/>
      <c r="H338" s="674"/>
      <c r="I338" s="674"/>
      <c r="J338" s="674"/>
      <c r="K338" s="674"/>
      <c r="L338" s="674"/>
      <c r="M338" s="674"/>
      <c r="N338" s="674"/>
      <c r="O338" s="674"/>
      <c r="P338" s="674"/>
      <c r="Q338" s="674"/>
    </row>
    <row r="339" spans="2:17" x14ac:dyDescent="0.3">
      <c r="B339" s="674" t="s">
        <v>425</v>
      </c>
      <c r="C339" s="674"/>
      <c r="D339" s="674"/>
      <c r="E339" s="674"/>
      <c r="F339" s="674"/>
      <c r="G339" s="674"/>
      <c r="H339" s="674"/>
      <c r="I339" s="674"/>
      <c r="J339" s="674"/>
      <c r="K339" s="674"/>
      <c r="L339" s="674"/>
      <c r="M339" s="674"/>
      <c r="N339" s="674"/>
      <c r="O339" s="674"/>
      <c r="P339" s="674"/>
      <c r="Q339" s="674"/>
    </row>
    <row r="340" spans="2:17" x14ac:dyDescent="0.3">
      <c r="B340" s="674"/>
      <c r="C340" s="674"/>
      <c r="D340" s="674"/>
      <c r="E340" s="674"/>
      <c r="F340" s="674"/>
      <c r="G340" s="674"/>
      <c r="H340" s="674"/>
      <c r="I340" s="674"/>
      <c r="J340" s="674"/>
      <c r="K340" s="674"/>
      <c r="L340" s="674"/>
      <c r="M340" s="674"/>
      <c r="N340" s="674"/>
      <c r="O340" s="674"/>
      <c r="P340" s="674"/>
      <c r="Q340" s="674"/>
    </row>
    <row r="341" spans="2:17" x14ac:dyDescent="0.3">
      <c r="B341" s="673" t="s">
        <v>401</v>
      </c>
      <c r="C341" s="674"/>
      <c r="D341" s="674"/>
      <c r="E341" s="674"/>
      <c r="F341" s="674"/>
      <c r="G341" s="674"/>
      <c r="H341" s="674"/>
      <c r="I341" s="674"/>
      <c r="J341" s="674"/>
      <c r="K341" s="674"/>
      <c r="L341" s="674"/>
      <c r="M341" s="674"/>
      <c r="N341" s="674"/>
      <c r="O341" s="674"/>
      <c r="P341" s="674"/>
      <c r="Q341" s="674"/>
    </row>
    <row r="342" spans="2:17" x14ac:dyDescent="0.3">
      <c r="B342" s="674" t="s">
        <v>402</v>
      </c>
      <c r="C342" s="674"/>
      <c r="D342" s="674"/>
      <c r="E342" s="674"/>
      <c r="F342" s="674"/>
      <c r="G342" s="674"/>
      <c r="H342" s="674"/>
      <c r="I342" s="674"/>
      <c r="J342" s="674"/>
      <c r="K342" s="674"/>
      <c r="L342" s="674"/>
      <c r="M342" s="674"/>
      <c r="N342" s="674"/>
      <c r="O342" s="674"/>
      <c r="P342" s="674"/>
      <c r="Q342" s="674"/>
    </row>
    <row r="343" spans="2:17" x14ac:dyDescent="0.3">
      <c r="B343" s="674" t="s">
        <v>403</v>
      </c>
      <c r="C343" s="674"/>
      <c r="D343" s="674"/>
      <c r="E343" s="674"/>
      <c r="F343" s="674"/>
      <c r="G343" s="674"/>
      <c r="H343" s="674"/>
      <c r="I343" s="674"/>
      <c r="J343" s="674"/>
      <c r="K343" s="674"/>
      <c r="L343" s="674"/>
      <c r="M343" s="674"/>
      <c r="N343" s="674"/>
      <c r="O343" s="674"/>
      <c r="P343" s="674"/>
      <c r="Q343" s="674"/>
    </row>
  </sheetData>
  <hyperlinks>
    <hyperlink ref="P236" r:id="rId1" display="http://www.paragon-group.co.uk" xr:uid="{2B321D39-5661-42E4-AB07-D0BA5E8BEE75}"/>
    <hyperlink ref="I9" r:id="rId2" display="http://www.paragon-group.co.uk" xr:uid="{D381981D-FB4C-479D-9EF3-0F8A29456611}"/>
    <hyperlink ref="P324" r:id="rId3" display="http://www.paragon-group.co.uk" xr:uid="{A7C9B475-7732-4FC1-8280-1C35A52C1CC3}"/>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40" max="22" man="1"/>
    <brk id="200" max="22" man="1"/>
  </rowBreaks>
  <drawing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A2429-E2AA-4D90-B153-0622958C6C10}">
  <sheetPr>
    <tabColor rgb="FF2D2926"/>
  </sheetPr>
  <dimension ref="A1:Z344"/>
  <sheetViews>
    <sheetView showGridLines="0" tabSelected="1" showOutlineSymbols="0" zoomScale="70" zoomScaleNormal="70" workbookViewId="0"/>
  </sheetViews>
  <sheetFormatPr defaultColWidth="9.81640625" defaultRowHeight="15.6" x14ac:dyDescent="0.3"/>
  <cols>
    <col min="1" max="1" width="4" style="407" customWidth="1"/>
    <col min="2" max="2" width="71.08984375" style="407" customWidth="1"/>
    <col min="3" max="3" width="2.08984375" style="407" customWidth="1"/>
    <col min="4" max="4" width="19.1796875" style="407" customWidth="1"/>
    <col min="5" max="5" width="2.08984375" style="407" customWidth="1"/>
    <col min="6" max="6" width="25.08984375" style="407" customWidth="1"/>
    <col min="7" max="7" width="2.08984375" style="407" customWidth="1"/>
    <col min="8" max="8" width="16.08984375" style="407" customWidth="1"/>
    <col min="9" max="9" width="2.81640625" style="407" customWidth="1"/>
    <col min="10" max="10" width="16.08984375" style="407" customWidth="1"/>
    <col min="11" max="11" width="2.08984375" style="407" customWidth="1"/>
    <col min="12" max="12" width="17.81640625" style="407" customWidth="1"/>
    <col min="13" max="13" width="2.1796875" style="407" customWidth="1"/>
    <col min="14" max="14" width="14.81640625" style="407" customWidth="1"/>
    <col min="15" max="15" width="2.1796875" style="407" customWidth="1"/>
    <col min="16" max="16" width="15.54296875" style="407" customWidth="1"/>
    <col min="17" max="17" width="2.08984375" style="407" customWidth="1"/>
    <col min="18" max="18" width="15.54296875" style="407" customWidth="1"/>
    <col min="19" max="20" width="12.81640625" style="407" customWidth="1"/>
    <col min="21" max="21" width="7.81640625" style="407" customWidth="1"/>
    <col min="22" max="22" width="14.81640625" style="407" customWidth="1"/>
    <col min="23" max="23" width="11.81640625" style="407" customWidth="1"/>
    <col min="24" max="16384" width="9.81640625" style="407"/>
  </cols>
  <sheetData>
    <row r="1" spans="1:24" ht="21" x14ac:dyDescent="0.4">
      <c r="A1" s="402"/>
      <c r="B1" s="403" t="s">
        <v>238</v>
      </c>
      <c r="C1" s="404"/>
      <c r="D1" s="404"/>
      <c r="E1" s="404"/>
      <c r="F1" s="404"/>
      <c r="G1" s="404"/>
      <c r="H1" s="404"/>
      <c r="I1" s="404"/>
      <c r="J1" s="404"/>
      <c r="K1" s="404"/>
      <c r="L1" s="404"/>
      <c r="M1" s="404"/>
      <c r="N1" s="404"/>
      <c r="O1" s="404"/>
      <c r="P1" s="404"/>
      <c r="Q1" s="404"/>
      <c r="R1" s="404"/>
      <c r="S1" s="404"/>
      <c r="T1" s="404"/>
      <c r="U1" s="404"/>
      <c r="V1" s="404"/>
      <c r="W1" s="405"/>
      <c r="X1" s="406"/>
    </row>
    <row r="2" spans="1:24" x14ac:dyDescent="0.3">
      <c r="A2" s="408"/>
      <c r="B2" s="409"/>
      <c r="C2" s="410"/>
      <c r="D2" s="410"/>
      <c r="E2" s="410"/>
      <c r="F2" s="410"/>
      <c r="G2" s="410"/>
      <c r="H2" s="410"/>
      <c r="I2" s="410"/>
      <c r="J2" s="410"/>
      <c r="K2" s="410"/>
      <c r="L2" s="410"/>
      <c r="M2" s="410"/>
      <c r="N2" s="410"/>
      <c r="O2" s="410"/>
      <c r="P2" s="410"/>
      <c r="Q2" s="410"/>
      <c r="R2" s="410"/>
      <c r="S2" s="410"/>
      <c r="T2" s="410"/>
      <c r="U2" s="410"/>
      <c r="V2" s="410"/>
      <c r="W2" s="411"/>
      <c r="X2" s="406"/>
    </row>
    <row r="3" spans="1:24" x14ac:dyDescent="0.3">
      <c r="A3" s="412"/>
      <c r="B3" s="413" t="s">
        <v>239</v>
      </c>
      <c r="C3" s="410"/>
      <c r="D3" s="410"/>
      <c r="E3" s="410"/>
      <c r="F3" s="410"/>
      <c r="G3" s="410"/>
      <c r="H3" s="410"/>
      <c r="I3" s="410"/>
      <c r="J3" s="410"/>
      <c r="K3" s="410"/>
      <c r="L3" s="410"/>
      <c r="M3" s="410"/>
      <c r="N3" s="410"/>
      <c r="O3" s="410"/>
      <c r="P3" s="410"/>
      <c r="Q3" s="410"/>
      <c r="R3" s="410"/>
      <c r="S3" s="410"/>
      <c r="T3" s="410"/>
      <c r="U3" s="410"/>
      <c r="V3" s="410"/>
      <c r="W3" s="411"/>
      <c r="X3" s="406"/>
    </row>
    <row r="4" spans="1:24" x14ac:dyDescent="0.3">
      <c r="A4" s="408"/>
      <c r="B4" s="409"/>
      <c r="C4" s="410"/>
      <c r="D4" s="410"/>
      <c r="E4" s="410"/>
      <c r="F4" s="410"/>
      <c r="G4" s="410"/>
      <c r="H4" s="410"/>
      <c r="I4" s="410"/>
      <c r="J4" s="410"/>
      <c r="K4" s="410"/>
      <c r="L4" s="410"/>
      <c r="M4" s="410"/>
      <c r="N4" s="410"/>
      <c r="O4" s="410"/>
      <c r="P4" s="410"/>
      <c r="Q4" s="410"/>
      <c r="R4" s="410"/>
      <c r="S4" s="410"/>
      <c r="T4" s="410"/>
      <c r="U4" s="410"/>
      <c r="V4" s="410"/>
      <c r="W4" s="411"/>
      <c r="X4" s="406"/>
    </row>
    <row r="5" spans="1:24" x14ac:dyDescent="0.3">
      <c r="A5" s="408"/>
      <c r="B5" s="414" t="s">
        <v>140</v>
      </c>
      <c r="C5" s="410"/>
      <c r="D5" s="410"/>
      <c r="E5" s="410"/>
      <c r="F5" s="410"/>
      <c r="G5" s="410"/>
      <c r="H5" s="410"/>
      <c r="I5" s="410"/>
      <c r="J5" s="410"/>
      <c r="K5" s="410"/>
      <c r="L5" s="410"/>
      <c r="M5" s="410"/>
      <c r="N5" s="410"/>
      <c r="O5" s="410"/>
      <c r="P5" s="410"/>
      <c r="Q5" s="410"/>
      <c r="R5" s="410"/>
      <c r="S5" s="410"/>
      <c r="T5" s="410"/>
      <c r="U5" s="410"/>
      <c r="V5" s="410"/>
      <c r="W5" s="411"/>
      <c r="X5" s="406"/>
    </row>
    <row r="6" spans="1:24" x14ac:dyDescent="0.3">
      <c r="A6" s="408"/>
      <c r="B6" s="414" t="s">
        <v>142</v>
      </c>
      <c r="C6" s="410"/>
      <c r="D6" s="410"/>
      <c r="E6" s="410"/>
      <c r="F6" s="410"/>
      <c r="G6" s="410"/>
      <c r="H6" s="410"/>
      <c r="I6" s="410"/>
      <c r="J6" s="410"/>
      <c r="K6" s="410"/>
      <c r="L6" s="410"/>
      <c r="M6" s="410"/>
      <c r="N6" s="410"/>
      <c r="O6" s="410"/>
      <c r="P6" s="410"/>
      <c r="Q6" s="410"/>
      <c r="R6" s="410"/>
      <c r="S6" s="410"/>
      <c r="T6" s="410"/>
      <c r="U6" s="410"/>
      <c r="V6" s="410"/>
      <c r="W6" s="411"/>
      <c r="X6" s="406"/>
    </row>
    <row r="7" spans="1:24" x14ac:dyDescent="0.3">
      <c r="A7" s="408"/>
      <c r="B7" s="414" t="s">
        <v>141</v>
      </c>
      <c r="C7" s="410"/>
      <c r="D7" s="410"/>
      <c r="E7" s="410"/>
      <c r="F7" s="410"/>
      <c r="G7" s="410"/>
      <c r="H7" s="410"/>
      <c r="I7" s="410"/>
      <c r="J7" s="410"/>
      <c r="K7" s="410"/>
      <c r="L7" s="410"/>
      <c r="M7" s="410"/>
      <c r="N7" s="410"/>
      <c r="O7" s="410"/>
      <c r="P7" s="410"/>
      <c r="Q7" s="410"/>
      <c r="R7" s="410"/>
      <c r="S7" s="410"/>
      <c r="T7" s="410"/>
      <c r="U7" s="410"/>
      <c r="V7" s="410"/>
      <c r="W7" s="411"/>
      <c r="X7" s="406"/>
    </row>
    <row r="8" spans="1:24" x14ac:dyDescent="0.3">
      <c r="A8" s="408"/>
      <c r="B8" s="415"/>
      <c r="C8" s="410"/>
      <c r="D8" s="410"/>
      <c r="E8" s="410"/>
      <c r="F8" s="410"/>
      <c r="G8" s="410"/>
      <c r="H8" s="410"/>
      <c r="I8" s="410"/>
      <c r="J8" s="410"/>
      <c r="K8" s="410"/>
      <c r="L8" s="410"/>
      <c r="M8" s="410"/>
      <c r="N8" s="410"/>
      <c r="O8" s="410"/>
      <c r="P8" s="410"/>
      <c r="Q8" s="410"/>
      <c r="R8" s="410"/>
      <c r="S8" s="410"/>
      <c r="T8" s="410"/>
      <c r="U8" s="410"/>
      <c r="V8" s="410"/>
      <c r="W8" s="411"/>
      <c r="X8" s="406"/>
    </row>
    <row r="9" spans="1:24" ht="18" x14ac:dyDescent="0.35">
      <c r="A9" s="408"/>
      <c r="B9" s="413" t="s">
        <v>169</v>
      </c>
      <c r="C9" s="410"/>
      <c r="D9" s="410"/>
      <c r="E9" s="410"/>
      <c r="F9" s="410"/>
      <c r="G9" s="410"/>
      <c r="H9" s="410"/>
      <c r="I9" s="416" t="s">
        <v>370</v>
      </c>
      <c r="J9" s="410"/>
      <c r="K9" s="410"/>
      <c r="L9" s="417"/>
      <c r="M9" s="410"/>
      <c r="N9" s="418"/>
      <c r="O9" s="410"/>
      <c r="P9" s="410"/>
      <c r="Q9" s="410"/>
      <c r="R9" s="410"/>
      <c r="S9" s="410"/>
      <c r="T9" s="410"/>
      <c r="U9" s="410"/>
      <c r="V9" s="410"/>
      <c r="W9" s="411"/>
      <c r="X9" s="406"/>
    </row>
    <row r="10" spans="1:24" x14ac:dyDescent="0.3">
      <c r="A10" s="408"/>
      <c r="B10" s="415"/>
      <c r="C10" s="419"/>
      <c r="D10" s="419"/>
      <c r="E10" s="419"/>
      <c r="F10" s="410"/>
      <c r="G10" s="410"/>
      <c r="H10" s="410"/>
      <c r="I10" s="410"/>
      <c r="J10" s="410"/>
      <c r="K10" s="410"/>
      <c r="L10" s="410"/>
      <c r="M10" s="410"/>
      <c r="N10" s="410"/>
      <c r="O10" s="410"/>
      <c r="P10" s="410"/>
      <c r="Q10" s="410"/>
      <c r="R10" s="410"/>
      <c r="S10" s="410"/>
      <c r="T10" s="410"/>
      <c r="U10" s="410"/>
      <c r="V10" s="410"/>
      <c r="W10" s="411"/>
      <c r="X10" s="406"/>
    </row>
    <row r="11" spans="1:24" x14ac:dyDescent="0.3">
      <c r="A11" s="408"/>
      <c r="B11" s="420" t="s">
        <v>0</v>
      </c>
      <c r="C11" s="410"/>
      <c r="D11" s="410"/>
      <c r="E11" s="410"/>
      <c r="F11" s="410"/>
      <c r="G11" s="410"/>
      <c r="H11" s="410"/>
      <c r="I11" s="410"/>
      <c r="J11" s="410"/>
      <c r="K11" s="410"/>
      <c r="L11" s="410"/>
      <c r="M11" s="410"/>
      <c r="N11" s="410"/>
      <c r="O11" s="410"/>
      <c r="P11" s="410"/>
      <c r="Q11" s="410"/>
      <c r="R11" s="410"/>
      <c r="S11" s="410"/>
      <c r="T11" s="410"/>
      <c r="U11" s="410"/>
      <c r="V11" s="410"/>
      <c r="W11" s="411"/>
      <c r="X11" s="406"/>
    </row>
    <row r="12" spans="1:24" ht="16.2" thickBot="1" x14ac:dyDescent="0.35">
      <c r="A12" s="408"/>
      <c r="B12" s="419"/>
      <c r="C12" s="410"/>
      <c r="D12" s="410"/>
      <c r="E12" s="410"/>
      <c r="F12" s="410"/>
      <c r="G12" s="410"/>
      <c r="H12" s="410"/>
      <c r="I12" s="410"/>
      <c r="J12" s="410"/>
      <c r="K12" s="410"/>
      <c r="L12" s="410"/>
      <c r="M12" s="410"/>
      <c r="N12" s="410"/>
      <c r="O12" s="410"/>
      <c r="P12" s="410"/>
      <c r="Q12" s="410"/>
      <c r="R12" s="410"/>
      <c r="S12" s="410"/>
      <c r="T12" s="410"/>
      <c r="U12" s="410"/>
      <c r="V12" s="410"/>
      <c r="W12" s="411"/>
      <c r="X12" s="406"/>
    </row>
    <row r="13" spans="1:24" x14ac:dyDescent="0.3">
      <c r="A13" s="402"/>
      <c r="B13" s="404"/>
      <c r="C13" s="404"/>
      <c r="D13" s="404"/>
      <c r="E13" s="404"/>
      <c r="F13" s="404"/>
      <c r="G13" s="404"/>
      <c r="H13" s="404"/>
      <c r="I13" s="404"/>
      <c r="J13" s="404"/>
      <c r="K13" s="404"/>
      <c r="L13" s="404"/>
      <c r="M13" s="404"/>
      <c r="N13" s="404"/>
      <c r="O13" s="404"/>
      <c r="P13" s="404"/>
      <c r="Q13" s="404"/>
      <c r="R13" s="404"/>
      <c r="S13" s="404"/>
      <c r="T13" s="404"/>
      <c r="U13" s="404"/>
      <c r="V13" s="404"/>
      <c r="W13" s="405"/>
      <c r="X13" s="406"/>
    </row>
    <row r="14" spans="1:24" s="426" customFormat="1" x14ac:dyDescent="0.3">
      <c r="A14" s="421"/>
      <c r="B14" s="420" t="s">
        <v>1</v>
      </c>
      <c r="C14" s="422"/>
      <c r="D14" s="422"/>
      <c r="E14" s="422"/>
      <c r="F14" s="422"/>
      <c r="G14" s="422"/>
      <c r="H14" s="422"/>
      <c r="I14" s="422"/>
      <c r="J14" s="422"/>
      <c r="K14" s="422"/>
      <c r="L14" s="422"/>
      <c r="M14" s="422"/>
      <c r="N14" s="422"/>
      <c r="O14" s="422"/>
      <c r="P14" s="422"/>
      <c r="Q14" s="422"/>
      <c r="R14" s="422"/>
      <c r="S14" s="422"/>
      <c r="T14" s="422"/>
      <c r="U14" s="422"/>
      <c r="V14" s="423" t="s">
        <v>240</v>
      </c>
      <c r="W14" s="424"/>
      <c r="X14" s="425"/>
    </row>
    <row r="15" spans="1:24" s="426" customFormat="1" x14ac:dyDescent="0.3">
      <c r="A15" s="421"/>
      <c r="B15" s="420" t="s">
        <v>2</v>
      </c>
      <c r="C15" s="422"/>
      <c r="D15" s="422"/>
      <c r="E15" s="422"/>
      <c r="F15" s="422"/>
      <c r="G15" s="422"/>
      <c r="H15" s="427"/>
      <c r="I15" s="427"/>
      <c r="J15" s="427"/>
      <c r="K15" s="427"/>
      <c r="L15" s="427"/>
      <c r="M15" s="427"/>
      <c r="N15" s="427"/>
      <c r="O15" s="427"/>
      <c r="P15" s="427"/>
      <c r="Q15" s="427"/>
      <c r="R15" s="427" t="s">
        <v>105</v>
      </c>
      <c r="S15" s="428">
        <v>0.57609999999999995</v>
      </c>
      <c r="T15" s="429" t="s">
        <v>143</v>
      </c>
      <c r="U15" s="428">
        <v>0.4239</v>
      </c>
      <c r="V15" s="423"/>
      <c r="W15" s="424"/>
      <c r="X15" s="425"/>
    </row>
    <row r="16" spans="1:24" s="426" customFormat="1" x14ac:dyDescent="0.3">
      <c r="A16" s="421"/>
      <c r="B16" s="420" t="s">
        <v>3</v>
      </c>
      <c r="C16" s="422"/>
      <c r="D16" s="422"/>
      <c r="E16" s="422"/>
      <c r="F16" s="422"/>
      <c r="G16" s="422"/>
      <c r="H16" s="427"/>
      <c r="I16" s="427"/>
      <c r="J16" s="427"/>
      <c r="K16" s="427"/>
      <c r="L16" s="427"/>
      <c r="M16" s="427"/>
      <c r="N16" s="427"/>
      <c r="O16" s="427"/>
      <c r="P16" s="427"/>
      <c r="Q16" s="427"/>
      <c r="R16" s="427" t="s">
        <v>105</v>
      </c>
      <c r="S16" s="428">
        <v>0</v>
      </c>
      <c r="T16" s="429" t="s">
        <v>143</v>
      </c>
      <c r="U16" s="428">
        <v>0</v>
      </c>
      <c r="V16" s="423"/>
      <c r="W16" s="424"/>
      <c r="X16" s="425"/>
    </row>
    <row r="17" spans="1:24" s="426" customFormat="1" x14ac:dyDescent="0.3">
      <c r="A17" s="421"/>
      <c r="B17" s="420" t="s">
        <v>4</v>
      </c>
      <c r="C17" s="422"/>
      <c r="D17" s="422"/>
      <c r="E17" s="422"/>
      <c r="F17" s="422"/>
      <c r="G17" s="422"/>
      <c r="H17" s="422"/>
      <c r="I17" s="422"/>
      <c r="J17" s="422"/>
      <c r="K17" s="422"/>
      <c r="L17" s="422"/>
      <c r="M17" s="422"/>
      <c r="N17" s="422"/>
      <c r="O17" s="422"/>
      <c r="P17" s="422"/>
      <c r="Q17" s="422"/>
      <c r="R17" s="422"/>
      <c r="S17" s="422"/>
      <c r="T17" s="422"/>
      <c r="U17" s="422"/>
      <c r="V17" s="430">
        <v>39016</v>
      </c>
      <c r="W17" s="424"/>
      <c r="X17" s="425"/>
    </row>
    <row r="18" spans="1:24" s="426" customFormat="1" x14ac:dyDescent="0.3">
      <c r="A18" s="421"/>
      <c r="B18" s="420" t="s">
        <v>5</v>
      </c>
      <c r="C18" s="422"/>
      <c r="D18" s="422"/>
      <c r="E18" s="422"/>
      <c r="F18" s="422"/>
      <c r="G18" s="422"/>
      <c r="H18" s="422"/>
      <c r="I18" s="422"/>
      <c r="J18" s="422"/>
      <c r="K18" s="422"/>
      <c r="L18" s="422"/>
      <c r="M18" s="422"/>
      <c r="N18" s="422"/>
      <c r="O18" s="422"/>
      <c r="P18" s="422"/>
      <c r="Q18" s="422"/>
      <c r="R18" s="422"/>
      <c r="S18" s="422"/>
      <c r="T18" s="422"/>
      <c r="U18" s="422"/>
      <c r="V18" s="430">
        <v>44308</v>
      </c>
      <c r="W18" s="424"/>
      <c r="X18" s="425"/>
    </row>
    <row r="19" spans="1:24" s="426" customFormat="1" x14ac:dyDescent="0.3">
      <c r="A19" s="421"/>
      <c r="B19" s="422"/>
      <c r="C19" s="422"/>
      <c r="D19" s="422"/>
      <c r="E19" s="422"/>
      <c r="F19" s="422"/>
      <c r="G19" s="422"/>
      <c r="H19" s="422"/>
      <c r="I19" s="422"/>
      <c r="J19" s="422"/>
      <c r="K19" s="422"/>
      <c r="L19" s="422"/>
      <c r="M19" s="422"/>
      <c r="N19" s="422"/>
      <c r="O19" s="422"/>
      <c r="P19" s="422"/>
      <c r="Q19" s="422"/>
      <c r="R19" s="422"/>
      <c r="S19" s="422"/>
      <c r="T19" s="422"/>
      <c r="U19" s="422"/>
      <c r="V19" s="431"/>
      <c r="W19" s="424"/>
      <c r="X19" s="425"/>
    </row>
    <row r="20" spans="1:24" s="426" customFormat="1" x14ac:dyDescent="0.3">
      <c r="A20" s="421"/>
      <c r="B20" s="432" t="s">
        <v>6</v>
      </c>
      <c r="C20" s="422"/>
      <c r="D20" s="422"/>
      <c r="E20" s="422"/>
      <c r="F20" s="422"/>
      <c r="G20" s="422"/>
      <c r="H20" s="422"/>
      <c r="I20" s="422"/>
      <c r="J20" s="422"/>
      <c r="K20" s="422"/>
      <c r="L20" s="422"/>
      <c r="M20" s="422"/>
      <c r="N20" s="422"/>
      <c r="O20" s="422"/>
      <c r="P20" s="422"/>
      <c r="Q20" s="422"/>
      <c r="R20" s="422"/>
      <c r="S20" s="422"/>
      <c r="T20" s="431" t="s">
        <v>106</v>
      </c>
      <c r="U20" s="422"/>
      <c r="V20" s="422"/>
      <c r="W20" s="424"/>
      <c r="X20" s="425"/>
    </row>
    <row r="21" spans="1:24" x14ac:dyDescent="0.3">
      <c r="A21" s="408"/>
      <c r="B21" s="410"/>
      <c r="C21" s="410"/>
      <c r="D21" s="410"/>
      <c r="E21" s="410"/>
      <c r="F21" s="410"/>
      <c r="G21" s="410"/>
      <c r="H21" s="410"/>
      <c r="I21" s="410"/>
      <c r="J21" s="410"/>
      <c r="K21" s="410"/>
      <c r="L21" s="410"/>
      <c r="M21" s="410"/>
      <c r="N21" s="410"/>
      <c r="O21" s="410"/>
      <c r="P21" s="410"/>
      <c r="Q21" s="410"/>
      <c r="R21" s="410"/>
      <c r="S21" s="410"/>
      <c r="T21" s="410"/>
      <c r="U21" s="410"/>
      <c r="V21" s="433"/>
      <c r="W21" s="411"/>
      <c r="X21" s="406"/>
    </row>
    <row r="22" spans="1:24" x14ac:dyDescent="0.3">
      <c r="A22" s="434"/>
      <c r="B22" s="435"/>
      <c r="C22" s="436"/>
      <c r="D22" s="436" t="s">
        <v>180</v>
      </c>
      <c r="E22" s="436"/>
      <c r="F22" s="436" t="s">
        <v>181</v>
      </c>
      <c r="G22" s="436"/>
      <c r="H22" s="436" t="s">
        <v>182</v>
      </c>
      <c r="I22" s="436"/>
      <c r="J22" s="436" t="s">
        <v>223</v>
      </c>
      <c r="K22" s="436"/>
      <c r="L22" s="436" t="s">
        <v>183</v>
      </c>
      <c r="M22" s="436"/>
      <c r="N22" s="436" t="s">
        <v>184</v>
      </c>
      <c r="O22" s="436"/>
      <c r="P22" s="436" t="s">
        <v>224</v>
      </c>
      <c r="Q22" s="436"/>
      <c r="R22" s="436" t="s">
        <v>185</v>
      </c>
      <c r="S22" s="437"/>
      <c r="T22" s="437"/>
      <c r="U22" s="435"/>
      <c r="V22" s="435"/>
      <c r="W22" s="438"/>
      <c r="X22" s="406"/>
    </row>
    <row r="23" spans="1:24" s="426" customFormat="1" x14ac:dyDescent="0.3">
      <c r="A23" s="439"/>
      <c r="B23" s="440" t="s">
        <v>7</v>
      </c>
      <c r="C23" s="441"/>
      <c r="D23" s="441" t="s">
        <v>216</v>
      </c>
      <c r="E23" s="441"/>
      <c r="F23" s="441" t="s">
        <v>144</v>
      </c>
      <c r="G23" s="441"/>
      <c r="H23" s="441" t="s">
        <v>144</v>
      </c>
      <c r="I23" s="441"/>
      <c r="J23" s="441" t="s">
        <v>144</v>
      </c>
      <c r="K23" s="441"/>
      <c r="L23" s="441" t="s">
        <v>186</v>
      </c>
      <c r="M23" s="441"/>
      <c r="N23" s="441" t="s">
        <v>186</v>
      </c>
      <c r="O23" s="441"/>
      <c r="P23" s="441" t="s">
        <v>145</v>
      </c>
      <c r="Q23" s="441"/>
      <c r="R23" s="441" t="s">
        <v>145</v>
      </c>
      <c r="S23" s="441"/>
      <c r="T23" s="441"/>
      <c r="U23" s="440"/>
      <c r="V23" s="440"/>
      <c r="W23" s="442"/>
      <c r="X23" s="425"/>
    </row>
    <row r="24" spans="1:24" s="426" customFormat="1" x14ac:dyDescent="0.3">
      <c r="A24" s="443"/>
      <c r="B24" s="444" t="s">
        <v>8</v>
      </c>
      <c r="C24" s="445"/>
      <c r="D24" s="445" t="s">
        <v>217</v>
      </c>
      <c r="E24" s="445"/>
      <c r="F24" s="445" t="s">
        <v>146</v>
      </c>
      <c r="G24" s="445"/>
      <c r="H24" s="445" t="s">
        <v>146</v>
      </c>
      <c r="I24" s="445"/>
      <c r="J24" s="445" t="s">
        <v>146</v>
      </c>
      <c r="K24" s="445"/>
      <c r="L24" s="445" t="s">
        <v>168</v>
      </c>
      <c r="M24" s="445"/>
      <c r="N24" s="445" t="s">
        <v>168</v>
      </c>
      <c r="O24" s="445"/>
      <c r="P24" s="445" t="s">
        <v>147</v>
      </c>
      <c r="Q24" s="445"/>
      <c r="R24" s="445" t="s">
        <v>147</v>
      </c>
      <c r="S24" s="445"/>
      <c r="T24" s="445"/>
      <c r="U24" s="444"/>
      <c r="V24" s="444"/>
      <c r="W24" s="446"/>
      <c r="X24" s="425"/>
    </row>
    <row r="25" spans="1:24" s="426" customFormat="1" x14ac:dyDescent="0.3">
      <c r="A25" s="447"/>
      <c r="B25" s="444" t="s">
        <v>193</v>
      </c>
      <c r="C25" s="448"/>
      <c r="D25" s="445" t="s">
        <v>218</v>
      </c>
      <c r="E25" s="445"/>
      <c r="F25" s="445" t="s">
        <v>146</v>
      </c>
      <c r="G25" s="445"/>
      <c r="H25" s="445" t="s">
        <v>146</v>
      </c>
      <c r="I25" s="445"/>
      <c r="J25" s="445" t="s">
        <v>146</v>
      </c>
      <c r="K25" s="445"/>
      <c r="L25" s="445" t="s">
        <v>168</v>
      </c>
      <c r="M25" s="445"/>
      <c r="N25" s="445" t="s">
        <v>168</v>
      </c>
      <c r="O25" s="445"/>
      <c r="P25" s="445" t="s">
        <v>147</v>
      </c>
      <c r="Q25" s="445"/>
      <c r="R25" s="445" t="s">
        <v>147</v>
      </c>
      <c r="S25" s="448"/>
      <c r="T25" s="445"/>
      <c r="U25" s="444"/>
      <c r="V25" s="444"/>
      <c r="W25" s="446"/>
      <c r="X25" s="425"/>
    </row>
    <row r="26" spans="1:24" s="426" customFormat="1" x14ac:dyDescent="0.3">
      <c r="A26" s="447"/>
      <c r="B26" s="449" t="s">
        <v>9</v>
      </c>
      <c r="C26" s="448"/>
      <c r="D26" s="448" t="s">
        <v>144</v>
      </c>
      <c r="E26" s="448"/>
      <c r="F26" s="448" t="s">
        <v>144</v>
      </c>
      <c r="G26" s="448"/>
      <c r="H26" s="448" t="s">
        <v>144</v>
      </c>
      <c r="I26" s="448"/>
      <c r="J26" s="448" t="s">
        <v>144</v>
      </c>
      <c r="K26" s="448"/>
      <c r="L26" s="448" t="s">
        <v>186</v>
      </c>
      <c r="M26" s="448"/>
      <c r="N26" s="448" t="s">
        <v>186</v>
      </c>
      <c r="O26" s="448"/>
      <c r="P26" s="448" t="s">
        <v>145</v>
      </c>
      <c r="Q26" s="448"/>
      <c r="R26" s="448" t="s">
        <v>145</v>
      </c>
      <c r="S26" s="448"/>
      <c r="T26" s="445"/>
      <c r="U26" s="444"/>
      <c r="V26" s="444"/>
      <c r="W26" s="446"/>
      <c r="X26" s="425"/>
    </row>
    <row r="27" spans="1:24" s="426" customFormat="1" x14ac:dyDescent="0.3">
      <c r="A27" s="443"/>
      <c r="B27" s="449" t="s">
        <v>194</v>
      </c>
      <c r="C27" s="445"/>
      <c r="D27" s="448" t="s">
        <v>168</v>
      </c>
      <c r="E27" s="448"/>
      <c r="F27" s="448" t="s">
        <v>168</v>
      </c>
      <c r="G27" s="448"/>
      <c r="H27" s="448" t="s">
        <v>168</v>
      </c>
      <c r="I27" s="448"/>
      <c r="J27" s="448" t="s">
        <v>168</v>
      </c>
      <c r="K27" s="448"/>
      <c r="L27" s="448" t="s">
        <v>168</v>
      </c>
      <c r="M27" s="448"/>
      <c r="N27" s="448" t="s">
        <v>168</v>
      </c>
      <c r="O27" s="448"/>
      <c r="P27" s="448" t="s">
        <v>360</v>
      </c>
      <c r="Q27" s="448"/>
      <c r="R27" s="448" t="s">
        <v>360</v>
      </c>
      <c r="S27" s="445"/>
      <c r="T27" s="450"/>
      <c r="U27" s="444"/>
      <c r="V27" s="444"/>
      <c r="W27" s="446"/>
      <c r="X27" s="425"/>
    </row>
    <row r="28" spans="1:24" s="426" customFormat="1" x14ac:dyDescent="0.3">
      <c r="A28" s="443"/>
      <c r="B28" s="449" t="s">
        <v>195</v>
      </c>
      <c r="C28" s="445"/>
      <c r="D28" s="448" t="s">
        <v>146</v>
      </c>
      <c r="E28" s="448"/>
      <c r="F28" s="448" t="s">
        <v>146</v>
      </c>
      <c r="G28" s="448"/>
      <c r="H28" s="448" t="s">
        <v>146</v>
      </c>
      <c r="I28" s="448"/>
      <c r="J28" s="448" t="s">
        <v>146</v>
      </c>
      <c r="K28" s="448"/>
      <c r="L28" s="448" t="s">
        <v>146</v>
      </c>
      <c r="M28" s="448"/>
      <c r="N28" s="448" t="s">
        <v>146</v>
      </c>
      <c r="O28" s="448"/>
      <c r="P28" s="448" t="s">
        <v>360</v>
      </c>
      <c r="Q28" s="448"/>
      <c r="R28" s="448" t="s">
        <v>360</v>
      </c>
      <c r="S28" s="445"/>
      <c r="T28" s="450"/>
      <c r="U28" s="444"/>
      <c r="V28" s="444"/>
      <c r="W28" s="446"/>
      <c r="X28" s="425"/>
    </row>
    <row r="29" spans="1:24" s="426" customFormat="1" x14ac:dyDescent="0.3">
      <c r="A29" s="443"/>
      <c r="B29" s="444" t="s">
        <v>10</v>
      </c>
      <c r="C29" s="451"/>
      <c r="D29" s="445" t="s">
        <v>348</v>
      </c>
      <c r="E29" s="445"/>
      <c r="F29" s="450" t="s">
        <v>242</v>
      </c>
      <c r="G29" s="445"/>
      <c r="H29" s="445" t="s">
        <v>243</v>
      </c>
      <c r="I29" s="445"/>
      <c r="J29" s="445" t="s">
        <v>245</v>
      </c>
      <c r="K29" s="445"/>
      <c r="L29" s="445" t="s">
        <v>246</v>
      </c>
      <c r="M29" s="445"/>
      <c r="N29" s="445" t="s">
        <v>247</v>
      </c>
      <c r="O29" s="445"/>
      <c r="P29" s="445" t="s">
        <v>248</v>
      </c>
      <c r="Q29" s="445"/>
      <c r="R29" s="445" t="s">
        <v>249</v>
      </c>
      <c r="S29" s="452"/>
      <c r="T29" s="452"/>
      <c r="U29" s="451"/>
      <c r="V29" s="452"/>
      <c r="W29" s="453"/>
      <c r="X29" s="425"/>
    </row>
    <row r="30" spans="1:24" s="426" customFormat="1" x14ac:dyDescent="0.3">
      <c r="A30" s="443"/>
      <c r="B30" s="444" t="s">
        <v>10</v>
      </c>
      <c r="C30" s="451"/>
      <c r="D30" s="445" t="s">
        <v>241</v>
      </c>
      <c r="E30" s="445"/>
      <c r="F30" s="450" t="s">
        <v>121</v>
      </c>
      <c r="G30" s="445"/>
      <c r="H30" s="445" t="s">
        <v>121</v>
      </c>
      <c r="I30" s="445"/>
      <c r="J30" s="445" t="s">
        <v>244</v>
      </c>
      <c r="K30" s="445"/>
      <c r="L30" s="445" t="s">
        <v>121</v>
      </c>
      <c r="M30" s="445"/>
      <c r="N30" s="445" t="s">
        <v>121</v>
      </c>
      <c r="O30" s="445"/>
      <c r="P30" s="445" t="s">
        <v>121</v>
      </c>
      <c r="Q30" s="445"/>
      <c r="R30" s="445" t="s">
        <v>121</v>
      </c>
      <c r="S30" s="452"/>
      <c r="T30" s="452"/>
      <c r="U30" s="451"/>
      <c r="V30" s="452"/>
      <c r="W30" s="453"/>
      <c r="X30" s="425"/>
    </row>
    <row r="31" spans="1:24" s="426" customFormat="1" x14ac:dyDescent="0.3">
      <c r="A31" s="447"/>
      <c r="B31" s="444" t="s">
        <v>136</v>
      </c>
      <c r="C31" s="454"/>
      <c r="D31" s="455">
        <v>1500000</v>
      </c>
      <c r="E31" s="451"/>
      <c r="F31" s="452">
        <v>125000</v>
      </c>
      <c r="G31" s="452"/>
      <c r="H31" s="456">
        <v>315000</v>
      </c>
      <c r="I31" s="456"/>
      <c r="J31" s="455">
        <v>350000</v>
      </c>
      <c r="K31" s="452"/>
      <c r="L31" s="452">
        <v>56000</v>
      </c>
      <c r="M31" s="452"/>
      <c r="N31" s="456">
        <v>84000</v>
      </c>
      <c r="O31" s="452"/>
      <c r="P31" s="452">
        <v>13000</v>
      </c>
      <c r="Q31" s="452"/>
      <c r="R31" s="456">
        <v>81000</v>
      </c>
      <c r="S31" s="457"/>
      <c r="T31" s="457"/>
      <c r="U31" s="454"/>
      <c r="V31" s="457"/>
      <c r="W31" s="453"/>
      <c r="X31" s="425"/>
    </row>
    <row r="32" spans="1:24" s="426" customFormat="1" x14ac:dyDescent="0.3">
      <c r="A32" s="443"/>
      <c r="B32" s="444" t="s">
        <v>135</v>
      </c>
      <c r="C32" s="451"/>
      <c r="D32" s="458">
        <f>D34*D38</f>
        <v>297991.38881440001</v>
      </c>
      <c r="E32" s="451"/>
      <c r="F32" s="452">
        <f>F31*F38</f>
        <v>46685.525000000016</v>
      </c>
      <c r="G32" s="452"/>
      <c r="H32" s="456">
        <f>H31*H38</f>
        <v>117647.52300000003</v>
      </c>
      <c r="I32" s="456"/>
      <c r="J32" s="455">
        <f>J31*J38</f>
        <v>130718.48999999993</v>
      </c>
      <c r="K32" s="452"/>
      <c r="L32" s="452">
        <f>L31*L38</f>
        <v>48522.095999999998</v>
      </c>
      <c r="M32" s="452"/>
      <c r="N32" s="456">
        <f>N31*N38</f>
        <v>72783.144</v>
      </c>
      <c r="O32" s="452"/>
      <c r="P32" s="452">
        <f>P31*P38</f>
        <v>11264.057999999999</v>
      </c>
      <c r="Q32" s="452"/>
      <c r="R32" s="456">
        <f>R31*R38</f>
        <v>70183.745999999999</v>
      </c>
      <c r="S32" s="452"/>
      <c r="T32" s="452"/>
      <c r="U32" s="451"/>
      <c r="V32" s="452"/>
      <c r="W32" s="453"/>
      <c r="X32" s="425"/>
    </row>
    <row r="33" spans="1:24" s="426" customFormat="1" x14ac:dyDescent="0.3">
      <c r="A33" s="443"/>
      <c r="B33" s="449" t="s">
        <v>137</v>
      </c>
      <c r="C33" s="451"/>
      <c r="D33" s="459">
        <f>D34*D37</f>
        <v>0</v>
      </c>
      <c r="E33" s="454"/>
      <c r="F33" s="457">
        <f>F37*F31</f>
        <v>0</v>
      </c>
      <c r="G33" s="457"/>
      <c r="H33" s="460">
        <f>H31*H37</f>
        <v>0</v>
      </c>
      <c r="I33" s="460"/>
      <c r="J33" s="461">
        <f>J37*J31</f>
        <v>0</v>
      </c>
      <c r="K33" s="457"/>
      <c r="L33" s="457">
        <f>L31*L37</f>
        <v>0</v>
      </c>
      <c r="M33" s="457"/>
      <c r="N33" s="460">
        <f>N31*N37</f>
        <v>0</v>
      </c>
      <c r="O33" s="457"/>
      <c r="P33" s="457">
        <f>P31*P37</f>
        <v>0</v>
      </c>
      <c r="Q33" s="457"/>
      <c r="R33" s="460">
        <f>R31*R37</f>
        <v>0</v>
      </c>
      <c r="S33" s="452"/>
      <c r="T33" s="452"/>
      <c r="U33" s="451"/>
      <c r="V33" s="452"/>
      <c r="W33" s="453"/>
      <c r="X33" s="425"/>
    </row>
    <row r="34" spans="1:24" s="426" customFormat="1" x14ac:dyDescent="0.3">
      <c r="A34" s="447"/>
      <c r="B34" s="444" t="s">
        <v>298</v>
      </c>
      <c r="C34" s="454"/>
      <c r="D34" s="452">
        <v>797872</v>
      </c>
      <c r="E34" s="451"/>
      <c r="F34" s="452">
        <v>125000</v>
      </c>
      <c r="G34" s="452"/>
      <c r="H34" s="452">
        <v>211409</v>
      </c>
      <c r="I34" s="452"/>
      <c r="J34" s="452">
        <v>186170</v>
      </c>
      <c r="K34" s="452"/>
      <c r="L34" s="452">
        <v>56000</v>
      </c>
      <c r="M34" s="452"/>
      <c r="N34" s="452">
        <v>56376</v>
      </c>
      <c r="O34" s="452"/>
      <c r="P34" s="452">
        <v>13000</v>
      </c>
      <c r="Q34" s="452"/>
      <c r="R34" s="452">
        <v>54363</v>
      </c>
      <c r="S34" s="457"/>
      <c r="T34" s="457"/>
      <c r="U34" s="454"/>
      <c r="V34" s="452">
        <f>SUM(C34:R34)</f>
        <v>1500190</v>
      </c>
      <c r="W34" s="453"/>
      <c r="X34" s="425"/>
    </row>
    <row r="35" spans="1:24" s="426" customFormat="1" x14ac:dyDescent="0.3">
      <c r="A35" s="447"/>
      <c r="B35" s="444" t="s">
        <v>299</v>
      </c>
      <c r="C35" s="454"/>
      <c r="D35" s="452">
        <f>D34*D38</f>
        <v>297991.38881440001</v>
      </c>
      <c r="E35" s="451"/>
      <c r="F35" s="452">
        <f>F34*F38</f>
        <v>46685.525000000016</v>
      </c>
      <c r="G35" s="452"/>
      <c r="H35" s="452">
        <f>H34*H38</f>
        <v>78957.921237800023</v>
      </c>
      <c r="I35" s="452"/>
      <c r="J35" s="452">
        <f>J34*J38</f>
        <v>69531.032237999956</v>
      </c>
      <c r="K35" s="452"/>
      <c r="L35" s="452">
        <f>L34*L38</f>
        <v>48522.095999999998</v>
      </c>
      <c r="M35" s="452"/>
      <c r="N35" s="452">
        <f>N34*N38</f>
        <v>48847.887215999996</v>
      </c>
      <c r="O35" s="452"/>
      <c r="P35" s="452">
        <f>P34*P38</f>
        <v>11264.057999999999</v>
      </c>
      <c r="Q35" s="452"/>
      <c r="R35" s="452">
        <f>R34*R38</f>
        <v>47103.691157999994</v>
      </c>
      <c r="S35" s="452"/>
      <c r="T35" s="452"/>
      <c r="U35" s="451"/>
      <c r="V35" s="452">
        <f>SUM(C35:R35)</f>
        <v>648903.59966419998</v>
      </c>
      <c r="W35" s="453"/>
      <c r="X35" s="425"/>
    </row>
    <row r="36" spans="1:24" s="426" customFormat="1" x14ac:dyDescent="0.3">
      <c r="A36" s="447"/>
      <c r="B36" s="449" t="s">
        <v>304</v>
      </c>
      <c r="C36" s="454"/>
      <c r="D36" s="457">
        <f>D34*D37</f>
        <v>0</v>
      </c>
      <c r="E36" s="454"/>
      <c r="F36" s="457">
        <f>F34*F37</f>
        <v>0</v>
      </c>
      <c r="G36" s="457"/>
      <c r="H36" s="457">
        <f>H34*H37</f>
        <v>0</v>
      </c>
      <c r="I36" s="457"/>
      <c r="J36" s="457">
        <f>J34*J37</f>
        <v>0</v>
      </c>
      <c r="K36" s="457"/>
      <c r="L36" s="457">
        <f>L34*L37</f>
        <v>0</v>
      </c>
      <c r="M36" s="457"/>
      <c r="N36" s="457">
        <f>N34*N37</f>
        <v>0</v>
      </c>
      <c r="O36" s="457"/>
      <c r="P36" s="457">
        <f>P34*P37</f>
        <v>0</v>
      </c>
      <c r="Q36" s="457"/>
      <c r="R36" s="457">
        <f>R34*R37</f>
        <v>0</v>
      </c>
      <c r="S36" s="462"/>
      <c r="T36" s="462"/>
      <c r="U36" s="451"/>
      <c r="V36" s="457">
        <f>SUM(C36:R36)</f>
        <v>0</v>
      </c>
      <c r="W36" s="453"/>
      <c r="X36" s="425"/>
    </row>
    <row r="37" spans="1:24" s="473" customFormat="1" x14ac:dyDescent="0.3">
      <c r="A37" s="463"/>
      <c r="B37" s="464" t="s">
        <v>133</v>
      </c>
      <c r="C37" s="465"/>
      <c r="D37" s="466">
        <v>0</v>
      </c>
      <c r="E37" s="467"/>
      <c r="F37" s="466">
        <v>0</v>
      </c>
      <c r="G37" s="468"/>
      <c r="H37" s="466">
        <v>0</v>
      </c>
      <c r="I37" s="468"/>
      <c r="J37" s="466">
        <v>0</v>
      </c>
      <c r="K37" s="468"/>
      <c r="L37" s="466">
        <v>0</v>
      </c>
      <c r="M37" s="468"/>
      <c r="N37" s="466">
        <v>0</v>
      </c>
      <c r="O37" s="468"/>
      <c r="P37" s="466">
        <v>0</v>
      </c>
      <c r="Q37" s="468"/>
      <c r="R37" s="466">
        <v>0</v>
      </c>
      <c r="S37" s="469"/>
      <c r="T37" s="469"/>
      <c r="U37" s="470"/>
      <c r="V37" s="470"/>
      <c r="W37" s="471"/>
      <c r="X37" s="472"/>
    </row>
    <row r="38" spans="1:24" s="473" customFormat="1" x14ac:dyDescent="0.3">
      <c r="A38" s="463"/>
      <c r="B38" s="465" t="s">
        <v>134</v>
      </c>
      <c r="C38" s="465"/>
      <c r="D38" s="474">
        <v>0.3734827</v>
      </c>
      <c r="E38" s="475"/>
      <c r="F38" s="474">
        <v>0.3734842000000001</v>
      </c>
      <c r="G38" s="476"/>
      <c r="H38" s="474">
        <v>0.3734842000000001</v>
      </c>
      <c r="I38" s="476"/>
      <c r="J38" s="474">
        <v>0.3734813999999998</v>
      </c>
      <c r="K38" s="476"/>
      <c r="L38" s="474">
        <v>0.86646599999999996</v>
      </c>
      <c r="M38" s="476"/>
      <c r="N38" s="474">
        <v>0.86646599999999996</v>
      </c>
      <c r="O38" s="476"/>
      <c r="P38" s="474">
        <v>0.86646599999999996</v>
      </c>
      <c r="Q38" s="476"/>
      <c r="R38" s="474">
        <v>0.86646599999999996</v>
      </c>
      <c r="S38" s="477"/>
      <c r="T38" s="478"/>
      <c r="U38" s="470"/>
      <c r="V38" s="477"/>
      <c r="W38" s="471"/>
      <c r="X38" s="472"/>
    </row>
    <row r="39" spans="1:24" s="426" customFormat="1" x14ac:dyDescent="0.3">
      <c r="A39" s="443"/>
      <c r="B39" s="444" t="s">
        <v>11</v>
      </c>
      <c r="C39" s="444"/>
      <c r="D39" s="450" t="s">
        <v>226</v>
      </c>
      <c r="E39" s="444"/>
      <c r="F39" s="450" t="s">
        <v>226</v>
      </c>
      <c r="G39" s="450"/>
      <c r="H39" s="450" t="s">
        <v>226</v>
      </c>
      <c r="I39" s="450"/>
      <c r="J39" s="450" t="s">
        <v>256</v>
      </c>
      <c r="K39" s="450"/>
      <c r="L39" s="450" t="s">
        <v>254</v>
      </c>
      <c r="M39" s="450"/>
      <c r="N39" s="450" t="s">
        <v>257</v>
      </c>
      <c r="O39" s="450"/>
      <c r="P39" s="450" t="s">
        <v>258</v>
      </c>
      <c r="Q39" s="450"/>
      <c r="R39" s="450" t="s">
        <v>259</v>
      </c>
      <c r="S39" s="479"/>
      <c r="T39" s="480"/>
      <c r="U39" s="444"/>
      <c r="V39" s="444"/>
      <c r="W39" s="446"/>
      <c r="X39" s="425"/>
    </row>
    <row r="40" spans="1:24" s="426" customFormat="1" x14ac:dyDescent="0.3">
      <c r="A40" s="443"/>
      <c r="B40" s="444" t="s">
        <v>12</v>
      </c>
      <c r="C40" s="444"/>
      <c r="D40" s="480">
        <v>2.6800000000000001E-3</v>
      </c>
      <c r="E40" s="444"/>
      <c r="F40" s="480">
        <v>2.6800000000000001E-3</v>
      </c>
      <c r="G40" s="479"/>
      <c r="H40" s="480">
        <v>0</v>
      </c>
      <c r="I40" s="480"/>
      <c r="J40" s="480">
        <v>4.2125000000000001E-3</v>
      </c>
      <c r="K40" s="479"/>
      <c r="L40" s="480">
        <v>4.28E-3</v>
      </c>
      <c r="M40" s="479"/>
      <c r="N40" s="480">
        <v>0</v>
      </c>
      <c r="O40" s="479"/>
      <c r="P40" s="480">
        <v>8.2799999999999992E-3</v>
      </c>
      <c r="Q40" s="479"/>
      <c r="R40" s="480">
        <v>2.3500000000000001E-3</v>
      </c>
      <c r="S40" s="479"/>
      <c r="T40" s="480"/>
      <c r="U40" s="444"/>
      <c r="V40" s="450"/>
      <c r="W40" s="446"/>
      <c r="X40" s="425"/>
    </row>
    <row r="41" spans="1:24" s="426" customFormat="1" x14ac:dyDescent="0.3">
      <c r="A41" s="443"/>
      <c r="B41" s="444" t="s">
        <v>13</v>
      </c>
      <c r="C41" s="444"/>
      <c r="D41" s="480">
        <v>2.8574999999999998E-3</v>
      </c>
      <c r="E41" s="444"/>
      <c r="F41" s="480">
        <v>2.8574999999999998E-3</v>
      </c>
      <c r="G41" s="479"/>
      <c r="H41" s="480">
        <v>0</v>
      </c>
      <c r="I41" s="480"/>
      <c r="J41" s="480">
        <v>4.1688000000000003E-3</v>
      </c>
      <c r="K41" s="479"/>
      <c r="L41" s="480">
        <v>4.4574999999999997E-3</v>
      </c>
      <c r="M41" s="479"/>
      <c r="N41" s="480">
        <v>0</v>
      </c>
      <c r="O41" s="479"/>
      <c r="P41" s="480">
        <v>8.4574999999999997E-3</v>
      </c>
      <c r="Q41" s="479"/>
      <c r="R41" s="480">
        <v>2.7200000000000002E-3</v>
      </c>
      <c r="S41" s="479"/>
      <c r="T41" s="480"/>
      <c r="U41" s="444"/>
      <c r="V41" s="479" t="s">
        <v>196</v>
      </c>
      <c r="W41" s="446"/>
      <c r="X41" s="425"/>
    </row>
    <row r="42" spans="1:24" s="426" customFormat="1" x14ac:dyDescent="0.3">
      <c r="A42" s="443"/>
      <c r="B42" s="444" t="s">
        <v>300</v>
      </c>
      <c r="C42" s="444"/>
      <c r="D42" s="450" t="s">
        <v>226</v>
      </c>
      <c r="E42" s="444"/>
      <c r="F42" s="450" t="s">
        <v>226</v>
      </c>
      <c r="G42" s="450"/>
      <c r="H42" s="450" t="s">
        <v>227</v>
      </c>
      <c r="I42" s="450"/>
      <c r="J42" s="450" t="s">
        <v>237</v>
      </c>
      <c r="K42" s="450"/>
      <c r="L42" s="450" t="s">
        <v>254</v>
      </c>
      <c r="M42" s="450"/>
      <c r="N42" s="450" t="s">
        <v>260</v>
      </c>
      <c r="O42" s="450"/>
      <c r="P42" s="450" t="s">
        <v>258</v>
      </c>
      <c r="Q42" s="450"/>
      <c r="R42" s="450" t="s">
        <v>261</v>
      </c>
      <c r="S42" s="479"/>
      <c r="T42" s="480"/>
      <c r="U42" s="444"/>
      <c r="V42" s="444"/>
      <c r="W42" s="446"/>
      <c r="X42" s="425"/>
    </row>
    <row r="43" spans="1:24" s="426" customFormat="1" x14ac:dyDescent="0.3">
      <c r="A43" s="443"/>
      <c r="B43" s="444" t="s">
        <v>301</v>
      </c>
      <c r="C43" s="481"/>
      <c r="D43" s="480">
        <f>+D40</f>
        <v>2.6800000000000001E-3</v>
      </c>
      <c r="E43" s="480"/>
      <c r="F43" s="480">
        <f>+F40</f>
        <v>2.6800000000000001E-3</v>
      </c>
      <c r="G43" s="480"/>
      <c r="H43" s="480">
        <v>2.9239999999999999E-3</v>
      </c>
      <c r="I43" s="480"/>
      <c r="J43" s="480">
        <v>2.7599999999999999E-3</v>
      </c>
      <c r="K43" s="480"/>
      <c r="L43" s="480">
        <f>+L40</f>
        <v>4.28E-3</v>
      </c>
      <c r="M43" s="480"/>
      <c r="N43" s="480">
        <v>4.4600000000000004E-3</v>
      </c>
      <c r="O43" s="480"/>
      <c r="P43" s="480">
        <f>+P40</f>
        <v>8.2799999999999992E-3</v>
      </c>
      <c r="Q43" s="479"/>
      <c r="R43" s="480">
        <v>8.6800000000000002E-3</v>
      </c>
      <c r="S43" s="450"/>
      <c r="T43" s="450"/>
      <c r="U43" s="444"/>
      <c r="V43" s="479">
        <f>SUMPRODUCT(D43:R43,D35:R35)/V35</f>
        <v>3.5046427978369333E-3</v>
      </c>
      <c r="W43" s="446"/>
      <c r="X43" s="425"/>
    </row>
    <row r="44" spans="1:24" s="426" customFormat="1" x14ac:dyDescent="0.3">
      <c r="A44" s="443"/>
      <c r="B44" s="444" t="s">
        <v>302</v>
      </c>
      <c r="C44" s="481"/>
      <c r="D44" s="480">
        <f>+D41</f>
        <v>2.8574999999999998E-3</v>
      </c>
      <c r="E44" s="480"/>
      <c r="F44" s="480">
        <f>+F41</f>
        <v>2.8574999999999998E-3</v>
      </c>
      <c r="G44" s="480"/>
      <c r="H44" s="480">
        <v>3.1015000000000001E-3</v>
      </c>
      <c r="I44" s="480"/>
      <c r="J44" s="480">
        <v>2.9375E-3</v>
      </c>
      <c r="K44" s="480"/>
      <c r="L44" s="480">
        <f>+L41</f>
        <v>4.4574999999999997E-3</v>
      </c>
      <c r="M44" s="480"/>
      <c r="N44" s="480">
        <v>4.6375000000000001E-3</v>
      </c>
      <c r="O44" s="480"/>
      <c r="P44" s="480">
        <f>+P41</f>
        <v>8.4574999999999997E-3</v>
      </c>
      <c r="Q44" s="479"/>
      <c r="R44" s="480">
        <v>8.8575000000000008E-3</v>
      </c>
      <c r="S44" s="450"/>
      <c r="T44" s="450"/>
      <c r="U44" s="444"/>
      <c r="V44" s="444"/>
      <c r="W44" s="446"/>
      <c r="X44" s="425"/>
    </row>
    <row r="45" spans="1:24" s="426" customFormat="1" x14ac:dyDescent="0.3">
      <c r="A45" s="443"/>
      <c r="B45" s="444" t="s">
        <v>14</v>
      </c>
      <c r="C45" s="444"/>
      <c r="D45" s="481">
        <v>40466</v>
      </c>
      <c r="E45" s="481"/>
      <c r="F45" s="481">
        <v>40466</v>
      </c>
      <c r="G45" s="481"/>
      <c r="H45" s="481">
        <v>40466</v>
      </c>
      <c r="I45" s="481"/>
      <c r="J45" s="481">
        <v>40466</v>
      </c>
      <c r="K45" s="481"/>
      <c r="L45" s="481">
        <v>40466</v>
      </c>
      <c r="M45" s="481"/>
      <c r="N45" s="481">
        <v>40466</v>
      </c>
      <c r="O45" s="481"/>
      <c r="P45" s="481">
        <v>40466</v>
      </c>
      <c r="Q45" s="481"/>
      <c r="R45" s="481">
        <v>40466</v>
      </c>
      <c r="S45" s="450"/>
      <c r="T45" s="450"/>
      <c r="U45" s="444"/>
      <c r="V45" s="444"/>
      <c r="W45" s="446"/>
      <c r="X45" s="425"/>
    </row>
    <row r="46" spans="1:24" s="426" customFormat="1" x14ac:dyDescent="0.3">
      <c r="A46" s="443"/>
      <c r="B46" s="444" t="s">
        <v>15</v>
      </c>
      <c r="C46" s="444"/>
      <c r="D46" s="481">
        <v>41105</v>
      </c>
      <c r="E46" s="481"/>
      <c r="F46" s="481">
        <v>40831</v>
      </c>
      <c r="G46" s="481"/>
      <c r="H46" s="481">
        <v>40831</v>
      </c>
      <c r="I46" s="481"/>
      <c r="J46" s="481">
        <v>40831</v>
      </c>
      <c r="K46" s="450"/>
      <c r="L46" s="481">
        <v>40831</v>
      </c>
      <c r="M46" s="450"/>
      <c r="N46" s="481">
        <v>40831</v>
      </c>
      <c r="O46" s="450"/>
      <c r="P46" s="481">
        <v>40831</v>
      </c>
      <c r="Q46" s="450"/>
      <c r="R46" s="481">
        <v>40831</v>
      </c>
      <c r="S46" s="450"/>
      <c r="T46" s="450"/>
      <c r="U46" s="444"/>
      <c r="V46" s="444"/>
      <c r="W46" s="446"/>
      <c r="X46" s="425"/>
    </row>
    <row r="47" spans="1:24" s="426" customFormat="1" x14ac:dyDescent="0.3">
      <c r="A47" s="443"/>
      <c r="B47" s="444" t="s">
        <v>122</v>
      </c>
      <c r="C47" s="444"/>
      <c r="D47" s="450" t="s">
        <v>226</v>
      </c>
      <c r="E47" s="444"/>
      <c r="F47" s="450" t="s">
        <v>226</v>
      </c>
      <c r="G47" s="450"/>
      <c r="H47" s="450" t="s">
        <v>226</v>
      </c>
      <c r="I47" s="450"/>
      <c r="J47" s="450" t="s">
        <v>256</v>
      </c>
      <c r="K47" s="450"/>
      <c r="L47" s="450" t="s">
        <v>254</v>
      </c>
      <c r="M47" s="450"/>
      <c r="N47" s="450" t="s">
        <v>257</v>
      </c>
      <c r="O47" s="450"/>
      <c r="P47" s="450" t="s">
        <v>258</v>
      </c>
      <c r="Q47" s="450"/>
      <c r="R47" s="450" t="s">
        <v>259</v>
      </c>
      <c r="S47" s="482"/>
      <c r="T47" s="482"/>
      <c r="U47" s="482"/>
      <c r="V47" s="482"/>
      <c r="W47" s="446"/>
      <c r="X47" s="425"/>
    </row>
    <row r="48" spans="1:24" s="426" customFormat="1" x14ac:dyDescent="0.3">
      <c r="A48" s="443"/>
      <c r="B48" s="444" t="s">
        <v>303</v>
      </c>
      <c r="C48" s="444"/>
      <c r="D48" s="450" t="s">
        <v>226</v>
      </c>
      <c r="E48" s="444"/>
      <c r="F48" s="450" t="s">
        <v>226</v>
      </c>
      <c r="G48" s="450"/>
      <c r="H48" s="450" t="s">
        <v>227</v>
      </c>
      <c r="I48" s="450"/>
      <c r="J48" s="450" t="s">
        <v>237</v>
      </c>
      <c r="K48" s="450"/>
      <c r="L48" s="450" t="s">
        <v>254</v>
      </c>
      <c r="M48" s="450"/>
      <c r="N48" s="450" t="s">
        <v>260</v>
      </c>
      <c r="O48" s="450"/>
      <c r="P48" s="450" t="s">
        <v>258</v>
      </c>
      <c r="Q48" s="450"/>
      <c r="R48" s="450" t="s">
        <v>261</v>
      </c>
      <c r="S48" s="444"/>
      <c r="T48" s="444"/>
      <c r="U48" s="444"/>
      <c r="V48" s="479"/>
      <c r="W48" s="446"/>
      <c r="X48" s="425"/>
    </row>
    <row r="49" spans="1:25" s="426" customFormat="1" x14ac:dyDescent="0.3">
      <c r="A49" s="443"/>
      <c r="B49" s="444"/>
      <c r="C49" s="444"/>
      <c r="D49" s="450"/>
      <c r="E49" s="444"/>
      <c r="F49" s="450"/>
      <c r="G49" s="450"/>
      <c r="H49" s="450"/>
      <c r="I49" s="450"/>
      <c r="J49" s="450"/>
      <c r="K49" s="450"/>
      <c r="L49" s="450"/>
      <c r="M49" s="450"/>
      <c r="N49" s="450"/>
      <c r="O49" s="450"/>
      <c r="P49" s="450"/>
      <c r="Q49" s="450"/>
      <c r="R49" s="450"/>
      <c r="S49" s="444"/>
      <c r="T49" s="444"/>
      <c r="U49" s="444"/>
      <c r="V49" s="479" t="s">
        <v>196</v>
      </c>
      <c r="W49" s="446"/>
      <c r="X49" s="425"/>
    </row>
    <row r="50" spans="1:25" s="426" customFormat="1" x14ac:dyDescent="0.3">
      <c r="A50" s="443"/>
      <c r="B50" s="444" t="s">
        <v>172</v>
      </c>
      <c r="C50" s="444"/>
      <c r="D50" s="450"/>
      <c r="E50" s="444"/>
      <c r="F50" s="450"/>
      <c r="G50" s="450"/>
      <c r="H50" s="450"/>
      <c r="I50" s="450"/>
      <c r="J50" s="450"/>
      <c r="K50" s="450"/>
      <c r="L50" s="450"/>
      <c r="M50" s="450"/>
      <c r="N50" s="450"/>
      <c r="O50" s="450"/>
      <c r="P50" s="450"/>
      <c r="Q50" s="450"/>
      <c r="R50" s="450"/>
      <c r="S50" s="444"/>
      <c r="T50" s="444"/>
      <c r="U50" s="444"/>
      <c r="V50" s="479">
        <f>SUM(L34:R34)/SUM(D34:J34)</f>
        <v>0.13611940162868597</v>
      </c>
      <c r="W50" s="446"/>
      <c r="X50" s="425"/>
    </row>
    <row r="51" spans="1:25" s="426" customFormat="1" x14ac:dyDescent="0.3">
      <c r="A51" s="443"/>
      <c r="B51" s="444" t="s">
        <v>173</v>
      </c>
      <c r="C51" s="444"/>
      <c r="D51" s="444"/>
      <c r="E51" s="444"/>
      <c r="F51" s="483"/>
      <c r="G51" s="444"/>
      <c r="H51" s="444"/>
      <c r="I51" s="444"/>
      <c r="J51" s="444"/>
      <c r="K51" s="444"/>
      <c r="L51" s="444"/>
      <c r="M51" s="444"/>
      <c r="N51" s="444"/>
      <c r="O51" s="444"/>
      <c r="P51" s="444"/>
      <c r="Q51" s="444"/>
      <c r="R51" s="444"/>
      <c r="S51" s="444"/>
      <c r="T51" s="444"/>
      <c r="U51" s="444"/>
      <c r="V51" s="479" t="s">
        <v>430</v>
      </c>
      <c r="W51" s="446"/>
      <c r="X51" s="425"/>
    </row>
    <row r="52" spans="1:25" s="426" customFormat="1" x14ac:dyDescent="0.3">
      <c r="A52" s="443"/>
      <c r="B52" s="444" t="s">
        <v>174</v>
      </c>
      <c r="C52" s="444"/>
      <c r="D52" s="444"/>
      <c r="E52" s="444"/>
      <c r="F52" s="444"/>
      <c r="G52" s="444"/>
      <c r="H52" s="444"/>
      <c r="I52" s="444"/>
      <c r="J52" s="444"/>
      <c r="K52" s="444"/>
      <c r="L52" s="444"/>
      <c r="M52" s="444"/>
      <c r="N52" s="444"/>
      <c r="O52" s="444"/>
      <c r="P52" s="444"/>
      <c r="Q52" s="444"/>
      <c r="R52" s="444"/>
      <c r="S52" s="444"/>
      <c r="T52" s="450" t="s">
        <v>107</v>
      </c>
      <c r="U52" s="450" t="s">
        <v>112</v>
      </c>
      <c r="V52" s="452">
        <f>+V34/2-SUM(L34:R34)</f>
        <v>570356</v>
      </c>
      <c r="W52" s="446"/>
      <c r="X52" s="425"/>
    </row>
    <row r="53" spans="1:25" s="426" customFormat="1" x14ac:dyDescent="0.3">
      <c r="A53" s="443"/>
      <c r="B53" s="444"/>
      <c r="C53" s="444"/>
      <c r="D53" s="444"/>
      <c r="E53" s="444"/>
      <c r="F53" s="444"/>
      <c r="G53" s="444"/>
      <c r="H53" s="444"/>
      <c r="I53" s="444"/>
      <c r="J53" s="444"/>
      <c r="K53" s="444"/>
      <c r="L53" s="444"/>
      <c r="M53" s="444"/>
      <c r="N53" s="444"/>
      <c r="O53" s="444"/>
      <c r="P53" s="444"/>
      <c r="Q53" s="444"/>
      <c r="R53" s="444"/>
      <c r="S53" s="444"/>
      <c r="T53" s="444"/>
      <c r="U53" s="444"/>
      <c r="V53" s="484"/>
      <c r="W53" s="446"/>
      <c r="X53" s="425"/>
    </row>
    <row r="54" spans="1:25" s="426" customFormat="1" x14ac:dyDescent="0.3">
      <c r="A54" s="443"/>
      <c r="B54" s="444" t="s">
        <v>358</v>
      </c>
      <c r="C54" s="444"/>
      <c r="D54" s="444"/>
      <c r="E54" s="444"/>
      <c r="F54" s="444"/>
      <c r="G54" s="444"/>
      <c r="H54" s="444"/>
      <c r="I54" s="444"/>
      <c r="J54" s="444"/>
      <c r="K54" s="444"/>
      <c r="L54" s="444"/>
      <c r="M54" s="444"/>
      <c r="N54" s="444"/>
      <c r="O54" s="444"/>
      <c r="P54" s="444"/>
      <c r="Q54" s="444"/>
      <c r="R54" s="444"/>
      <c r="S54" s="444"/>
      <c r="T54" s="450"/>
      <c r="U54" s="450"/>
      <c r="V54" s="485" t="s">
        <v>114</v>
      </c>
      <c r="W54" s="486"/>
      <c r="X54" s="487"/>
    </row>
    <row r="55" spans="1:25" s="426" customFormat="1" x14ac:dyDescent="0.3">
      <c r="A55" s="443"/>
      <c r="B55" s="449" t="s">
        <v>204</v>
      </c>
      <c r="C55" s="449"/>
      <c r="D55" s="449"/>
      <c r="E55" s="449"/>
      <c r="F55" s="449"/>
      <c r="G55" s="449"/>
      <c r="H55" s="449"/>
      <c r="I55" s="449"/>
      <c r="J55" s="449"/>
      <c r="K55" s="449"/>
      <c r="L55" s="449"/>
      <c r="M55" s="449"/>
      <c r="N55" s="449"/>
      <c r="O55" s="449"/>
      <c r="P55" s="449"/>
      <c r="Q55" s="449"/>
      <c r="R55" s="449"/>
      <c r="S55" s="449"/>
      <c r="T55" s="488"/>
      <c r="U55" s="488"/>
      <c r="V55" s="489">
        <v>44301</v>
      </c>
      <c r="W55" s="486"/>
      <c r="X55" s="487"/>
    </row>
    <row r="56" spans="1:25" s="426" customFormat="1" x14ac:dyDescent="0.3">
      <c r="A56" s="443"/>
      <c r="B56" s="444" t="s">
        <v>124</v>
      </c>
      <c r="C56" s="444"/>
      <c r="D56" s="444"/>
      <c r="E56" s="444"/>
      <c r="F56" s="444"/>
      <c r="G56" s="444"/>
      <c r="H56" s="490"/>
      <c r="I56" s="490"/>
      <c r="J56" s="490"/>
      <c r="K56" s="490"/>
      <c r="L56" s="490"/>
      <c r="M56" s="490"/>
      <c r="N56" s="490"/>
      <c r="O56" s="490"/>
      <c r="P56" s="490"/>
      <c r="Q56" s="490"/>
      <c r="R56" s="444">
        <f>+V56-T56+1</f>
        <v>92</v>
      </c>
      <c r="S56" s="490"/>
      <c r="T56" s="491">
        <v>44119</v>
      </c>
      <c r="U56" s="492"/>
      <c r="V56" s="491">
        <v>44210</v>
      </c>
      <c r="W56" s="486"/>
      <c r="X56" s="487"/>
    </row>
    <row r="57" spans="1:25" s="426" customFormat="1" x14ac:dyDescent="0.3">
      <c r="A57" s="443"/>
      <c r="B57" s="444" t="s">
        <v>125</v>
      </c>
      <c r="C57" s="444"/>
      <c r="D57" s="444"/>
      <c r="E57" s="444"/>
      <c r="F57" s="444"/>
      <c r="G57" s="444"/>
      <c r="H57" s="444"/>
      <c r="I57" s="444"/>
      <c r="J57" s="444"/>
      <c r="K57" s="444"/>
      <c r="L57" s="444"/>
      <c r="M57" s="444"/>
      <c r="N57" s="444"/>
      <c r="O57" s="444"/>
      <c r="P57" s="444"/>
      <c r="Q57" s="444"/>
      <c r="R57" s="444">
        <f>+V57-T57+1</f>
        <v>90</v>
      </c>
      <c r="S57" s="444"/>
      <c r="T57" s="491">
        <v>44211</v>
      </c>
      <c r="U57" s="492"/>
      <c r="V57" s="491">
        <v>44300</v>
      </c>
      <c r="W57" s="486"/>
      <c r="X57" s="487"/>
    </row>
    <row r="58" spans="1:25" s="426" customFormat="1" x14ac:dyDescent="0.3">
      <c r="A58" s="443"/>
      <c r="B58" s="444" t="s">
        <v>357</v>
      </c>
      <c r="C58" s="444"/>
      <c r="D58" s="444"/>
      <c r="E58" s="444"/>
      <c r="F58" s="444"/>
      <c r="G58" s="444"/>
      <c r="H58" s="444"/>
      <c r="I58" s="444"/>
      <c r="J58" s="444"/>
      <c r="K58" s="444"/>
      <c r="L58" s="444"/>
      <c r="M58" s="444"/>
      <c r="N58" s="444"/>
      <c r="O58" s="444"/>
      <c r="P58" s="444"/>
      <c r="Q58" s="444"/>
      <c r="R58" s="444"/>
      <c r="S58" s="444"/>
      <c r="T58" s="491"/>
      <c r="U58" s="492"/>
      <c r="V58" s="491" t="s">
        <v>123</v>
      </c>
      <c r="W58" s="486"/>
      <c r="X58" s="487"/>
    </row>
    <row r="59" spans="1:25" s="426" customFormat="1" x14ac:dyDescent="0.3">
      <c r="A59" s="443"/>
      <c r="B59" s="444" t="s">
        <v>356</v>
      </c>
      <c r="C59" s="444"/>
      <c r="D59" s="444"/>
      <c r="E59" s="444"/>
      <c r="F59" s="444"/>
      <c r="G59" s="444"/>
      <c r="H59" s="444"/>
      <c r="I59" s="444"/>
      <c r="J59" s="444"/>
      <c r="K59" s="444"/>
      <c r="L59" s="444"/>
      <c r="M59" s="444"/>
      <c r="N59" s="444"/>
      <c r="O59" s="444"/>
      <c r="P59" s="444"/>
      <c r="Q59" s="444"/>
      <c r="R59" s="444"/>
      <c r="S59" s="444"/>
      <c r="T59" s="491"/>
      <c r="U59" s="492"/>
      <c r="V59" s="491" t="s">
        <v>157</v>
      </c>
      <c r="W59" s="486"/>
      <c r="X59" s="487"/>
      <c r="Y59" s="493"/>
    </row>
    <row r="60" spans="1:25" s="426" customFormat="1" x14ac:dyDescent="0.3">
      <c r="A60" s="443"/>
      <c r="B60" s="444" t="s">
        <v>16</v>
      </c>
      <c r="C60" s="444"/>
      <c r="D60" s="444"/>
      <c r="E60" s="444"/>
      <c r="F60" s="444"/>
      <c r="G60" s="444"/>
      <c r="H60" s="444"/>
      <c r="I60" s="444"/>
      <c r="J60" s="444"/>
      <c r="K60" s="444"/>
      <c r="L60" s="444"/>
      <c r="M60" s="444"/>
      <c r="N60" s="444"/>
      <c r="O60" s="444"/>
      <c r="P60" s="444"/>
      <c r="Q60" s="444"/>
      <c r="R60" s="444"/>
      <c r="S60" s="444"/>
      <c r="T60" s="491"/>
      <c r="U60" s="492"/>
      <c r="V60" s="491">
        <v>44287</v>
      </c>
      <c r="W60" s="486"/>
      <c r="X60" s="487"/>
    </row>
    <row r="61" spans="1:25" s="426" customFormat="1" x14ac:dyDescent="0.3">
      <c r="A61" s="421"/>
      <c r="B61" s="494"/>
      <c r="C61" s="494"/>
      <c r="D61" s="494"/>
      <c r="E61" s="494"/>
      <c r="F61" s="494"/>
      <c r="G61" s="494"/>
      <c r="H61" s="494"/>
      <c r="I61" s="494"/>
      <c r="J61" s="494"/>
      <c r="K61" s="494"/>
      <c r="L61" s="494"/>
      <c r="M61" s="494"/>
      <c r="N61" s="494"/>
      <c r="O61" s="494"/>
      <c r="P61" s="494"/>
      <c r="Q61" s="494"/>
      <c r="R61" s="494"/>
      <c r="S61" s="494"/>
      <c r="T61" s="495"/>
      <c r="U61" s="496"/>
      <c r="V61" s="495"/>
      <c r="W61" s="497"/>
      <c r="X61" s="487"/>
    </row>
    <row r="62" spans="1:25" s="426" customFormat="1" x14ac:dyDescent="0.3">
      <c r="A62" s="421"/>
      <c r="B62" s="422"/>
      <c r="C62" s="422"/>
      <c r="D62" s="422"/>
      <c r="E62" s="422"/>
      <c r="F62" s="422"/>
      <c r="G62" s="422"/>
      <c r="H62" s="422"/>
      <c r="I62" s="422"/>
      <c r="J62" s="422"/>
      <c r="K62" s="422"/>
      <c r="L62" s="422"/>
      <c r="M62" s="422"/>
      <c r="N62" s="422"/>
      <c r="O62" s="422"/>
      <c r="P62" s="422"/>
      <c r="Q62" s="422"/>
      <c r="R62" s="422"/>
      <c r="S62" s="422"/>
      <c r="T62" s="498"/>
      <c r="U62" s="499"/>
      <c r="V62" s="498"/>
      <c r="W62" s="497"/>
      <c r="X62" s="487"/>
    </row>
    <row r="63" spans="1:25" s="426" customFormat="1" ht="18.600000000000001" thickBot="1" x14ac:dyDescent="0.4">
      <c r="A63" s="500"/>
      <c r="B63" s="501" t="s">
        <v>426</v>
      </c>
      <c r="C63" s="502"/>
      <c r="D63" s="502"/>
      <c r="E63" s="502"/>
      <c r="F63" s="502"/>
      <c r="G63" s="502"/>
      <c r="H63" s="502"/>
      <c r="I63" s="502"/>
      <c r="J63" s="502"/>
      <c r="K63" s="502"/>
      <c r="L63" s="502"/>
      <c r="M63" s="502"/>
      <c r="N63" s="502"/>
      <c r="O63" s="502"/>
      <c r="P63" s="502"/>
      <c r="Q63" s="502"/>
      <c r="R63" s="502"/>
      <c r="S63" s="502"/>
      <c r="T63" s="502"/>
      <c r="U63" s="502"/>
      <c r="V63" s="503"/>
      <c r="W63" s="504"/>
      <c r="X63" s="487"/>
    </row>
    <row r="64" spans="1:25" x14ac:dyDescent="0.3">
      <c r="A64" s="505"/>
      <c r="B64" s="506" t="s">
        <v>17</v>
      </c>
      <c r="C64" s="507"/>
      <c r="D64" s="507"/>
      <c r="E64" s="507"/>
      <c r="F64" s="507"/>
      <c r="G64" s="507"/>
      <c r="H64" s="507"/>
      <c r="I64" s="507"/>
      <c r="J64" s="507"/>
      <c r="K64" s="507"/>
      <c r="L64" s="507"/>
      <c r="M64" s="507"/>
      <c r="N64" s="507"/>
      <c r="O64" s="507"/>
      <c r="P64" s="507"/>
      <c r="Q64" s="507"/>
      <c r="R64" s="507"/>
      <c r="S64" s="507"/>
      <c r="T64" s="507"/>
      <c r="U64" s="507"/>
      <c r="V64" s="508"/>
      <c r="W64" s="509"/>
      <c r="X64" s="406"/>
    </row>
    <row r="65" spans="1:24" x14ac:dyDescent="0.3">
      <c r="A65" s="408"/>
      <c r="B65" s="419"/>
      <c r="C65" s="410"/>
      <c r="D65" s="410"/>
      <c r="E65" s="410"/>
      <c r="F65" s="410"/>
      <c r="G65" s="410"/>
      <c r="H65" s="410"/>
      <c r="I65" s="410"/>
      <c r="J65" s="410"/>
      <c r="K65" s="410"/>
      <c r="L65" s="410"/>
      <c r="M65" s="410"/>
      <c r="N65" s="410"/>
      <c r="O65" s="410"/>
      <c r="P65" s="410"/>
      <c r="Q65" s="410"/>
      <c r="R65" s="410"/>
      <c r="S65" s="410"/>
      <c r="T65" s="410"/>
      <c r="U65" s="410"/>
      <c r="V65" s="510"/>
      <c r="W65" s="411"/>
      <c r="X65" s="406"/>
    </row>
    <row r="66" spans="1:24" s="473" customFormat="1" ht="46.8" x14ac:dyDescent="0.3">
      <c r="A66" s="511"/>
      <c r="B66" s="512" t="s">
        <v>18</v>
      </c>
      <c r="C66" s="513"/>
      <c r="D66" s="513"/>
      <c r="E66" s="513"/>
      <c r="F66" s="513"/>
      <c r="G66" s="513"/>
      <c r="H66" s="513"/>
      <c r="I66" s="513"/>
      <c r="J66" s="513"/>
      <c r="K66" s="513"/>
      <c r="L66" s="513" t="s">
        <v>95</v>
      </c>
      <c r="M66" s="513"/>
      <c r="N66" s="513" t="s">
        <v>97</v>
      </c>
      <c r="O66" s="513"/>
      <c r="P66" s="513" t="s">
        <v>99</v>
      </c>
      <c r="Q66" s="513"/>
      <c r="R66" s="513" t="s">
        <v>101</v>
      </c>
      <c r="S66" s="513"/>
      <c r="T66" s="513" t="s">
        <v>108</v>
      </c>
      <c r="U66" s="513"/>
      <c r="V66" s="514" t="s">
        <v>115</v>
      </c>
      <c r="W66" s="515"/>
      <c r="X66" s="472"/>
    </row>
    <row r="67" spans="1:24" s="426" customFormat="1" x14ac:dyDescent="0.3">
      <c r="A67" s="443"/>
      <c r="B67" s="444" t="s">
        <v>19</v>
      </c>
      <c r="C67" s="516"/>
      <c r="D67" s="516"/>
      <c r="E67" s="516"/>
      <c r="F67" s="516"/>
      <c r="G67" s="516"/>
      <c r="H67" s="516"/>
      <c r="I67" s="516"/>
      <c r="J67" s="516"/>
      <c r="K67" s="516"/>
      <c r="L67" s="516">
        <f>1085286</f>
        <v>1085286</v>
      </c>
      <c r="M67" s="516"/>
      <c r="N67" s="517">
        <v>648904</v>
      </c>
      <c r="O67" s="516"/>
      <c r="P67" s="516">
        <v>648904</v>
      </c>
      <c r="Q67" s="516"/>
      <c r="R67" s="516">
        <v>0</v>
      </c>
      <c r="S67" s="516"/>
      <c r="T67" s="516">
        <v>0</v>
      </c>
      <c r="U67" s="516"/>
      <c r="V67" s="517">
        <f>+N67-P67+R67-T67</f>
        <v>0</v>
      </c>
      <c r="W67" s="446"/>
      <c r="X67" s="425"/>
    </row>
    <row r="68" spans="1:24" s="426" customFormat="1" x14ac:dyDescent="0.3">
      <c r="A68" s="443"/>
      <c r="B68" s="444" t="s">
        <v>20</v>
      </c>
      <c r="C68" s="516"/>
      <c r="D68" s="516"/>
      <c r="E68" s="516"/>
      <c r="F68" s="516"/>
      <c r="G68" s="516"/>
      <c r="H68" s="516"/>
      <c r="I68" s="516"/>
      <c r="J68" s="516"/>
      <c r="K68" s="516"/>
      <c r="L68" s="516">
        <v>35</v>
      </c>
      <c r="M68" s="516"/>
      <c r="N68" s="517">
        <v>0</v>
      </c>
      <c r="O68" s="516"/>
      <c r="P68" s="516">
        <v>0</v>
      </c>
      <c r="Q68" s="516"/>
      <c r="R68" s="516">
        <v>0</v>
      </c>
      <c r="S68" s="516"/>
      <c r="T68" s="516">
        <v>0</v>
      </c>
      <c r="U68" s="516"/>
      <c r="V68" s="517">
        <f>+N68-P68</f>
        <v>0</v>
      </c>
      <c r="W68" s="446"/>
      <c r="X68" s="425"/>
    </row>
    <row r="69" spans="1:24" s="426" customFormat="1" x14ac:dyDescent="0.3">
      <c r="A69" s="443"/>
      <c r="B69" s="444"/>
      <c r="C69" s="516"/>
      <c r="D69" s="516"/>
      <c r="E69" s="516"/>
      <c r="F69" s="516"/>
      <c r="G69" s="516"/>
      <c r="H69" s="516"/>
      <c r="I69" s="516"/>
      <c r="J69" s="516"/>
      <c r="K69" s="516"/>
      <c r="L69" s="516"/>
      <c r="M69" s="516"/>
      <c r="N69" s="517"/>
      <c r="O69" s="516"/>
      <c r="P69" s="516"/>
      <c r="Q69" s="516"/>
      <c r="R69" s="516"/>
      <c r="S69" s="516"/>
      <c r="T69" s="516"/>
      <c r="U69" s="516"/>
      <c r="V69" s="517"/>
      <c r="W69" s="446"/>
      <c r="X69" s="425"/>
    </row>
    <row r="70" spans="1:24" s="426" customFormat="1" x14ac:dyDescent="0.3">
      <c r="A70" s="443"/>
      <c r="B70" s="444" t="s">
        <v>21</v>
      </c>
      <c r="C70" s="516"/>
      <c r="D70" s="516"/>
      <c r="E70" s="516"/>
      <c r="F70" s="516"/>
      <c r="G70" s="516"/>
      <c r="H70" s="516"/>
      <c r="I70" s="516"/>
      <c r="J70" s="516"/>
      <c r="K70" s="516"/>
      <c r="L70" s="516">
        <f>SUM(L67:L69)</f>
        <v>1085321</v>
      </c>
      <c r="M70" s="516"/>
      <c r="N70" s="516">
        <f>N67+N68</f>
        <v>648904</v>
      </c>
      <c r="O70" s="516"/>
      <c r="P70" s="516">
        <f>SUM(P67:P69)</f>
        <v>648904</v>
      </c>
      <c r="Q70" s="516"/>
      <c r="R70" s="516">
        <f>SUM(R67:R69)</f>
        <v>0</v>
      </c>
      <c r="S70" s="516"/>
      <c r="T70" s="516">
        <f>SUM(T67:T69)</f>
        <v>0</v>
      </c>
      <c r="U70" s="516"/>
      <c r="V70" s="516">
        <f>SUM(V67:V69)</f>
        <v>0</v>
      </c>
      <c r="W70" s="446"/>
      <c r="X70" s="425"/>
    </row>
    <row r="71" spans="1:24" x14ac:dyDescent="0.3">
      <c r="A71" s="408"/>
      <c r="B71" s="518"/>
      <c r="C71" s="519"/>
      <c r="D71" s="519"/>
      <c r="E71" s="519"/>
      <c r="F71" s="519"/>
      <c r="G71" s="519"/>
      <c r="H71" s="519"/>
      <c r="I71" s="519"/>
      <c r="J71" s="519"/>
      <c r="K71" s="519"/>
      <c r="L71" s="519"/>
      <c r="M71" s="519"/>
      <c r="N71" s="519"/>
      <c r="O71" s="519"/>
      <c r="P71" s="519"/>
      <c r="Q71" s="519"/>
      <c r="R71" s="519"/>
      <c r="S71" s="519"/>
      <c r="T71" s="519"/>
      <c r="U71" s="519"/>
      <c r="V71" s="520"/>
      <c r="W71" s="411"/>
      <c r="X71" s="406"/>
    </row>
    <row r="72" spans="1:24" x14ac:dyDescent="0.3">
      <c r="A72" s="408"/>
      <c r="B72" s="413" t="s">
        <v>22</v>
      </c>
      <c r="C72" s="521"/>
      <c r="D72" s="521"/>
      <c r="E72" s="521"/>
      <c r="F72" s="521"/>
      <c r="G72" s="521"/>
      <c r="H72" s="521"/>
      <c r="I72" s="521"/>
      <c r="J72" s="521"/>
      <c r="K72" s="521"/>
      <c r="L72" s="521"/>
      <c r="M72" s="521"/>
      <c r="N72" s="521"/>
      <c r="O72" s="521"/>
      <c r="P72" s="521"/>
      <c r="Q72" s="521"/>
      <c r="R72" s="521"/>
      <c r="S72" s="521"/>
      <c r="T72" s="521"/>
      <c r="U72" s="521"/>
      <c r="V72" s="522"/>
      <c r="W72" s="411"/>
      <c r="X72" s="406"/>
    </row>
    <row r="73" spans="1:24" x14ac:dyDescent="0.3">
      <c r="A73" s="408"/>
      <c r="B73" s="410"/>
      <c r="C73" s="521"/>
      <c r="D73" s="521"/>
      <c r="E73" s="521"/>
      <c r="F73" s="521"/>
      <c r="G73" s="521"/>
      <c r="H73" s="521"/>
      <c r="I73" s="521"/>
      <c r="J73" s="521"/>
      <c r="K73" s="521"/>
      <c r="L73" s="521"/>
      <c r="M73" s="521"/>
      <c r="N73" s="521"/>
      <c r="O73" s="521"/>
      <c r="P73" s="521"/>
      <c r="Q73" s="521"/>
      <c r="R73" s="521"/>
      <c r="S73" s="521"/>
      <c r="T73" s="521"/>
      <c r="U73" s="521"/>
      <c r="V73" s="522"/>
      <c r="W73" s="411"/>
      <c r="X73" s="406"/>
    </row>
    <row r="74" spans="1:24" s="426" customFormat="1" x14ac:dyDescent="0.3">
      <c r="A74" s="443"/>
      <c r="B74" s="444" t="s">
        <v>19</v>
      </c>
      <c r="C74" s="516"/>
      <c r="D74" s="516"/>
      <c r="E74" s="516"/>
      <c r="F74" s="516"/>
      <c r="G74" s="516"/>
      <c r="H74" s="516"/>
      <c r="I74" s="516"/>
      <c r="J74" s="516"/>
      <c r="K74" s="516"/>
      <c r="L74" s="516"/>
      <c r="M74" s="516"/>
      <c r="N74" s="516"/>
      <c r="O74" s="516"/>
      <c r="P74" s="516"/>
      <c r="Q74" s="516"/>
      <c r="R74" s="516"/>
      <c r="S74" s="516"/>
      <c r="T74" s="516"/>
      <c r="U74" s="516"/>
      <c r="V74" s="516"/>
      <c r="W74" s="446"/>
      <c r="X74" s="425"/>
    </row>
    <row r="75" spans="1:24" s="426" customFormat="1" x14ac:dyDescent="0.3">
      <c r="A75" s="443"/>
      <c r="B75" s="444" t="s">
        <v>20</v>
      </c>
      <c r="C75" s="516"/>
      <c r="D75" s="516"/>
      <c r="E75" s="516"/>
      <c r="F75" s="516"/>
      <c r="G75" s="516"/>
      <c r="H75" s="516"/>
      <c r="I75" s="516"/>
      <c r="J75" s="516"/>
      <c r="K75" s="516"/>
      <c r="L75" s="516"/>
      <c r="M75" s="516"/>
      <c r="N75" s="516"/>
      <c r="O75" s="516"/>
      <c r="P75" s="516"/>
      <c r="Q75" s="516"/>
      <c r="R75" s="516"/>
      <c r="S75" s="516"/>
      <c r="T75" s="516"/>
      <c r="U75" s="516"/>
      <c r="V75" s="516"/>
      <c r="W75" s="446"/>
      <c r="X75" s="425"/>
    </row>
    <row r="76" spans="1:24" s="426" customFormat="1" x14ac:dyDescent="0.3">
      <c r="A76" s="443"/>
      <c r="B76" s="444"/>
      <c r="C76" s="516"/>
      <c r="D76" s="516"/>
      <c r="E76" s="516"/>
      <c r="F76" s="516"/>
      <c r="G76" s="516"/>
      <c r="H76" s="516"/>
      <c r="I76" s="516"/>
      <c r="J76" s="516"/>
      <c r="K76" s="516"/>
      <c r="L76" s="516"/>
      <c r="M76" s="516"/>
      <c r="N76" s="516"/>
      <c r="O76" s="516"/>
      <c r="P76" s="516"/>
      <c r="Q76" s="516"/>
      <c r="R76" s="516"/>
      <c r="S76" s="516"/>
      <c r="T76" s="516"/>
      <c r="U76" s="516"/>
      <c r="V76" s="516"/>
      <c r="W76" s="446"/>
      <c r="X76" s="425"/>
    </row>
    <row r="77" spans="1:24" s="426" customFormat="1" x14ac:dyDescent="0.3">
      <c r="A77" s="443"/>
      <c r="B77" s="444" t="s">
        <v>21</v>
      </c>
      <c r="C77" s="516"/>
      <c r="D77" s="516"/>
      <c r="E77" s="516"/>
      <c r="F77" s="516"/>
      <c r="G77" s="516"/>
      <c r="H77" s="516"/>
      <c r="I77" s="516"/>
      <c r="J77" s="516"/>
      <c r="K77" s="516"/>
      <c r="L77" s="516"/>
      <c r="M77" s="516"/>
      <c r="N77" s="516"/>
      <c r="O77" s="516"/>
      <c r="P77" s="516"/>
      <c r="Q77" s="516"/>
      <c r="R77" s="516"/>
      <c r="S77" s="516"/>
      <c r="T77" s="516"/>
      <c r="U77" s="516"/>
      <c r="V77" s="516"/>
      <c r="W77" s="446"/>
      <c r="X77" s="425"/>
    </row>
    <row r="78" spans="1:24" s="426" customFormat="1" x14ac:dyDescent="0.3">
      <c r="A78" s="443"/>
      <c r="B78" s="444"/>
      <c r="C78" s="516"/>
      <c r="D78" s="516"/>
      <c r="E78" s="516"/>
      <c r="F78" s="516"/>
      <c r="G78" s="516"/>
      <c r="H78" s="516"/>
      <c r="I78" s="516"/>
      <c r="J78" s="516"/>
      <c r="K78" s="516"/>
      <c r="L78" s="516"/>
      <c r="M78" s="516"/>
      <c r="N78" s="516"/>
      <c r="O78" s="516"/>
      <c r="P78" s="516"/>
      <c r="Q78" s="516"/>
      <c r="R78" s="516"/>
      <c r="S78" s="516"/>
      <c r="T78" s="516"/>
      <c r="U78" s="516"/>
      <c r="V78" s="516"/>
      <c r="W78" s="446"/>
      <c r="X78" s="425"/>
    </row>
    <row r="79" spans="1:24" s="426" customFormat="1" x14ac:dyDescent="0.3">
      <c r="A79" s="443"/>
      <c r="B79" s="444" t="s">
        <v>23</v>
      </c>
      <c r="C79" s="516"/>
      <c r="D79" s="516"/>
      <c r="E79" s="516"/>
      <c r="F79" s="516"/>
      <c r="G79" s="516"/>
      <c r="H79" s="516"/>
      <c r="I79" s="516"/>
      <c r="J79" s="516"/>
      <c r="K79" s="516"/>
      <c r="L79" s="516">
        <v>0</v>
      </c>
      <c r="M79" s="516"/>
      <c r="N79" s="516">
        <v>0</v>
      </c>
      <c r="O79" s="516"/>
      <c r="P79" s="516"/>
      <c r="Q79" s="516"/>
      <c r="R79" s="516"/>
      <c r="S79" s="516"/>
      <c r="T79" s="516"/>
      <c r="U79" s="516"/>
      <c r="V79" s="517">
        <v>0</v>
      </c>
      <c r="W79" s="446"/>
      <c r="X79" s="425"/>
    </row>
    <row r="80" spans="1:24" s="426" customFormat="1" x14ac:dyDescent="0.3">
      <c r="A80" s="443"/>
      <c r="B80" s="444" t="s">
        <v>120</v>
      </c>
      <c r="C80" s="516"/>
      <c r="D80" s="516"/>
      <c r="E80" s="516"/>
      <c r="F80" s="516"/>
      <c r="G80" s="516"/>
      <c r="H80" s="516"/>
      <c r="I80" s="516"/>
      <c r="J80" s="516"/>
      <c r="K80" s="516"/>
      <c r="L80" s="516">
        <f>414862+7</f>
        <v>414869</v>
      </c>
      <c r="M80" s="516"/>
      <c r="N80" s="516">
        <v>0</v>
      </c>
      <c r="O80" s="516"/>
      <c r="P80" s="516">
        <v>0</v>
      </c>
      <c r="Q80" s="516"/>
      <c r="R80" s="516"/>
      <c r="S80" s="516"/>
      <c r="T80" s="516"/>
      <c r="U80" s="516"/>
      <c r="V80" s="516">
        <f>SUM(N80:R80)</f>
        <v>0</v>
      </c>
      <c r="W80" s="446"/>
      <c r="X80" s="425"/>
    </row>
    <row r="81" spans="1:24" s="426" customFormat="1" x14ac:dyDescent="0.3">
      <c r="A81" s="443"/>
      <c r="B81" s="444" t="s">
        <v>149</v>
      </c>
      <c r="C81" s="516"/>
      <c r="D81" s="516"/>
      <c r="E81" s="516"/>
      <c r="F81" s="516"/>
      <c r="G81" s="516"/>
      <c r="H81" s="516"/>
      <c r="I81" s="516"/>
      <c r="J81" s="516"/>
      <c r="K81" s="516"/>
      <c r="L81" s="516">
        <v>0</v>
      </c>
      <c r="M81" s="516"/>
      <c r="N81" s="516">
        <v>0</v>
      </c>
      <c r="O81" s="516"/>
      <c r="P81" s="516">
        <v>0</v>
      </c>
      <c r="Q81" s="516"/>
      <c r="R81" s="516"/>
      <c r="S81" s="516"/>
      <c r="T81" s="516"/>
      <c r="U81" s="516"/>
      <c r="V81" s="516">
        <f>+N81+P81</f>
        <v>0</v>
      </c>
      <c r="W81" s="446"/>
      <c r="X81" s="425"/>
    </row>
    <row r="82" spans="1:24" s="426" customFormat="1" x14ac:dyDescent="0.3">
      <c r="A82" s="443"/>
      <c r="B82" s="444" t="s">
        <v>25</v>
      </c>
      <c r="C82" s="516"/>
      <c r="D82" s="516"/>
      <c r="E82" s="516"/>
      <c r="F82" s="516"/>
      <c r="G82" s="516"/>
      <c r="H82" s="516"/>
      <c r="I82" s="516"/>
      <c r="J82" s="516"/>
      <c r="K82" s="516"/>
      <c r="L82" s="516">
        <v>0</v>
      </c>
      <c r="M82" s="516"/>
      <c r="N82" s="516">
        <v>0</v>
      </c>
      <c r="O82" s="516"/>
      <c r="P82" s="516"/>
      <c r="Q82" s="516"/>
      <c r="R82" s="516"/>
      <c r="S82" s="516"/>
      <c r="T82" s="516"/>
      <c r="U82" s="516"/>
      <c r="V82" s="516">
        <v>0</v>
      </c>
      <c r="W82" s="446"/>
      <c r="X82" s="425"/>
    </row>
    <row r="83" spans="1:24" s="426" customFormat="1" x14ac:dyDescent="0.3">
      <c r="A83" s="523"/>
      <c r="B83" s="524" t="s">
        <v>26</v>
      </c>
      <c r="C83" s="525"/>
      <c r="D83" s="525"/>
      <c r="E83" s="525"/>
      <c r="F83" s="525"/>
      <c r="G83" s="525"/>
      <c r="H83" s="525"/>
      <c r="I83" s="525"/>
      <c r="J83" s="525"/>
      <c r="K83" s="525"/>
      <c r="L83" s="525">
        <f>SUM(L70:L82)</f>
        <v>1500190</v>
      </c>
      <c r="M83" s="525"/>
      <c r="N83" s="525">
        <f>SUM(N70:N82)</f>
        <v>648904</v>
      </c>
      <c r="O83" s="525"/>
      <c r="P83" s="525"/>
      <c r="Q83" s="525"/>
      <c r="R83" s="525"/>
      <c r="S83" s="525"/>
      <c r="T83" s="525"/>
      <c r="U83" s="525"/>
      <c r="V83" s="525">
        <f>SUM(V70:V82)</f>
        <v>0</v>
      </c>
      <c r="W83" s="526"/>
      <c r="X83" s="425"/>
    </row>
    <row r="84" spans="1:24" x14ac:dyDescent="0.3">
      <c r="A84" s="527"/>
      <c r="B84" s="528"/>
      <c r="C84" s="529"/>
      <c r="D84" s="529"/>
      <c r="E84" s="529"/>
      <c r="F84" s="529"/>
      <c r="G84" s="529"/>
      <c r="H84" s="529"/>
      <c r="I84" s="529"/>
      <c r="J84" s="529"/>
      <c r="K84" s="529"/>
      <c r="L84" s="529"/>
      <c r="M84" s="529"/>
      <c r="N84" s="529"/>
      <c r="O84" s="529"/>
      <c r="P84" s="529"/>
      <c r="Q84" s="529"/>
      <c r="R84" s="529"/>
      <c r="S84" s="529"/>
      <c r="T84" s="529"/>
      <c r="U84" s="529"/>
      <c r="V84" s="529"/>
      <c r="W84" s="530"/>
      <c r="X84" s="406"/>
    </row>
    <row r="85" spans="1:24" x14ac:dyDescent="0.3">
      <c r="A85" s="408"/>
      <c r="B85" s="531"/>
      <c r="C85" s="531"/>
      <c r="D85" s="531"/>
      <c r="E85" s="531"/>
      <c r="F85" s="531"/>
      <c r="G85" s="531"/>
      <c r="H85" s="531"/>
      <c r="I85" s="531"/>
      <c r="J85" s="531"/>
      <c r="K85" s="531"/>
      <c r="L85" s="531"/>
      <c r="M85" s="531"/>
      <c r="N85" s="531"/>
      <c r="O85" s="531"/>
      <c r="P85" s="531"/>
      <c r="Q85" s="531"/>
      <c r="R85" s="531"/>
      <c r="S85" s="531"/>
      <c r="T85" s="531"/>
      <c r="U85" s="531"/>
      <c r="V85" s="531"/>
      <c r="W85" s="532"/>
      <c r="X85" s="406"/>
    </row>
    <row r="86" spans="1:24" x14ac:dyDescent="0.3">
      <c r="A86" s="533"/>
      <c r="B86" s="534" t="s">
        <v>27</v>
      </c>
      <c r="C86" s="534"/>
      <c r="D86" s="534"/>
      <c r="E86" s="534"/>
      <c r="F86" s="534"/>
      <c r="G86" s="534"/>
      <c r="H86" s="535"/>
      <c r="I86" s="535"/>
      <c r="J86" s="535"/>
      <c r="K86" s="535"/>
      <c r="L86" s="536" t="s">
        <v>96</v>
      </c>
      <c r="M86" s="535"/>
      <c r="N86" s="537">
        <f>+T202</f>
        <v>44286</v>
      </c>
      <c r="O86" s="535"/>
      <c r="P86" s="535"/>
      <c r="Q86" s="535"/>
      <c r="R86" s="535"/>
      <c r="S86" s="535"/>
      <c r="T86" s="535" t="s">
        <v>109</v>
      </c>
      <c r="U86" s="535"/>
      <c r="V86" s="535" t="s">
        <v>116</v>
      </c>
      <c r="W86" s="538"/>
      <c r="X86" s="406"/>
    </row>
    <row r="87" spans="1:24" s="426" customFormat="1" x14ac:dyDescent="0.3">
      <c r="A87" s="439"/>
      <c r="B87" s="440" t="s">
        <v>28</v>
      </c>
      <c r="C87" s="440"/>
      <c r="D87" s="440"/>
      <c r="E87" s="440"/>
      <c r="F87" s="440"/>
      <c r="G87" s="440"/>
      <c r="H87" s="440"/>
      <c r="I87" s="440"/>
      <c r="J87" s="440"/>
      <c r="K87" s="440"/>
      <c r="L87" s="440"/>
      <c r="M87" s="440"/>
      <c r="N87" s="440"/>
      <c r="O87" s="440"/>
      <c r="P87" s="440"/>
      <c r="Q87" s="440"/>
      <c r="R87" s="440"/>
      <c r="S87" s="440"/>
      <c r="T87" s="539">
        <v>0</v>
      </c>
      <c r="U87" s="440"/>
      <c r="V87" s="540">
        <v>0</v>
      </c>
      <c r="W87" s="442"/>
      <c r="X87" s="425"/>
    </row>
    <row r="88" spans="1:24" s="426" customFormat="1" x14ac:dyDescent="0.3">
      <c r="A88" s="443"/>
      <c r="B88" s="444" t="s">
        <v>29</v>
      </c>
      <c r="C88" s="444"/>
      <c r="D88" s="444"/>
      <c r="E88" s="444"/>
      <c r="F88" s="444"/>
      <c r="G88" s="444"/>
      <c r="H88" s="482"/>
      <c r="I88" s="482"/>
      <c r="J88" s="482"/>
      <c r="K88" s="541"/>
      <c r="L88" s="482"/>
      <c r="M88" s="444"/>
      <c r="N88" s="542"/>
      <c r="O88" s="444"/>
      <c r="P88" s="444"/>
      <c r="Q88" s="444"/>
      <c r="R88" s="444"/>
      <c r="S88" s="444"/>
      <c r="T88" s="516">
        <f>648904+6</f>
        <v>648910</v>
      </c>
      <c r="U88" s="444"/>
      <c r="V88" s="517"/>
      <c r="W88" s="446"/>
      <c r="X88" s="425"/>
    </row>
    <row r="89" spans="1:24" s="426" customFormat="1" x14ac:dyDescent="0.3">
      <c r="A89" s="443"/>
      <c r="B89" s="444" t="s">
        <v>219</v>
      </c>
      <c r="C89" s="444"/>
      <c r="D89" s="444"/>
      <c r="E89" s="444"/>
      <c r="F89" s="444"/>
      <c r="G89" s="444"/>
      <c r="H89" s="482"/>
      <c r="I89" s="482"/>
      <c r="J89" s="482"/>
      <c r="K89" s="541"/>
      <c r="L89" s="482"/>
      <c r="M89" s="444"/>
      <c r="N89" s="542"/>
      <c r="O89" s="444"/>
      <c r="P89" s="444"/>
      <c r="Q89" s="444"/>
      <c r="R89" s="444"/>
      <c r="S89" s="444"/>
      <c r="T89" s="516"/>
      <c r="U89" s="444"/>
      <c r="V89" s="517">
        <f>2587+1681-433-725</f>
        <v>3110</v>
      </c>
      <c r="W89" s="446"/>
      <c r="X89" s="425"/>
    </row>
    <row r="90" spans="1:24" s="426" customFormat="1" x14ac:dyDescent="0.3">
      <c r="A90" s="443"/>
      <c r="B90" s="444" t="s">
        <v>214</v>
      </c>
      <c r="C90" s="444"/>
      <c r="D90" s="444"/>
      <c r="E90" s="444"/>
      <c r="F90" s="444"/>
      <c r="G90" s="444"/>
      <c r="H90" s="482"/>
      <c r="I90" s="482"/>
      <c r="J90" s="482"/>
      <c r="K90" s="541"/>
      <c r="L90" s="482"/>
      <c r="M90" s="444"/>
      <c r="N90" s="542"/>
      <c r="O90" s="444"/>
      <c r="P90" s="444"/>
      <c r="Q90" s="444"/>
      <c r="R90" s="444"/>
      <c r="S90" s="444"/>
      <c r="T90" s="516"/>
      <c r="U90" s="444"/>
      <c r="V90" s="517">
        <f>32+17</f>
        <v>49</v>
      </c>
      <c r="W90" s="446"/>
      <c r="X90" s="425"/>
    </row>
    <row r="91" spans="1:24" s="426" customFormat="1" x14ac:dyDescent="0.3">
      <c r="A91" s="443"/>
      <c r="B91" s="444" t="s">
        <v>215</v>
      </c>
      <c r="C91" s="444"/>
      <c r="D91" s="444"/>
      <c r="E91" s="444"/>
      <c r="F91" s="444"/>
      <c r="G91" s="444"/>
      <c r="H91" s="482"/>
      <c r="I91" s="482"/>
      <c r="J91" s="482"/>
      <c r="K91" s="541"/>
      <c r="L91" s="482"/>
      <c r="M91" s="444"/>
      <c r="N91" s="542"/>
      <c r="O91" s="444"/>
      <c r="P91" s="444"/>
      <c r="Q91" s="444"/>
      <c r="R91" s="444"/>
      <c r="S91" s="444"/>
      <c r="T91" s="516"/>
      <c r="U91" s="444"/>
      <c r="V91" s="517">
        <v>6</v>
      </c>
      <c r="W91" s="446"/>
      <c r="X91" s="425"/>
    </row>
    <row r="92" spans="1:24" s="426" customFormat="1" x14ac:dyDescent="0.3">
      <c r="A92" s="443"/>
      <c r="B92" s="444" t="s">
        <v>277</v>
      </c>
      <c r="C92" s="444"/>
      <c r="D92" s="444"/>
      <c r="E92" s="444"/>
      <c r="F92" s="444"/>
      <c r="G92" s="444"/>
      <c r="H92" s="482"/>
      <c r="I92" s="482"/>
      <c r="J92" s="482"/>
      <c r="K92" s="541"/>
      <c r="L92" s="482"/>
      <c r="M92" s="444"/>
      <c r="N92" s="542"/>
      <c r="O92" s="444"/>
      <c r="P92" s="444"/>
      <c r="Q92" s="444"/>
      <c r="R92" s="444"/>
      <c r="S92" s="444"/>
      <c r="T92" s="516"/>
      <c r="U92" s="444"/>
      <c r="V92" s="517">
        <v>0</v>
      </c>
      <c r="W92" s="446"/>
      <c r="X92" s="425"/>
    </row>
    <row r="93" spans="1:24" s="426" customFormat="1" x14ac:dyDescent="0.3">
      <c r="A93" s="443"/>
      <c r="B93" s="444" t="s">
        <v>138</v>
      </c>
      <c r="C93" s="444"/>
      <c r="D93" s="444"/>
      <c r="E93" s="444"/>
      <c r="F93" s="444"/>
      <c r="G93" s="444"/>
      <c r="H93" s="444"/>
      <c r="I93" s="444"/>
      <c r="J93" s="444"/>
      <c r="K93" s="444"/>
      <c r="L93" s="444"/>
      <c r="M93" s="444"/>
      <c r="N93" s="444"/>
      <c r="O93" s="444"/>
      <c r="P93" s="444"/>
      <c r="Q93" s="444"/>
      <c r="R93" s="444"/>
      <c r="S93" s="444"/>
      <c r="T93" s="516"/>
      <c r="U93" s="444"/>
      <c r="V93" s="517">
        <v>0</v>
      </c>
      <c r="W93" s="446"/>
      <c r="X93" s="425"/>
    </row>
    <row r="94" spans="1:24" s="426" customFormat="1" x14ac:dyDescent="0.3">
      <c r="A94" s="443"/>
      <c r="B94" s="444" t="s">
        <v>265</v>
      </c>
      <c r="C94" s="444"/>
      <c r="D94" s="444"/>
      <c r="E94" s="444"/>
      <c r="F94" s="444"/>
      <c r="G94" s="444"/>
      <c r="H94" s="444"/>
      <c r="I94" s="444"/>
      <c r="J94" s="444"/>
      <c r="K94" s="444"/>
      <c r="L94" s="444"/>
      <c r="M94" s="444"/>
      <c r="N94" s="444"/>
      <c r="O94" s="444"/>
      <c r="P94" s="444"/>
      <c r="Q94" s="444"/>
      <c r="R94" s="444"/>
      <c r="S94" s="444"/>
      <c r="T94" s="516"/>
      <c r="U94" s="444"/>
      <c r="V94" s="517">
        <v>255</v>
      </c>
      <c r="W94" s="446"/>
      <c r="X94" s="425"/>
    </row>
    <row r="95" spans="1:24" s="426" customFormat="1" x14ac:dyDescent="0.3">
      <c r="A95" s="443"/>
      <c r="B95" s="695" t="s">
        <v>427</v>
      </c>
      <c r="C95" s="444"/>
      <c r="D95" s="444"/>
      <c r="E95" s="444"/>
      <c r="F95" s="444"/>
      <c r="G95" s="444"/>
      <c r="H95" s="444"/>
      <c r="I95" s="444"/>
      <c r="J95" s="444"/>
      <c r="K95" s="444"/>
      <c r="L95" s="444"/>
      <c r="M95" s="444"/>
      <c r="N95" s="444"/>
      <c r="O95" s="444"/>
      <c r="P95" s="444"/>
      <c r="Q95" s="444"/>
      <c r="R95" s="444"/>
      <c r="S95" s="444"/>
      <c r="T95" s="516"/>
      <c r="U95" s="444"/>
      <c r="V95" s="517">
        <v>28504</v>
      </c>
      <c r="W95" s="446"/>
      <c r="X95" s="425"/>
    </row>
    <row r="96" spans="1:24" s="426" customFormat="1" x14ac:dyDescent="0.3">
      <c r="A96" s="443"/>
      <c r="B96" s="444" t="s">
        <v>30</v>
      </c>
      <c r="C96" s="444"/>
      <c r="D96" s="444"/>
      <c r="E96" s="444"/>
      <c r="F96" s="444"/>
      <c r="G96" s="444"/>
      <c r="H96" s="444"/>
      <c r="I96" s="444"/>
      <c r="J96" s="444"/>
      <c r="K96" s="444"/>
      <c r="L96" s="444"/>
      <c r="M96" s="444"/>
      <c r="N96" s="444"/>
      <c r="O96" s="444"/>
      <c r="P96" s="444"/>
      <c r="Q96" s="444"/>
      <c r="R96" s="444"/>
      <c r="S96" s="444"/>
      <c r="T96" s="516">
        <f>SUM(T87:T94)</f>
        <v>648910</v>
      </c>
      <c r="U96" s="444"/>
      <c r="V96" s="516">
        <f>SUM(V87:V95)</f>
        <v>31924</v>
      </c>
      <c r="W96" s="446"/>
      <c r="X96" s="425"/>
    </row>
    <row r="97" spans="1:26" s="426" customFormat="1" x14ac:dyDescent="0.3">
      <c r="A97" s="443"/>
      <c r="B97" s="444" t="s">
        <v>164</v>
      </c>
      <c r="C97" s="444"/>
      <c r="D97" s="444"/>
      <c r="E97" s="444"/>
      <c r="F97" s="444"/>
      <c r="G97" s="444"/>
      <c r="H97" s="444"/>
      <c r="I97" s="444"/>
      <c r="J97" s="444"/>
      <c r="K97" s="444"/>
      <c r="L97" s="444"/>
      <c r="M97" s="444"/>
      <c r="N97" s="444"/>
      <c r="O97" s="444"/>
      <c r="P97" s="444"/>
      <c r="Q97" s="444"/>
      <c r="R97" s="444"/>
      <c r="S97" s="444"/>
      <c r="T97" s="516">
        <f>-V97</f>
        <v>0</v>
      </c>
      <c r="U97" s="444"/>
      <c r="V97" s="516">
        <v>0</v>
      </c>
      <c r="W97" s="446"/>
      <c r="X97" s="425"/>
    </row>
    <row r="98" spans="1:26" s="426" customFormat="1" x14ac:dyDescent="0.3">
      <c r="A98" s="443"/>
      <c r="B98" s="444" t="s">
        <v>31</v>
      </c>
      <c r="C98" s="444"/>
      <c r="D98" s="444"/>
      <c r="E98" s="444"/>
      <c r="F98" s="444"/>
      <c r="G98" s="444"/>
      <c r="H98" s="444"/>
      <c r="I98" s="444"/>
      <c r="J98" s="444"/>
      <c r="K98" s="444"/>
      <c r="L98" s="444"/>
      <c r="M98" s="444"/>
      <c r="N98" s="444"/>
      <c r="O98" s="444"/>
      <c r="P98" s="444"/>
      <c r="Q98" s="444"/>
      <c r="R98" s="444"/>
      <c r="S98" s="444"/>
      <c r="T98" s="516">
        <f>-V98</f>
        <v>0</v>
      </c>
      <c r="U98" s="444"/>
      <c r="V98" s="517">
        <v>0</v>
      </c>
      <c r="W98" s="446"/>
      <c r="X98" s="425"/>
    </row>
    <row r="99" spans="1:26" s="426" customFormat="1" x14ac:dyDescent="0.3">
      <c r="A99" s="443"/>
      <c r="B99" s="444" t="s">
        <v>288</v>
      </c>
      <c r="C99" s="444"/>
      <c r="D99" s="444"/>
      <c r="E99" s="444"/>
      <c r="F99" s="444"/>
      <c r="G99" s="444"/>
      <c r="H99" s="444"/>
      <c r="I99" s="444"/>
      <c r="J99" s="444"/>
      <c r="K99" s="444"/>
      <c r="L99" s="444"/>
      <c r="M99" s="444"/>
      <c r="N99" s="444"/>
      <c r="O99" s="444"/>
      <c r="P99" s="444"/>
      <c r="Q99" s="444"/>
      <c r="R99" s="444"/>
      <c r="S99" s="444"/>
      <c r="T99" s="516"/>
      <c r="U99" s="444"/>
      <c r="V99" s="517">
        <v>70</v>
      </c>
      <c r="W99" s="446"/>
      <c r="X99" s="425"/>
    </row>
    <row r="100" spans="1:26" s="426" customFormat="1" x14ac:dyDescent="0.3">
      <c r="A100" s="443"/>
      <c r="B100" s="444" t="s">
        <v>32</v>
      </c>
      <c r="C100" s="444"/>
      <c r="D100" s="444"/>
      <c r="E100" s="444"/>
      <c r="F100" s="444"/>
      <c r="G100" s="444"/>
      <c r="H100" s="444"/>
      <c r="I100" s="444"/>
      <c r="J100" s="444"/>
      <c r="K100" s="444"/>
      <c r="L100" s="444"/>
      <c r="M100" s="444"/>
      <c r="N100" s="444"/>
      <c r="O100" s="444"/>
      <c r="P100" s="444"/>
      <c r="Q100" s="444"/>
      <c r="R100" s="444"/>
      <c r="S100" s="444"/>
      <c r="T100" s="516">
        <f>T96+T98+T97</f>
        <v>648910</v>
      </c>
      <c r="U100" s="444"/>
      <c r="V100" s="516">
        <f>V96+V98+V97+V99</f>
        <v>31994</v>
      </c>
      <c r="W100" s="446"/>
      <c r="X100" s="425"/>
    </row>
    <row r="101" spans="1:26" x14ac:dyDescent="0.3">
      <c r="A101" s="543"/>
      <c r="B101" s="544" t="s">
        <v>33</v>
      </c>
      <c r="C101" s="465"/>
      <c r="D101" s="465"/>
      <c r="E101" s="465"/>
      <c r="F101" s="465"/>
      <c r="G101" s="465"/>
      <c r="H101" s="465"/>
      <c r="I101" s="465"/>
      <c r="J101" s="465"/>
      <c r="K101" s="465"/>
      <c r="L101" s="465"/>
      <c r="M101" s="465"/>
      <c r="N101" s="465"/>
      <c r="O101" s="465"/>
      <c r="P101" s="465"/>
      <c r="Q101" s="465"/>
      <c r="R101" s="465"/>
      <c r="S101" s="465"/>
      <c r="T101" s="545"/>
      <c r="U101" s="465"/>
      <c r="V101" s="546"/>
      <c r="W101" s="547"/>
      <c r="X101" s="406"/>
    </row>
    <row r="102" spans="1:26" s="426" customFormat="1" x14ac:dyDescent="0.3">
      <c r="A102" s="443">
        <v>1</v>
      </c>
      <c r="B102" s="444" t="s">
        <v>34</v>
      </c>
      <c r="C102" s="444"/>
      <c r="D102" s="444"/>
      <c r="E102" s="444"/>
      <c r="F102" s="444"/>
      <c r="G102" s="444"/>
      <c r="H102" s="444"/>
      <c r="I102" s="444"/>
      <c r="J102" s="444"/>
      <c r="K102" s="444"/>
      <c r="L102" s="444"/>
      <c r="M102" s="444"/>
      <c r="N102" s="444"/>
      <c r="O102" s="444"/>
      <c r="P102" s="444"/>
      <c r="Q102" s="444"/>
      <c r="R102" s="444"/>
      <c r="S102" s="444"/>
      <c r="T102" s="444"/>
      <c r="U102" s="444"/>
      <c r="V102" s="517">
        <v>0</v>
      </c>
      <c r="W102" s="446"/>
      <c r="X102" s="425"/>
    </row>
    <row r="103" spans="1:26" s="426" customFormat="1" x14ac:dyDescent="0.3">
      <c r="A103" s="443">
        <f>+A102+1</f>
        <v>2</v>
      </c>
      <c r="B103" s="444" t="s">
        <v>416</v>
      </c>
      <c r="C103" s="444"/>
      <c r="D103" s="444"/>
      <c r="E103" s="444"/>
      <c r="F103" s="444"/>
      <c r="G103" s="444"/>
      <c r="H103" s="444"/>
      <c r="I103" s="444"/>
      <c r="J103" s="444"/>
      <c r="K103" s="444"/>
      <c r="L103" s="444"/>
      <c r="M103" s="444"/>
      <c r="N103" s="444"/>
      <c r="O103" s="444"/>
      <c r="P103" s="444"/>
      <c r="Q103" s="444"/>
      <c r="R103" s="444"/>
      <c r="S103" s="444"/>
      <c r="T103" s="444"/>
      <c r="U103" s="444"/>
      <c r="V103" s="517">
        <f>-2</f>
        <v>-2</v>
      </c>
      <c r="W103" s="446"/>
      <c r="X103" s="425"/>
    </row>
    <row r="104" spans="1:26" s="426" customFormat="1" x14ac:dyDescent="0.3">
      <c r="A104" s="443">
        <f>+A103+1</f>
        <v>3</v>
      </c>
      <c r="B104" s="548" t="s">
        <v>332</v>
      </c>
      <c r="C104" s="444"/>
      <c r="D104" s="444"/>
      <c r="E104" s="444"/>
      <c r="F104" s="444"/>
      <c r="G104" s="444"/>
      <c r="H104" s="444"/>
      <c r="I104" s="444"/>
      <c r="J104" s="444"/>
      <c r="K104" s="444"/>
      <c r="L104" s="444"/>
      <c r="M104" s="444"/>
      <c r="N104" s="444"/>
      <c r="O104" s="444"/>
      <c r="P104" s="444"/>
      <c r="Q104" s="444"/>
      <c r="R104" s="444"/>
      <c r="S104" s="444"/>
      <c r="T104" s="444"/>
      <c r="U104" s="444"/>
      <c r="V104" s="517">
        <f>-245-142-9</f>
        <v>-396</v>
      </c>
      <c r="W104" s="446"/>
      <c r="X104" s="425"/>
    </row>
    <row r="105" spans="1:26" s="426" customFormat="1" x14ac:dyDescent="0.3">
      <c r="A105" s="443" t="s">
        <v>130</v>
      </c>
      <c r="B105" s="444" t="s">
        <v>119</v>
      </c>
      <c r="C105" s="444"/>
      <c r="D105" s="444"/>
      <c r="E105" s="444"/>
      <c r="F105" s="444"/>
      <c r="G105" s="444"/>
      <c r="H105" s="444"/>
      <c r="I105" s="444"/>
      <c r="J105" s="444"/>
      <c r="K105" s="444"/>
      <c r="L105" s="444"/>
      <c r="M105" s="444"/>
      <c r="N105" s="444"/>
      <c r="O105" s="444"/>
      <c r="P105" s="444"/>
      <c r="Q105" s="444"/>
      <c r="R105" s="444"/>
      <c r="S105" s="444"/>
      <c r="T105" s="444"/>
      <c r="U105" s="444"/>
      <c r="V105" s="517">
        <v>0</v>
      </c>
      <c r="W105" s="446"/>
      <c r="X105" s="425"/>
    </row>
    <row r="106" spans="1:26" s="426" customFormat="1" x14ac:dyDescent="0.3">
      <c r="A106" s="443" t="s">
        <v>131</v>
      </c>
      <c r="B106" s="444" t="s">
        <v>362</v>
      </c>
      <c r="C106" s="444"/>
      <c r="D106" s="444"/>
      <c r="E106" s="444"/>
      <c r="F106" s="444"/>
      <c r="G106" s="444"/>
      <c r="H106" s="444"/>
      <c r="I106" s="444"/>
      <c r="J106" s="444"/>
      <c r="K106" s="444"/>
      <c r="L106" s="444"/>
      <c r="M106" s="444"/>
      <c r="N106" s="444"/>
      <c r="O106" s="444"/>
      <c r="P106" s="444"/>
      <c r="Q106" s="444"/>
      <c r="R106" s="444"/>
      <c r="S106" s="444"/>
      <c r="T106" s="444"/>
      <c r="U106" s="444"/>
      <c r="V106" s="517">
        <v>-228</v>
      </c>
      <c r="W106" s="446"/>
      <c r="X106" s="425"/>
      <c r="Y106" s="549"/>
      <c r="Z106" s="549"/>
    </row>
    <row r="107" spans="1:26" s="426" customFormat="1" x14ac:dyDescent="0.3">
      <c r="A107" s="443" t="s">
        <v>153</v>
      </c>
      <c r="B107" s="444" t="s">
        <v>363</v>
      </c>
      <c r="C107" s="444"/>
      <c r="D107" s="444"/>
      <c r="E107" s="444"/>
      <c r="F107" s="444"/>
      <c r="G107" s="444"/>
      <c r="H107" s="444"/>
      <c r="I107" s="444"/>
      <c r="J107" s="444"/>
      <c r="K107" s="444"/>
      <c r="L107" s="444"/>
      <c r="M107" s="444"/>
      <c r="N107" s="444"/>
      <c r="O107" s="444"/>
      <c r="P107" s="444"/>
      <c r="Q107" s="444"/>
      <c r="R107" s="444"/>
      <c r="S107" s="444"/>
      <c r="T107" s="444"/>
      <c r="U107" s="444"/>
      <c r="V107" s="517">
        <v>-104</v>
      </c>
      <c r="W107" s="446"/>
      <c r="X107" s="425"/>
      <c r="Y107" s="549"/>
    </row>
    <row r="108" spans="1:26" s="426" customFormat="1" x14ac:dyDescent="0.3">
      <c r="A108" s="443" t="s">
        <v>266</v>
      </c>
      <c r="B108" s="444" t="s">
        <v>269</v>
      </c>
      <c r="C108" s="444"/>
      <c r="D108" s="444"/>
      <c r="E108" s="444"/>
      <c r="F108" s="444"/>
      <c r="G108" s="444"/>
      <c r="H108" s="444"/>
      <c r="I108" s="444"/>
      <c r="J108" s="444"/>
      <c r="K108" s="444"/>
      <c r="L108" s="444"/>
      <c r="M108" s="444"/>
      <c r="N108" s="444"/>
      <c r="O108" s="444"/>
      <c r="P108" s="444"/>
      <c r="Q108" s="444"/>
      <c r="R108" s="444"/>
      <c r="S108" s="444"/>
      <c r="T108" s="444"/>
      <c r="U108" s="444"/>
      <c r="V108" s="517">
        <v>0</v>
      </c>
      <c r="W108" s="446"/>
      <c r="X108" s="425"/>
    </row>
    <row r="109" spans="1:26" s="426" customFormat="1" x14ac:dyDescent="0.3">
      <c r="A109" s="443" t="s">
        <v>208</v>
      </c>
      <c r="B109" s="444" t="s">
        <v>188</v>
      </c>
      <c r="C109" s="444"/>
      <c r="D109" s="444"/>
      <c r="E109" s="444"/>
      <c r="F109" s="444"/>
      <c r="G109" s="444"/>
      <c r="H109" s="444"/>
      <c r="I109" s="444"/>
      <c r="J109" s="444"/>
      <c r="K109" s="444"/>
      <c r="L109" s="444"/>
      <c r="M109" s="444"/>
      <c r="N109" s="444"/>
      <c r="O109" s="444"/>
      <c r="P109" s="444"/>
      <c r="Q109" s="444"/>
      <c r="R109" s="444"/>
      <c r="S109" s="444"/>
      <c r="T109" s="444"/>
      <c r="U109" s="444"/>
      <c r="V109" s="517">
        <v>-54</v>
      </c>
      <c r="W109" s="446"/>
      <c r="X109" s="425"/>
      <c r="Y109" s="549"/>
    </row>
    <row r="110" spans="1:26" s="426" customFormat="1" x14ac:dyDescent="0.3">
      <c r="A110" s="443" t="s">
        <v>209</v>
      </c>
      <c r="B110" s="444" t="s">
        <v>189</v>
      </c>
      <c r="C110" s="444"/>
      <c r="D110" s="444"/>
      <c r="E110" s="444"/>
      <c r="F110" s="444"/>
      <c r="G110" s="444"/>
      <c r="H110" s="444"/>
      <c r="I110" s="444"/>
      <c r="J110" s="444"/>
      <c r="K110" s="444"/>
      <c r="L110" s="444"/>
      <c r="M110" s="444"/>
      <c r="N110" s="444"/>
      <c r="O110" s="444"/>
      <c r="P110" s="444"/>
      <c r="Q110" s="444"/>
      <c r="R110" s="444"/>
      <c r="S110" s="444"/>
      <c r="T110" s="444"/>
      <c r="U110" s="444"/>
      <c r="V110" s="517">
        <v>-51</v>
      </c>
      <c r="W110" s="446"/>
      <c r="X110" s="425"/>
      <c r="Y110" s="549"/>
    </row>
    <row r="111" spans="1:26" s="426" customFormat="1" x14ac:dyDescent="0.3">
      <c r="A111" s="443" t="s">
        <v>210</v>
      </c>
      <c r="B111" s="444" t="s">
        <v>199</v>
      </c>
      <c r="C111" s="444"/>
      <c r="D111" s="444"/>
      <c r="E111" s="444"/>
      <c r="F111" s="444"/>
      <c r="G111" s="444"/>
      <c r="H111" s="444"/>
      <c r="I111" s="444"/>
      <c r="J111" s="444"/>
      <c r="K111" s="444"/>
      <c r="L111" s="444"/>
      <c r="M111" s="444"/>
      <c r="N111" s="444"/>
      <c r="O111" s="444"/>
      <c r="P111" s="444"/>
      <c r="Q111" s="444"/>
      <c r="R111" s="444"/>
      <c r="S111" s="444"/>
      <c r="T111" s="444"/>
      <c r="U111" s="444"/>
      <c r="V111" s="517">
        <v>-101</v>
      </c>
      <c r="W111" s="446"/>
      <c r="X111" s="425"/>
      <c r="Y111" s="549"/>
    </row>
    <row r="112" spans="1:26" s="426" customFormat="1" x14ac:dyDescent="0.3">
      <c r="A112" s="443" t="s">
        <v>230</v>
      </c>
      <c r="B112" s="444" t="s">
        <v>229</v>
      </c>
      <c r="C112" s="444"/>
      <c r="D112" s="444"/>
      <c r="E112" s="444"/>
      <c r="F112" s="444"/>
      <c r="G112" s="444"/>
      <c r="H112" s="444"/>
      <c r="I112" s="444"/>
      <c r="J112" s="444"/>
      <c r="K112" s="444"/>
      <c r="L112" s="444"/>
      <c r="M112" s="444"/>
      <c r="N112" s="444"/>
      <c r="O112" s="444"/>
      <c r="P112" s="444"/>
      <c r="Q112" s="444"/>
      <c r="R112" s="444"/>
      <c r="S112" s="444"/>
      <c r="T112" s="444"/>
      <c r="U112" s="444"/>
      <c r="V112" s="517">
        <v>-23</v>
      </c>
      <c r="W112" s="446"/>
      <c r="X112" s="425"/>
      <c r="Y112" s="549"/>
    </row>
    <row r="113" spans="1:25" s="426" customFormat="1" x14ac:dyDescent="0.3">
      <c r="A113" s="550">
        <v>7</v>
      </c>
      <c r="B113" s="548" t="s">
        <v>333</v>
      </c>
      <c r="C113" s="548"/>
      <c r="D113" s="548"/>
      <c r="E113" s="548"/>
      <c r="F113" s="548"/>
      <c r="G113" s="444"/>
      <c r="H113" s="444"/>
      <c r="I113" s="444"/>
      <c r="J113" s="444"/>
      <c r="K113" s="444"/>
      <c r="L113" s="444"/>
      <c r="M113" s="444"/>
      <c r="N113" s="444"/>
      <c r="O113" s="444"/>
      <c r="P113" s="444"/>
      <c r="Q113" s="444"/>
      <c r="R113" s="444"/>
      <c r="S113" s="444"/>
      <c r="T113" s="444"/>
      <c r="U113" s="444"/>
      <c r="V113" s="517">
        <v>0</v>
      </c>
      <c r="W113" s="446"/>
      <c r="X113" s="425"/>
      <c r="Y113" s="549"/>
    </row>
    <row r="114" spans="1:25" s="426" customFormat="1" x14ac:dyDescent="0.3">
      <c r="A114" s="443">
        <f t="shared" ref="A114:A124" si="0">+A113+1</f>
        <v>8</v>
      </c>
      <c r="B114" s="444" t="s">
        <v>35</v>
      </c>
      <c r="C114" s="444"/>
      <c r="D114" s="444"/>
      <c r="E114" s="444"/>
      <c r="F114" s="444"/>
      <c r="G114" s="444"/>
      <c r="H114" s="444"/>
      <c r="I114" s="444"/>
      <c r="J114" s="444"/>
      <c r="K114" s="444"/>
      <c r="L114" s="444"/>
      <c r="M114" s="444"/>
      <c r="N114" s="444"/>
      <c r="O114" s="444"/>
      <c r="P114" s="444"/>
      <c r="Q114" s="444"/>
      <c r="R114" s="444"/>
      <c r="S114" s="444"/>
      <c r="T114" s="444"/>
      <c r="U114" s="444"/>
      <c r="V114" s="517">
        <v>-11</v>
      </c>
      <c r="W114" s="446"/>
      <c r="X114" s="425"/>
    </row>
    <row r="115" spans="1:25" s="426" customFormat="1" x14ac:dyDescent="0.3">
      <c r="A115" s="443">
        <f t="shared" si="0"/>
        <v>9</v>
      </c>
      <c r="B115" s="444" t="s">
        <v>45</v>
      </c>
      <c r="C115" s="444"/>
      <c r="D115" s="444"/>
      <c r="E115" s="444"/>
      <c r="F115" s="444"/>
      <c r="G115" s="444"/>
      <c r="H115" s="444"/>
      <c r="I115" s="444"/>
      <c r="J115" s="444"/>
      <c r="K115" s="444"/>
      <c r="L115" s="444"/>
      <c r="M115" s="444"/>
      <c r="N115" s="444"/>
      <c r="O115" s="444"/>
      <c r="P115" s="444"/>
      <c r="Q115" s="444"/>
      <c r="R115" s="444"/>
      <c r="S115" s="444"/>
      <c r="T115" s="516">
        <f>-V115</f>
        <v>-6</v>
      </c>
      <c r="U115" s="444"/>
      <c r="V115" s="517">
        <v>6</v>
      </c>
      <c r="W115" s="446"/>
      <c r="X115" s="425"/>
    </row>
    <row r="116" spans="1:25" s="426" customFormat="1" x14ac:dyDescent="0.3">
      <c r="A116" s="443">
        <f t="shared" si="0"/>
        <v>10</v>
      </c>
      <c r="B116" s="444" t="s">
        <v>128</v>
      </c>
      <c r="C116" s="444"/>
      <c r="D116" s="444"/>
      <c r="E116" s="444"/>
      <c r="F116" s="444"/>
      <c r="G116" s="444"/>
      <c r="H116" s="444"/>
      <c r="I116" s="444"/>
      <c r="J116" s="444"/>
      <c r="K116" s="444"/>
      <c r="L116" s="444"/>
      <c r="M116" s="444"/>
      <c r="N116" s="444"/>
      <c r="O116" s="444"/>
      <c r="P116" s="444"/>
      <c r="Q116" s="444"/>
      <c r="R116" s="444"/>
      <c r="S116" s="444"/>
      <c r="T116" s="444"/>
      <c r="U116" s="444"/>
      <c r="V116" s="517">
        <v>0</v>
      </c>
      <c r="W116" s="446"/>
      <c r="X116" s="425"/>
    </row>
    <row r="117" spans="1:25" s="426" customFormat="1" x14ac:dyDescent="0.3">
      <c r="A117" s="443">
        <f t="shared" si="0"/>
        <v>11</v>
      </c>
      <c r="B117" s="444" t="s">
        <v>271</v>
      </c>
      <c r="C117" s="444"/>
      <c r="D117" s="444"/>
      <c r="E117" s="444"/>
      <c r="F117" s="444"/>
      <c r="G117" s="444"/>
      <c r="H117" s="444"/>
      <c r="I117" s="444"/>
      <c r="J117" s="444"/>
      <c r="K117" s="444"/>
      <c r="L117" s="444"/>
      <c r="M117" s="444"/>
      <c r="N117" s="444"/>
      <c r="O117" s="444"/>
      <c r="P117" s="444"/>
      <c r="Q117" s="444"/>
      <c r="R117" s="444"/>
      <c r="S117" s="444"/>
      <c r="T117" s="444"/>
      <c r="U117" s="444"/>
      <c r="V117" s="517">
        <v>0</v>
      </c>
      <c r="W117" s="446"/>
      <c r="X117" s="425"/>
    </row>
    <row r="118" spans="1:25" s="426" customFormat="1" x14ac:dyDescent="0.3">
      <c r="A118" s="443">
        <f t="shared" si="0"/>
        <v>12</v>
      </c>
      <c r="B118" s="444" t="s">
        <v>36</v>
      </c>
      <c r="C118" s="444"/>
      <c r="D118" s="444"/>
      <c r="E118" s="444"/>
      <c r="F118" s="444"/>
      <c r="G118" s="444"/>
      <c r="H118" s="444"/>
      <c r="I118" s="444"/>
      <c r="J118" s="444"/>
      <c r="K118" s="444"/>
      <c r="L118" s="444"/>
      <c r="M118" s="444"/>
      <c r="N118" s="444"/>
      <c r="O118" s="444"/>
      <c r="P118" s="444"/>
      <c r="Q118" s="444"/>
      <c r="R118" s="444"/>
      <c r="S118" s="444"/>
      <c r="T118" s="444"/>
      <c r="U118" s="444"/>
      <c r="V118" s="517">
        <v>0</v>
      </c>
      <c r="W118" s="446"/>
      <c r="X118" s="425"/>
    </row>
    <row r="119" spans="1:25" s="426" customFormat="1" x14ac:dyDescent="0.3">
      <c r="A119" s="443">
        <f t="shared" si="0"/>
        <v>13</v>
      </c>
      <c r="B119" s="444" t="s">
        <v>270</v>
      </c>
      <c r="C119" s="444"/>
      <c r="D119" s="444"/>
      <c r="E119" s="444"/>
      <c r="F119" s="444"/>
      <c r="G119" s="444"/>
      <c r="H119" s="444"/>
      <c r="I119" s="444"/>
      <c r="J119" s="444"/>
      <c r="K119" s="444"/>
      <c r="L119" s="444"/>
      <c r="M119" s="444"/>
      <c r="N119" s="444"/>
      <c r="O119" s="444"/>
      <c r="P119" s="444"/>
      <c r="Q119" s="444"/>
      <c r="R119" s="444"/>
      <c r="S119" s="444"/>
      <c r="T119" s="444"/>
      <c r="U119" s="444"/>
      <c r="V119" s="517">
        <v>0</v>
      </c>
      <c r="W119" s="446"/>
      <c r="X119" s="425"/>
    </row>
    <row r="120" spans="1:25" s="426" customFormat="1" x14ac:dyDescent="0.3">
      <c r="A120" s="443">
        <f t="shared" si="0"/>
        <v>14</v>
      </c>
      <c r="B120" s="444" t="s">
        <v>152</v>
      </c>
      <c r="C120" s="444"/>
      <c r="D120" s="444"/>
      <c r="E120" s="444"/>
      <c r="F120" s="444"/>
      <c r="G120" s="444"/>
      <c r="H120" s="444"/>
      <c r="I120" s="444"/>
      <c r="J120" s="444"/>
      <c r="K120" s="444"/>
      <c r="L120" s="444"/>
      <c r="M120" s="444"/>
      <c r="N120" s="444"/>
      <c r="O120" s="444"/>
      <c r="P120" s="444"/>
      <c r="Q120" s="444"/>
      <c r="R120" s="444"/>
      <c r="S120" s="444"/>
      <c r="T120" s="444"/>
      <c r="U120" s="444"/>
      <c r="V120" s="517">
        <v>-245</v>
      </c>
      <c r="W120" s="446"/>
      <c r="X120" s="425"/>
    </row>
    <row r="121" spans="1:25" s="426" customFormat="1" x14ac:dyDescent="0.3">
      <c r="A121" s="443">
        <f t="shared" si="0"/>
        <v>15</v>
      </c>
      <c r="B121" s="548" t="s">
        <v>382</v>
      </c>
      <c r="C121" s="444"/>
      <c r="D121" s="444"/>
      <c r="E121" s="444"/>
      <c r="F121" s="444"/>
      <c r="G121" s="444"/>
      <c r="H121" s="444"/>
      <c r="I121" s="444"/>
      <c r="J121" s="444"/>
      <c r="K121" s="444"/>
      <c r="L121" s="444"/>
      <c r="M121" s="444"/>
      <c r="N121" s="444"/>
      <c r="O121" s="444"/>
      <c r="P121" s="444"/>
      <c r="Q121" s="444"/>
      <c r="R121" s="444"/>
      <c r="S121" s="444"/>
      <c r="T121" s="444"/>
      <c r="U121" s="444"/>
      <c r="V121" s="517">
        <v>-283</v>
      </c>
      <c r="W121" s="446"/>
      <c r="X121" s="425"/>
    </row>
    <row r="122" spans="1:25" s="426" customFormat="1" x14ac:dyDescent="0.3">
      <c r="A122" s="443">
        <f t="shared" si="0"/>
        <v>16</v>
      </c>
      <c r="B122" s="444" t="s">
        <v>383</v>
      </c>
      <c r="C122" s="444"/>
      <c r="D122" s="444"/>
      <c r="E122" s="444"/>
      <c r="F122" s="444"/>
      <c r="G122" s="444"/>
      <c r="H122" s="444"/>
      <c r="I122" s="444"/>
      <c r="J122" s="444"/>
      <c r="K122" s="444"/>
      <c r="L122" s="444"/>
      <c r="M122" s="444"/>
      <c r="N122" s="444"/>
      <c r="O122" s="444"/>
      <c r="P122" s="444"/>
      <c r="Q122" s="444"/>
      <c r="R122" s="444"/>
      <c r="S122" s="444"/>
      <c r="T122" s="444"/>
      <c r="U122" s="444"/>
      <c r="V122" s="517">
        <v>-255</v>
      </c>
      <c r="W122" s="446"/>
      <c r="X122" s="425"/>
    </row>
    <row r="123" spans="1:25" s="426" customFormat="1" x14ac:dyDescent="0.3">
      <c r="A123" s="443">
        <f t="shared" si="0"/>
        <v>17</v>
      </c>
      <c r="B123" s="444" t="s">
        <v>384</v>
      </c>
      <c r="C123" s="444"/>
      <c r="D123" s="444"/>
      <c r="E123" s="444"/>
      <c r="F123" s="444"/>
      <c r="G123" s="444"/>
      <c r="H123" s="444"/>
      <c r="I123" s="444"/>
      <c r="J123" s="444"/>
      <c r="K123" s="444"/>
      <c r="L123" s="444"/>
      <c r="M123" s="444"/>
      <c r="N123" s="444"/>
      <c r="O123" s="444"/>
      <c r="P123" s="444"/>
      <c r="Q123" s="444"/>
      <c r="R123" s="444"/>
      <c r="S123" s="444"/>
      <c r="T123" s="444"/>
      <c r="U123" s="444"/>
      <c r="V123" s="517">
        <v>0</v>
      </c>
      <c r="W123" s="446"/>
      <c r="X123" s="425"/>
    </row>
    <row r="124" spans="1:25" s="426" customFormat="1" x14ac:dyDescent="0.3">
      <c r="A124" s="443">
        <f t="shared" si="0"/>
        <v>18</v>
      </c>
      <c r="B124" s="444" t="s">
        <v>385</v>
      </c>
      <c r="C124" s="444"/>
      <c r="D124" s="444"/>
      <c r="E124" s="444"/>
      <c r="F124" s="444"/>
      <c r="G124" s="444"/>
      <c r="H124" s="444"/>
      <c r="I124" s="444"/>
      <c r="J124" s="444"/>
      <c r="K124" s="444"/>
      <c r="L124" s="444"/>
      <c r="M124" s="444"/>
      <c r="N124" s="444"/>
      <c r="O124" s="444"/>
      <c r="P124" s="444"/>
      <c r="Q124" s="444"/>
      <c r="R124" s="444"/>
      <c r="S124" s="444"/>
      <c r="T124" s="444"/>
      <c r="U124" s="444"/>
      <c r="V124" s="517">
        <f>-V100-SUM(V102:V123)</f>
        <v>-30247</v>
      </c>
      <c r="W124" s="446"/>
      <c r="X124" s="425"/>
    </row>
    <row r="125" spans="1:25" x14ac:dyDescent="0.3">
      <c r="A125" s="543"/>
      <c r="B125" s="544" t="s">
        <v>37</v>
      </c>
      <c r="C125" s="465"/>
      <c r="D125" s="465"/>
      <c r="E125" s="465"/>
      <c r="F125" s="465"/>
      <c r="G125" s="465"/>
      <c r="H125" s="465"/>
      <c r="I125" s="465"/>
      <c r="J125" s="465"/>
      <c r="K125" s="465"/>
      <c r="L125" s="465"/>
      <c r="M125" s="465"/>
      <c r="N125" s="465"/>
      <c r="O125" s="465"/>
      <c r="P125" s="465"/>
      <c r="Q125" s="465"/>
      <c r="R125" s="465"/>
      <c r="S125" s="465"/>
      <c r="T125" s="465"/>
      <c r="U125" s="465"/>
      <c r="V125" s="551"/>
      <c r="W125" s="547"/>
      <c r="X125" s="406"/>
    </row>
    <row r="126" spans="1:25" s="426" customFormat="1" x14ac:dyDescent="0.3">
      <c r="A126" s="443"/>
      <c r="B126" s="444" t="s">
        <v>176</v>
      </c>
      <c r="C126" s="444"/>
      <c r="D126" s="444"/>
      <c r="E126" s="444"/>
      <c r="F126" s="444"/>
      <c r="G126" s="444"/>
      <c r="H126" s="444"/>
      <c r="I126" s="444"/>
      <c r="J126" s="444"/>
      <c r="K126" s="444"/>
      <c r="L126" s="444"/>
      <c r="M126" s="444"/>
      <c r="N126" s="444"/>
      <c r="O126" s="444"/>
      <c r="P126" s="444"/>
      <c r="Q126" s="444"/>
      <c r="R126" s="444"/>
      <c r="S126" s="444"/>
      <c r="T126" s="516">
        <f>-T186</f>
        <v>0</v>
      </c>
      <c r="U126" s="516"/>
      <c r="V126" s="517"/>
      <c r="W126" s="446"/>
      <c r="X126" s="425"/>
    </row>
    <row r="127" spans="1:25" s="426" customFormat="1" x14ac:dyDescent="0.3">
      <c r="A127" s="443"/>
      <c r="B127" s="444" t="s">
        <v>177</v>
      </c>
      <c r="C127" s="444"/>
      <c r="D127" s="444"/>
      <c r="E127" s="444"/>
      <c r="F127" s="444"/>
      <c r="G127" s="444"/>
      <c r="H127" s="444"/>
      <c r="I127" s="444"/>
      <c r="J127" s="444"/>
      <c r="K127" s="444"/>
      <c r="L127" s="444"/>
      <c r="M127" s="444"/>
      <c r="N127" s="444"/>
      <c r="O127" s="444"/>
      <c r="P127" s="444"/>
      <c r="Q127" s="444"/>
      <c r="R127" s="444"/>
      <c r="S127" s="444"/>
      <c r="T127" s="516">
        <v>0</v>
      </c>
      <c r="U127" s="516"/>
      <c r="V127" s="517"/>
      <c r="W127" s="446"/>
      <c r="X127" s="425"/>
    </row>
    <row r="128" spans="1:25" s="426" customFormat="1" x14ac:dyDescent="0.3">
      <c r="A128" s="443"/>
      <c r="B128" s="444" t="s">
        <v>38</v>
      </c>
      <c r="C128" s="444"/>
      <c r="D128" s="444"/>
      <c r="E128" s="444"/>
      <c r="F128" s="444"/>
      <c r="G128" s="444"/>
      <c r="H128" s="444"/>
      <c r="I128" s="444"/>
      <c r="J128" s="444"/>
      <c r="K128" s="444"/>
      <c r="L128" s="444"/>
      <c r="M128" s="444"/>
      <c r="N128" s="444"/>
      <c r="O128" s="444"/>
      <c r="P128" s="444"/>
      <c r="Q128" s="444"/>
      <c r="R128" s="444"/>
      <c r="S128" s="444"/>
      <c r="T128" s="516">
        <f>-S186</f>
        <v>0</v>
      </c>
      <c r="U128" s="516"/>
      <c r="V128" s="517"/>
      <c r="W128" s="446"/>
      <c r="X128" s="425"/>
    </row>
    <row r="129" spans="1:24" s="426" customFormat="1" x14ac:dyDescent="0.3">
      <c r="A129" s="443"/>
      <c r="B129" s="444" t="s">
        <v>386</v>
      </c>
      <c r="C129" s="444"/>
      <c r="D129" s="444"/>
      <c r="E129" s="444"/>
      <c r="F129" s="444"/>
      <c r="G129" s="444"/>
      <c r="H129" s="444"/>
      <c r="I129" s="444"/>
      <c r="J129" s="444"/>
      <c r="K129" s="444"/>
      <c r="L129" s="444"/>
      <c r="M129" s="444"/>
      <c r="N129" s="444"/>
      <c r="O129" s="444"/>
      <c r="P129" s="444"/>
      <c r="Q129" s="444"/>
      <c r="R129" s="444"/>
      <c r="S129" s="444"/>
      <c r="T129" s="516">
        <v>-297991</v>
      </c>
      <c r="U129" s="516"/>
      <c r="V129" s="517"/>
      <c r="W129" s="446"/>
      <c r="X129" s="425"/>
    </row>
    <row r="130" spans="1:24" s="426" customFormat="1" x14ac:dyDescent="0.3">
      <c r="A130" s="443"/>
      <c r="B130" s="444" t="s">
        <v>198</v>
      </c>
      <c r="C130" s="444"/>
      <c r="D130" s="444"/>
      <c r="E130" s="444"/>
      <c r="F130" s="444"/>
      <c r="G130" s="444"/>
      <c r="H130" s="444"/>
      <c r="I130" s="444"/>
      <c r="J130" s="444"/>
      <c r="K130" s="444"/>
      <c r="L130" s="444"/>
      <c r="M130" s="444"/>
      <c r="N130" s="444"/>
      <c r="O130" s="444"/>
      <c r="P130" s="444"/>
      <c r="Q130" s="444"/>
      <c r="R130" s="444"/>
      <c r="S130" s="444"/>
      <c r="T130" s="516">
        <v>-46686</v>
      </c>
      <c r="U130" s="516"/>
      <c r="V130" s="517"/>
      <c r="W130" s="446"/>
      <c r="X130" s="425"/>
    </row>
    <row r="131" spans="1:24" s="426" customFormat="1" x14ac:dyDescent="0.3">
      <c r="A131" s="443"/>
      <c r="B131" s="444" t="s">
        <v>197</v>
      </c>
      <c r="C131" s="444"/>
      <c r="D131" s="444"/>
      <c r="E131" s="444"/>
      <c r="F131" s="444"/>
      <c r="G131" s="444"/>
      <c r="H131" s="444"/>
      <c r="I131" s="444"/>
      <c r="J131" s="444"/>
      <c r="K131" s="444"/>
      <c r="L131" s="444"/>
      <c r="M131" s="444"/>
      <c r="N131" s="444"/>
      <c r="O131" s="444"/>
      <c r="P131" s="444"/>
      <c r="Q131" s="444"/>
      <c r="R131" s="444"/>
      <c r="S131" s="444"/>
      <c r="T131" s="516">
        <v>-78958</v>
      </c>
      <c r="U131" s="516"/>
      <c r="V131" s="517"/>
      <c r="W131" s="446"/>
      <c r="X131" s="425"/>
    </row>
    <row r="132" spans="1:24" s="426" customFormat="1" x14ac:dyDescent="0.3">
      <c r="A132" s="443"/>
      <c r="B132" s="444" t="s">
        <v>232</v>
      </c>
      <c r="C132" s="444"/>
      <c r="D132" s="444"/>
      <c r="E132" s="444"/>
      <c r="F132" s="444"/>
      <c r="G132" s="444"/>
      <c r="H132" s="444"/>
      <c r="I132" s="444"/>
      <c r="J132" s="444"/>
      <c r="K132" s="444"/>
      <c r="L132" s="444"/>
      <c r="M132" s="444"/>
      <c r="N132" s="444"/>
      <c r="O132" s="444"/>
      <c r="P132" s="444"/>
      <c r="Q132" s="444"/>
      <c r="R132" s="444"/>
      <c r="S132" s="444"/>
      <c r="T132" s="516">
        <v>-69531</v>
      </c>
      <c r="U132" s="516"/>
      <c r="V132" s="517"/>
      <c r="W132" s="446"/>
      <c r="X132" s="425"/>
    </row>
    <row r="133" spans="1:24" s="426" customFormat="1" x14ac:dyDescent="0.3">
      <c r="A133" s="443"/>
      <c r="B133" s="444" t="s">
        <v>192</v>
      </c>
      <c r="C133" s="444"/>
      <c r="D133" s="444"/>
      <c r="E133" s="444"/>
      <c r="F133" s="444"/>
      <c r="G133" s="444"/>
      <c r="H133" s="444"/>
      <c r="I133" s="444"/>
      <c r="J133" s="444"/>
      <c r="K133" s="444"/>
      <c r="L133" s="444"/>
      <c r="M133" s="444"/>
      <c r="N133" s="444"/>
      <c r="O133" s="444"/>
      <c r="P133" s="444"/>
      <c r="Q133" s="444"/>
      <c r="R133" s="444"/>
      <c r="S133" s="444"/>
      <c r="T133" s="516">
        <v>-48522</v>
      </c>
      <c r="U133" s="516"/>
      <c r="V133" s="517"/>
      <c r="W133" s="446"/>
      <c r="X133" s="425"/>
    </row>
    <row r="134" spans="1:24" s="426" customFormat="1" x14ac:dyDescent="0.3">
      <c r="A134" s="443"/>
      <c r="B134" s="444" t="s">
        <v>191</v>
      </c>
      <c r="C134" s="444"/>
      <c r="D134" s="444"/>
      <c r="E134" s="444"/>
      <c r="F134" s="444"/>
      <c r="G134" s="444"/>
      <c r="H134" s="444"/>
      <c r="I134" s="444"/>
      <c r="J134" s="444"/>
      <c r="K134" s="444"/>
      <c r="L134" s="444"/>
      <c r="M134" s="444"/>
      <c r="N134" s="444"/>
      <c r="O134" s="444"/>
      <c r="P134" s="444"/>
      <c r="Q134" s="444"/>
      <c r="R134" s="444"/>
      <c r="S134" s="444"/>
      <c r="T134" s="516">
        <v>-48848</v>
      </c>
      <c r="U134" s="516"/>
      <c r="V134" s="517"/>
      <c r="W134" s="446"/>
      <c r="X134" s="425"/>
    </row>
    <row r="135" spans="1:24" s="426" customFormat="1" x14ac:dyDescent="0.3">
      <c r="A135" s="443"/>
      <c r="B135" s="444" t="s">
        <v>233</v>
      </c>
      <c r="C135" s="444"/>
      <c r="D135" s="444"/>
      <c r="E135" s="444"/>
      <c r="F135" s="444"/>
      <c r="G135" s="444"/>
      <c r="H135" s="444"/>
      <c r="I135" s="444"/>
      <c r="J135" s="444"/>
      <c r="K135" s="444"/>
      <c r="L135" s="444"/>
      <c r="M135" s="444"/>
      <c r="N135" s="444"/>
      <c r="O135" s="444"/>
      <c r="P135" s="444"/>
      <c r="Q135" s="444"/>
      <c r="R135" s="444"/>
      <c r="S135" s="444"/>
      <c r="T135" s="516">
        <v>-11264</v>
      </c>
      <c r="U135" s="516"/>
      <c r="V135" s="517"/>
      <c r="W135" s="446"/>
      <c r="X135" s="425"/>
    </row>
    <row r="136" spans="1:24" s="426" customFormat="1" x14ac:dyDescent="0.3">
      <c r="A136" s="443"/>
      <c r="B136" s="444" t="s">
        <v>190</v>
      </c>
      <c r="C136" s="444"/>
      <c r="D136" s="444"/>
      <c r="E136" s="444"/>
      <c r="F136" s="444"/>
      <c r="G136" s="444"/>
      <c r="H136" s="444"/>
      <c r="I136" s="444"/>
      <c r="J136" s="444"/>
      <c r="K136" s="444"/>
      <c r="L136" s="444"/>
      <c r="M136" s="444"/>
      <c r="N136" s="444"/>
      <c r="O136" s="444"/>
      <c r="P136" s="444"/>
      <c r="Q136" s="444"/>
      <c r="R136" s="444"/>
      <c r="S136" s="444"/>
      <c r="T136" s="516">
        <v>-47104</v>
      </c>
      <c r="U136" s="516"/>
      <c r="V136" s="517"/>
      <c r="W136" s="446"/>
      <c r="X136" s="425"/>
    </row>
    <row r="137" spans="1:24" s="426" customFormat="1" x14ac:dyDescent="0.3">
      <c r="A137" s="443"/>
      <c r="B137" s="444" t="s">
        <v>39</v>
      </c>
      <c r="C137" s="444"/>
      <c r="D137" s="444"/>
      <c r="E137" s="444"/>
      <c r="F137" s="444"/>
      <c r="G137" s="444"/>
      <c r="H137" s="444"/>
      <c r="I137" s="444"/>
      <c r="J137" s="444"/>
      <c r="K137" s="444"/>
      <c r="L137" s="444"/>
      <c r="M137" s="444"/>
      <c r="N137" s="444"/>
      <c r="O137" s="444"/>
      <c r="P137" s="444"/>
      <c r="Q137" s="444"/>
      <c r="R137" s="444"/>
      <c r="S137" s="444"/>
      <c r="T137" s="516">
        <f>SUM(T126:T136)</f>
        <v>-648904</v>
      </c>
      <c r="U137" s="516"/>
      <c r="V137" s="516">
        <f>SUM(V101:V134)</f>
        <v>-31994</v>
      </c>
      <c r="W137" s="446"/>
      <c r="X137" s="425"/>
    </row>
    <row r="138" spans="1:24" s="426" customFormat="1" x14ac:dyDescent="0.3">
      <c r="A138" s="443"/>
      <c r="B138" s="444" t="s">
        <v>40</v>
      </c>
      <c r="C138" s="444"/>
      <c r="D138" s="444"/>
      <c r="E138" s="444"/>
      <c r="F138" s="444"/>
      <c r="G138" s="444"/>
      <c r="H138" s="444"/>
      <c r="I138" s="444"/>
      <c r="J138" s="444"/>
      <c r="K138" s="444"/>
      <c r="L138" s="444"/>
      <c r="M138" s="444"/>
      <c r="N138" s="444"/>
      <c r="O138" s="444"/>
      <c r="P138" s="444"/>
      <c r="Q138" s="444"/>
      <c r="R138" s="444"/>
      <c r="S138" s="444"/>
      <c r="T138" s="516">
        <f>T100+T137+T115</f>
        <v>0</v>
      </c>
      <c r="U138" s="516"/>
      <c r="V138" s="516">
        <f>V100+V137</f>
        <v>0</v>
      </c>
      <c r="W138" s="446"/>
      <c r="X138" s="425"/>
    </row>
    <row r="139" spans="1:24" s="426" customFormat="1" x14ac:dyDescent="0.3">
      <c r="A139" s="421"/>
      <c r="B139" s="494"/>
      <c r="C139" s="494"/>
      <c r="D139" s="494"/>
      <c r="E139" s="494"/>
      <c r="F139" s="494"/>
      <c r="G139" s="494"/>
      <c r="H139" s="494"/>
      <c r="I139" s="494"/>
      <c r="J139" s="494"/>
      <c r="K139" s="494"/>
      <c r="L139" s="494"/>
      <c r="M139" s="494"/>
      <c r="N139" s="494"/>
      <c r="O139" s="494"/>
      <c r="P139" s="494"/>
      <c r="Q139" s="494"/>
      <c r="R139" s="494"/>
      <c r="S139" s="494"/>
      <c r="T139" s="552"/>
      <c r="U139" s="552"/>
      <c r="V139" s="552"/>
      <c r="W139" s="424"/>
      <c r="X139" s="425"/>
    </row>
    <row r="140" spans="1:24" s="426" customFormat="1" x14ac:dyDescent="0.3">
      <c r="A140" s="421"/>
      <c r="B140" s="422"/>
      <c r="C140" s="422"/>
      <c r="D140" s="422"/>
      <c r="E140" s="422"/>
      <c r="F140" s="422"/>
      <c r="G140" s="422"/>
      <c r="H140" s="422"/>
      <c r="I140" s="422"/>
      <c r="J140" s="422"/>
      <c r="K140" s="422"/>
      <c r="L140" s="422"/>
      <c r="M140" s="422"/>
      <c r="N140" s="422"/>
      <c r="O140" s="422"/>
      <c r="P140" s="422"/>
      <c r="Q140" s="422"/>
      <c r="R140" s="422"/>
      <c r="S140" s="422"/>
      <c r="T140" s="422"/>
      <c r="U140" s="422"/>
      <c r="V140" s="553"/>
      <c r="W140" s="424"/>
      <c r="X140" s="425"/>
    </row>
    <row r="141" spans="1:24" s="426" customFormat="1" ht="18.600000000000001" thickBot="1" x14ac:dyDescent="0.4">
      <c r="A141" s="500"/>
      <c r="B141" s="501" t="str">
        <f>B63</f>
        <v>PM13 INVESTOR REPORT QUARTER ENDING MARCH 2021</v>
      </c>
      <c r="C141" s="502"/>
      <c r="D141" s="502"/>
      <c r="E141" s="502"/>
      <c r="F141" s="502"/>
      <c r="G141" s="502"/>
      <c r="H141" s="502"/>
      <c r="I141" s="502"/>
      <c r="J141" s="502"/>
      <c r="K141" s="502"/>
      <c r="L141" s="502"/>
      <c r="M141" s="502"/>
      <c r="N141" s="502"/>
      <c r="O141" s="502"/>
      <c r="P141" s="502"/>
      <c r="Q141" s="502"/>
      <c r="R141" s="502"/>
      <c r="S141" s="502"/>
      <c r="T141" s="502"/>
      <c r="U141" s="502"/>
      <c r="V141" s="554"/>
      <c r="W141" s="555"/>
      <c r="X141" s="425"/>
    </row>
    <row r="142" spans="1:24" x14ac:dyDescent="0.3">
      <c r="A142" s="505"/>
      <c r="B142" s="506" t="s">
        <v>41</v>
      </c>
      <c r="C142" s="507"/>
      <c r="D142" s="507"/>
      <c r="E142" s="507"/>
      <c r="F142" s="507"/>
      <c r="G142" s="507"/>
      <c r="H142" s="507"/>
      <c r="I142" s="507"/>
      <c r="J142" s="507"/>
      <c r="K142" s="507"/>
      <c r="L142" s="507"/>
      <c r="M142" s="507"/>
      <c r="N142" s="507"/>
      <c r="O142" s="507"/>
      <c r="P142" s="507"/>
      <c r="Q142" s="507"/>
      <c r="R142" s="507"/>
      <c r="S142" s="507"/>
      <c r="T142" s="507"/>
      <c r="U142" s="507"/>
      <c r="V142" s="508"/>
      <c r="W142" s="509"/>
      <c r="X142" s="406"/>
    </row>
    <row r="143" spans="1:24" x14ac:dyDescent="0.3">
      <c r="A143" s="408"/>
      <c r="B143" s="556"/>
      <c r="C143" s="410"/>
      <c r="D143" s="410"/>
      <c r="E143" s="410"/>
      <c r="F143" s="410"/>
      <c r="G143" s="410"/>
      <c r="H143" s="410"/>
      <c r="I143" s="410"/>
      <c r="J143" s="410"/>
      <c r="K143" s="410"/>
      <c r="L143" s="410"/>
      <c r="M143" s="410"/>
      <c r="N143" s="410"/>
      <c r="O143" s="410"/>
      <c r="P143" s="410"/>
      <c r="Q143" s="410"/>
      <c r="R143" s="410"/>
      <c r="S143" s="410"/>
      <c r="T143" s="410"/>
      <c r="U143" s="410"/>
      <c r="V143" s="510"/>
      <c r="W143" s="411"/>
      <c r="X143" s="406"/>
    </row>
    <row r="144" spans="1:24" x14ac:dyDescent="0.3">
      <c r="A144" s="408"/>
      <c r="B144" s="557" t="s">
        <v>42</v>
      </c>
      <c r="C144" s="410"/>
      <c r="D144" s="410"/>
      <c r="E144" s="410"/>
      <c r="F144" s="410"/>
      <c r="G144" s="410"/>
      <c r="H144" s="410"/>
      <c r="I144" s="410"/>
      <c r="J144" s="410"/>
      <c r="K144" s="410"/>
      <c r="L144" s="410"/>
      <c r="M144" s="410"/>
      <c r="N144" s="410"/>
      <c r="O144" s="410"/>
      <c r="P144" s="410"/>
      <c r="Q144" s="410"/>
      <c r="R144" s="410"/>
      <c r="S144" s="410"/>
      <c r="T144" s="410"/>
      <c r="U144" s="410"/>
      <c r="V144" s="510"/>
      <c r="W144" s="411"/>
      <c r="X144" s="406"/>
    </row>
    <row r="145" spans="1:25" x14ac:dyDescent="0.3">
      <c r="A145" s="543"/>
      <c r="B145" s="444" t="s">
        <v>43</v>
      </c>
      <c r="C145" s="444"/>
      <c r="D145" s="444"/>
      <c r="E145" s="444"/>
      <c r="F145" s="444"/>
      <c r="G145" s="444"/>
      <c r="H145" s="444"/>
      <c r="I145" s="444"/>
      <c r="J145" s="444"/>
      <c r="K145" s="444"/>
      <c r="L145" s="444"/>
      <c r="M145" s="444"/>
      <c r="N145" s="444"/>
      <c r="O145" s="444"/>
      <c r="P145" s="444"/>
      <c r="Q145" s="444"/>
      <c r="R145" s="444"/>
      <c r="S145" s="444"/>
      <c r="T145" s="444"/>
      <c r="U145" s="444"/>
      <c r="V145" s="517">
        <f>+V34*0.019</f>
        <v>28503.61</v>
      </c>
      <c r="W145" s="558"/>
      <c r="X145" s="406"/>
    </row>
    <row r="146" spans="1:25" x14ac:dyDescent="0.3">
      <c r="A146" s="543"/>
      <c r="B146" s="444" t="s">
        <v>44</v>
      </c>
      <c r="C146" s="444"/>
      <c r="D146" s="444"/>
      <c r="E146" s="444"/>
      <c r="F146" s="444"/>
      <c r="G146" s="444"/>
      <c r="H146" s="444"/>
      <c r="I146" s="444"/>
      <c r="J146" s="444"/>
      <c r="K146" s="444"/>
      <c r="L146" s="444"/>
      <c r="M146" s="444"/>
      <c r="N146" s="444"/>
      <c r="O146" s="444"/>
      <c r="P146" s="444"/>
      <c r="Q146" s="444"/>
      <c r="R146" s="444"/>
      <c r="S146" s="444"/>
      <c r="T146" s="444"/>
      <c r="U146" s="444"/>
      <c r="V146" s="517">
        <v>28504</v>
      </c>
      <c r="W146" s="558"/>
      <c r="X146" s="406"/>
    </row>
    <row r="147" spans="1:25" x14ac:dyDescent="0.3">
      <c r="A147" s="543"/>
      <c r="B147" s="695" t="s">
        <v>428</v>
      </c>
      <c r="C147" s="444"/>
      <c r="D147" s="444"/>
      <c r="E147" s="444"/>
      <c r="F147" s="444"/>
      <c r="G147" s="444"/>
      <c r="H147" s="444"/>
      <c r="I147" s="444"/>
      <c r="J147" s="444"/>
      <c r="K147" s="444"/>
      <c r="L147" s="444"/>
      <c r="M147" s="444"/>
      <c r="N147" s="444"/>
      <c r="O147" s="444"/>
      <c r="P147" s="444"/>
      <c r="Q147" s="444"/>
      <c r="R147" s="444"/>
      <c r="S147" s="444"/>
      <c r="T147" s="444"/>
      <c r="U147" s="444"/>
      <c r="V147" s="517">
        <v>-28504</v>
      </c>
      <c r="W147" s="558"/>
      <c r="X147" s="406"/>
    </row>
    <row r="148" spans="1:25" x14ac:dyDescent="0.3">
      <c r="A148" s="543"/>
      <c r="B148" s="444" t="s">
        <v>126</v>
      </c>
      <c r="C148" s="444"/>
      <c r="D148" s="444"/>
      <c r="E148" s="444"/>
      <c r="F148" s="444"/>
      <c r="G148" s="444"/>
      <c r="H148" s="444"/>
      <c r="I148" s="444"/>
      <c r="J148" s="444"/>
      <c r="K148" s="444"/>
      <c r="L148" s="444"/>
      <c r="M148" s="444"/>
      <c r="N148" s="444"/>
      <c r="O148" s="444"/>
      <c r="P148" s="444"/>
      <c r="Q148" s="444"/>
      <c r="R148" s="444"/>
      <c r="S148" s="444"/>
      <c r="T148" s="444"/>
      <c r="U148" s="444"/>
      <c r="V148" s="517">
        <v>0</v>
      </c>
      <c r="W148" s="558"/>
      <c r="X148" s="406"/>
    </row>
    <row r="149" spans="1:25" x14ac:dyDescent="0.3">
      <c r="A149" s="543"/>
      <c r="B149" s="444" t="s">
        <v>127</v>
      </c>
      <c r="C149" s="444"/>
      <c r="D149" s="444"/>
      <c r="E149" s="444"/>
      <c r="F149" s="444"/>
      <c r="G149" s="444"/>
      <c r="H149" s="444"/>
      <c r="I149" s="444"/>
      <c r="J149" s="444"/>
      <c r="K149" s="444"/>
      <c r="L149" s="444"/>
      <c r="M149" s="444"/>
      <c r="N149" s="444"/>
      <c r="O149" s="444"/>
      <c r="P149" s="444"/>
      <c r="Q149" s="444"/>
      <c r="R149" s="444"/>
      <c r="S149" s="444"/>
      <c r="T149" s="444"/>
      <c r="U149" s="444"/>
      <c r="V149" s="517">
        <v>0</v>
      </c>
      <c r="W149" s="558"/>
      <c r="X149" s="406"/>
    </row>
    <row r="150" spans="1:25" x14ac:dyDescent="0.3">
      <c r="A150" s="543"/>
      <c r="B150" s="444" t="s">
        <v>178</v>
      </c>
      <c r="C150" s="444"/>
      <c r="D150" s="444"/>
      <c r="E150" s="444"/>
      <c r="F150" s="444"/>
      <c r="G150" s="444"/>
      <c r="H150" s="444"/>
      <c r="I150" s="444"/>
      <c r="J150" s="444"/>
      <c r="K150" s="444"/>
      <c r="L150" s="444"/>
      <c r="M150" s="444"/>
      <c r="N150" s="444"/>
      <c r="O150" s="444"/>
      <c r="P150" s="444"/>
      <c r="Q150" s="444"/>
      <c r="R150" s="444"/>
      <c r="S150" s="444"/>
      <c r="T150" s="444"/>
      <c r="U150" s="444"/>
      <c r="V150" s="517">
        <v>0</v>
      </c>
      <c r="W150" s="558"/>
      <c r="X150" s="406"/>
    </row>
    <row r="151" spans="1:25" x14ac:dyDescent="0.3">
      <c r="A151" s="543"/>
      <c r="B151" s="444" t="s">
        <v>45</v>
      </c>
      <c r="C151" s="444"/>
      <c r="D151" s="444"/>
      <c r="E151" s="444"/>
      <c r="F151" s="444"/>
      <c r="G151" s="444"/>
      <c r="H151" s="444"/>
      <c r="I151" s="444"/>
      <c r="J151" s="444"/>
      <c r="K151" s="444"/>
      <c r="L151" s="444"/>
      <c r="M151" s="444"/>
      <c r="N151" s="444"/>
      <c r="O151" s="444"/>
      <c r="P151" s="444"/>
      <c r="Q151" s="444"/>
      <c r="R151" s="444"/>
      <c r="S151" s="444"/>
      <c r="T151" s="444"/>
      <c r="U151" s="444"/>
      <c r="V151" s="517">
        <v>0</v>
      </c>
      <c r="W151" s="558"/>
      <c r="X151" s="406"/>
    </row>
    <row r="152" spans="1:25" x14ac:dyDescent="0.3">
      <c r="A152" s="543"/>
      <c r="B152" s="444" t="s">
        <v>132</v>
      </c>
      <c r="C152" s="444"/>
      <c r="D152" s="444"/>
      <c r="E152" s="444"/>
      <c r="F152" s="444"/>
      <c r="G152" s="444"/>
      <c r="H152" s="444"/>
      <c r="I152" s="444"/>
      <c r="J152" s="444"/>
      <c r="K152" s="444"/>
      <c r="L152" s="444"/>
      <c r="M152" s="444"/>
      <c r="N152" s="444"/>
      <c r="O152" s="444"/>
      <c r="P152" s="444"/>
      <c r="Q152" s="444"/>
      <c r="R152" s="444"/>
      <c r="S152" s="444"/>
      <c r="T152" s="444"/>
      <c r="U152" s="444"/>
      <c r="V152" s="517">
        <v>0</v>
      </c>
      <c r="W152" s="558"/>
      <c r="X152" s="406"/>
    </row>
    <row r="153" spans="1:25" x14ac:dyDescent="0.3">
      <c r="A153" s="543"/>
      <c r="B153" s="444" t="s">
        <v>267</v>
      </c>
      <c r="C153" s="444"/>
      <c r="D153" s="444"/>
      <c r="E153" s="444"/>
      <c r="F153" s="444"/>
      <c r="G153" s="444"/>
      <c r="H153" s="444"/>
      <c r="I153" s="444"/>
      <c r="J153" s="444"/>
      <c r="K153" s="444"/>
      <c r="L153" s="444"/>
      <c r="M153" s="444"/>
      <c r="N153" s="444"/>
      <c r="O153" s="444"/>
      <c r="P153" s="444"/>
      <c r="Q153" s="444"/>
      <c r="R153" s="444"/>
      <c r="S153" s="444"/>
      <c r="T153" s="444"/>
      <c r="U153" s="444"/>
      <c r="V153" s="517">
        <v>0</v>
      </c>
      <c r="W153" s="558"/>
      <c r="X153" s="406"/>
      <c r="Y153" s="559"/>
    </row>
    <row r="154" spans="1:25" x14ac:dyDescent="0.3">
      <c r="A154" s="543"/>
      <c r="B154" s="444" t="s">
        <v>46</v>
      </c>
      <c r="C154" s="444"/>
      <c r="D154" s="444"/>
      <c r="E154" s="444"/>
      <c r="F154" s="444"/>
      <c r="G154" s="444"/>
      <c r="H154" s="444"/>
      <c r="I154" s="444"/>
      <c r="J154" s="444"/>
      <c r="K154" s="444"/>
      <c r="L154" s="444"/>
      <c r="M154" s="444"/>
      <c r="N154" s="444"/>
      <c r="O154" s="444"/>
      <c r="P154" s="444"/>
      <c r="Q154" s="444"/>
      <c r="R154" s="444"/>
      <c r="S154" s="444"/>
      <c r="T154" s="444"/>
      <c r="U154" s="444"/>
      <c r="V154" s="517">
        <f>SUM(V146:V153)</f>
        <v>0</v>
      </c>
      <c r="W154" s="558"/>
      <c r="X154" s="406"/>
    </row>
    <row r="155" spans="1:25" x14ac:dyDescent="0.3">
      <c r="A155" s="543"/>
      <c r="B155" s="465"/>
      <c r="C155" s="465"/>
      <c r="D155" s="465"/>
      <c r="E155" s="465"/>
      <c r="F155" s="465"/>
      <c r="G155" s="465"/>
      <c r="H155" s="465"/>
      <c r="I155" s="465"/>
      <c r="J155" s="465"/>
      <c r="K155" s="465"/>
      <c r="L155" s="465"/>
      <c r="M155" s="465"/>
      <c r="N155" s="465"/>
      <c r="O155" s="465"/>
      <c r="P155" s="465"/>
      <c r="Q155" s="465"/>
      <c r="R155" s="465"/>
      <c r="S155" s="465"/>
      <c r="T155" s="465"/>
      <c r="U155" s="465"/>
      <c r="V155" s="546"/>
      <c r="W155" s="547"/>
      <c r="X155" s="406"/>
    </row>
    <row r="156" spans="1:25" x14ac:dyDescent="0.3">
      <c r="A156" s="543"/>
      <c r="B156" s="544" t="s">
        <v>417</v>
      </c>
      <c r="C156" s="465"/>
      <c r="D156" s="465"/>
      <c r="E156" s="465"/>
      <c r="F156" s="465"/>
      <c r="G156" s="465"/>
      <c r="H156" s="465"/>
      <c r="I156" s="465"/>
      <c r="J156" s="465"/>
      <c r="K156" s="465"/>
      <c r="L156" s="465"/>
      <c r="M156" s="465"/>
      <c r="N156" s="465"/>
      <c r="O156" s="465"/>
      <c r="P156" s="465"/>
      <c r="Q156" s="465"/>
      <c r="R156" s="465"/>
      <c r="S156" s="465"/>
      <c r="T156" s="465"/>
      <c r="U156" s="465"/>
      <c r="V156" s="546"/>
      <c r="W156" s="547"/>
      <c r="X156" s="406"/>
    </row>
    <row r="157" spans="1:25" x14ac:dyDescent="0.3">
      <c r="A157" s="543"/>
      <c r="B157" s="444" t="s">
        <v>158</v>
      </c>
      <c r="C157" s="444"/>
      <c r="D157" s="444"/>
      <c r="E157" s="444"/>
      <c r="F157" s="444"/>
      <c r="G157" s="444"/>
      <c r="H157" s="444"/>
      <c r="I157" s="444"/>
      <c r="J157" s="444"/>
      <c r="K157" s="444"/>
      <c r="L157" s="444"/>
      <c r="M157" s="444"/>
      <c r="N157" s="444"/>
      <c r="O157" s="444"/>
      <c r="P157" s="444"/>
      <c r="Q157" s="444"/>
      <c r="R157" s="444"/>
      <c r="S157" s="444"/>
      <c r="T157" s="444"/>
      <c r="U157" s="444"/>
      <c r="V157" s="517">
        <v>15000</v>
      </c>
      <c r="W157" s="558"/>
      <c r="X157" s="406"/>
    </row>
    <row r="158" spans="1:25" x14ac:dyDescent="0.3">
      <c r="A158" s="543"/>
      <c r="B158" s="444" t="s">
        <v>175</v>
      </c>
      <c r="C158" s="444"/>
      <c r="D158" s="444"/>
      <c r="E158" s="444"/>
      <c r="F158" s="444"/>
      <c r="G158" s="444"/>
      <c r="H158" s="444"/>
      <c r="I158" s="444"/>
      <c r="J158" s="444"/>
      <c r="K158" s="444"/>
      <c r="L158" s="444"/>
      <c r="M158" s="444"/>
      <c r="N158" s="444"/>
      <c r="O158" s="444"/>
      <c r="P158" s="444"/>
      <c r="Q158" s="444"/>
      <c r="R158" s="444"/>
      <c r="S158" s="444"/>
      <c r="T158" s="444"/>
      <c r="U158" s="444"/>
      <c r="V158" s="517">
        <v>0</v>
      </c>
      <c r="W158" s="558"/>
      <c r="X158" s="406"/>
    </row>
    <row r="159" spans="1:25" x14ac:dyDescent="0.3">
      <c r="A159" s="543"/>
      <c r="B159" s="444" t="s">
        <v>341</v>
      </c>
      <c r="C159" s="444"/>
      <c r="D159" s="444"/>
      <c r="E159" s="444"/>
      <c r="F159" s="444"/>
      <c r="G159" s="444"/>
      <c r="H159" s="444"/>
      <c r="I159" s="444"/>
      <c r="J159" s="444"/>
      <c r="K159" s="444"/>
      <c r="L159" s="444"/>
      <c r="M159" s="444"/>
      <c r="N159" s="444"/>
      <c r="O159" s="444"/>
      <c r="P159" s="444"/>
      <c r="Q159" s="444"/>
      <c r="R159" s="444"/>
      <c r="S159" s="444"/>
      <c r="T159" s="444"/>
      <c r="U159" s="444"/>
      <c r="V159" s="517">
        <v>0</v>
      </c>
      <c r="W159" s="558"/>
      <c r="X159" s="406"/>
    </row>
    <row r="160" spans="1:25" x14ac:dyDescent="0.3">
      <c r="A160" s="543"/>
      <c r="B160" s="465"/>
      <c r="C160" s="465"/>
      <c r="D160" s="465"/>
      <c r="E160" s="465"/>
      <c r="F160" s="465"/>
      <c r="G160" s="465"/>
      <c r="H160" s="465"/>
      <c r="I160" s="465"/>
      <c r="J160" s="465"/>
      <c r="K160" s="465"/>
      <c r="L160" s="465"/>
      <c r="M160" s="465"/>
      <c r="N160" s="465"/>
      <c r="O160" s="465"/>
      <c r="P160" s="465"/>
      <c r="Q160" s="465"/>
      <c r="R160" s="465"/>
      <c r="S160" s="465"/>
      <c r="T160" s="465"/>
      <c r="U160" s="465"/>
      <c r="V160" s="546"/>
      <c r="W160" s="547"/>
      <c r="X160" s="406"/>
    </row>
    <row r="161" spans="1:24" x14ac:dyDescent="0.3">
      <c r="A161" s="408"/>
      <c r="B161" s="518"/>
      <c r="C161" s="518"/>
      <c r="D161" s="518"/>
      <c r="E161" s="518"/>
      <c r="F161" s="518"/>
      <c r="G161" s="518"/>
      <c r="H161" s="518"/>
      <c r="I161" s="518"/>
      <c r="J161" s="518"/>
      <c r="K161" s="518"/>
      <c r="L161" s="518"/>
      <c r="M161" s="518"/>
      <c r="N161" s="518"/>
      <c r="O161" s="518"/>
      <c r="P161" s="518"/>
      <c r="Q161" s="518"/>
      <c r="R161" s="518"/>
      <c r="S161" s="518"/>
      <c r="T161" s="518"/>
      <c r="U161" s="518"/>
      <c r="V161" s="560"/>
      <c r="W161" s="411"/>
      <c r="X161" s="406"/>
    </row>
    <row r="162" spans="1:24" x14ac:dyDescent="0.3">
      <c r="A162" s="408"/>
      <c r="B162" s="557" t="s">
        <v>24</v>
      </c>
      <c r="C162" s="410"/>
      <c r="D162" s="410"/>
      <c r="E162" s="410"/>
      <c r="F162" s="410"/>
      <c r="G162" s="410"/>
      <c r="H162" s="410"/>
      <c r="I162" s="410"/>
      <c r="J162" s="410"/>
      <c r="K162" s="410"/>
      <c r="L162" s="410"/>
      <c r="M162" s="410"/>
      <c r="N162" s="410"/>
      <c r="O162" s="410"/>
      <c r="P162" s="410"/>
      <c r="Q162" s="410"/>
      <c r="R162" s="410"/>
      <c r="S162" s="410"/>
      <c r="T162" s="410"/>
      <c r="U162" s="410"/>
      <c r="V162" s="510"/>
      <c r="W162" s="411"/>
      <c r="X162" s="406"/>
    </row>
    <row r="163" spans="1:24" x14ac:dyDescent="0.3">
      <c r="A163" s="543"/>
      <c r="B163" s="444" t="s">
        <v>47</v>
      </c>
      <c r="C163" s="444"/>
      <c r="D163" s="444"/>
      <c r="E163" s="444"/>
      <c r="F163" s="444"/>
      <c r="G163" s="444"/>
      <c r="H163" s="444"/>
      <c r="I163" s="444"/>
      <c r="J163" s="444"/>
      <c r="K163" s="444"/>
      <c r="L163" s="444"/>
      <c r="M163" s="444"/>
      <c r="N163" s="444"/>
      <c r="O163" s="444"/>
      <c r="P163" s="444"/>
      <c r="Q163" s="444"/>
      <c r="R163" s="444"/>
      <c r="S163" s="444"/>
      <c r="T163" s="444"/>
      <c r="U163" s="444"/>
      <c r="V163" s="561" t="s">
        <v>121</v>
      </c>
      <c r="W163" s="558"/>
      <c r="X163" s="406"/>
    </row>
    <row r="164" spans="1:24" x14ac:dyDescent="0.3">
      <c r="A164" s="543"/>
      <c r="B164" s="444" t="s">
        <v>48</v>
      </c>
      <c r="C164" s="444"/>
      <c r="D164" s="444"/>
      <c r="E164" s="444"/>
      <c r="F164" s="444"/>
      <c r="G164" s="444"/>
      <c r="H164" s="444"/>
      <c r="I164" s="444"/>
      <c r="J164" s="444"/>
      <c r="K164" s="444"/>
      <c r="L164" s="444"/>
      <c r="M164" s="444"/>
      <c r="N164" s="444"/>
      <c r="O164" s="444"/>
      <c r="P164" s="444"/>
      <c r="Q164" s="444"/>
      <c r="R164" s="444"/>
      <c r="S164" s="444"/>
      <c r="T164" s="444"/>
      <c r="U164" s="444"/>
      <c r="V164" s="561" t="s">
        <v>121</v>
      </c>
      <c r="W164" s="558"/>
      <c r="X164" s="406"/>
    </row>
    <row r="165" spans="1:24" x14ac:dyDescent="0.3">
      <c r="A165" s="543"/>
      <c r="B165" s="444" t="s">
        <v>49</v>
      </c>
      <c r="C165" s="444"/>
      <c r="D165" s="444"/>
      <c r="E165" s="444"/>
      <c r="F165" s="444"/>
      <c r="G165" s="444"/>
      <c r="H165" s="444"/>
      <c r="I165" s="444"/>
      <c r="J165" s="444"/>
      <c r="K165" s="444"/>
      <c r="L165" s="444"/>
      <c r="M165" s="444"/>
      <c r="N165" s="444"/>
      <c r="O165" s="444"/>
      <c r="P165" s="444"/>
      <c r="Q165" s="444"/>
      <c r="R165" s="444"/>
      <c r="S165" s="444"/>
      <c r="T165" s="444"/>
      <c r="U165" s="444"/>
      <c r="V165" s="561" t="s">
        <v>121</v>
      </c>
      <c r="W165" s="558"/>
      <c r="X165" s="406"/>
    </row>
    <row r="166" spans="1:24" x14ac:dyDescent="0.3">
      <c r="A166" s="543"/>
      <c r="B166" s="444" t="s">
        <v>50</v>
      </c>
      <c r="C166" s="444"/>
      <c r="D166" s="444"/>
      <c r="E166" s="444"/>
      <c r="F166" s="444"/>
      <c r="G166" s="444"/>
      <c r="H166" s="444"/>
      <c r="I166" s="444"/>
      <c r="J166" s="444"/>
      <c r="K166" s="444"/>
      <c r="L166" s="444"/>
      <c r="M166" s="444"/>
      <c r="N166" s="444"/>
      <c r="O166" s="444"/>
      <c r="P166" s="444"/>
      <c r="Q166" s="444"/>
      <c r="R166" s="444"/>
      <c r="S166" s="444"/>
      <c r="T166" s="444"/>
      <c r="U166" s="444"/>
      <c r="V166" s="561" t="s">
        <v>121</v>
      </c>
      <c r="W166" s="558"/>
      <c r="X166" s="406"/>
    </row>
    <row r="167" spans="1:24" x14ac:dyDescent="0.3">
      <c r="A167" s="408"/>
      <c r="B167" s="518"/>
      <c r="C167" s="518"/>
      <c r="D167" s="518"/>
      <c r="E167" s="518"/>
      <c r="F167" s="518"/>
      <c r="G167" s="518"/>
      <c r="H167" s="518"/>
      <c r="I167" s="518"/>
      <c r="J167" s="518"/>
      <c r="K167" s="518"/>
      <c r="L167" s="518"/>
      <c r="M167" s="518"/>
      <c r="N167" s="518"/>
      <c r="O167" s="518"/>
      <c r="P167" s="518"/>
      <c r="Q167" s="518"/>
      <c r="R167" s="518"/>
      <c r="S167" s="518"/>
      <c r="T167" s="518"/>
      <c r="U167" s="518"/>
      <c r="V167" s="560"/>
      <c r="W167" s="411"/>
      <c r="X167" s="406"/>
    </row>
    <row r="168" spans="1:24" x14ac:dyDescent="0.3">
      <c r="A168" s="408"/>
      <c r="B168" s="557" t="s">
        <v>51</v>
      </c>
      <c r="C168" s="410"/>
      <c r="D168" s="410"/>
      <c r="E168" s="410"/>
      <c r="F168" s="410"/>
      <c r="G168" s="410"/>
      <c r="H168" s="410"/>
      <c r="I168" s="410"/>
      <c r="J168" s="410"/>
      <c r="K168" s="410"/>
      <c r="L168" s="410"/>
      <c r="M168" s="410"/>
      <c r="N168" s="410"/>
      <c r="O168" s="410"/>
      <c r="P168" s="410"/>
      <c r="Q168" s="410"/>
      <c r="R168" s="410"/>
      <c r="S168" s="410"/>
      <c r="T168" s="410"/>
      <c r="U168" s="410"/>
      <c r="V168" s="562"/>
      <c r="W168" s="411"/>
      <c r="X168" s="406"/>
    </row>
    <row r="169" spans="1:24" x14ac:dyDescent="0.3">
      <c r="A169" s="563"/>
      <c r="B169" s="548" t="s">
        <v>52</v>
      </c>
      <c r="C169" s="548"/>
      <c r="D169" s="548"/>
      <c r="E169" s="548"/>
      <c r="F169" s="548"/>
      <c r="G169" s="548"/>
      <c r="H169" s="548"/>
      <c r="I169" s="548"/>
      <c r="J169" s="548"/>
      <c r="K169" s="548"/>
      <c r="L169" s="548"/>
      <c r="M169" s="548"/>
      <c r="N169" s="548"/>
      <c r="O169" s="548"/>
      <c r="P169" s="548"/>
      <c r="Q169" s="548"/>
      <c r="R169" s="548"/>
      <c r="S169" s="548"/>
      <c r="T169" s="548"/>
      <c r="U169" s="548"/>
      <c r="V169" s="564">
        <v>0</v>
      </c>
      <c r="W169" s="565"/>
      <c r="X169" s="406"/>
    </row>
    <row r="170" spans="1:24" x14ac:dyDescent="0.3">
      <c r="A170" s="563"/>
      <c r="B170" s="548" t="s">
        <v>53</v>
      </c>
      <c r="C170" s="548"/>
      <c r="D170" s="548"/>
      <c r="E170" s="548"/>
      <c r="F170" s="548"/>
      <c r="G170" s="548"/>
      <c r="H170" s="548"/>
      <c r="I170" s="548"/>
      <c r="J170" s="548"/>
      <c r="K170" s="548"/>
      <c r="L170" s="548"/>
      <c r="M170" s="548"/>
      <c r="N170" s="548"/>
      <c r="O170" s="548"/>
      <c r="P170" s="548"/>
      <c r="Q170" s="548"/>
      <c r="R170" s="548"/>
      <c r="S170" s="548"/>
      <c r="T170" s="548"/>
      <c r="U170" s="548"/>
      <c r="V170" s="564">
        <v>-6</v>
      </c>
      <c r="W170" s="565"/>
      <c r="X170" s="406"/>
    </row>
    <row r="171" spans="1:24" x14ac:dyDescent="0.3">
      <c r="A171" s="563"/>
      <c r="B171" s="548" t="s">
        <v>54</v>
      </c>
      <c r="C171" s="548"/>
      <c r="D171" s="548"/>
      <c r="E171" s="548"/>
      <c r="F171" s="548"/>
      <c r="G171" s="548"/>
      <c r="H171" s="548"/>
      <c r="I171" s="548"/>
      <c r="J171" s="548"/>
      <c r="K171" s="548"/>
      <c r="L171" s="548"/>
      <c r="M171" s="548"/>
      <c r="N171" s="548"/>
      <c r="O171" s="548"/>
      <c r="P171" s="548"/>
      <c r="Q171" s="548"/>
      <c r="R171" s="548"/>
      <c r="S171" s="548"/>
      <c r="T171" s="548"/>
      <c r="U171" s="548"/>
      <c r="V171" s="564">
        <f>V170+V169</f>
        <v>-6</v>
      </c>
      <c r="W171" s="565"/>
      <c r="X171" s="406"/>
    </row>
    <row r="172" spans="1:24" x14ac:dyDescent="0.3">
      <c r="A172" s="563"/>
      <c r="B172" s="444" t="s">
        <v>318</v>
      </c>
      <c r="C172" s="548"/>
      <c r="D172" s="548"/>
      <c r="E172" s="548"/>
      <c r="F172" s="548"/>
      <c r="G172" s="548"/>
      <c r="H172" s="548"/>
      <c r="I172" s="548"/>
      <c r="J172" s="548"/>
      <c r="K172" s="548"/>
      <c r="L172" s="548"/>
      <c r="M172" s="548"/>
      <c r="N172" s="548"/>
      <c r="O172" s="548"/>
      <c r="P172" s="548"/>
      <c r="Q172" s="548"/>
      <c r="R172" s="548"/>
      <c r="S172" s="548"/>
      <c r="T172" s="548"/>
      <c r="U172" s="548"/>
      <c r="V172" s="564">
        <f>V115</f>
        <v>6</v>
      </c>
      <c r="W172" s="565"/>
      <c r="X172" s="406"/>
    </row>
    <row r="173" spans="1:24" x14ac:dyDescent="0.3">
      <c r="A173" s="563"/>
      <c r="B173" s="548" t="s">
        <v>55</v>
      </c>
      <c r="C173" s="548"/>
      <c r="D173" s="548"/>
      <c r="E173" s="548"/>
      <c r="F173" s="548"/>
      <c r="G173" s="548"/>
      <c r="H173" s="548"/>
      <c r="I173" s="548"/>
      <c r="J173" s="548"/>
      <c r="K173" s="548"/>
      <c r="L173" s="548"/>
      <c r="M173" s="548"/>
      <c r="N173" s="548"/>
      <c r="O173" s="548"/>
      <c r="P173" s="548"/>
      <c r="Q173" s="548"/>
      <c r="R173" s="548"/>
      <c r="S173" s="548"/>
      <c r="T173" s="548"/>
      <c r="U173" s="548"/>
      <c r="V173" s="564">
        <f>V171+V172</f>
        <v>0</v>
      </c>
      <c r="W173" s="565"/>
      <c r="X173" s="406"/>
    </row>
    <row r="174" spans="1:24" x14ac:dyDescent="0.3">
      <c r="A174" s="563"/>
      <c r="B174" s="548" t="s">
        <v>288</v>
      </c>
      <c r="C174" s="548"/>
      <c r="D174" s="548"/>
      <c r="E174" s="548"/>
      <c r="F174" s="548"/>
      <c r="G174" s="548"/>
      <c r="H174" s="548"/>
      <c r="I174" s="548"/>
      <c r="J174" s="548"/>
      <c r="K174" s="548"/>
      <c r="L174" s="548"/>
      <c r="M174" s="548"/>
      <c r="N174" s="548"/>
      <c r="O174" s="548"/>
      <c r="P174" s="548"/>
      <c r="Q174" s="548"/>
      <c r="R174" s="548"/>
      <c r="S174" s="548"/>
      <c r="T174" s="548"/>
      <c r="U174" s="548"/>
      <c r="V174" s="564">
        <v>0</v>
      </c>
      <c r="W174" s="565"/>
      <c r="X174" s="406"/>
    </row>
    <row r="175" spans="1:24" ht="16.2" thickBot="1" x14ac:dyDescent="0.35">
      <c r="A175" s="408"/>
      <c r="B175" s="518"/>
      <c r="C175" s="518"/>
      <c r="D175" s="518"/>
      <c r="E175" s="518"/>
      <c r="F175" s="518"/>
      <c r="G175" s="518"/>
      <c r="H175" s="518"/>
      <c r="I175" s="518"/>
      <c r="J175" s="518"/>
      <c r="K175" s="518"/>
      <c r="L175" s="518"/>
      <c r="M175" s="518"/>
      <c r="N175" s="518"/>
      <c r="O175" s="518"/>
      <c r="P175" s="518"/>
      <c r="Q175" s="518"/>
      <c r="R175" s="518"/>
      <c r="S175" s="518"/>
      <c r="T175" s="518"/>
      <c r="U175" s="518"/>
      <c r="V175" s="560"/>
      <c r="W175" s="411"/>
      <c r="X175" s="406"/>
    </row>
    <row r="176" spans="1:24" x14ac:dyDescent="0.3">
      <c r="A176" s="402"/>
      <c r="B176" s="404"/>
      <c r="C176" s="404"/>
      <c r="D176" s="404"/>
      <c r="E176" s="404"/>
      <c r="F176" s="404"/>
      <c r="G176" s="404"/>
      <c r="H176" s="404"/>
      <c r="I176" s="404"/>
      <c r="J176" s="404"/>
      <c r="K176" s="404"/>
      <c r="L176" s="404"/>
      <c r="M176" s="404"/>
      <c r="N176" s="404"/>
      <c r="O176" s="404"/>
      <c r="P176" s="404"/>
      <c r="Q176" s="404"/>
      <c r="R176" s="404"/>
      <c r="S176" s="404"/>
      <c r="T176" s="404"/>
      <c r="U176" s="404"/>
      <c r="V176" s="566"/>
      <c r="W176" s="405"/>
      <c r="X176" s="406"/>
    </row>
    <row r="177" spans="1:24" x14ac:dyDescent="0.3">
      <c r="A177" s="408"/>
      <c r="B177" s="557" t="s">
        <v>56</v>
      </c>
      <c r="C177" s="410"/>
      <c r="D177" s="410"/>
      <c r="E177" s="410"/>
      <c r="F177" s="410"/>
      <c r="G177" s="410"/>
      <c r="H177" s="410"/>
      <c r="I177" s="410"/>
      <c r="J177" s="410"/>
      <c r="K177" s="410"/>
      <c r="L177" s="410"/>
      <c r="M177" s="410"/>
      <c r="N177" s="410"/>
      <c r="O177" s="410"/>
      <c r="P177" s="410"/>
      <c r="Q177" s="410"/>
      <c r="R177" s="410"/>
      <c r="S177" s="410"/>
      <c r="T177" s="410"/>
      <c r="U177" s="410"/>
      <c r="V177" s="510"/>
      <c r="W177" s="411"/>
      <c r="X177" s="406"/>
    </row>
    <row r="178" spans="1:24" x14ac:dyDescent="0.3">
      <c r="A178" s="408"/>
      <c r="B178" s="556"/>
      <c r="C178" s="410"/>
      <c r="D178" s="410"/>
      <c r="E178" s="410"/>
      <c r="F178" s="410"/>
      <c r="G178" s="410"/>
      <c r="H178" s="410"/>
      <c r="I178" s="410"/>
      <c r="J178" s="410"/>
      <c r="K178" s="410"/>
      <c r="L178" s="410"/>
      <c r="M178" s="410"/>
      <c r="N178" s="410"/>
      <c r="O178" s="410"/>
      <c r="P178" s="410"/>
      <c r="Q178" s="410"/>
      <c r="R178" s="410"/>
      <c r="S178" s="410"/>
      <c r="T178" s="410"/>
      <c r="U178" s="410"/>
      <c r="V178" s="510"/>
      <c r="W178" s="411"/>
      <c r="X178" s="406"/>
    </row>
    <row r="179" spans="1:24" x14ac:dyDescent="0.3">
      <c r="A179" s="543"/>
      <c r="B179" s="444" t="s">
        <v>57</v>
      </c>
      <c r="C179" s="444"/>
      <c r="D179" s="444"/>
      <c r="E179" s="444"/>
      <c r="F179" s="444"/>
      <c r="G179" s="444"/>
      <c r="H179" s="444"/>
      <c r="I179" s="444"/>
      <c r="J179" s="444"/>
      <c r="K179" s="444"/>
      <c r="L179" s="444"/>
      <c r="M179" s="444"/>
      <c r="N179" s="444"/>
      <c r="O179" s="444"/>
      <c r="P179" s="444"/>
      <c r="Q179" s="444"/>
      <c r="R179" s="444"/>
      <c r="S179" s="444"/>
      <c r="T179" s="444"/>
      <c r="U179" s="444"/>
      <c r="V179" s="517">
        <f>V70</f>
        <v>0</v>
      </c>
      <c r="W179" s="558"/>
      <c r="X179" s="406"/>
    </row>
    <row r="180" spans="1:24" x14ac:dyDescent="0.3">
      <c r="A180" s="543"/>
      <c r="B180" s="444" t="s">
        <v>58</v>
      </c>
      <c r="C180" s="444"/>
      <c r="D180" s="444"/>
      <c r="E180" s="444"/>
      <c r="F180" s="444"/>
      <c r="G180" s="444"/>
      <c r="H180" s="444"/>
      <c r="I180" s="444"/>
      <c r="J180" s="444"/>
      <c r="K180" s="444"/>
      <c r="L180" s="444"/>
      <c r="M180" s="444"/>
      <c r="N180" s="444"/>
      <c r="O180" s="444"/>
      <c r="P180" s="444"/>
      <c r="Q180" s="444"/>
      <c r="R180" s="444"/>
      <c r="S180" s="444"/>
      <c r="T180" s="444"/>
      <c r="U180" s="444"/>
      <c r="V180" s="517">
        <f>V83</f>
        <v>0</v>
      </c>
      <c r="W180" s="558"/>
      <c r="X180" s="406"/>
    </row>
    <row r="181" spans="1:24" ht="16.2" thickBot="1" x14ac:dyDescent="0.35">
      <c r="A181" s="408"/>
      <c r="B181" s="518"/>
      <c r="C181" s="518"/>
      <c r="D181" s="518"/>
      <c r="E181" s="518"/>
      <c r="F181" s="518"/>
      <c r="G181" s="518"/>
      <c r="H181" s="518"/>
      <c r="I181" s="518"/>
      <c r="J181" s="518"/>
      <c r="K181" s="518"/>
      <c r="L181" s="518"/>
      <c r="M181" s="518"/>
      <c r="N181" s="518"/>
      <c r="O181" s="518"/>
      <c r="P181" s="518"/>
      <c r="Q181" s="518"/>
      <c r="R181" s="518"/>
      <c r="S181" s="518"/>
      <c r="T181" s="518"/>
      <c r="U181" s="518"/>
      <c r="V181" s="560"/>
      <c r="W181" s="411"/>
      <c r="X181" s="406"/>
    </row>
    <row r="182" spans="1:24" x14ac:dyDescent="0.3">
      <c r="A182" s="402"/>
      <c r="B182" s="404"/>
      <c r="C182" s="404"/>
      <c r="D182" s="404"/>
      <c r="E182" s="404"/>
      <c r="F182" s="404"/>
      <c r="G182" s="404"/>
      <c r="H182" s="404"/>
      <c r="I182" s="404"/>
      <c r="J182" s="404"/>
      <c r="K182" s="404"/>
      <c r="L182" s="404"/>
      <c r="M182" s="404"/>
      <c r="N182" s="404"/>
      <c r="O182" s="404"/>
      <c r="P182" s="404"/>
      <c r="Q182" s="404"/>
      <c r="R182" s="404"/>
      <c r="S182" s="404"/>
      <c r="T182" s="404"/>
      <c r="U182" s="404"/>
      <c r="V182" s="566"/>
      <c r="W182" s="405"/>
      <c r="X182" s="406"/>
    </row>
    <row r="183" spans="1:24" s="473" customFormat="1" x14ac:dyDescent="0.3">
      <c r="A183" s="511"/>
      <c r="B183" s="557" t="s">
        <v>59</v>
      </c>
      <c r="C183" s="567"/>
      <c r="D183" s="567"/>
      <c r="E183" s="567"/>
      <c r="F183" s="567"/>
      <c r="G183" s="567"/>
      <c r="H183" s="568"/>
      <c r="I183" s="568"/>
      <c r="J183" s="568"/>
      <c r="K183" s="568"/>
      <c r="L183" s="568"/>
      <c r="M183" s="568"/>
      <c r="N183" s="568"/>
      <c r="O183" s="568"/>
      <c r="P183" s="568"/>
      <c r="Q183" s="568"/>
      <c r="R183" s="568"/>
      <c r="S183" s="568" t="s">
        <v>102</v>
      </c>
      <c r="T183" s="568" t="s">
        <v>179</v>
      </c>
      <c r="U183" s="413"/>
      <c r="V183" s="569" t="s">
        <v>117</v>
      </c>
      <c r="W183" s="570"/>
      <c r="X183" s="472"/>
    </row>
    <row r="184" spans="1:24" s="426" customFormat="1" x14ac:dyDescent="0.3">
      <c r="A184" s="443"/>
      <c r="B184" s="444" t="s">
        <v>60</v>
      </c>
      <c r="C184" s="444"/>
      <c r="D184" s="444"/>
      <c r="E184" s="444"/>
      <c r="F184" s="444"/>
      <c r="G184" s="444"/>
      <c r="H184" s="444"/>
      <c r="I184" s="444"/>
      <c r="J184" s="444"/>
      <c r="K184" s="444"/>
      <c r="L184" s="444"/>
      <c r="M184" s="444"/>
      <c r="N184" s="444"/>
      <c r="O184" s="444"/>
      <c r="P184" s="444"/>
      <c r="Q184" s="444"/>
      <c r="R184" s="444"/>
      <c r="S184" s="517">
        <f>+V34*0.16</f>
        <v>240030.4</v>
      </c>
      <c r="T184" s="482"/>
      <c r="U184" s="444"/>
      <c r="V184" s="517"/>
      <c r="W184" s="446"/>
      <c r="X184" s="425"/>
    </row>
    <row r="185" spans="1:24" s="426" customFormat="1" x14ac:dyDescent="0.3">
      <c r="A185" s="443"/>
      <c r="B185" s="444" t="s">
        <v>61</v>
      </c>
      <c r="C185" s="444"/>
      <c r="D185" s="444"/>
      <c r="E185" s="444"/>
      <c r="F185" s="444"/>
      <c r="G185" s="444"/>
      <c r="H185" s="444"/>
      <c r="I185" s="444"/>
      <c r="J185" s="444"/>
      <c r="K185" s="444"/>
      <c r="L185" s="444"/>
      <c r="M185" s="444"/>
      <c r="N185" s="444"/>
      <c r="O185" s="444"/>
      <c r="P185" s="444"/>
      <c r="Q185" s="444"/>
      <c r="R185" s="444"/>
      <c r="S185" s="517">
        <f>+'Dec 20'!S186</f>
        <v>55845</v>
      </c>
      <c r="T185" s="517">
        <f>+'Dec 20'!T186</f>
        <v>9760</v>
      </c>
      <c r="U185" s="444"/>
      <c r="V185" s="517">
        <f>S185+T185</f>
        <v>65605</v>
      </c>
      <c r="W185" s="446"/>
      <c r="X185" s="425"/>
    </row>
    <row r="186" spans="1:24" s="426" customFormat="1" x14ac:dyDescent="0.3">
      <c r="A186" s="443"/>
      <c r="B186" s="444" t="s">
        <v>62</v>
      </c>
      <c r="C186" s="444"/>
      <c r="D186" s="444"/>
      <c r="E186" s="444"/>
      <c r="F186" s="444"/>
      <c r="G186" s="444"/>
      <c r="H186" s="444"/>
      <c r="I186" s="444"/>
      <c r="J186" s="444"/>
      <c r="K186" s="444"/>
      <c r="L186" s="444"/>
      <c r="M186" s="444"/>
      <c r="N186" s="444"/>
      <c r="O186" s="444"/>
      <c r="P186" s="444"/>
      <c r="Q186" s="444"/>
      <c r="R186" s="444"/>
      <c r="S186" s="516">
        <v>0</v>
      </c>
      <c r="T186" s="516">
        <v>0</v>
      </c>
      <c r="U186" s="444"/>
      <c r="V186" s="517">
        <f>S186+T186</f>
        <v>0</v>
      </c>
      <c r="W186" s="446"/>
      <c r="X186" s="425"/>
    </row>
    <row r="187" spans="1:24" s="426" customFormat="1" x14ac:dyDescent="0.3">
      <c r="A187" s="443"/>
      <c r="B187" s="444" t="s">
        <v>63</v>
      </c>
      <c r="C187" s="444"/>
      <c r="D187" s="444"/>
      <c r="E187" s="444"/>
      <c r="F187" s="444"/>
      <c r="G187" s="444"/>
      <c r="H187" s="444"/>
      <c r="I187" s="444"/>
      <c r="J187" s="444"/>
      <c r="K187" s="444"/>
      <c r="L187" s="444"/>
      <c r="M187" s="444"/>
      <c r="N187" s="444"/>
      <c r="O187" s="444"/>
      <c r="P187" s="444"/>
      <c r="Q187" s="444"/>
      <c r="R187" s="444"/>
      <c r="S187" s="517">
        <f>+S185+S186</f>
        <v>55845</v>
      </c>
      <c r="T187" s="517">
        <f>T186+T185</f>
        <v>9760</v>
      </c>
      <c r="U187" s="444"/>
      <c r="V187" s="517">
        <f>S187+T187</f>
        <v>65605</v>
      </c>
      <c r="W187" s="446"/>
      <c r="X187" s="425"/>
    </row>
    <row r="188" spans="1:24" s="426" customFormat="1" x14ac:dyDescent="0.3">
      <c r="A188" s="443"/>
      <c r="B188" s="444" t="s">
        <v>64</v>
      </c>
      <c r="C188" s="444"/>
      <c r="D188" s="444"/>
      <c r="E188" s="444"/>
      <c r="F188" s="444"/>
      <c r="G188" s="444"/>
      <c r="H188" s="444"/>
      <c r="I188" s="444"/>
      <c r="J188" s="444"/>
      <c r="K188" s="444"/>
      <c r="L188" s="444"/>
      <c r="M188" s="444"/>
      <c r="N188" s="444"/>
      <c r="O188" s="444"/>
      <c r="P188" s="444"/>
      <c r="Q188" s="444"/>
      <c r="R188" s="444"/>
      <c r="S188" s="517">
        <f>S184-S187-T187</f>
        <v>174425.4</v>
      </c>
      <c r="T188" s="482"/>
      <c r="U188" s="444"/>
      <c r="V188" s="517"/>
      <c r="W188" s="446"/>
      <c r="X188" s="425"/>
    </row>
    <row r="189" spans="1:24" ht="16.2" thickBot="1" x14ac:dyDescent="0.35">
      <c r="A189" s="408"/>
      <c r="B189" s="518"/>
      <c r="C189" s="518"/>
      <c r="D189" s="518"/>
      <c r="E189" s="518"/>
      <c r="F189" s="518"/>
      <c r="G189" s="518"/>
      <c r="H189" s="518"/>
      <c r="I189" s="518"/>
      <c r="J189" s="518"/>
      <c r="K189" s="518"/>
      <c r="L189" s="518"/>
      <c r="M189" s="518"/>
      <c r="N189" s="518"/>
      <c r="O189" s="518"/>
      <c r="P189" s="518"/>
      <c r="Q189" s="518"/>
      <c r="R189" s="518"/>
      <c r="S189" s="518"/>
      <c r="T189" s="518"/>
      <c r="U189" s="518"/>
      <c r="V189" s="560"/>
      <c r="W189" s="411"/>
      <c r="X189" s="406"/>
    </row>
    <row r="190" spans="1:24" x14ac:dyDescent="0.3">
      <c r="A190" s="402"/>
      <c r="B190" s="404"/>
      <c r="C190" s="404"/>
      <c r="D190" s="404"/>
      <c r="E190" s="404"/>
      <c r="F190" s="404"/>
      <c r="G190" s="404"/>
      <c r="H190" s="404"/>
      <c r="I190" s="404"/>
      <c r="J190" s="404"/>
      <c r="K190" s="404"/>
      <c r="L190" s="404"/>
      <c r="M190" s="404"/>
      <c r="N190" s="404"/>
      <c r="O190" s="404"/>
      <c r="P190" s="404"/>
      <c r="Q190" s="404"/>
      <c r="R190" s="404"/>
      <c r="S190" s="404"/>
      <c r="T190" s="404"/>
      <c r="U190" s="404"/>
      <c r="V190" s="566"/>
      <c r="W190" s="405"/>
      <c r="X190" s="406"/>
    </row>
    <row r="191" spans="1:24" x14ac:dyDescent="0.3">
      <c r="A191" s="408"/>
      <c r="B191" s="557" t="s">
        <v>65</v>
      </c>
      <c r="C191" s="410"/>
      <c r="D191" s="410"/>
      <c r="E191" s="410"/>
      <c r="F191" s="410"/>
      <c r="G191" s="410"/>
      <c r="H191" s="410"/>
      <c r="I191" s="410"/>
      <c r="J191" s="410"/>
      <c r="K191" s="410"/>
      <c r="L191" s="410"/>
      <c r="M191" s="410"/>
      <c r="N191" s="410"/>
      <c r="O191" s="410"/>
      <c r="P191" s="410"/>
      <c r="Q191" s="410"/>
      <c r="R191" s="410"/>
      <c r="S191" s="410"/>
      <c r="T191" s="410"/>
      <c r="U191" s="410"/>
      <c r="V191" s="571"/>
      <c r="W191" s="411"/>
      <c r="X191" s="406"/>
    </row>
    <row r="192" spans="1:24" s="426" customFormat="1" x14ac:dyDescent="0.3">
      <c r="A192" s="443"/>
      <c r="B192" s="444" t="s">
        <v>66</v>
      </c>
      <c r="C192" s="444"/>
      <c r="D192" s="444"/>
      <c r="E192" s="444"/>
      <c r="F192" s="444"/>
      <c r="G192" s="444"/>
      <c r="H192" s="444"/>
      <c r="I192" s="444"/>
      <c r="J192" s="444"/>
      <c r="K192" s="444"/>
      <c r="L192" s="444"/>
      <c r="M192" s="444"/>
      <c r="N192" s="444"/>
      <c r="O192" s="444"/>
      <c r="P192" s="444"/>
      <c r="Q192" s="444"/>
      <c r="R192" s="444"/>
      <c r="S192" s="444"/>
      <c r="T192" s="444"/>
      <c r="U192" s="444"/>
      <c r="V192" s="561">
        <v>0</v>
      </c>
      <c r="W192" s="446"/>
      <c r="X192" s="425"/>
    </row>
    <row r="193" spans="1:24" s="426" customFormat="1" x14ac:dyDescent="0.3">
      <c r="A193" s="443"/>
      <c r="B193" s="444" t="s">
        <v>67</v>
      </c>
      <c r="C193" s="444"/>
      <c r="D193" s="444"/>
      <c r="E193" s="444"/>
      <c r="F193" s="444"/>
      <c r="G193" s="444"/>
      <c r="H193" s="444"/>
      <c r="I193" s="444"/>
      <c r="J193" s="444"/>
      <c r="K193" s="444"/>
      <c r="L193" s="444"/>
      <c r="M193" s="444"/>
      <c r="N193" s="444"/>
      <c r="O193" s="444"/>
      <c r="P193" s="444"/>
      <c r="Q193" s="444"/>
      <c r="R193" s="444"/>
      <c r="S193" s="444"/>
      <c r="T193" s="444"/>
      <c r="U193" s="444"/>
      <c r="V193" s="572">
        <v>0</v>
      </c>
      <c r="W193" s="446"/>
      <c r="X193" s="425"/>
    </row>
    <row r="194" spans="1:24" s="426" customFormat="1" x14ac:dyDescent="0.3">
      <c r="A194" s="443"/>
      <c r="B194" s="444" t="s">
        <v>68</v>
      </c>
      <c r="C194" s="444"/>
      <c r="D194" s="444"/>
      <c r="E194" s="444"/>
      <c r="F194" s="444"/>
      <c r="G194" s="444"/>
      <c r="H194" s="444"/>
      <c r="I194" s="444"/>
      <c r="J194" s="444"/>
      <c r="K194" s="444"/>
      <c r="L194" s="444"/>
      <c r="M194" s="444"/>
      <c r="N194" s="444"/>
      <c r="O194" s="444"/>
      <c r="P194" s="444"/>
      <c r="Q194" s="444"/>
      <c r="R194" s="444"/>
      <c r="S194" s="444"/>
      <c r="T194" s="444"/>
      <c r="U194" s="444"/>
      <c r="V194" s="561">
        <v>0</v>
      </c>
      <c r="W194" s="446"/>
      <c r="X194" s="425"/>
    </row>
    <row r="195" spans="1:24" s="426" customFormat="1" x14ac:dyDescent="0.3">
      <c r="A195" s="443"/>
      <c r="B195" s="444" t="s">
        <v>69</v>
      </c>
      <c r="C195" s="444"/>
      <c r="D195" s="444"/>
      <c r="E195" s="444"/>
      <c r="F195" s="444"/>
      <c r="G195" s="444"/>
      <c r="H195" s="444"/>
      <c r="I195" s="444"/>
      <c r="J195" s="444"/>
      <c r="K195" s="444"/>
      <c r="L195" s="444"/>
      <c r="M195" s="444"/>
      <c r="N195" s="444"/>
      <c r="O195" s="444"/>
      <c r="P195" s="444"/>
      <c r="Q195" s="444"/>
      <c r="R195" s="444"/>
      <c r="S195" s="444"/>
      <c r="T195" s="444"/>
      <c r="U195" s="444"/>
      <c r="V195" s="572">
        <v>0</v>
      </c>
      <c r="W195" s="446"/>
      <c r="X195" s="425"/>
    </row>
    <row r="196" spans="1:24" s="426" customFormat="1" x14ac:dyDescent="0.3">
      <c r="A196" s="443"/>
      <c r="B196" s="444" t="s">
        <v>201</v>
      </c>
      <c r="C196" s="444"/>
      <c r="D196" s="444"/>
      <c r="E196" s="444"/>
      <c r="F196" s="444"/>
      <c r="G196" s="444"/>
      <c r="H196" s="444"/>
      <c r="I196" s="444"/>
      <c r="J196" s="444"/>
      <c r="K196" s="444"/>
      <c r="L196" s="444"/>
      <c r="M196" s="444"/>
      <c r="N196" s="444"/>
      <c r="O196" s="444"/>
      <c r="P196" s="444"/>
      <c r="Q196" s="444"/>
      <c r="R196" s="444"/>
      <c r="S196" s="444"/>
      <c r="T196" s="444"/>
      <c r="U196" s="444"/>
      <c r="V196" s="561">
        <v>0</v>
      </c>
      <c r="W196" s="446"/>
      <c r="X196" s="425"/>
    </row>
    <row r="197" spans="1:24" s="426" customFormat="1" x14ac:dyDescent="0.3">
      <c r="A197" s="443"/>
      <c r="B197" s="444" t="s">
        <v>202</v>
      </c>
      <c r="C197" s="444"/>
      <c r="D197" s="444"/>
      <c r="E197" s="444"/>
      <c r="F197" s="444"/>
      <c r="G197" s="444"/>
      <c r="H197" s="444"/>
      <c r="I197" s="444"/>
      <c r="J197" s="444"/>
      <c r="K197" s="444"/>
      <c r="L197" s="444"/>
      <c r="M197" s="444"/>
      <c r="N197" s="444"/>
      <c r="O197" s="444"/>
      <c r="P197" s="444"/>
      <c r="Q197" s="444"/>
      <c r="R197" s="444"/>
      <c r="S197" s="444"/>
      <c r="T197" s="444"/>
      <c r="U197" s="444"/>
      <c r="V197" s="572">
        <v>0</v>
      </c>
      <c r="W197" s="446"/>
      <c r="X197" s="425"/>
    </row>
    <row r="198" spans="1:24" x14ac:dyDescent="0.3">
      <c r="A198" s="543"/>
      <c r="B198" s="465"/>
      <c r="C198" s="465"/>
      <c r="D198" s="465"/>
      <c r="E198" s="465"/>
      <c r="F198" s="465"/>
      <c r="G198" s="465"/>
      <c r="H198" s="465"/>
      <c r="I198" s="465"/>
      <c r="J198" s="465"/>
      <c r="K198" s="465"/>
      <c r="L198" s="465"/>
      <c r="M198" s="465"/>
      <c r="N198" s="465"/>
      <c r="O198" s="465"/>
      <c r="P198" s="465"/>
      <c r="Q198" s="465"/>
      <c r="R198" s="465"/>
      <c r="S198" s="465"/>
      <c r="T198" s="465"/>
      <c r="U198" s="465"/>
      <c r="V198" s="465"/>
      <c r="W198" s="547"/>
      <c r="X198" s="406"/>
    </row>
    <row r="199" spans="1:24" x14ac:dyDescent="0.3">
      <c r="A199" s="408"/>
      <c r="B199" s="518"/>
      <c r="C199" s="518"/>
      <c r="D199" s="518"/>
      <c r="E199" s="518"/>
      <c r="F199" s="518"/>
      <c r="G199" s="518"/>
      <c r="H199" s="518"/>
      <c r="I199" s="518"/>
      <c r="J199" s="518"/>
      <c r="K199" s="518"/>
      <c r="L199" s="518"/>
      <c r="M199" s="518"/>
      <c r="N199" s="518"/>
      <c r="O199" s="518"/>
      <c r="P199" s="518"/>
      <c r="Q199" s="518"/>
      <c r="R199" s="518"/>
      <c r="S199" s="518"/>
      <c r="T199" s="518"/>
      <c r="U199" s="518"/>
      <c r="V199" s="518"/>
      <c r="W199" s="411"/>
      <c r="X199" s="406"/>
    </row>
    <row r="200" spans="1:24" x14ac:dyDescent="0.3">
      <c r="A200" s="408"/>
      <c r="B200" s="410"/>
      <c r="C200" s="410"/>
      <c r="D200" s="410"/>
      <c r="E200" s="410"/>
      <c r="F200" s="410"/>
      <c r="G200" s="410"/>
      <c r="H200" s="410"/>
      <c r="I200" s="410"/>
      <c r="J200" s="410"/>
      <c r="K200" s="410"/>
      <c r="L200" s="410"/>
      <c r="M200" s="410"/>
      <c r="N200" s="410"/>
      <c r="O200" s="410"/>
      <c r="P200" s="410"/>
      <c r="Q200" s="410"/>
      <c r="R200" s="410"/>
      <c r="S200" s="410"/>
      <c r="T200" s="410"/>
      <c r="U200" s="410"/>
      <c r="V200" s="410"/>
      <c r="W200" s="411"/>
      <c r="X200" s="406"/>
    </row>
    <row r="201" spans="1:24" ht="18.600000000000001" thickBot="1" x14ac:dyDescent="0.4">
      <c r="A201" s="573"/>
      <c r="B201" s="501" t="str">
        <f>B141</f>
        <v>PM13 INVESTOR REPORT QUARTER ENDING MARCH 2021</v>
      </c>
      <c r="C201" s="574"/>
      <c r="D201" s="574"/>
      <c r="E201" s="574"/>
      <c r="F201" s="574"/>
      <c r="G201" s="574"/>
      <c r="H201" s="574"/>
      <c r="I201" s="574"/>
      <c r="J201" s="574"/>
      <c r="K201" s="574"/>
      <c r="L201" s="574"/>
      <c r="M201" s="574"/>
      <c r="N201" s="574"/>
      <c r="O201" s="574"/>
      <c r="P201" s="574"/>
      <c r="Q201" s="574"/>
      <c r="R201" s="574"/>
      <c r="S201" s="574"/>
      <c r="T201" s="574"/>
      <c r="U201" s="574"/>
      <c r="V201" s="574"/>
      <c r="W201" s="575"/>
      <c r="X201" s="406"/>
    </row>
    <row r="202" spans="1:24" x14ac:dyDescent="0.3">
      <c r="A202" s="505"/>
      <c r="B202" s="506" t="s">
        <v>70</v>
      </c>
      <c r="C202" s="576"/>
      <c r="D202" s="576"/>
      <c r="E202" s="576"/>
      <c r="F202" s="576"/>
      <c r="G202" s="577"/>
      <c r="H202" s="577"/>
      <c r="I202" s="577"/>
      <c r="J202" s="577"/>
      <c r="K202" s="577"/>
      <c r="L202" s="577"/>
      <c r="M202" s="577"/>
      <c r="N202" s="577"/>
      <c r="O202" s="577"/>
      <c r="P202" s="577"/>
      <c r="Q202" s="577"/>
      <c r="R202" s="577"/>
      <c r="S202" s="577"/>
      <c r="T202" s="577">
        <v>44286</v>
      </c>
      <c r="U202" s="507"/>
      <c r="V202" s="507"/>
      <c r="W202" s="509"/>
      <c r="X202" s="406"/>
    </row>
    <row r="203" spans="1:24" x14ac:dyDescent="0.3">
      <c r="A203" s="578"/>
      <c r="B203" s="579"/>
      <c r="C203" s="580"/>
      <c r="D203" s="580"/>
      <c r="E203" s="580"/>
      <c r="F203" s="580"/>
      <c r="G203" s="581"/>
      <c r="H203" s="581"/>
      <c r="I203" s="581"/>
      <c r="J203" s="581"/>
      <c r="K203" s="581"/>
      <c r="L203" s="581"/>
      <c r="M203" s="581"/>
      <c r="N203" s="581"/>
      <c r="O203" s="581"/>
      <c r="P203" s="581"/>
      <c r="Q203" s="581"/>
      <c r="R203" s="581"/>
      <c r="S203" s="581"/>
      <c r="T203" s="581"/>
      <c r="U203" s="410"/>
      <c r="V203" s="410"/>
      <c r="W203" s="411"/>
      <c r="X203" s="406"/>
    </row>
    <row r="204" spans="1:24" s="426" customFormat="1" x14ac:dyDescent="0.3">
      <c r="A204" s="443"/>
      <c r="B204" s="444" t="s">
        <v>71</v>
      </c>
      <c r="C204" s="582"/>
      <c r="D204" s="582"/>
      <c r="E204" s="582"/>
      <c r="F204" s="582"/>
      <c r="G204" s="488"/>
      <c r="H204" s="488"/>
      <c r="I204" s="488"/>
      <c r="J204" s="488"/>
      <c r="K204" s="488"/>
      <c r="L204" s="488"/>
      <c r="M204" s="488"/>
      <c r="N204" s="488"/>
      <c r="O204" s="488"/>
      <c r="P204" s="488"/>
      <c r="Q204" s="488"/>
      <c r="R204" s="488"/>
      <c r="S204" s="488"/>
      <c r="T204" s="479">
        <v>5.4539999999999998E-2</v>
      </c>
      <c r="U204" s="444"/>
      <c r="V204" s="444"/>
      <c r="W204" s="446"/>
      <c r="X204" s="425"/>
    </row>
    <row r="205" spans="1:24" s="426" customFormat="1" x14ac:dyDescent="0.3">
      <c r="A205" s="443"/>
      <c r="B205" s="444" t="s">
        <v>154</v>
      </c>
      <c r="C205" s="582"/>
      <c r="D205" s="582"/>
      <c r="E205" s="582"/>
      <c r="F205" s="582"/>
      <c r="G205" s="488"/>
      <c r="H205" s="488"/>
      <c r="I205" s="488"/>
      <c r="J205" s="488"/>
      <c r="K205" s="488"/>
      <c r="L205" s="488"/>
      <c r="M205" s="488"/>
      <c r="N205" s="488"/>
      <c r="O205" s="488"/>
      <c r="P205" s="488"/>
      <c r="Q205" s="488"/>
      <c r="R205" s="488"/>
      <c r="S205" s="488"/>
      <c r="T205" s="479">
        <f>'Dec 06'!T199</f>
        <v>5.238600504269459E-2</v>
      </c>
      <c r="U205" s="444"/>
      <c r="V205" s="444"/>
      <c r="W205" s="446"/>
      <c r="X205" s="425"/>
    </row>
    <row r="206" spans="1:24" s="426" customFormat="1" x14ac:dyDescent="0.3">
      <c r="A206" s="443"/>
      <c r="B206" s="444" t="s">
        <v>72</v>
      </c>
      <c r="C206" s="582"/>
      <c r="D206" s="582"/>
      <c r="E206" s="582"/>
      <c r="F206" s="582"/>
      <c r="G206" s="488"/>
      <c r="H206" s="488"/>
      <c r="I206" s="488"/>
      <c r="J206" s="488"/>
      <c r="K206" s="488"/>
      <c r="L206" s="488"/>
      <c r="M206" s="488"/>
      <c r="N206" s="488"/>
      <c r="O206" s="488"/>
      <c r="P206" s="488"/>
      <c r="Q206" s="488"/>
      <c r="R206" s="488"/>
      <c r="S206" s="488"/>
      <c r="T206" s="479">
        <f>+T204-T205</f>
        <v>2.1539949573054079E-3</v>
      </c>
      <c r="U206" s="444"/>
      <c r="V206" s="444"/>
      <c r="W206" s="446"/>
      <c r="X206" s="425"/>
    </row>
    <row r="207" spans="1:24" s="426" customFormat="1" x14ac:dyDescent="0.3">
      <c r="A207" s="443"/>
      <c r="B207" s="444" t="s">
        <v>73</v>
      </c>
      <c r="C207" s="582"/>
      <c r="D207" s="582"/>
      <c r="E207" s="582"/>
      <c r="F207" s="582"/>
      <c r="G207" s="488"/>
      <c r="H207" s="488"/>
      <c r="I207" s="488"/>
      <c r="J207" s="488"/>
      <c r="K207" s="488"/>
      <c r="L207" s="488"/>
      <c r="M207" s="488"/>
      <c r="N207" s="488"/>
      <c r="O207" s="488"/>
      <c r="P207" s="488"/>
      <c r="Q207" s="488"/>
      <c r="R207" s="488"/>
      <c r="S207" s="488"/>
      <c r="T207" s="479">
        <v>0</v>
      </c>
      <c r="U207" s="444"/>
      <c r="V207" s="444"/>
      <c r="W207" s="446"/>
      <c r="X207" s="425"/>
    </row>
    <row r="208" spans="1:24" s="426" customFormat="1" x14ac:dyDescent="0.3">
      <c r="A208" s="443"/>
      <c r="B208" s="444" t="s">
        <v>222</v>
      </c>
      <c r="C208" s="582"/>
      <c r="D208" s="582"/>
      <c r="E208" s="582"/>
      <c r="F208" s="582"/>
      <c r="G208" s="488"/>
      <c r="H208" s="488"/>
      <c r="I208" s="488"/>
      <c r="J208" s="488"/>
      <c r="K208" s="488"/>
      <c r="L208" s="488"/>
      <c r="M208" s="488"/>
      <c r="N208" s="488"/>
      <c r="O208" s="488"/>
      <c r="P208" s="488"/>
      <c r="Q208" s="488"/>
      <c r="R208" s="488"/>
      <c r="S208" s="488"/>
      <c r="T208" s="479">
        <v>0</v>
      </c>
      <c r="U208" s="444"/>
      <c r="V208" s="444"/>
      <c r="W208" s="446"/>
      <c r="X208" s="425"/>
    </row>
    <row r="209" spans="1:24" s="426" customFormat="1" x14ac:dyDescent="0.3">
      <c r="A209" s="443"/>
      <c r="B209" s="444" t="s">
        <v>74</v>
      </c>
      <c r="C209" s="582"/>
      <c r="D209" s="582"/>
      <c r="E209" s="582"/>
      <c r="F209" s="582"/>
      <c r="G209" s="488"/>
      <c r="H209" s="488"/>
      <c r="I209" s="488"/>
      <c r="J209" s="488"/>
      <c r="K209" s="488"/>
      <c r="L209" s="488"/>
      <c r="M209" s="488"/>
      <c r="N209" s="488"/>
      <c r="O209" s="488"/>
      <c r="P209" s="488"/>
      <c r="Q209" s="488"/>
      <c r="R209" s="488"/>
      <c r="S209" s="488"/>
      <c r="T209" s="479">
        <f>T207-T208</f>
        <v>0</v>
      </c>
      <c r="U209" s="444"/>
      <c r="V209" s="444"/>
      <c r="W209" s="446"/>
      <c r="X209" s="425"/>
    </row>
    <row r="210" spans="1:24" s="426" customFormat="1" x14ac:dyDescent="0.3">
      <c r="A210" s="443"/>
      <c r="B210" s="444" t="s">
        <v>274</v>
      </c>
      <c r="C210" s="582"/>
      <c r="D210" s="582"/>
      <c r="E210" s="582"/>
      <c r="F210" s="582"/>
      <c r="G210" s="488"/>
      <c r="H210" s="488"/>
      <c r="I210" s="488"/>
      <c r="J210" s="488"/>
      <c r="K210" s="488"/>
      <c r="L210" s="488"/>
      <c r="M210" s="488"/>
      <c r="N210" s="488"/>
      <c r="O210" s="488"/>
      <c r="P210" s="488"/>
      <c r="Q210" s="488"/>
      <c r="R210" s="488"/>
      <c r="S210" s="488"/>
      <c r="T210" s="479">
        <v>0</v>
      </c>
      <c r="U210" s="444"/>
      <c r="V210" s="444"/>
      <c r="W210" s="446"/>
      <c r="X210" s="425"/>
    </row>
    <row r="211" spans="1:24" s="426" customFormat="1" x14ac:dyDescent="0.3">
      <c r="A211" s="443"/>
      <c r="B211" s="444" t="s">
        <v>211</v>
      </c>
      <c r="C211" s="582"/>
      <c r="D211" s="582"/>
      <c r="E211" s="582"/>
      <c r="F211" s="582"/>
      <c r="G211" s="488"/>
      <c r="H211" s="488"/>
      <c r="I211" s="488"/>
      <c r="J211" s="488"/>
      <c r="K211" s="488"/>
      <c r="L211" s="488"/>
      <c r="M211" s="488"/>
      <c r="N211" s="488"/>
      <c r="O211" s="488"/>
      <c r="P211" s="488"/>
      <c r="Q211" s="488"/>
      <c r="R211" s="488"/>
      <c r="S211" s="488"/>
      <c r="T211" s="583">
        <v>50771</v>
      </c>
      <c r="U211" s="444"/>
      <c r="V211" s="444"/>
      <c r="W211" s="446"/>
      <c r="X211" s="425"/>
    </row>
    <row r="212" spans="1:24" s="426" customFormat="1" x14ac:dyDescent="0.3">
      <c r="A212" s="443"/>
      <c r="B212" s="444" t="s">
        <v>212</v>
      </c>
      <c r="C212" s="582"/>
      <c r="D212" s="582"/>
      <c r="E212" s="582"/>
      <c r="F212" s="582"/>
      <c r="G212" s="488"/>
      <c r="H212" s="488"/>
      <c r="I212" s="488"/>
      <c r="J212" s="488"/>
      <c r="K212" s="488"/>
      <c r="L212" s="488"/>
      <c r="M212" s="488"/>
      <c r="N212" s="488"/>
      <c r="O212" s="488"/>
      <c r="P212" s="488"/>
      <c r="Q212" s="488"/>
      <c r="R212" s="488"/>
      <c r="S212" s="488"/>
      <c r="T212" s="583">
        <v>50771</v>
      </c>
      <c r="U212" s="444"/>
      <c r="V212" s="444"/>
      <c r="W212" s="446"/>
      <c r="X212" s="425"/>
    </row>
    <row r="213" spans="1:24" s="426" customFormat="1" x14ac:dyDescent="0.3">
      <c r="A213" s="443"/>
      <c r="B213" s="444" t="s">
        <v>213</v>
      </c>
      <c r="C213" s="582"/>
      <c r="D213" s="582"/>
      <c r="E213" s="582"/>
      <c r="F213" s="582"/>
      <c r="G213" s="488"/>
      <c r="H213" s="488"/>
      <c r="I213" s="488"/>
      <c r="J213" s="488"/>
      <c r="K213" s="488"/>
      <c r="L213" s="488"/>
      <c r="M213" s="488"/>
      <c r="N213" s="488"/>
      <c r="O213" s="488"/>
      <c r="P213" s="488"/>
      <c r="Q213" s="488"/>
      <c r="R213" s="488"/>
      <c r="S213" s="488"/>
      <c r="T213" s="583">
        <v>50771</v>
      </c>
      <c r="U213" s="444"/>
      <c r="V213" s="444"/>
      <c r="W213" s="446"/>
      <c r="X213" s="425"/>
    </row>
    <row r="214" spans="1:24" s="426" customFormat="1" x14ac:dyDescent="0.3">
      <c r="A214" s="443"/>
      <c r="B214" s="444" t="s">
        <v>75</v>
      </c>
      <c r="C214" s="582"/>
      <c r="D214" s="582"/>
      <c r="E214" s="582"/>
      <c r="F214" s="582"/>
      <c r="G214" s="488"/>
      <c r="H214" s="488"/>
      <c r="I214" s="488"/>
      <c r="J214" s="488"/>
      <c r="K214" s="488"/>
      <c r="L214" s="488"/>
      <c r="M214" s="488"/>
      <c r="N214" s="488"/>
      <c r="O214" s="488"/>
      <c r="P214" s="488"/>
      <c r="Q214" s="488"/>
      <c r="R214" s="488"/>
      <c r="S214" s="488"/>
      <c r="T214" s="484">
        <v>20.66</v>
      </c>
      <c r="U214" s="444" t="s">
        <v>113</v>
      </c>
      <c r="V214" s="444"/>
      <c r="W214" s="446"/>
      <c r="X214" s="425"/>
    </row>
    <row r="215" spans="1:24" s="426" customFormat="1" x14ac:dyDescent="0.3">
      <c r="A215" s="443"/>
      <c r="B215" s="444" t="s">
        <v>76</v>
      </c>
      <c r="C215" s="582"/>
      <c r="D215" s="582"/>
      <c r="E215" s="582"/>
      <c r="F215" s="582"/>
      <c r="G215" s="488"/>
      <c r="H215" s="488"/>
      <c r="I215" s="488"/>
      <c r="J215" s="488"/>
      <c r="K215" s="488"/>
      <c r="L215" s="488"/>
      <c r="M215" s="488"/>
      <c r="N215" s="488"/>
      <c r="O215" s="488"/>
      <c r="P215" s="488"/>
      <c r="Q215" s="488"/>
      <c r="R215" s="488"/>
      <c r="S215" s="488"/>
      <c r="T215" s="484">
        <v>0</v>
      </c>
      <c r="U215" s="444" t="s">
        <v>113</v>
      </c>
      <c r="V215" s="444"/>
      <c r="W215" s="446"/>
      <c r="X215" s="425"/>
    </row>
    <row r="216" spans="1:24" s="426" customFormat="1" x14ac:dyDescent="0.3">
      <c r="A216" s="443"/>
      <c r="B216" s="444" t="s">
        <v>77</v>
      </c>
      <c r="C216" s="582"/>
      <c r="D216" s="582"/>
      <c r="E216" s="582"/>
      <c r="F216" s="582"/>
      <c r="G216" s="488"/>
      <c r="H216" s="488"/>
      <c r="I216" s="488"/>
      <c r="J216" s="488"/>
      <c r="K216" s="488"/>
      <c r="L216" s="488"/>
      <c r="M216" s="488"/>
      <c r="N216" s="488"/>
      <c r="O216" s="488"/>
      <c r="P216" s="488"/>
      <c r="Q216" s="488"/>
      <c r="R216" s="488"/>
      <c r="S216" s="488"/>
      <c r="T216" s="479">
        <v>1</v>
      </c>
      <c r="U216" s="444"/>
      <c r="V216" s="444"/>
      <c r="W216" s="446"/>
      <c r="X216" s="425"/>
    </row>
    <row r="217" spans="1:24" s="426" customFormat="1" x14ac:dyDescent="0.3">
      <c r="A217" s="443"/>
      <c r="B217" s="444" t="s">
        <v>78</v>
      </c>
      <c r="C217" s="582"/>
      <c r="D217" s="582"/>
      <c r="E217" s="582"/>
      <c r="F217" s="582"/>
      <c r="G217" s="488"/>
      <c r="H217" s="488"/>
      <c r="I217" s="488"/>
      <c r="J217" s="488"/>
      <c r="K217" s="488"/>
      <c r="L217" s="488"/>
      <c r="M217" s="488"/>
      <c r="N217" s="488"/>
      <c r="O217" s="488"/>
      <c r="P217" s="488"/>
      <c r="Q217" s="488"/>
      <c r="R217" s="488"/>
      <c r="S217" s="488"/>
      <c r="T217" s="479">
        <v>1</v>
      </c>
      <c r="U217" s="444"/>
      <c r="V217" s="444"/>
      <c r="W217" s="446"/>
      <c r="X217" s="425"/>
    </row>
    <row r="218" spans="1:24" s="426" customFormat="1" x14ac:dyDescent="0.3">
      <c r="A218" s="421"/>
      <c r="B218" s="494"/>
      <c r="C218" s="494"/>
      <c r="D218" s="494"/>
      <c r="E218" s="494"/>
      <c r="F218" s="494"/>
      <c r="G218" s="494"/>
      <c r="H218" s="494"/>
      <c r="I218" s="494"/>
      <c r="J218" s="494"/>
      <c r="K218" s="494"/>
      <c r="L218" s="494"/>
      <c r="M218" s="494"/>
      <c r="N218" s="494"/>
      <c r="O218" s="494"/>
      <c r="P218" s="494"/>
      <c r="Q218" s="494"/>
      <c r="R218" s="494"/>
      <c r="S218" s="494"/>
      <c r="T218" s="584"/>
      <c r="U218" s="494"/>
      <c r="V218" s="585"/>
      <c r="W218" s="424"/>
      <c r="X218" s="425"/>
    </row>
    <row r="219" spans="1:24" s="426" customFormat="1" x14ac:dyDescent="0.3">
      <c r="A219" s="586"/>
      <c r="B219" s="420" t="s">
        <v>79</v>
      </c>
      <c r="C219" s="429"/>
      <c r="D219" s="429"/>
      <c r="E219" s="429"/>
      <c r="F219" s="587"/>
      <c r="G219" s="429"/>
      <c r="H219" s="429"/>
      <c r="I219" s="429"/>
      <c r="J219" s="429"/>
      <c r="K219" s="429"/>
      <c r="L219" s="429"/>
      <c r="M219" s="429"/>
      <c r="N219" s="429"/>
      <c r="O219" s="429"/>
      <c r="P219" s="429"/>
      <c r="Q219" s="429"/>
      <c r="R219" s="429"/>
      <c r="S219" s="429" t="s">
        <v>103</v>
      </c>
      <c r="T219" s="587" t="s">
        <v>110</v>
      </c>
      <c r="U219" s="422"/>
      <c r="V219" s="422"/>
      <c r="W219" s="424"/>
      <c r="X219" s="425"/>
    </row>
    <row r="220" spans="1:24" s="426" customFormat="1" x14ac:dyDescent="0.3">
      <c r="A220" s="588"/>
      <c r="B220" s="444" t="s">
        <v>80</v>
      </c>
      <c r="C220" s="516"/>
      <c r="D220" s="516"/>
      <c r="E220" s="516"/>
      <c r="F220" s="444"/>
      <c r="G220" s="444"/>
      <c r="H220" s="450"/>
      <c r="I220" s="450"/>
      <c r="J220" s="450"/>
      <c r="K220" s="450"/>
      <c r="L220" s="450"/>
      <c r="M220" s="450"/>
      <c r="N220" s="450"/>
      <c r="O220" s="450"/>
      <c r="P220" s="450"/>
      <c r="Q220" s="450"/>
      <c r="R220" s="450"/>
      <c r="S220" s="450">
        <v>0</v>
      </c>
      <c r="T220" s="589">
        <v>0</v>
      </c>
      <c r="U220" s="444"/>
      <c r="V220" s="590"/>
      <c r="W220" s="591"/>
      <c r="X220" s="425"/>
    </row>
    <row r="221" spans="1:24" s="426" customFormat="1" x14ac:dyDescent="0.3">
      <c r="A221" s="588"/>
      <c r="B221" s="444" t="s">
        <v>148</v>
      </c>
      <c r="C221" s="516"/>
      <c r="D221" s="516"/>
      <c r="E221" s="516"/>
      <c r="F221" s="444"/>
      <c r="G221" s="444"/>
      <c r="H221" s="450"/>
      <c r="I221" s="450"/>
      <c r="J221" s="450"/>
      <c r="K221" s="450"/>
      <c r="L221" s="450"/>
      <c r="M221" s="450"/>
      <c r="N221" s="450"/>
      <c r="O221" s="450"/>
      <c r="P221" s="450"/>
      <c r="Q221" s="450"/>
      <c r="R221" s="450"/>
      <c r="S221" s="592">
        <f>+R273</f>
        <v>0</v>
      </c>
      <c r="T221" s="589">
        <f>+T273</f>
        <v>0</v>
      </c>
      <c r="U221" s="444"/>
      <c r="V221" s="590"/>
      <c r="W221" s="591"/>
      <c r="X221" s="425"/>
    </row>
    <row r="222" spans="1:24" s="426" customFormat="1" x14ac:dyDescent="0.3">
      <c r="A222" s="588"/>
      <c r="B222" s="444" t="s">
        <v>81</v>
      </c>
      <c r="C222" s="516"/>
      <c r="D222" s="516"/>
      <c r="E222" s="516"/>
      <c r="F222" s="444"/>
      <c r="G222" s="444"/>
      <c r="H222" s="450"/>
      <c r="I222" s="450"/>
      <c r="J222" s="450"/>
      <c r="K222" s="450"/>
      <c r="L222" s="450"/>
      <c r="M222" s="450"/>
      <c r="N222" s="450"/>
      <c r="O222" s="450"/>
      <c r="P222" s="450"/>
      <c r="Q222" s="450"/>
      <c r="R222" s="450"/>
      <c r="S222" s="592">
        <f>+R295</f>
        <v>0</v>
      </c>
      <c r="T222" s="589">
        <f>+T295</f>
        <v>0</v>
      </c>
      <c r="U222" s="444"/>
      <c r="V222" s="590"/>
      <c r="W222" s="591"/>
      <c r="X222" s="425"/>
    </row>
    <row r="223" spans="1:24" x14ac:dyDescent="0.3">
      <c r="A223" s="593"/>
      <c r="B223" s="594" t="s">
        <v>82</v>
      </c>
      <c r="C223" s="595"/>
      <c r="D223" s="595"/>
      <c r="E223" s="595"/>
      <c r="F223" s="465"/>
      <c r="G223" s="465"/>
      <c r="H223" s="465"/>
      <c r="I223" s="465"/>
      <c r="J223" s="465"/>
      <c r="K223" s="465"/>
      <c r="L223" s="465"/>
      <c r="M223" s="465"/>
      <c r="N223" s="465"/>
      <c r="O223" s="465"/>
      <c r="P223" s="465"/>
      <c r="Q223" s="465"/>
      <c r="R223" s="465"/>
      <c r="S223" s="465"/>
      <c r="T223" s="589">
        <v>0</v>
      </c>
      <c r="U223" s="465"/>
      <c r="V223" s="596"/>
      <c r="W223" s="597"/>
      <c r="X223" s="406"/>
    </row>
    <row r="224" spans="1:24" x14ac:dyDescent="0.3">
      <c r="A224" s="593"/>
      <c r="B224" s="594" t="s">
        <v>275</v>
      </c>
      <c r="C224" s="595"/>
      <c r="D224" s="595"/>
      <c r="E224" s="595"/>
      <c r="F224" s="465"/>
      <c r="G224" s="465"/>
      <c r="H224" s="465"/>
      <c r="I224" s="465"/>
      <c r="J224" s="465"/>
      <c r="K224" s="465"/>
      <c r="L224" s="465"/>
      <c r="M224" s="465"/>
      <c r="N224" s="465"/>
      <c r="O224" s="465"/>
      <c r="P224" s="465"/>
      <c r="Q224" s="465"/>
      <c r="R224" s="465"/>
      <c r="S224" s="465"/>
      <c r="T224" s="589">
        <f>+N80</f>
        <v>0</v>
      </c>
      <c r="U224" s="465"/>
      <c r="V224" s="596"/>
      <c r="W224" s="597"/>
      <c r="X224" s="406"/>
    </row>
    <row r="225" spans="1:24" x14ac:dyDescent="0.3">
      <c r="A225" s="598"/>
      <c r="B225" s="594" t="s">
        <v>83</v>
      </c>
      <c r="C225" s="599"/>
      <c r="D225" s="599"/>
      <c r="E225" s="599"/>
      <c r="F225" s="599"/>
      <c r="G225" s="465"/>
      <c r="H225" s="465"/>
      <c r="I225" s="465"/>
      <c r="J225" s="465"/>
      <c r="K225" s="465"/>
      <c r="L225" s="465"/>
      <c r="M225" s="465"/>
      <c r="N225" s="465"/>
      <c r="O225" s="465"/>
      <c r="P225" s="465"/>
      <c r="Q225" s="465"/>
      <c r="R225" s="465"/>
      <c r="S225" s="465"/>
      <c r="T225" s="600"/>
      <c r="U225" s="465"/>
      <c r="V225" s="596"/>
      <c r="W225" s="601"/>
      <c r="X225" s="406"/>
    </row>
    <row r="226" spans="1:24" s="426" customFormat="1" x14ac:dyDescent="0.3">
      <c r="A226" s="602"/>
      <c r="B226" s="444" t="s">
        <v>84</v>
      </c>
      <c r="C226" s="444"/>
      <c r="D226" s="444"/>
      <c r="E226" s="444"/>
      <c r="F226" s="444"/>
      <c r="G226" s="444"/>
      <c r="H226" s="444"/>
      <c r="I226" s="444"/>
      <c r="J226" s="444"/>
      <c r="K226" s="444"/>
      <c r="L226" s="444"/>
      <c r="M226" s="444"/>
      <c r="N226" s="444"/>
      <c r="O226" s="444"/>
      <c r="P226" s="444"/>
      <c r="Q226" s="444"/>
      <c r="R226" s="444"/>
      <c r="S226" s="450"/>
      <c r="T226" s="589">
        <f>V170</f>
        <v>-6</v>
      </c>
      <c r="U226" s="444"/>
      <c r="V226" s="590"/>
      <c r="W226" s="603"/>
      <c r="X226" s="425"/>
    </row>
    <row r="227" spans="1:24" s="426" customFormat="1" x14ac:dyDescent="0.3">
      <c r="A227" s="588"/>
      <c r="B227" s="444" t="s">
        <v>85</v>
      </c>
      <c r="C227" s="516"/>
      <c r="D227" s="516"/>
      <c r="E227" s="516"/>
      <c r="F227" s="516"/>
      <c r="G227" s="444"/>
      <c r="H227" s="444"/>
      <c r="I227" s="444"/>
      <c r="J227" s="444"/>
      <c r="K227" s="444"/>
      <c r="L227" s="444"/>
      <c r="M227" s="444"/>
      <c r="N227" s="444"/>
      <c r="O227" s="444"/>
      <c r="P227" s="444"/>
      <c r="Q227" s="444"/>
      <c r="R227" s="444"/>
      <c r="S227" s="450"/>
      <c r="T227" s="589">
        <f>'Dec 20'!T226+T226</f>
        <v>13275</v>
      </c>
      <c r="U227" s="444"/>
      <c r="V227" s="590"/>
      <c r="W227" s="603"/>
      <c r="X227" s="425"/>
    </row>
    <row r="228" spans="1:24" x14ac:dyDescent="0.3">
      <c r="A228" s="598"/>
      <c r="B228" s="594" t="s">
        <v>297</v>
      </c>
      <c r="C228" s="599"/>
      <c r="D228" s="599"/>
      <c r="E228" s="599"/>
      <c r="F228" s="599"/>
      <c r="G228" s="465"/>
      <c r="H228" s="465"/>
      <c r="I228" s="465"/>
      <c r="J228" s="465"/>
      <c r="K228" s="465"/>
      <c r="L228" s="465"/>
      <c r="M228" s="465"/>
      <c r="N228" s="465"/>
      <c r="O228" s="465"/>
      <c r="P228" s="465"/>
      <c r="Q228" s="465"/>
      <c r="R228" s="465"/>
      <c r="S228" s="604"/>
      <c r="T228" s="600"/>
      <c r="U228" s="465"/>
      <c r="V228" s="596"/>
      <c r="W228" s="601"/>
      <c r="X228" s="406"/>
    </row>
    <row r="229" spans="1:24" s="426" customFormat="1" x14ac:dyDescent="0.3">
      <c r="A229" s="602"/>
      <c r="B229" s="444" t="s">
        <v>295</v>
      </c>
      <c r="C229" s="444"/>
      <c r="D229" s="444"/>
      <c r="E229" s="444"/>
      <c r="F229" s="444"/>
      <c r="G229" s="444"/>
      <c r="H229" s="444"/>
      <c r="I229" s="444"/>
      <c r="J229" s="444"/>
      <c r="K229" s="444"/>
      <c r="L229" s="444"/>
      <c r="M229" s="444"/>
      <c r="N229" s="444"/>
      <c r="O229" s="444"/>
      <c r="P229" s="444"/>
      <c r="Q229" s="444"/>
      <c r="R229" s="444"/>
      <c r="S229" s="450">
        <v>0</v>
      </c>
      <c r="T229" s="589">
        <v>0</v>
      </c>
      <c r="U229" s="444"/>
      <c r="V229" s="590"/>
      <c r="W229" s="603"/>
      <c r="X229" s="425"/>
    </row>
    <row r="230" spans="1:24" s="426" customFormat="1" x14ac:dyDescent="0.3">
      <c r="A230" s="588"/>
      <c r="B230" s="444" t="s">
        <v>87</v>
      </c>
      <c r="C230" s="482"/>
      <c r="D230" s="482"/>
      <c r="E230" s="482"/>
      <c r="F230" s="605"/>
      <c r="G230" s="444"/>
      <c r="H230" s="444"/>
      <c r="I230" s="444"/>
      <c r="J230" s="444"/>
      <c r="K230" s="444"/>
      <c r="L230" s="444"/>
      <c r="M230" s="444"/>
      <c r="N230" s="444"/>
      <c r="O230" s="444"/>
      <c r="P230" s="444"/>
      <c r="Q230" s="444"/>
      <c r="R230" s="444"/>
      <c r="S230" s="444"/>
      <c r="T230" s="606">
        <v>0</v>
      </c>
      <c r="U230" s="444"/>
      <c r="V230" s="590"/>
      <c r="W230" s="603"/>
      <c r="X230" s="425"/>
    </row>
    <row r="231" spans="1:24" s="426" customFormat="1" x14ac:dyDescent="0.3">
      <c r="A231" s="588"/>
      <c r="B231" s="444" t="s">
        <v>88</v>
      </c>
      <c r="C231" s="482"/>
      <c r="D231" s="482"/>
      <c r="E231" s="482"/>
      <c r="F231" s="605"/>
      <c r="G231" s="444"/>
      <c r="H231" s="444"/>
      <c r="I231" s="444"/>
      <c r="J231" s="444"/>
      <c r="K231" s="444"/>
      <c r="L231" s="444"/>
      <c r="M231" s="444"/>
      <c r="N231" s="444"/>
      <c r="O231" s="444"/>
      <c r="P231" s="444"/>
      <c r="Q231" s="444"/>
      <c r="R231" s="444"/>
      <c r="S231" s="444"/>
      <c r="T231" s="606">
        <v>0</v>
      </c>
      <c r="U231" s="444"/>
      <c r="V231" s="590"/>
      <c r="W231" s="603"/>
      <c r="X231" s="425"/>
    </row>
    <row r="232" spans="1:24" x14ac:dyDescent="0.3">
      <c r="A232" s="593"/>
      <c r="B232" s="594" t="s">
        <v>220</v>
      </c>
      <c r="C232" s="607"/>
      <c r="D232" s="607"/>
      <c r="E232" s="607"/>
      <c r="F232" s="608"/>
      <c r="G232" s="465"/>
      <c r="H232" s="465"/>
      <c r="I232" s="465"/>
      <c r="J232" s="465"/>
      <c r="K232" s="465"/>
      <c r="L232" s="465"/>
      <c r="M232" s="465"/>
      <c r="N232" s="465"/>
      <c r="O232" s="465"/>
      <c r="P232" s="465"/>
      <c r="Q232" s="465"/>
      <c r="R232" s="465"/>
      <c r="S232" s="609"/>
      <c r="T232" s="610"/>
      <c r="U232" s="465"/>
      <c r="V232" s="596"/>
      <c r="W232" s="601"/>
      <c r="X232" s="406"/>
    </row>
    <row r="233" spans="1:24" s="426" customFormat="1" x14ac:dyDescent="0.3">
      <c r="A233" s="588"/>
      <c r="B233" s="444" t="s">
        <v>295</v>
      </c>
      <c r="C233" s="482"/>
      <c r="D233" s="482"/>
      <c r="E233" s="482"/>
      <c r="F233" s="605"/>
      <c r="G233" s="444"/>
      <c r="H233" s="444"/>
      <c r="I233" s="444"/>
      <c r="J233" s="444"/>
      <c r="K233" s="444"/>
      <c r="L233" s="444"/>
      <c r="M233" s="444"/>
      <c r="N233" s="444"/>
      <c r="O233" s="444"/>
      <c r="P233" s="444"/>
      <c r="Q233" s="444"/>
      <c r="R233" s="444"/>
      <c r="S233" s="450">
        <v>0</v>
      </c>
      <c r="T233" s="589">
        <v>0</v>
      </c>
      <c r="U233" s="444"/>
      <c r="V233" s="590"/>
      <c r="W233" s="603"/>
      <c r="X233" s="425"/>
    </row>
    <row r="234" spans="1:24" s="426" customFormat="1" x14ac:dyDescent="0.3">
      <c r="A234" s="588"/>
      <c r="B234" s="444" t="s">
        <v>221</v>
      </c>
      <c r="C234" s="482"/>
      <c r="D234" s="482"/>
      <c r="E234" s="482"/>
      <c r="F234" s="605"/>
      <c r="G234" s="444"/>
      <c r="H234" s="444"/>
      <c r="I234" s="444"/>
      <c r="J234" s="444"/>
      <c r="K234" s="444"/>
      <c r="L234" s="444"/>
      <c r="M234" s="444"/>
      <c r="N234" s="444"/>
      <c r="O234" s="444"/>
      <c r="P234" s="444"/>
      <c r="Q234" s="444"/>
      <c r="R234" s="444"/>
      <c r="S234" s="444"/>
      <c r="T234" s="606">
        <v>0</v>
      </c>
      <c r="U234" s="444"/>
      <c r="V234" s="590"/>
      <c r="W234" s="603"/>
      <c r="X234" s="425"/>
    </row>
    <row r="235" spans="1:24" x14ac:dyDescent="0.3">
      <c r="A235" s="593"/>
      <c r="B235" s="599"/>
      <c r="C235" s="607"/>
      <c r="D235" s="607"/>
      <c r="E235" s="607"/>
      <c r="F235" s="608"/>
      <c r="G235" s="465"/>
      <c r="H235" s="465"/>
      <c r="I235" s="465"/>
      <c r="J235" s="465"/>
      <c r="K235" s="465"/>
      <c r="L235" s="465"/>
      <c r="M235" s="465"/>
      <c r="N235" s="465"/>
      <c r="O235" s="465"/>
      <c r="P235" s="465"/>
      <c r="Q235" s="465"/>
      <c r="R235" s="465"/>
      <c r="S235" s="465"/>
      <c r="T235" s="611"/>
      <c r="U235" s="465"/>
      <c r="V235" s="596"/>
      <c r="W235" s="601"/>
      <c r="X235" s="406"/>
    </row>
    <row r="236" spans="1:24" x14ac:dyDescent="0.3">
      <c r="A236" s="593"/>
      <c r="B236" s="599"/>
      <c r="C236" s="607"/>
      <c r="D236" s="607"/>
      <c r="E236" s="607"/>
      <c r="F236" s="608"/>
      <c r="G236" s="465"/>
      <c r="H236" s="465"/>
      <c r="I236" s="465"/>
      <c r="J236" s="465"/>
      <c r="K236" s="465"/>
      <c r="L236" s="465"/>
      <c r="M236" s="465"/>
      <c r="N236" s="465"/>
      <c r="O236" s="465"/>
      <c r="P236" s="465"/>
      <c r="Q236" s="465"/>
      <c r="R236" s="465"/>
      <c r="S236" s="465"/>
      <c r="T236" s="611"/>
      <c r="U236" s="465"/>
      <c r="V236" s="596"/>
      <c r="W236" s="601"/>
      <c r="X236" s="406"/>
    </row>
    <row r="237" spans="1:24" ht="18" x14ac:dyDescent="0.35">
      <c r="A237" s="593"/>
      <c r="B237" s="612" t="s">
        <v>171</v>
      </c>
      <c r="C237" s="607"/>
      <c r="D237" s="607"/>
      <c r="E237" s="607"/>
      <c r="F237" s="608"/>
      <c r="G237" s="465"/>
      <c r="H237" s="465"/>
      <c r="I237" s="465"/>
      <c r="J237" s="465"/>
      <c r="K237" s="465"/>
      <c r="L237" s="465"/>
      <c r="M237" s="465"/>
      <c r="N237" s="465"/>
      <c r="O237" s="465"/>
      <c r="P237" s="613" t="s">
        <v>370</v>
      </c>
      <c r="Q237" s="465"/>
      <c r="R237" s="465"/>
      <c r="S237" s="465"/>
      <c r="T237" s="611"/>
      <c r="U237" s="465"/>
      <c r="V237" s="596"/>
      <c r="W237" s="601"/>
      <c r="X237" s="406"/>
    </row>
    <row r="238" spans="1:24" x14ac:dyDescent="0.3">
      <c r="A238" s="614"/>
      <c r="B238" s="615"/>
      <c r="C238" s="616"/>
      <c r="D238" s="616"/>
      <c r="E238" s="616"/>
      <c r="F238" s="617"/>
      <c r="G238" s="518"/>
      <c r="H238" s="518"/>
      <c r="I238" s="518"/>
      <c r="J238" s="518"/>
      <c r="K238" s="518"/>
      <c r="L238" s="518"/>
      <c r="M238" s="518"/>
      <c r="N238" s="518"/>
      <c r="O238" s="518"/>
      <c r="P238" s="518"/>
      <c r="Q238" s="518"/>
      <c r="R238" s="518"/>
      <c r="S238" s="518"/>
      <c r="T238" s="618"/>
      <c r="U238" s="518"/>
      <c r="V238" s="619"/>
      <c r="W238" s="620"/>
      <c r="X238" s="406"/>
    </row>
    <row r="239" spans="1:24" x14ac:dyDescent="0.3">
      <c r="A239" s="533"/>
      <c r="B239" s="534" t="s">
        <v>310</v>
      </c>
      <c r="C239" s="535"/>
      <c r="D239" s="535"/>
      <c r="E239" s="535"/>
      <c r="F239" s="621"/>
      <c r="G239" s="535"/>
      <c r="H239" s="535"/>
      <c r="I239" s="535"/>
      <c r="J239" s="535"/>
      <c r="K239" s="535"/>
      <c r="L239" s="535"/>
      <c r="M239" s="535"/>
      <c r="N239" s="535"/>
      <c r="O239" s="535"/>
      <c r="P239" s="535"/>
      <c r="Q239" s="535"/>
      <c r="R239" s="621" t="s">
        <v>103</v>
      </c>
      <c r="S239" s="535" t="s">
        <v>104</v>
      </c>
      <c r="T239" s="621" t="s">
        <v>111</v>
      </c>
      <c r="U239" s="535" t="s">
        <v>104</v>
      </c>
      <c r="V239" s="622"/>
      <c r="W239" s="623"/>
      <c r="X239" s="406"/>
    </row>
    <row r="240" spans="1:24" s="426" customFormat="1" x14ac:dyDescent="0.3">
      <c r="A240" s="421"/>
      <c r="B240" s="552" t="s">
        <v>89</v>
      </c>
      <c r="C240" s="624"/>
      <c r="D240" s="624"/>
      <c r="E240" s="624"/>
      <c r="F240" s="494"/>
      <c r="G240" s="624"/>
      <c r="H240" s="624"/>
      <c r="I240" s="624"/>
      <c r="J240" s="624"/>
      <c r="K240" s="624"/>
      <c r="L240" s="624"/>
      <c r="M240" s="624"/>
      <c r="N240" s="624"/>
      <c r="O240" s="624"/>
      <c r="P240" s="624"/>
      <c r="Q240" s="624"/>
      <c r="R240" s="539">
        <f t="shared" ref="R240:R247" si="1">+R252+R264+R286</f>
        <v>0</v>
      </c>
      <c r="S240" s="625">
        <v>0</v>
      </c>
      <c r="T240" s="540">
        <f t="shared" ref="T240:T247" si="2">+T252+T264+T286</f>
        <v>0</v>
      </c>
      <c r="U240" s="625">
        <v>0</v>
      </c>
      <c r="V240" s="585"/>
      <c r="W240" s="626"/>
      <c r="X240" s="425"/>
    </row>
    <row r="241" spans="1:25" s="426" customFormat="1" x14ac:dyDescent="0.3">
      <c r="A241" s="443"/>
      <c r="B241" s="516" t="s">
        <v>90</v>
      </c>
      <c r="C241" s="627"/>
      <c r="D241" s="627"/>
      <c r="E241" s="627"/>
      <c r="F241" s="444"/>
      <c r="G241" s="628"/>
      <c r="H241" s="627"/>
      <c r="I241" s="627"/>
      <c r="J241" s="627"/>
      <c r="K241" s="627"/>
      <c r="L241" s="627"/>
      <c r="M241" s="627"/>
      <c r="N241" s="627"/>
      <c r="O241" s="627"/>
      <c r="P241" s="627"/>
      <c r="Q241" s="627"/>
      <c r="R241" s="516">
        <f t="shared" si="1"/>
        <v>0</v>
      </c>
      <c r="S241" s="628">
        <v>0</v>
      </c>
      <c r="T241" s="517">
        <f t="shared" si="2"/>
        <v>0</v>
      </c>
      <c r="U241" s="628">
        <v>0</v>
      </c>
      <c r="V241" s="590"/>
      <c r="W241" s="603"/>
      <c r="X241" s="425"/>
      <c r="Y241" s="549"/>
    </row>
    <row r="242" spans="1:25" s="426" customFormat="1" x14ac:dyDescent="0.3">
      <c r="A242" s="443"/>
      <c r="B242" s="516" t="s">
        <v>91</v>
      </c>
      <c r="C242" s="627"/>
      <c r="D242" s="627"/>
      <c r="E242" s="627"/>
      <c r="F242" s="444"/>
      <c r="G242" s="628"/>
      <c r="H242" s="627"/>
      <c r="I242" s="627"/>
      <c r="J242" s="627"/>
      <c r="K242" s="627"/>
      <c r="L242" s="627"/>
      <c r="M242" s="627"/>
      <c r="N242" s="627"/>
      <c r="O242" s="627"/>
      <c r="P242" s="627"/>
      <c r="Q242" s="627"/>
      <c r="R242" s="516">
        <f t="shared" si="1"/>
        <v>0</v>
      </c>
      <c r="S242" s="628">
        <v>0</v>
      </c>
      <c r="T242" s="517">
        <f t="shared" si="2"/>
        <v>0</v>
      </c>
      <c r="U242" s="628">
        <v>0</v>
      </c>
      <c r="V242" s="590"/>
      <c r="W242" s="603"/>
      <c r="X242" s="425"/>
    </row>
    <row r="243" spans="1:25" s="426" customFormat="1" x14ac:dyDescent="0.3">
      <c r="A243" s="443"/>
      <c r="B243" s="516" t="s">
        <v>159</v>
      </c>
      <c r="C243" s="627"/>
      <c r="D243" s="627"/>
      <c r="E243" s="627"/>
      <c r="F243" s="444"/>
      <c r="G243" s="628"/>
      <c r="H243" s="627"/>
      <c r="I243" s="627"/>
      <c r="J243" s="627"/>
      <c r="K243" s="627"/>
      <c r="L243" s="627"/>
      <c r="M243" s="627"/>
      <c r="N243" s="627"/>
      <c r="O243" s="627"/>
      <c r="P243" s="627"/>
      <c r="Q243" s="627"/>
      <c r="R243" s="516">
        <f t="shared" si="1"/>
        <v>0</v>
      </c>
      <c r="S243" s="628">
        <v>0</v>
      </c>
      <c r="T243" s="517">
        <f t="shared" si="2"/>
        <v>0</v>
      </c>
      <c r="U243" s="628">
        <v>0</v>
      </c>
      <c r="V243" s="590"/>
      <c r="W243" s="603"/>
      <c r="X243" s="425"/>
      <c r="Y243" s="549"/>
    </row>
    <row r="244" spans="1:25" s="426" customFormat="1" x14ac:dyDescent="0.3">
      <c r="A244" s="443"/>
      <c r="B244" s="516" t="s">
        <v>160</v>
      </c>
      <c r="C244" s="627"/>
      <c r="D244" s="627"/>
      <c r="E244" s="627"/>
      <c r="F244" s="444"/>
      <c r="G244" s="628"/>
      <c r="H244" s="627"/>
      <c r="I244" s="627"/>
      <c r="J244" s="627"/>
      <c r="K244" s="627"/>
      <c r="L244" s="627"/>
      <c r="M244" s="627"/>
      <c r="N244" s="627"/>
      <c r="O244" s="627"/>
      <c r="P244" s="627"/>
      <c r="Q244" s="627"/>
      <c r="R244" s="516">
        <f t="shared" si="1"/>
        <v>0</v>
      </c>
      <c r="S244" s="628">
        <v>0</v>
      </c>
      <c r="T244" s="517">
        <f t="shared" si="2"/>
        <v>0</v>
      </c>
      <c r="U244" s="628">
        <v>0</v>
      </c>
      <c r="V244" s="590"/>
      <c r="W244" s="603"/>
      <c r="X244" s="425"/>
    </row>
    <row r="245" spans="1:25" s="426" customFormat="1" x14ac:dyDescent="0.3">
      <c r="A245" s="443"/>
      <c r="B245" s="516" t="s">
        <v>161</v>
      </c>
      <c r="C245" s="627"/>
      <c r="D245" s="627"/>
      <c r="E245" s="627"/>
      <c r="F245" s="444"/>
      <c r="G245" s="628"/>
      <c r="H245" s="627"/>
      <c r="I245" s="627"/>
      <c r="J245" s="627"/>
      <c r="K245" s="627"/>
      <c r="L245" s="627"/>
      <c r="M245" s="627"/>
      <c r="N245" s="627"/>
      <c r="O245" s="627"/>
      <c r="P245" s="627"/>
      <c r="Q245" s="627"/>
      <c r="R245" s="516">
        <f t="shared" si="1"/>
        <v>0</v>
      </c>
      <c r="S245" s="628">
        <v>0</v>
      </c>
      <c r="T245" s="517">
        <f t="shared" si="2"/>
        <v>0</v>
      </c>
      <c r="U245" s="628">
        <v>0</v>
      </c>
      <c r="V245" s="590"/>
      <c r="W245" s="603"/>
      <c r="X245" s="425"/>
      <c r="Y245" s="549"/>
    </row>
    <row r="246" spans="1:25" s="426" customFormat="1" x14ac:dyDescent="0.3">
      <c r="A246" s="443"/>
      <c r="B246" s="516" t="s">
        <v>162</v>
      </c>
      <c r="C246" s="627"/>
      <c r="D246" s="627"/>
      <c r="E246" s="627"/>
      <c r="F246" s="444"/>
      <c r="G246" s="628"/>
      <c r="H246" s="627"/>
      <c r="I246" s="627"/>
      <c r="J246" s="627"/>
      <c r="K246" s="627"/>
      <c r="L246" s="627"/>
      <c r="M246" s="627"/>
      <c r="N246" s="627"/>
      <c r="O246" s="627"/>
      <c r="P246" s="627"/>
      <c r="Q246" s="627"/>
      <c r="R246" s="516">
        <f t="shared" si="1"/>
        <v>0</v>
      </c>
      <c r="S246" s="628">
        <v>0</v>
      </c>
      <c r="T246" s="517">
        <f t="shared" si="2"/>
        <v>0</v>
      </c>
      <c r="U246" s="628">
        <v>0</v>
      </c>
      <c r="V246" s="590"/>
      <c r="W246" s="603"/>
      <c r="X246" s="425"/>
    </row>
    <row r="247" spans="1:25" s="426" customFormat="1" x14ac:dyDescent="0.3">
      <c r="A247" s="443"/>
      <c r="B247" s="516" t="s">
        <v>163</v>
      </c>
      <c r="C247" s="627"/>
      <c r="D247" s="627"/>
      <c r="E247" s="627"/>
      <c r="F247" s="444"/>
      <c r="G247" s="628"/>
      <c r="H247" s="627"/>
      <c r="I247" s="627"/>
      <c r="J247" s="627"/>
      <c r="K247" s="627"/>
      <c r="L247" s="627"/>
      <c r="M247" s="627"/>
      <c r="N247" s="627"/>
      <c r="O247" s="627"/>
      <c r="P247" s="627"/>
      <c r="Q247" s="627"/>
      <c r="R247" s="516">
        <f t="shared" si="1"/>
        <v>0</v>
      </c>
      <c r="S247" s="628">
        <v>0</v>
      </c>
      <c r="T247" s="517">
        <f t="shared" si="2"/>
        <v>0</v>
      </c>
      <c r="U247" s="628">
        <v>0</v>
      </c>
      <c r="V247" s="590"/>
      <c r="W247" s="603"/>
      <c r="X247" s="425"/>
      <c r="Y247" s="549"/>
    </row>
    <row r="248" spans="1:25" s="426" customFormat="1" x14ac:dyDescent="0.3">
      <c r="A248" s="443"/>
      <c r="B248" s="516"/>
      <c r="C248" s="627"/>
      <c r="D248" s="627"/>
      <c r="E248" s="627"/>
      <c r="F248" s="444"/>
      <c r="G248" s="628"/>
      <c r="H248" s="627"/>
      <c r="I248" s="627"/>
      <c r="J248" s="627"/>
      <c r="K248" s="627"/>
      <c r="L248" s="627"/>
      <c r="M248" s="627"/>
      <c r="N248" s="627"/>
      <c r="O248" s="627"/>
      <c r="P248" s="627"/>
      <c r="Q248" s="627"/>
      <c r="R248" s="516"/>
      <c r="S248" s="628"/>
      <c r="T248" s="517"/>
      <c r="U248" s="628"/>
      <c r="V248" s="590"/>
      <c r="W248" s="603"/>
      <c r="X248" s="425"/>
    </row>
    <row r="249" spans="1:25" s="426" customFormat="1" x14ac:dyDescent="0.3">
      <c r="A249" s="443"/>
      <c r="B249" s="444" t="s">
        <v>117</v>
      </c>
      <c r="C249" s="444"/>
      <c r="D249" s="444"/>
      <c r="E249" s="444"/>
      <c r="F249" s="444"/>
      <c r="G249" s="444"/>
      <c r="H249" s="629"/>
      <c r="I249" s="629"/>
      <c r="J249" s="629"/>
      <c r="K249" s="629"/>
      <c r="L249" s="629"/>
      <c r="M249" s="629"/>
      <c r="N249" s="629"/>
      <c r="O249" s="629"/>
      <c r="P249" s="629"/>
      <c r="Q249" s="629"/>
      <c r="R249" s="516">
        <f>SUM(R240:R248)</f>
        <v>0</v>
      </c>
      <c r="S249" s="628">
        <f>SUM(S240:S248)</f>
        <v>0</v>
      </c>
      <c r="T249" s="517">
        <f>SUM(T240:T248)</f>
        <v>0</v>
      </c>
      <c r="U249" s="628">
        <f>SUM(U240:U248)</f>
        <v>0</v>
      </c>
      <c r="V249" s="444"/>
      <c r="W249" s="446"/>
      <c r="X249" s="425"/>
    </row>
    <row r="250" spans="1:25" x14ac:dyDescent="0.3">
      <c r="A250" s="614"/>
      <c r="B250" s="615"/>
      <c r="C250" s="616"/>
      <c r="D250" s="616"/>
      <c r="E250" s="616"/>
      <c r="F250" s="617"/>
      <c r="G250" s="518"/>
      <c r="H250" s="518"/>
      <c r="I250" s="518"/>
      <c r="J250" s="518"/>
      <c r="K250" s="518"/>
      <c r="L250" s="518"/>
      <c r="M250" s="518"/>
      <c r="N250" s="518"/>
      <c r="O250" s="518"/>
      <c r="P250" s="518"/>
      <c r="Q250" s="518"/>
      <c r="R250" s="518"/>
      <c r="S250" s="518"/>
      <c r="T250" s="618"/>
      <c r="U250" s="518"/>
      <c r="V250" s="619"/>
      <c r="W250" s="620"/>
      <c r="X250" s="406"/>
    </row>
    <row r="251" spans="1:25" x14ac:dyDescent="0.3">
      <c r="A251" s="533"/>
      <c r="B251" s="534" t="s">
        <v>165</v>
      </c>
      <c r="C251" s="535"/>
      <c r="D251" s="535"/>
      <c r="E251" s="535"/>
      <c r="F251" s="621"/>
      <c r="G251" s="535"/>
      <c r="H251" s="535"/>
      <c r="I251" s="535"/>
      <c r="J251" s="535"/>
      <c r="K251" s="535"/>
      <c r="L251" s="535"/>
      <c r="M251" s="535"/>
      <c r="N251" s="535"/>
      <c r="O251" s="535"/>
      <c r="P251" s="535"/>
      <c r="Q251" s="535"/>
      <c r="R251" s="621" t="s">
        <v>103</v>
      </c>
      <c r="S251" s="535" t="s">
        <v>104</v>
      </c>
      <c r="T251" s="621" t="s">
        <v>111</v>
      </c>
      <c r="U251" s="535" t="s">
        <v>104</v>
      </c>
      <c r="V251" s="622"/>
      <c r="W251" s="623"/>
      <c r="X251" s="406"/>
    </row>
    <row r="252" spans="1:25" s="426" customFormat="1" x14ac:dyDescent="0.3">
      <c r="A252" s="421"/>
      <c r="B252" s="552" t="s">
        <v>89</v>
      </c>
      <c r="C252" s="624"/>
      <c r="D252" s="624"/>
      <c r="E252" s="624"/>
      <c r="F252" s="494"/>
      <c r="G252" s="624"/>
      <c r="H252" s="624"/>
      <c r="I252" s="624"/>
      <c r="J252" s="624"/>
      <c r="K252" s="624"/>
      <c r="L252" s="624"/>
      <c r="M252" s="624"/>
      <c r="N252" s="624"/>
      <c r="O252" s="624"/>
      <c r="P252" s="624"/>
      <c r="Q252" s="624"/>
      <c r="R252" s="552">
        <v>0</v>
      </c>
      <c r="S252" s="630">
        <v>0</v>
      </c>
      <c r="T252" s="631">
        <v>0</v>
      </c>
      <c r="U252" s="630">
        <v>0</v>
      </c>
      <c r="V252" s="585"/>
      <c r="W252" s="626"/>
      <c r="X252" s="425"/>
    </row>
    <row r="253" spans="1:25" s="426" customFormat="1" x14ac:dyDescent="0.3">
      <c r="A253" s="443"/>
      <c r="B253" s="516" t="s">
        <v>90</v>
      </c>
      <c r="C253" s="627"/>
      <c r="D253" s="627"/>
      <c r="E253" s="627"/>
      <c r="F253" s="444"/>
      <c r="G253" s="628"/>
      <c r="H253" s="627"/>
      <c r="I253" s="627"/>
      <c r="J253" s="627"/>
      <c r="K253" s="627"/>
      <c r="L253" s="627"/>
      <c r="M253" s="627"/>
      <c r="N253" s="627"/>
      <c r="O253" s="627"/>
      <c r="P253" s="627"/>
      <c r="Q253" s="627"/>
      <c r="R253" s="516">
        <v>0</v>
      </c>
      <c r="S253" s="628">
        <v>0</v>
      </c>
      <c r="T253" s="517">
        <v>0</v>
      </c>
      <c r="U253" s="628">
        <v>0</v>
      </c>
      <c r="V253" s="590"/>
      <c r="W253" s="603"/>
      <c r="X253" s="425"/>
      <c r="Y253" s="549"/>
    </row>
    <row r="254" spans="1:25" s="426" customFormat="1" x14ac:dyDescent="0.3">
      <c r="A254" s="443"/>
      <c r="B254" s="516" t="s">
        <v>91</v>
      </c>
      <c r="C254" s="627"/>
      <c r="D254" s="627"/>
      <c r="E254" s="627"/>
      <c r="F254" s="444"/>
      <c r="G254" s="628"/>
      <c r="H254" s="627"/>
      <c r="I254" s="627"/>
      <c r="J254" s="627"/>
      <c r="K254" s="627"/>
      <c r="L254" s="627"/>
      <c r="M254" s="627"/>
      <c r="N254" s="627"/>
      <c r="O254" s="627"/>
      <c r="P254" s="627"/>
      <c r="Q254" s="627"/>
      <c r="R254" s="516">
        <v>0</v>
      </c>
      <c r="S254" s="628">
        <v>0</v>
      </c>
      <c r="T254" s="517">
        <v>0</v>
      </c>
      <c r="U254" s="628">
        <v>0</v>
      </c>
      <c r="V254" s="590"/>
      <c r="W254" s="603"/>
      <c r="X254" s="425"/>
    </row>
    <row r="255" spans="1:25" s="426" customFormat="1" x14ac:dyDescent="0.3">
      <c r="A255" s="443"/>
      <c r="B255" s="516" t="s">
        <v>159</v>
      </c>
      <c r="C255" s="627"/>
      <c r="D255" s="627"/>
      <c r="E255" s="627"/>
      <c r="F255" s="444"/>
      <c r="G255" s="628"/>
      <c r="H255" s="627"/>
      <c r="I255" s="627"/>
      <c r="J255" s="627"/>
      <c r="K255" s="627"/>
      <c r="L255" s="627"/>
      <c r="M255" s="627"/>
      <c r="N255" s="627"/>
      <c r="O255" s="627"/>
      <c r="P255" s="627"/>
      <c r="Q255" s="627"/>
      <c r="R255" s="516">
        <v>0</v>
      </c>
      <c r="S255" s="628">
        <v>0</v>
      </c>
      <c r="T255" s="517">
        <v>0</v>
      </c>
      <c r="U255" s="628">
        <v>0</v>
      </c>
      <c r="V255" s="590"/>
      <c r="W255" s="603"/>
      <c r="X255" s="425"/>
      <c r="Y255" s="549"/>
    </row>
    <row r="256" spans="1:25" s="426" customFormat="1" x14ac:dyDescent="0.3">
      <c r="A256" s="443"/>
      <c r="B256" s="516" t="s">
        <v>160</v>
      </c>
      <c r="C256" s="627"/>
      <c r="D256" s="627"/>
      <c r="E256" s="627"/>
      <c r="F256" s="444"/>
      <c r="G256" s="628"/>
      <c r="H256" s="627"/>
      <c r="I256" s="627"/>
      <c r="J256" s="627"/>
      <c r="K256" s="627"/>
      <c r="L256" s="627"/>
      <c r="M256" s="627"/>
      <c r="N256" s="627"/>
      <c r="O256" s="627"/>
      <c r="P256" s="627"/>
      <c r="Q256" s="627"/>
      <c r="R256" s="516">
        <v>0</v>
      </c>
      <c r="S256" s="628">
        <v>0</v>
      </c>
      <c r="T256" s="517">
        <v>0</v>
      </c>
      <c r="U256" s="628">
        <v>0</v>
      </c>
      <c r="V256" s="590"/>
      <c r="W256" s="603"/>
      <c r="X256" s="425"/>
    </row>
    <row r="257" spans="1:25" s="426" customFormat="1" x14ac:dyDescent="0.3">
      <c r="A257" s="443"/>
      <c r="B257" s="516" t="s">
        <v>161</v>
      </c>
      <c r="C257" s="627"/>
      <c r="D257" s="627"/>
      <c r="E257" s="627"/>
      <c r="F257" s="444"/>
      <c r="G257" s="628"/>
      <c r="H257" s="627"/>
      <c r="I257" s="627"/>
      <c r="J257" s="627"/>
      <c r="K257" s="627"/>
      <c r="L257" s="627"/>
      <c r="M257" s="627"/>
      <c r="N257" s="627"/>
      <c r="O257" s="627"/>
      <c r="P257" s="627"/>
      <c r="Q257" s="627"/>
      <c r="R257" s="516">
        <v>0</v>
      </c>
      <c r="S257" s="628">
        <v>0</v>
      </c>
      <c r="T257" s="517">
        <v>0</v>
      </c>
      <c r="U257" s="628">
        <v>0</v>
      </c>
      <c r="V257" s="590"/>
      <c r="W257" s="603"/>
      <c r="X257" s="425"/>
      <c r="Y257" s="549"/>
    </row>
    <row r="258" spans="1:25" s="426" customFormat="1" x14ac:dyDescent="0.3">
      <c r="A258" s="443"/>
      <c r="B258" s="516" t="s">
        <v>162</v>
      </c>
      <c r="C258" s="627"/>
      <c r="D258" s="627"/>
      <c r="E258" s="627"/>
      <c r="F258" s="444"/>
      <c r="G258" s="628"/>
      <c r="H258" s="627"/>
      <c r="I258" s="627"/>
      <c r="J258" s="627"/>
      <c r="K258" s="627"/>
      <c r="L258" s="627"/>
      <c r="M258" s="627"/>
      <c r="N258" s="627"/>
      <c r="O258" s="627"/>
      <c r="P258" s="627"/>
      <c r="Q258" s="627"/>
      <c r="R258" s="516">
        <v>0</v>
      </c>
      <c r="S258" s="628">
        <v>0</v>
      </c>
      <c r="T258" s="517">
        <v>0</v>
      </c>
      <c r="U258" s="628">
        <v>0</v>
      </c>
      <c r="V258" s="590"/>
      <c r="W258" s="603"/>
      <c r="X258" s="425"/>
    </row>
    <row r="259" spans="1:25" s="426" customFormat="1" x14ac:dyDescent="0.3">
      <c r="A259" s="443"/>
      <c r="B259" s="516" t="s">
        <v>163</v>
      </c>
      <c r="C259" s="627"/>
      <c r="D259" s="627"/>
      <c r="E259" s="627"/>
      <c r="F259" s="444"/>
      <c r="G259" s="628"/>
      <c r="H259" s="627"/>
      <c r="I259" s="627"/>
      <c r="J259" s="627"/>
      <c r="K259" s="627"/>
      <c r="L259" s="627"/>
      <c r="M259" s="627"/>
      <c r="N259" s="627"/>
      <c r="O259" s="627"/>
      <c r="P259" s="627"/>
      <c r="Q259" s="627"/>
      <c r="R259" s="516">
        <v>0</v>
      </c>
      <c r="S259" s="628">
        <v>0</v>
      </c>
      <c r="T259" s="517">
        <v>0</v>
      </c>
      <c r="U259" s="628">
        <v>0</v>
      </c>
      <c r="V259" s="590"/>
      <c r="W259" s="603"/>
      <c r="X259" s="425"/>
      <c r="Y259" s="549"/>
    </row>
    <row r="260" spans="1:25" s="426" customFormat="1" x14ac:dyDescent="0.3">
      <c r="A260" s="443"/>
      <c r="B260" s="516"/>
      <c r="C260" s="627"/>
      <c r="D260" s="627"/>
      <c r="E260" s="627"/>
      <c r="F260" s="444"/>
      <c r="G260" s="628"/>
      <c r="H260" s="627"/>
      <c r="I260" s="627"/>
      <c r="J260" s="627"/>
      <c r="K260" s="627"/>
      <c r="L260" s="627"/>
      <c r="M260" s="627"/>
      <c r="N260" s="627"/>
      <c r="O260" s="627"/>
      <c r="P260" s="627"/>
      <c r="Q260" s="627"/>
      <c r="R260" s="516"/>
      <c r="S260" s="628"/>
      <c r="T260" s="517"/>
      <c r="U260" s="628"/>
      <c r="V260" s="590"/>
      <c r="W260" s="603"/>
      <c r="X260" s="425"/>
    </row>
    <row r="261" spans="1:25" s="426" customFormat="1" x14ac:dyDescent="0.3">
      <c r="A261" s="443"/>
      <c r="B261" s="444" t="s">
        <v>117</v>
      </c>
      <c r="C261" s="444"/>
      <c r="D261" s="444"/>
      <c r="E261" s="444"/>
      <c r="F261" s="444"/>
      <c r="G261" s="444"/>
      <c r="H261" s="629"/>
      <c r="I261" s="629"/>
      <c r="J261" s="629"/>
      <c r="K261" s="629"/>
      <c r="L261" s="629"/>
      <c r="M261" s="629"/>
      <c r="N261" s="629"/>
      <c r="O261" s="629"/>
      <c r="P261" s="629"/>
      <c r="Q261" s="629"/>
      <c r="R261" s="516">
        <f>SUM(R252:R260)</f>
        <v>0</v>
      </c>
      <c r="S261" s="628">
        <f>SUM(S252:S260)</f>
        <v>0</v>
      </c>
      <c r="T261" s="517">
        <f>SUM(T252:T260)</f>
        <v>0</v>
      </c>
      <c r="U261" s="628">
        <f>SUM(U252:U260)</f>
        <v>0</v>
      </c>
      <c r="V261" s="444"/>
      <c r="W261" s="446"/>
      <c r="X261" s="425"/>
    </row>
    <row r="262" spans="1:25" x14ac:dyDescent="0.3">
      <c r="A262" s="408"/>
      <c r="B262" s="518"/>
      <c r="C262" s="518"/>
      <c r="D262" s="518"/>
      <c r="E262" s="518"/>
      <c r="F262" s="518"/>
      <c r="G262" s="518"/>
      <c r="H262" s="632"/>
      <c r="I262" s="632"/>
      <c r="J262" s="632"/>
      <c r="K262" s="632"/>
      <c r="L262" s="632"/>
      <c r="M262" s="632"/>
      <c r="N262" s="632"/>
      <c r="O262" s="632"/>
      <c r="P262" s="632"/>
      <c r="Q262" s="632"/>
      <c r="R262" s="519"/>
      <c r="S262" s="633"/>
      <c r="T262" s="634"/>
      <c r="U262" s="633"/>
      <c r="V262" s="518"/>
      <c r="W262" s="411"/>
      <c r="X262" s="406"/>
    </row>
    <row r="263" spans="1:25" x14ac:dyDescent="0.3">
      <c r="A263" s="533"/>
      <c r="B263" s="534" t="s">
        <v>279</v>
      </c>
      <c r="C263" s="535"/>
      <c r="D263" s="535"/>
      <c r="E263" s="535"/>
      <c r="F263" s="621"/>
      <c r="G263" s="535"/>
      <c r="H263" s="535"/>
      <c r="I263" s="535"/>
      <c r="J263" s="535"/>
      <c r="K263" s="535"/>
      <c r="L263" s="535"/>
      <c r="M263" s="535"/>
      <c r="N263" s="535"/>
      <c r="O263" s="535"/>
      <c r="P263" s="535"/>
      <c r="Q263" s="535"/>
      <c r="R263" s="621" t="s">
        <v>103</v>
      </c>
      <c r="S263" s="535" t="s">
        <v>104</v>
      </c>
      <c r="T263" s="621" t="s">
        <v>111</v>
      </c>
      <c r="U263" s="535" t="s">
        <v>104</v>
      </c>
      <c r="V263" s="622"/>
      <c r="W263" s="538"/>
      <c r="X263" s="406"/>
    </row>
    <row r="264" spans="1:25" s="426" customFormat="1" x14ac:dyDescent="0.3">
      <c r="A264" s="421"/>
      <c r="B264" s="552" t="s">
        <v>89</v>
      </c>
      <c r="C264" s="624"/>
      <c r="D264" s="624"/>
      <c r="E264" s="624"/>
      <c r="F264" s="494"/>
      <c r="G264" s="624"/>
      <c r="H264" s="624"/>
      <c r="I264" s="624"/>
      <c r="J264" s="624"/>
      <c r="K264" s="624"/>
      <c r="L264" s="624"/>
      <c r="M264" s="624"/>
      <c r="N264" s="624"/>
      <c r="O264" s="624"/>
      <c r="P264" s="624"/>
      <c r="Q264" s="624"/>
      <c r="R264" s="552">
        <v>0</v>
      </c>
      <c r="S264" s="630">
        <v>0</v>
      </c>
      <c r="T264" s="631">
        <v>0</v>
      </c>
      <c r="U264" s="630">
        <v>0</v>
      </c>
      <c r="V264" s="494"/>
      <c r="W264" s="424"/>
      <c r="X264" s="425"/>
    </row>
    <row r="265" spans="1:25" s="426" customFormat="1" x14ac:dyDescent="0.3">
      <c r="A265" s="443"/>
      <c r="B265" s="516" t="s">
        <v>90</v>
      </c>
      <c r="C265" s="627"/>
      <c r="D265" s="627"/>
      <c r="E265" s="627"/>
      <c r="F265" s="444"/>
      <c r="G265" s="628"/>
      <c r="H265" s="627"/>
      <c r="I265" s="627"/>
      <c r="J265" s="627"/>
      <c r="K265" s="627"/>
      <c r="L265" s="627"/>
      <c r="M265" s="627"/>
      <c r="N265" s="627"/>
      <c r="O265" s="627"/>
      <c r="P265" s="627"/>
      <c r="Q265" s="627"/>
      <c r="R265" s="516">
        <v>0</v>
      </c>
      <c r="S265" s="628">
        <v>0</v>
      </c>
      <c r="T265" s="517">
        <v>0</v>
      </c>
      <c r="U265" s="628">
        <v>0</v>
      </c>
      <c r="V265" s="444"/>
      <c r="W265" s="446"/>
      <c r="X265" s="425"/>
    </row>
    <row r="266" spans="1:25" s="426" customFormat="1" x14ac:dyDescent="0.3">
      <c r="A266" s="443"/>
      <c r="B266" s="516" t="s">
        <v>91</v>
      </c>
      <c r="C266" s="627"/>
      <c r="D266" s="627"/>
      <c r="E266" s="627"/>
      <c r="F266" s="444"/>
      <c r="G266" s="628"/>
      <c r="H266" s="627"/>
      <c r="I266" s="627"/>
      <c r="J266" s="627"/>
      <c r="K266" s="627"/>
      <c r="L266" s="627"/>
      <c r="M266" s="627"/>
      <c r="N266" s="627"/>
      <c r="O266" s="627"/>
      <c r="P266" s="627"/>
      <c r="Q266" s="627"/>
      <c r="R266" s="516">
        <v>0</v>
      </c>
      <c r="S266" s="628">
        <v>0</v>
      </c>
      <c r="T266" s="517">
        <v>0</v>
      </c>
      <c r="U266" s="628">
        <v>0</v>
      </c>
      <c r="V266" s="444"/>
      <c r="W266" s="446"/>
      <c r="X266" s="425"/>
    </row>
    <row r="267" spans="1:25" s="426" customFormat="1" x14ac:dyDescent="0.3">
      <c r="A267" s="443"/>
      <c r="B267" s="516" t="s">
        <v>159</v>
      </c>
      <c r="C267" s="627"/>
      <c r="D267" s="627"/>
      <c r="E267" s="627"/>
      <c r="F267" s="444"/>
      <c r="G267" s="628"/>
      <c r="H267" s="627"/>
      <c r="I267" s="627"/>
      <c r="J267" s="627"/>
      <c r="K267" s="627"/>
      <c r="L267" s="627"/>
      <c r="M267" s="627"/>
      <c r="N267" s="627"/>
      <c r="O267" s="627"/>
      <c r="P267" s="627"/>
      <c r="Q267" s="627"/>
      <c r="R267" s="516">
        <v>0</v>
      </c>
      <c r="S267" s="628">
        <v>0</v>
      </c>
      <c r="T267" s="517">
        <v>0</v>
      </c>
      <c r="U267" s="628">
        <v>0</v>
      </c>
      <c r="V267" s="444"/>
      <c r="W267" s="446"/>
      <c r="X267" s="425"/>
    </row>
    <row r="268" spans="1:25" s="426" customFormat="1" x14ac:dyDescent="0.3">
      <c r="A268" s="443"/>
      <c r="B268" s="516" t="s">
        <v>160</v>
      </c>
      <c r="C268" s="627"/>
      <c r="D268" s="627"/>
      <c r="E268" s="627"/>
      <c r="F268" s="444"/>
      <c r="G268" s="628"/>
      <c r="H268" s="627"/>
      <c r="I268" s="627"/>
      <c r="J268" s="627"/>
      <c r="K268" s="627"/>
      <c r="L268" s="627"/>
      <c r="M268" s="627"/>
      <c r="N268" s="627"/>
      <c r="O268" s="627"/>
      <c r="P268" s="627"/>
      <c r="Q268" s="627"/>
      <c r="R268" s="516">
        <v>0</v>
      </c>
      <c r="S268" s="628">
        <v>0</v>
      </c>
      <c r="T268" s="517">
        <v>0</v>
      </c>
      <c r="U268" s="628">
        <v>0</v>
      </c>
      <c r="V268" s="444"/>
      <c r="W268" s="446"/>
      <c r="X268" s="425"/>
    </row>
    <row r="269" spans="1:25" s="426" customFormat="1" x14ac:dyDescent="0.3">
      <c r="A269" s="443"/>
      <c r="B269" s="516" t="s">
        <v>161</v>
      </c>
      <c r="C269" s="627"/>
      <c r="D269" s="627"/>
      <c r="E269" s="627"/>
      <c r="F269" s="444"/>
      <c r="G269" s="628"/>
      <c r="H269" s="627"/>
      <c r="I269" s="627"/>
      <c r="J269" s="627"/>
      <c r="K269" s="627"/>
      <c r="L269" s="627"/>
      <c r="M269" s="627"/>
      <c r="N269" s="627"/>
      <c r="O269" s="627"/>
      <c r="P269" s="627"/>
      <c r="Q269" s="627"/>
      <c r="R269" s="516">
        <v>0</v>
      </c>
      <c r="S269" s="628">
        <v>0</v>
      </c>
      <c r="T269" s="517">
        <v>0</v>
      </c>
      <c r="U269" s="628">
        <v>0</v>
      </c>
      <c r="V269" s="444"/>
      <c r="W269" s="446"/>
      <c r="X269" s="425"/>
    </row>
    <row r="270" spans="1:25" s="426" customFormat="1" x14ac:dyDescent="0.3">
      <c r="A270" s="443"/>
      <c r="B270" s="516" t="s">
        <v>162</v>
      </c>
      <c r="C270" s="627"/>
      <c r="D270" s="627"/>
      <c r="E270" s="627"/>
      <c r="F270" s="444"/>
      <c r="G270" s="628"/>
      <c r="H270" s="627"/>
      <c r="I270" s="627"/>
      <c r="J270" s="627"/>
      <c r="K270" s="627"/>
      <c r="L270" s="627"/>
      <c r="M270" s="627"/>
      <c r="N270" s="627"/>
      <c r="O270" s="627"/>
      <c r="P270" s="627"/>
      <c r="Q270" s="627"/>
      <c r="R270" s="516">
        <v>0</v>
      </c>
      <c r="S270" s="628">
        <v>0</v>
      </c>
      <c r="T270" s="517">
        <v>0</v>
      </c>
      <c r="U270" s="628">
        <v>0</v>
      </c>
      <c r="V270" s="444"/>
      <c r="W270" s="446"/>
      <c r="X270" s="425"/>
    </row>
    <row r="271" spans="1:25" s="426" customFormat="1" x14ac:dyDescent="0.3">
      <c r="A271" s="443"/>
      <c r="B271" s="516" t="s">
        <v>163</v>
      </c>
      <c r="C271" s="627"/>
      <c r="D271" s="627"/>
      <c r="E271" s="627"/>
      <c r="F271" s="444"/>
      <c r="G271" s="628"/>
      <c r="H271" s="627"/>
      <c r="I271" s="627"/>
      <c r="J271" s="627"/>
      <c r="K271" s="627"/>
      <c r="L271" s="627"/>
      <c r="M271" s="627"/>
      <c r="N271" s="627"/>
      <c r="O271" s="627"/>
      <c r="P271" s="627"/>
      <c r="Q271" s="627"/>
      <c r="R271" s="516">
        <v>0</v>
      </c>
      <c r="S271" s="628">
        <v>0</v>
      </c>
      <c r="T271" s="517">
        <v>0</v>
      </c>
      <c r="U271" s="628">
        <v>0</v>
      </c>
      <c r="V271" s="444"/>
      <c r="W271" s="446"/>
      <c r="X271" s="425"/>
    </row>
    <row r="272" spans="1:25" s="426" customFormat="1" x14ac:dyDescent="0.3">
      <c r="A272" s="443"/>
      <c r="B272" s="516"/>
      <c r="C272" s="627"/>
      <c r="D272" s="627"/>
      <c r="E272" s="627"/>
      <c r="F272" s="444"/>
      <c r="G272" s="628"/>
      <c r="H272" s="627"/>
      <c r="I272" s="627"/>
      <c r="J272" s="627"/>
      <c r="K272" s="627"/>
      <c r="L272" s="627"/>
      <c r="M272" s="627"/>
      <c r="N272" s="627"/>
      <c r="O272" s="627"/>
      <c r="P272" s="627"/>
      <c r="Q272" s="627"/>
      <c r="R272" s="516"/>
      <c r="S272" s="628"/>
      <c r="T272" s="517"/>
      <c r="U272" s="628"/>
      <c r="V272" s="444"/>
      <c r="W272" s="446"/>
      <c r="X272" s="425"/>
    </row>
    <row r="273" spans="1:24" s="426" customFormat="1" x14ac:dyDescent="0.3">
      <c r="A273" s="443"/>
      <c r="B273" s="444" t="s">
        <v>117</v>
      </c>
      <c r="C273" s="444"/>
      <c r="D273" s="444"/>
      <c r="E273" s="444"/>
      <c r="F273" s="444"/>
      <c r="G273" s="444"/>
      <c r="H273" s="629"/>
      <c r="I273" s="629"/>
      <c r="J273" s="629"/>
      <c r="K273" s="629"/>
      <c r="L273" s="629"/>
      <c r="M273" s="629"/>
      <c r="N273" s="629"/>
      <c r="O273" s="629"/>
      <c r="P273" s="629"/>
      <c r="Q273" s="629"/>
      <c r="R273" s="516">
        <f>SUM(R264:R272)</f>
        <v>0</v>
      </c>
      <c r="S273" s="628">
        <f>SUM(S264:S272)</f>
        <v>0</v>
      </c>
      <c r="T273" s="517">
        <f>SUM(T264:T272)</f>
        <v>0</v>
      </c>
      <c r="U273" s="628">
        <f>SUM(U264:U272)</f>
        <v>0</v>
      </c>
      <c r="V273" s="444"/>
      <c r="W273" s="446"/>
      <c r="X273" s="425"/>
    </row>
    <row r="274" spans="1:24" x14ac:dyDescent="0.3">
      <c r="A274" s="408"/>
      <c r="B274" s="518"/>
      <c r="C274" s="518"/>
      <c r="D274" s="518"/>
      <c r="E274" s="518"/>
      <c r="F274" s="518"/>
      <c r="G274" s="518"/>
      <c r="H274" s="632"/>
      <c r="I274" s="632"/>
      <c r="J274" s="632"/>
      <c r="K274" s="632"/>
      <c r="L274" s="632"/>
      <c r="M274" s="632"/>
      <c r="N274" s="632"/>
      <c r="O274" s="632"/>
      <c r="P274" s="632"/>
      <c r="Q274" s="632"/>
      <c r="R274" s="519"/>
      <c r="S274" s="633"/>
      <c r="T274" s="634"/>
      <c r="U274" s="633"/>
      <c r="V274" s="518"/>
      <c r="W274" s="411"/>
      <c r="X274" s="406"/>
    </row>
    <row r="275" spans="1:24" x14ac:dyDescent="0.3">
      <c r="A275" s="653"/>
      <c r="B275" s="654" t="s">
        <v>404</v>
      </c>
      <c r="C275" s="658"/>
      <c r="D275" s="658"/>
      <c r="E275" s="658"/>
      <c r="F275" s="657"/>
      <c r="G275" s="658"/>
      <c r="H275" s="658"/>
      <c r="I275" s="658"/>
      <c r="J275" s="658"/>
      <c r="K275" s="658"/>
      <c r="L275" s="658"/>
      <c r="M275" s="658"/>
      <c r="N275" s="658"/>
      <c r="O275" s="658"/>
      <c r="P275" s="658"/>
      <c r="Q275" s="658"/>
      <c r="R275" s="657" t="s">
        <v>103</v>
      </c>
      <c r="S275" s="658" t="s">
        <v>104</v>
      </c>
      <c r="T275" s="657" t="s">
        <v>111</v>
      </c>
      <c r="U275" s="658" t="s">
        <v>104</v>
      </c>
      <c r="V275" s="658"/>
      <c r="W275" s="658"/>
      <c r="X275" s="406"/>
    </row>
    <row r="276" spans="1:24" x14ac:dyDescent="0.3">
      <c r="A276" s="675"/>
      <c r="B276" s="676" t="s">
        <v>405</v>
      </c>
      <c r="C276" s="676"/>
      <c r="D276" s="676"/>
      <c r="E276" s="676"/>
      <c r="F276" s="676"/>
      <c r="G276" s="676"/>
      <c r="H276" s="677"/>
      <c r="I276" s="677"/>
      <c r="J276" s="677"/>
      <c r="K276" s="677"/>
      <c r="L276" s="677"/>
      <c r="M276" s="677"/>
      <c r="N276" s="677"/>
      <c r="O276" s="677"/>
      <c r="P276" s="677"/>
      <c r="Q276" s="677"/>
      <c r="R276" s="679">
        <v>0</v>
      </c>
      <c r="S276" s="680">
        <v>0</v>
      </c>
      <c r="T276" s="564">
        <v>0</v>
      </c>
      <c r="U276" s="680">
        <v>0</v>
      </c>
      <c r="V276" s="677"/>
      <c r="W276" s="677"/>
      <c r="X276" s="406"/>
    </row>
    <row r="277" spans="1:24" x14ac:dyDescent="0.3">
      <c r="A277" s="675"/>
      <c r="B277" s="676" t="s">
        <v>406</v>
      </c>
      <c r="C277" s="676"/>
      <c r="D277" s="676"/>
      <c r="E277" s="676"/>
      <c r="F277" s="676"/>
      <c r="G277" s="676"/>
      <c r="H277" s="677"/>
      <c r="I277" s="677"/>
      <c r="J277" s="677"/>
      <c r="K277" s="677"/>
      <c r="L277" s="677"/>
      <c r="M277" s="677"/>
      <c r="N277" s="677"/>
      <c r="O277" s="677"/>
      <c r="P277" s="677"/>
      <c r="Q277" s="677"/>
      <c r="R277" s="679">
        <v>0</v>
      </c>
      <c r="S277" s="680">
        <v>0</v>
      </c>
      <c r="T277" s="564">
        <v>0</v>
      </c>
      <c r="U277" s="680">
        <v>0</v>
      </c>
      <c r="V277" s="677"/>
      <c r="W277" s="677"/>
      <c r="X277" s="406"/>
    </row>
    <row r="278" spans="1:24" x14ac:dyDescent="0.3">
      <c r="A278" s="675"/>
      <c r="B278" s="676" t="s">
        <v>407</v>
      </c>
      <c r="C278" s="676"/>
      <c r="D278" s="676"/>
      <c r="E278" s="676"/>
      <c r="F278" s="676"/>
      <c r="G278" s="676"/>
      <c r="H278" s="677"/>
      <c r="I278" s="677"/>
      <c r="J278" s="677"/>
      <c r="K278" s="677"/>
      <c r="L278" s="677"/>
      <c r="M278" s="677"/>
      <c r="N278" s="677"/>
      <c r="O278" s="677"/>
      <c r="P278" s="677"/>
      <c r="Q278" s="677"/>
      <c r="R278" s="679">
        <v>0</v>
      </c>
      <c r="S278" s="680">
        <v>0</v>
      </c>
      <c r="T278" s="564">
        <v>0</v>
      </c>
      <c r="U278" s="680">
        <v>0</v>
      </c>
      <c r="V278" s="677"/>
      <c r="W278" s="677"/>
      <c r="X278" s="406"/>
    </row>
    <row r="279" spans="1:24" x14ac:dyDescent="0.3">
      <c r="A279" s="675"/>
      <c r="B279" s="676" t="s">
        <v>408</v>
      </c>
      <c r="C279" s="676"/>
      <c r="D279" s="676"/>
      <c r="E279" s="676"/>
      <c r="F279" s="676"/>
      <c r="G279" s="676"/>
      <c r="H279" s="677"/>
      <c r="I279" s="677"/>
      <c r="J279" s="677"/>
      <c r="K279" s="677"/>
      <c r="L279" s="677"/>
      <c r="M279" s="677"/>
      <c r="N279" s="677"/>
      <c r="O279" s="677"/>
      <c r="P279" s="677"/>
      <c r="Q279" s="677"/>
      <c r="R279" s="679">
        <v>0</v>
      </c>
      <c r="S279" s="680">
        <v>0</v>
      </c>
      <c r="T279" s="564">
        <v>0</v>
      </c>
      <c r="U279" s="680">
        <v>0</v>
      </c>
      <c r="V279" s="677"/>
      <c r="W279" s="677"/>
      <c r="X279" s="406"/>
    </row>
    <row r="280" spans="1:24" x14ac:dyDescent="0.3">
      <c r="A280" s="675"/>
      <c r="B280" s="676" t="s">
        <v>409</v>
      </c>
      <c r="C280" s="676"/>
      <c r="D280" s="676"/>
      <c r="E280" s="676"/>
      <c r="F280" s="676"/>
      <c r="G280" s="676"/>
      <c r="H280" s="677"/>
      <c r="I280" s="677"/>
      <c r="J280" s="677"/>
      <c r="K280" s="677"/>
      <c r="L280" s="677"/>
      <c r="M280" s="677"/>
      <c r="N280" s="677"/>
      <c r="O280" s="677"/>
      <c r="P280" s="677"/>
      <c r="Q280" s="677"/>
      <c r="R280" s="679">
        <v>0</v>
      </c>
      <c r="S280" s="680">
        <v>0</v>
      </c>
      <c r="T280" s="564">
        <v>0</v>
      </c>
      <c r="U280" s="680">
        <v>0</v>
      </c>
      <c r="V280" s="677"/>
      <c r="W280" s="677"/>
      <c r="X280" s="406"/>
    </row>
    <row r="281" spans="1:24" x14ac:dyDescent="0.3">
      <c r="A281" s="675"/>
      <c r="B281" s="678" t="s">
        <v>410</v>
      </c>
      <c r="C281" s="676"/>
      <c r="D281" s="676"/>
      <c r="E281" s="676"/>
      <c r="F281" s="676"/>
      <c r="G281" s="676"/>
      <c r="H281" s="677"/>
      <c r="I281" s="677"/>
      <c r="J281" s="677"/>
      <c r="K281" s="677"/>
      <c r="L281" s="677"/>
      <c r="M281" s="677"/>
      <c r="N281" s="677"/>
      <c r="O281" s="677"/>
      <c r="P281" s="677"/>
      <c r="Q281" s="677"/>
      <c r="R281" s="679">
        <v>0</v>
      </c>
      <c r="S281" s="680">
        <v>0</v>
      </c>
      <c r="T281" s="564">
        <v>0</v>
      </c>
      <c r="U281" s="680">
        <v>0</v>
      </c>
      <c r="V281" s="677"/>
      <c r="W281" s="677"/>
      <c r="X281" s="406"/>
    </row>
    <row r="282" spans="1:24" x14ac:dyDescent="0.3">
      <c r="A282" s="675"/>
      <c r="B282" s="676"/>
      <c r="C282" s="676"/>
      <c r="D282" s="676"/>
      <c r="E282" s="676"/>
      <c r="F282" s="676"/>
      <c r="G282" s="676"/>
      <c r="H282" s="677"/>
      <c r="I282" s="677"/>
      <c r="J282" s="677"/>
      <c r="K282" s="677"/>
      <c r="L282" s="677"/>
      <c r="M282" s="677"/>
      <c r="N282" s="677"/>
      <c r="O282" s="677"/>
      <c r="P282" s="677"/>
      <c r="Q282" s="677"/>
      <c r="R282" s="679"/>
      <c r="S282" s="680"/>
      <c r="T282" s="564"/>
      <c r="U282" s="680"/>
      <c r="V282" s="677"/>
      <c r="W282" s="677"/>
      <c r="X282" s="406"/>
    </row>
    <row r="283" spans="1:24" x14ac:dyDescent="0.3">
      <c r="A283" s="675"/>
      <c r="B283" s="676" t="s">
        <v>117</v>
      </c>
      <c r="C283" s="676"/>
      <c r="D283" s="676"/>
      <c r="E283" s="676"/>
      <c r="F283" s="676"/>
      <c r="G283" s="676"/>
      <c r="H283" s="677"/>
      <c r="I283" s="677"/>
      <c r="J283" s="677"/>
      <c r="K283" s="677"/>
      <c r="L283" s="677"/>
      <c r="M283" s="677"/>
      <c r="N283" s="677"/>
      <c r="O283" s="677"/>
      <c r="P283" s="677"/>
      <c r="Q283" s="677"/>
      <c r="R283" s="679">
        <f>SUM(R276:R282)</f>
        <v>0</v>
      </c>
      <c r="S283" s="680">
        <f>SUM(S276:S281)</f>
        <v>0</v>
      </c>
      <c r="T283" s="564">
        <f>SUM(T276:T281)</f>
        <v>0</v>
      </c>
      <c r="U283" s="680">
        <f>SUM(U276:U282)</f>
        <v>0</v>
      </c>
      <c r="V283" s="677"/>
      <c r="W283" s="677"/>
      <c r="X283" s="406"/>
    </row>
    <row r="284" spans="1:24" x14ac:dyDescent="0.3">
      <c r="A284" s="408"/>
      <c r="B284" s="518"/>
      <c r="C284" s="518"/>
      <c r="D284" s="518"/>
      <c r="E284" s="518"/>
      <c r="F284" s="518"/>
      <c r="G284" s="518"/>
      <c r="H284" s="632"/>
      <c r="I284" s="632"/>
      <c r="J284" s="632"/>
      <c r="K284" s="632"/>
      <c r="L284" s="632"/>
      <c r="M284" s="632"/>
      <c r="N284" s="632"/>
      <c r="O284" s="632"/>
      <c r="P284" s="632"/>
      <c r="Q284" s="632"/>
      <c r="R284" s="519"/>
      <c r="S284" s="633"/>
      <c r="T284" s="634"/>
      <c r="U284" s="633"/>
      <c r="V284" s="518"/>
      <c r="W284" s="411"/>
      <c r="X284" s="406"/>
    </row>
    <row r="285" spans="1:24" x14ac:dyDescent="0.3">
      <c r="A285" s="533"/>
      <c r="B285" s="534" t="s">
        <v>166</v>
      </c>
      <c r="C285" s="622"/>
      <c r="D285" s="622"/>
      <c r="E285" s="622"/>
      <c r="F285" s="622"/>
      <c r="G285" s="622"/>
      <c r="H285" s="635"/>
      <c r="I285" s="635"/>
      <c r="J285" s="635"/>
      <c r="K285" s="635"/>
      <c r="L285" s="635"/>
      <c r="M285" s="635"/>
      <c r="N285" s="635"/>
      <c r="O285" s="635"/>
      <c r="P285" s="635"/>
      <c r="Q285" s="635"/>
      <c r="R285" s="621" t="s">
        <v>103</v>
      </c>
      <c r="S285" s="535" t="s">
        <v>104</v>
      </c>
      <c r="T285" s="621" t="s">
        <v>111</v>
      </c>
      <c r="U285" s="535" t="s">
        <v>104</v>
      </c>
      <c r="V285" s="622"/>
      <c r="W285" s="538"/>
      <c r="X285" s="406"/>
    </row>
    <row r="286" spans="1:24" s="426" customFormat="1" x14ac:dyDescent="0.3">
      <c r="A286" s="421"/>
      <c r="B286" s="552" t="s">
        <v>89</v>
      </c>
      <c r="C286" s="494"/>
      <c r="D286" s="494"/>
      <c r="E286" s="494"/>
      <c r="F286" s="494"/>
      <c r="G286" s="494"/>
      <c r="H286" s="636"/>
      <c r="I286" s="636"/>
      <c r="J286" s="636"/>
      <c r="K286" s="636"/>
      <c r="L286" s="636"/>
      <c r="M286" s="636"/>
      <c r="N286" s="636"/>
      <c r="O286" s="636"/>
      <c r="P286" s="636"/>
      <c r="Q286" s="636"/>
      <c r="R286" s="552">
        <v>0</v>
      </c>
      <c r="S286" s="630">
        <v>0</v>
      </c>
      <c r="T286" s="631">
        <v>0</v>
      </c>
      <c r="U286" s="630">
        <v>0</v>
      </c>
      <c r="V286" s="494"/>
      <c r="W286" s="424"/>
      <c r="X286" s="425"/>
    </row>
    <row r="287" spans="1:24" s="426" customFormat="1" x14ac:dyDescent="0.3">
      <c r="A287" s="443"/>
      <c r="B287" s="516" t="s">
        <v>90</v>
      </c>
      <c r="C287" s="444"/>
      <c r="D287" s="444"/>
      <c r="E287" s="444"/>
      <c r="F287" s="444"/>
      <c r="G287" s="444"/>
      <c r="H287" s="629"/>
      <c r="I287" s="629"/>
      <c r="J287" s="629"/>
      <c r="K287" s="629"/>
      <c r="L287" s="629"/>
      <c r="M287" s="629"/>
      <c r="N287" s="629"/>
      <c r="O287" s="629"/>
      <c r="P287" s="629"/>
      <c r="Q287" s="629"/>
      <c r="R287" s="516">
        <v>0</v>
      </c>
      <c r="S287" s="628">
        <v>0</v>
      </c>
      <c r="T287" s="517">
        <v>0</v>
      </c>
      <c r="U287" s="628">
        <v>0</v>
      </c>
      <c r="V287" s="444"/>
      <c r="W287" s="446"/>
      <c r="X287" s="425"/>
    </row>
    <row r="288" spans="1:24" s="426" customFormat="1" x14ac:dyDescent="0.3">
      <c r="A288" s="443"/>
      <c r="B288" s="516" t="s">
        <v>91</v>
      </c>
      <c r="C288" s="444"/>
      <c r="D288" s="444"/>
      <c r="E288" s="444"/>
      <c r="F288" s="444"/>
      <c r="G288" s="444"/>
      <c r="H288" s="629"/>
      <c r="I288" s="629"/>
      <c r="J288" s="629"/>
      <c r="K288" s="629"/>
      <c r="L288" s="629"/>
      <c r="M288" s="629"/>
      <c r="N288" s="629"/>
      <c r="O288" s="629"/>
      <c r="P288" s="629"/>
      <c r="Q288" s="629"/>
      <c r="R288" s="516">
        <v>0</v>
      </c>
      <c r="S288" s="628">
        <v>0</v>
      </c>
      <c r="T288" s="517">
        <v>0</v>
      </c>
      <c r="U288" s="628">
        <v>0</v>
      </c>
      <c r="V288" s="444"/>
      <c r="W288" s="446"/>
      <c r="X288" s="425"/>
    </row>
    <row r="289" spans="1:24" s="426" customFormat="1" x14ac:dyDescent="0.3">
      <c r="A289" s="443"/>
      <c r="B289" s="516" t="s">
        <v>159</v>
      </c>
      <c r="C289" s="444"/>
      <c r="D289" s="444"/>
      <c r="E289" s="444"/>
      <c r="F289" s="444"/>
      <c r="G289" s="444"/>
      <c r="H289" s="629"/>
      <c r="I289" s="629"/>
      <c r="J289" s="629"/>
      <c r="K289" s="629"/>
      <c r="L289" s="629"/>
      <c r="M289" s="629"/>
      <c r="N289" s="629"/>
      <c r="O289" s="629"/>
      <c r="P289" s="629"/>
      <c r="Q289" s="629"/>
      <c r="R289" s="516">
        <v>0</v>
      </c>
      <c r="S289" s="628">
        <v>0</v>
      </c>
      <c r="T289" s="517">
        <v>0</v>
      </c>
      <c r="U289" s="628">
        <v>0</v>
      </c>
      <c r="V289" s="444"/>
      <c r="W289" s="446"/>
      <c r="X289" s="425"/>
    </row>
    <row r="290" spans="1:24" s="426" customFormat="1" x14ac:dyDescent="0.3">
      <c r="A290" s="443"/>
      <c r="B290" s="516" t="s">
        <v>160</v>
      </c>
      <c r="C290" s="444"/>
      <c r="D290" s="444"/>
      <c r="E290" s="444"/>
      <c r="F290" s="444"/>
      <c r="G290" s="444"/>
      <c r="H290" s="629"/>
      <c r="I290" s="629"/>
      <c r="J290" s="629"/>
      <c r="K290" s="629"/>
      <c r="L290" s="629"/>
      <c r="M290" s="629"/>
      <c r="N290" s="629"/>
      <c r="O290" s="629"/>
      <c r="P290" s="629"/>
      <c r="Q290" s="629"/>
      <c r="R290" s="516">
        <v>0</v>
      </c>
      <c r="S290" s="628">
        <v>0</v>
      </c>
      <c r="T290" s="517">
        <v>0</v>
      </c>
      <c r="U290" s="628">
        <v>0</v>
      </c>
      <c r="V290" s="444"/>
      <c r="W290" s="446"/>
      <c r="X290" s="425"/>
    </row>
    <row r="291" spans="1:24" s="426" customFormat="1" x14ac:dyDescent="0.3">
      <c r="A291" s="443"/>
      <c r="B291" s="516" t="s">
        <v>161</v>
      </c>
      <c r="C291" s="444"/>
      <c r="D291" s="444"/>
      <c r="E291" s="444"/>
      <c r="F291" s="444"/>
      <c r="G291" s="444"/>
      <c r="H291" s="629"/>
      <c r="I291" s="629"/>
      <c r="J291" s="629"/>
      <c r="K291" s="629"/>
      <c r="L291" s="629"/>
      <c r="M291" s="629"/>
      <c r="N291" s="629"/>
      <c r="O291" s="629"/>
      <c r="P291" s="629"/>
      <c r="Q291" s="629"/>
      <c r="R291" s="516">
        <v>0</v>
      </c>
      <c r="S291" s="628">
        <v>0</v>
      </c>
      <c r="T291" s="517">
        <v>0</v>
      </c>
      <c r="U291" s="628">
        <v>0</v>
      </c>
      <c r="V291" s="444"/>
      <c r="W291" s="446"/>
      <c r="X291" s="425"/>
    </row>
    <row r="292" spans="1:24" s="426" customFormat="1" x14ac:dyDescent="0.3">
      <c r="A292" s="443"/>
      <c r="B292" s="516" t="s">
        <v>162</v>
      </c>
      <c r="C292" s="444"/>
      <c r="D292" s="444"/>
      <c r="E292" s="444"/>
      <c r="F292" s="444"/>
      <c r="G292" s="444"/>
      <c r="H292" s="629"/>
      <c r="I292" s="629"/>
      <c r="J292" s="629"/>
      <c r="K292" s="629"/>
      <c r="L292" s="629"/>
      <c r="M292" s="629"/>
      <c r="N292" s="629"/>
      <c r="O292" s="629"/>
      <c r="P292" s="629"/>
      <c r="Q292" s="629"/>
      <c r="R292" s="516">
        <v>0</v>
      </c>
      <c r="S292" s="628">
        <v>0</v>
      </c>
      <c r="T292" s="517">
        <v>0</v>
      </c>
      <c r="U292" s="628">
        <v>0</v>
      </c>
      <c r="V292" s="444"/>
      <c r="W292" s="446"/>
      <c r="X292" s="425"/>
    </row>
    <row r="293" spans="1:24" s="426" customFormat="1" x14ac:dyDescent="0.3">
      <c r="A293" s="443"/>
      <c r="B293" s="516" t="s">
        <v>163</v>
      </c>
      <c r="C293" s="444"/>
      <c r="D293" s="444"/>
      <c r="E293" s="444"/>
      <c r="F293" s="444"/>
      <c r="G293" s="444"/>
      <c r="H293" s="629"/>
      <c r="I293" s="629"/>
      <c r="J293" s="629"/>
      <c r="K293" s="629"/>
      <c r="L293" s="629"/>
      <c r="M293" s="629"/>
      <c r="N293" s="629"/>
      <c r="O293" s="629"/>
      <c r="P293" s="629"/>
      <c r="Q293" s="629"/>
      <c r="R293" s="516">
        <v>0</v>
      </c>
      <c r="S293" s="628">
        <v>0</v>
      </c>
      <c r="T293" s="517">
        <v>0</v>
      </c>
      <c r="U293" s="628">
        <v>0</v>
      </c>
      <c r="V293" s="444"/>
      <c r="W293" s="446"/>
      <c r="X293" s="425"/>
    </row>
    <row r="294" spans="1:24" s="426" customFormat="1" x14ac:dyDescent="0.3">
      <c r="A294" s="443"/>
      <c r="B294" s="516"/>
      <c r="C294" s="444"/>
      <c r="D294" s="444"/>
      <c r="E294" s="444"/>
      <c r="F294" s="444"/>
      <c r="G294" s="444"/>
      <c r="H294" s="629"/>
      <c r="I294" s="629"/>
      <c r="J294" s="629"/>
      <c r="K294" s="629"/>
      <c r="L294" s="629"/>
      <c r="M294" s="629"/>
      <c r="N294" s="629"/>
      <c r="O294" s="629"/>
      <c r="P294" s="629"/>
      <c r="Q294" s="629"/>
      <c r="R294" s="516"/>
      <c r="S294" s="628"/>
      <c r="T294" s="517"/>
      <c r="U294" s="628"/>
      <c r="V294" s="444"/>
      <c r="W294" s="446"/>
      <c r="X294" s="425"/>
    </row>
    <row r="295" spans="1:24" s="426" customFormat="1" x14ac:dyDescent="0.3">
      <c r="A295" s="443"/>
      <c r="B295" s="444" t="s">
        <v>117</v>
      </c>
      <c r="C295" s="444"/>
      <c r="D295" s="444"/>
      <c r="E295" s="444"/>
      <c r="F295" s="444"/>
      <c r="G295" s="444"/>
      <c r="H295" s="629"/>
      <c r="I295" s="629"/>
      <c r="J295" s="629"/>
      <c r="K295" s="629"/>
      <c r="L295" s="629"/>
      <c r="M295" s="629"/>
      <c r="N295" s="629"/>
      <c r="O295" s="629"/>
      <c r="P295" s="629"/>
      <c r="Q295" s="629"/>
      <c r="R295" s="516">
        <f>SUM(R286:R293)</f>
        <v>0</v>
      </c>
      <c r="S295" s="628">
        <f>SUM(S286:S293)</f>
        <v>0</v>
      </c>
      <c r="T295" s="517">
        <f>SUM(T286:T293)</f>
        <v>0</v>
      </c>
      <c r="U295" s="628">
        <f>SUM(U286:U293)</f>
        <v>0</v>
      </c>
      <c r="V295" s="444"/>
      <c r="W295" s="446"/>
      <c r="X295" s="425"/>
    </row>
    <row r="296" spans="1:24" s="426" customFormat="1" x14ac:dyDescent="0.3">
      <c r="A296" s="443"/>
      <c r="B296" s="444"/>
      <c r="C296" s="444"/>
      <c r="D296" s="444"/>
      <c r="E296" s="444"/>
      <c r="F296" s="444"/>
      <c r="G296" s="444"/>
      <c r="H296" s="629"/>
      <c r="I296" s="629"/>
      <c r="J296" s="629"/>
      <c r="K296" s="629"/>
      <c r="L296" s="629"/>
      <c r="M296" s="629"/>
      <c r="N296" s="629"/>
      <c r="O296" s="629"/>
      <c r="P296" s="629"/>
      <c r="Q296" s="629"/>
      <c r="R296" s="516"/>
      <c r="S296" s="628"/>
      <c r="T296" s="517"/>
      <c r="U296" s="628"/>
      <c r="V296" s="444"/>
      <c r="W296" s="446"/>
      <c r="X296" s="425"/>
    </row>
    <row r="297" spans="1:24" s="426" customFormat="1" x14ac:dyDescent="0.3">
      <c r="A297" s="443"/>
      <c r="B297" s="449" t="s">
        <v>167</v>
      </c>
      <c r="C297" s="444"/>
      <c r="D297" s="444"/>
      <c r="E297" s="444"/>
      <c r="F297" s="444"/>
      <c r="G297" s="444"/>
      <c r="H297" s="629"/>
      <c r="I297" s="629"/>
      <c r="J297" s="629"/>
      <c r="K297" s="629"/>
      <c r="L297" s="629"/>
      <c r="M297" s="629"/>
      <c r="N297" s="629"/>
      <c r="O297" s="629"/>
      <c r="P297" s="629"/>
      <c r="Q297" s="629"/>
      <c r="R297" s="637">
        <f>R295+R273+R261</f>
        <v>0</v>
      </c>
      <c r="S297" s="628"/>
      <c r="T297" s="638">
        <f>+T295+T273+T261</f>
        <v>0</v>
      </c>
      <c r="U297" s="628"/>
      <c r="V297" s="444"/>
      <c r="W297" s="446"/>
      <c r="X297" s="425"/>
    </row>
    <row r="298" spans="1:24" s="426" customFormat="1" x14ac:dyDescent="0.3">
      <c r="A298" s="421"/>
      <c r="B298" s="650"/>
      <c r="C298" s="494"/>
      <c r="D298" s="494"/>
      <c r="E298" s="494"/>
      <c r="F298" s="494"/>
      <c r="G298" s="494"/>
      <c r="H298" s="636"/>
      <c r="I298" s="636"/>
      <c r="J298" s="636"/>
      <c r="K298" s="636"/>
      <c r="L298" s="636"/>
      <c r="M298" s="636"/>
      <c r="N298" s="636"/>
      <c r="O298" s="636"/>
      <c r="P298" s="636"/>
      <c r="Q298" s="636"/>
      <c r="R298" s="651"/>
      <c r="S298" s="630"/>
      <c r="T298" s="652"/>
      <c r="U298" s="630"/>
      <c r="V298" s="494"/>
      <c r="W298" s="424"/>
      <c r="X298" s="425"/>
    </row>
    <row r="299" spans="1:24" s="426" customFormat="1" x14ac:dyDescent="0.3">
      <c r="A299" s="653" t="s">
        <v>390</v>
      </c>
      <c r="B299" s="654" t="s">
        <v>389</v>
      </c>
      <c r="C299" s="655"/>
      <c r="D299" s="655"/>
      <c r="E299" s="655"/>
      <c r="F299" s="655"/>
      <c r="G299" s="655"/>
      <c r="H299" s="656"/>
      <c r="I299" s="656"/>
      <c r="J299" s="656"/>
      <c r="K299" s="656"/>
      <c r="L299" s="656"/>
      <c r="M299" s="656"/>
      <c r="N299" s="656"/>
      <c r="O299" s="635"/>
      <c r="P299" s="635"/>
      <c r="Q299" s="635"/>
      <c r="R299" s="657" t="s">
        <v>103</v>
      </c>
      <c r="S299" s="658" t="s">
        <v>104</v>
      </c>
      <c r="T299" s="657" t="s">
        <v>111</v>
      </c>
      <c r="U299" s="658" t="s">
        <v>104</v>
      </c>
      <c r="V299" s="654" t="s">
        <v>419</v>
      </c>
      <c r="W299" s="538"/>
      <c r="X299" s="425"/>
    </row>
    <row r="300" spans="1:24" s="426" customFormat="1" x14ac:dyDescent="0.3">
      <c r="A300" s="659"/>
      <c r="B300" s="660" t="s">
        <v>89</v>
      </c>
      <c r="C300" s="661"/>
      <c r="D300" s="661"/>
      <c r="E300" s="661"/>
      <c r="F300" s="661"/>
      <c r="G300" s="661"/>
      <c r="H300" s="662"/>
      <c r="I300" s="662"/>
      <c r="J300" s="662"/>
      <c r="K300" s="662"/>
      <c r="L300" s="662"/>
      <c r="M300" s="662"/>
      <c r="N300" s="662"/>
      <c r="O300" s="636"/>
      <c r="P300" s="636"/>
      <c r="Q300" s="636"/>
      <c r="R300" s="660">
        <v>0</v>
      </c>
      <c r="S300" s="663">
        <v>0</v>
      </c>
      <c r="T300" s="664">
        <v>0</v>
      </c>
      <c r="U300" s="663">
        <v>0</v>
      </c>
      <c r="V300" s="494"/>
      <c r="W300" s="424"/>
      <c r="X300" s="425"/>
    </row>
    <row r="301" spans="1:24" s="426" customFormat="1" x14ac:dyDescent="0.3">
      <c r="A301" s="665"/>
      <c r="B301" s="666" t="s">
        <v>90</v>
      </c>
      <c r="C301" s="667"/>
      <c r="D301" s="667"/>
      <c r="E301" s="667"/>
      <c r="F301" s="667"/>
      <c r="G301" s="667"/>
      <c r="H301" s="668"/>
      <c r="I301" s="668"/>
      <c r="J301" s="668"/>
      <c r="K301" s="668"/>
      <c r="L301" s="668"/>
      <c r="M301" s="668"/>
      <c r="N301" s="668"/>
      <c r="O301" s="629"/>
      <c r="P301" s="629"/>
      <c r="Q301" s="629"/>
      <c r="R301" s="666">
        <v>0</v>
      </c>
      <c r="S301" s="672">
        <v>0</v>
      </c>
      <c r="T301" s="670">
        <v>0</v>
      </c>
      <c r="U301" s="669">
        <v>0</v>
      </c>
      <c r="V301" s="444"/>
      <c r="W301" s="446"/>
      <c r="X301" s="425"/>
    </row>
    <row r="302" spans="1:24" s="426" customFormat="1" x14ac:dyDescent="0.3">
      <c r="A302" s="665"/>
      <c r="B302" s="666" t="s">
        <v>91</v>
      </c>
      <c r="C302" s="667"/>
      <c r="D302" s="667"/>
      <c r="E302" s="667"/>
      <c r="F302" s="667"/>
      <c r="G302" s="667"/>
      <c r="H302" s="668"/>
      <c r="I302" s="668"/>
      <c r="J302" s="668"/>
      <c r="K302" s="668"/>
      <c r="L302" s="668"/>
      <c r="M302" s="668"/>
      <c r="N302" s="668"/>
      <c r="O302" s="629"/>
      <c r="P302" s="629"/>
      <c r="Q302" s="629"/>
      <c r="R302" s="666">
        <v>0</v>
      </c>
      <c r="S302" s="672">
        <v>0</v>
      </c>
      <c r="T302" s="670">
        <v>0</v>
      </c>
      <c r="U302" s="669">
        <v>0</v>
      </c>
      <c r="V302" s="444"/>
      <c r="W302" s="446"/>
      <c r="X302" s="425"/>
    </row>
    <row r="303" spans="1:24" s="426" customFormat="1" x14ac:dyDescent="0.3">
      <c r="A303" s="665"/>
      <c r="B303" s="666" t="s">
        <v>159</v>
      </c>
      <c r="C303" s="667"/>
      <c r="D303" s="667"/>
      <c r="E303" s="667"/>
      <c r="F303" s="667"/>
      <c r="G303" s="667"/>
      <c r="H303" s="668"/>
      <c r="I303" s="668"/>
      <c r="J303" s="668"/>
      <c r="K303" s="668"/>
      <c r="L303" s="668"/>
      <c r="M303" s="668"/>
      <c r="N303" s="668"/>
      <c r="O303" s="629"/>
      <c r="P303" s="629"/>
      <c r="Q303" s="629"/>
      <c r="R303" s="666">
        <v>0</v>
      </c>
      <c r="S303" s="672">
        <v>0</v>
      </c>
      <c r="T303" s="670">
        <v>0</v>
      </c>
      <c r="U303" s="669">
        <v>0</v>
      </c>
      <c r="V303" s="444"/>
      <c r="W303" s="446"/>
      <c r="X303" s="425"/>
    </row>
    <row r="304" spans="1:24" s="426" customFormat="1" x14ac:dyDescent="0.3">
      <c r="A304" s="665"/>
      <c r="B304" s="666" t="s">
        <v>160</v>
      </c>
      <c r="C304" s="667"/>
      <c r="D304" s="667"/>
      <c r="E304" s="667"/>
      <c r="F304" s="667"/>
      <c r="G304" s="667"/>
      <c r="H304" s="668"/>
      <c r="I304" s="668"/>
      <c r="J304" s="668"/>
      <c r="K304" s="668"/>
      <c r="L304" s="668"/>
      <c r="M304" s="668"/>
      <c r="N304" s="668"/>
      <c r="O304" s="629"/>
      <c r="P304" s="629"/>
      <c r="Q304" s="629"/>
      <c r="R304" s="666">
        <v>0</v>
      </c>
      <c r="S304" s="672">
        <v>0</v>
      </c>
      <c r="T304" s="670">
        <v>0</v>
      </c>
      <c r="U304" s="669">
        <v>0</v>
      </c>
      <c r="V304" s="444"/>
      <c r="W304" s="446"/>
      <c r="X304" s="425"/>
    </row>
    <row r="305" spans="1:24" s="426" customFormat="1" x14ac:dyDescent="0.3">
      <c r="A305" s="665"/>
      <c r="B305" s="666" t="s">
        <v>161</v>
      </c>
      <c r="C305" s="667"/>
      <c r="D305" s="667"/>
      <c r="E305" s="667"/>
      <c r="F305" s="667"/>
      <c r="G305" s="667"/>
      <c r="H305" s="668"/>
      <c r="I305" s="668"/>
      <c r="J305" s="668"/>
      <c r="K305" s="668"/>
      <c r="L305" s="668"/>
      <c r="M305" s="668"/>
      <c r="N305" s="668"/>
      <c r="O305" s="629"/>
      <c r="P305" s="629"/>
      <c r="Q305" s="629"/>
      <c r="R305" s="666">
        <v>0</v>
      </c>
      <c r="S305" s="672">
        <v>0</v>
      </c>
      <c r="T305" s="670">
        <v>0</v>
      </c>
      <c r="U305" s="669">
        <v>0</v>
      </c>
      <c r="V305" s="444"/>
      <c r="W305" s="446"/>
      <c r="X305" s="425"/>
    </row>
    <row r="306" spans="1:24" s="426" customFormat="1" x14ac:dyDescent="0.3">
      <c r="A306" s="665"/>
      <c r="B306" s="666" t="s">
        <v>162</v>
      </c>
      <c r="C306" s="667"/>
      <c r="D306" s="667"/>
      <c r="E306" s="667"/>
      <c r="F306" s="667"/>
      <c r="G306" s="667"/>
      <c r="H306" s="668"/>
      <c r="I306" s="668"/>
      <c r="J306" s="668"/>
      <c r="K306" s="668"/>
      <c r="L306" s="668"/>
      <c r="M306" s="668"/>
      <c r="N306" s="668"/>
      <c r="O306" s="629"/>
      <c r="P306" s="629"/>
      <c r="Q306" s="629"/>
      <c r="R306" s="666">
        <v>0</v>
      </c>
      <c r="S306" s="672">
        <v>0</v>
      </c>
      <c r="T306" s="670">
        <v>0</v>
      </c>
      <c r="U306" s="669">
        <v>0</v>
      </c>
      <c r="V306" s="444"/>
      <c r="W306" s="446"/>
      <c r="X306" s="425"/>
    </row>
    <row r="307" spans="1:24" s="426" customFormat="1" x14ac:dyDescent="0.3">
      <c r="A307" s="665"/>
      <c r="B307" s="666" t="s">
        <v>163</v>
      </c>
      <c r="C307" s="667"/>
      <c r="D307" s="667"/>
      <c r="E307" s="667"/>
      <c r="F307" s="667"/>
      <c r="G307" s="667"/>
      <c r="H307" s="668"/>
      <c r="I307" s="668"/>
      <c r="J307" s="668"/>
      <c r="K307" s="668"/>
      <c r="L307" s="668"/>
      <c r="M307" s="668"/>
      <c r="N307" s="668"/>
      <c r="O307" s="629"/>
      <c r="P307" s="629"/>
      <c r="Q307" s="629"/>
      <c r="R307" s="666">
        <v>0</v>
      </c>
      <c r="S307" s="663">
        <v>0</v>
      </c>
      <c r="T307" s="670">
        <v>0</v>
      </c>
      <c r="U307" s="669">
        <v>0</v>
      </c>
      <c r="V307" s="444"/>
      <c r="W307" s="446"/>
      <c r="X307" s="425"/>
    </row>
    <row r="308" spans="1:24" s="426" customFormat="1" x14ac:dyDescent="0.3">
      <c r="A308" s="665"/>
      <c r="B308" s="666"/>
      <c r="C308" s="667"/>
      <c r="D308" s="667"/>
      <c r="E308" s="667"/>
      <c r="F308" s="667"/>
      <c r="G308" s="667"/>
      <c r="H308" s="668"/>
      <c r="I308" s="668"/>
      <c r="J308" s="668"/>
      <c r="K308" s="668"/>
      <c r="L308" s="668"/>
      <c r="M308" s="668"/>
      <c r="N308" s="668"/>
      <c r="O308" s="629"/>
      <c r="P308" s="629"/>
      <c r="Q308" s="629"/>
      <c r="R308" s="666"/>
      <c r="S308" s="669"/>
      <c r="T308" s="670"/>
      <c r="U308" s="669"/>
      <c r="V308" s="444"/>
      <c r="W308" s="446"/>
      <c r="X308" s="425"/>
    </row>
    <row r="309" spans="1:24" s="426" customFormat="1" x14ac:dyDescent="0.3">
      <c r="A309" s="665"/>
      <c r="B309" s="667" t="s">
        <v>117</v>
      </c>
      <c r="C309" s="667"/>
      <c r="D309" s="667"/>
      <c r="E309" s="667"/>
      <c r="F309" s="667"/>
      <c r="G309" s="667"/>
      <c r="H309" s="668"/>
      <c r="I309" s="668"/>
      <c r="J309" s="668"/>
      <c r="K309" s="668"/>
      <c r="L309" s="668"/>
      <c r="M309" s="668"/>
      <c r="N309" s="668"/>
      <c r="O309" s="629"/>
      <c r="P309" s="629"/>
      <c r="Q309" s="629"/>
      <c r="R309" s="666">
        <f>SUM(R300:R307)</f>
        <v>0</v>
      </c>
      <c r="S309" s="669">
        <f>SUM(S300:S308)</f>
        <v>0</v>
      </c>
      <c r="T309" s="670">
        <f>SUM(T300:T307)</f>
        <v>0</v>
      </c>
      <c r="U309" s="669">
        <f>SUM(U300:U308)</f>
        <v>0</v>
      </c>
      <c r="V309" s="444"/>
      <c r="W309" s="446"/>
      <c r="X309" s="425"/>
    </row>
    <row r="310" spans="1:24" s="426" customFormat="1" ht="16.2" thickBot="1" x14ac:dyDescent="0.35">
      <c r="A310" s="665"/>
      <c r="B310" s="667" t="s">
        <v>411</v>
      </c>
      <c r="C310" s="667"/>
      <c r="D310" s="667"/>
      <c r="E310" s="667"/>
      <c r="F310" s="667"/>
      <c r="G310" s="667"/>
      <c r="H310" s="668"/>
      <c r="I310" s="668"/>
      <c r="J310" s="668"/>
      <c r="K310" s="668"/>
      <c r="L310" s="668"/>
      <c r="M310" s="668"/>
      <c r="N310" s="668"/>
      <c r="O310" s="629"/>
      <c r="P310" s="629"/>
      <c r="Q310" s="629"/>
      <c r="R310" s="683"/>
      <c r="S310" s="684">
        <v>0</v>
      </c>
      <c r="T310" s="685"/>
      <c r="U310" s="684">
        <v>0</v>
      </c>
      <c r="V310" s="686"/>
      <c r="W310" s="446"/>
      <c r="X310" s="425"/>
    </row>
    <row r="311" spans="1:24" s="426" customFormat="1" ht="16.2" thickTop="1" x14ac:dyDescent="0.3">
      <c r="A311" s="665"/>
      <c r="B311" s="667" t="s">
        <v>420</v>
      </c>
      <c r="C311" s="667"/>
      <c r="D311" s="667"/>
      <c r="E311" s="667"/>
      <c r="F311" s="667"/>
      <c r="G311" s="667"/>
      <c r="H311" s="668"/>
      <c r="I311" s="668"/>
      <c r="J311" s="668"/>
      <c r="K311" s="668"/>
      <c r="L311" s="668"/>
      <c r="M311" s="668"/>
      <c r="N311" s="668"/>
      <c r="O311" s="629"/>
      <c r="P311" s="629"/>
      <c r="Q311" s="629"/>
      <c r="R311" s="687">
        <v>0</v>
      </c>
      <c r="S311" s="688">
        <v>0</v>
      </c>
      <c r="T311" s="689">
        <v>0</v>
      </c>
      <c r="U311" s="688">
        <v>0</v>
      </c>
      <c r="V311" s="690">
        <v>0</v>
      </c>
      <c r="W311" s="446"/>
      <c r="X311" s="425"/>
    </row>
    <row r="312" spans="1:24" s="426" customFormat="1" ht="16.2" thickBot="1" x14ac:dyDescent="0.35">
      <c r="A312" s="665"/>
      <c r="B312" s="667" t="s">
        <v>421</v>
      </c>
      <c r="C312" s="667"/>
      <c r="D312" s="667"/>
      <c r="E312" s="667"/>
      <c r="F312" s="667"/>
      <c r="G312" s="667"/>
      <c r="H312" s="668"/>
      <c r="I312" s="668"/>
      <c r="J312" s="668"/>
      <c r="K312" s="668"/>
      <c r="L312" s="668"/>
      <c r="M312" s="668"/>
      <c r="N312" s="668"/>
      <c r="O312" s="629"/>
      <c r="P312" s="629"/>
      <c r="Q312" s="629"/>
      <c r="R312" s="691">
        <v>0</v>
      </c>
      <c r="S312" s="692">
        <v>0</v>
      </c>
      <c r="T312" s="693">
        <v>0</v>
      </c>
      <c r="U312" s="692">
        <v>0</v>
      </c>
      <c r="V312" s="694">
        <v>0</v>
      </c>
      <c r="W312" s="446"/>
      <c r="X312" s="425"/>
    </row>
    <row r="313" spans="1:24" s="426" customFormat="1" ht="16.2" thickTop="1" x14ac:dyDescent="0.3">
      <c r="A313" s="421"/>
      <c r="B313" s="494"/>
      <c r="C313" s="494"/>
      <c r="D313" s="494"/>
      <c r="E313" s="494"/>
      <c r="F313" s="494"/>
      <c r="G313" s="494"/>
      <c r="H313" s="636"/>
      <c r="I313" s="636"/>
      <c r="J313" s="636"/>
      <c r="K313" s="636"/>
      <c r="L313" s="636"/>
      <c r="M313" s="636"/>
      <c r="N313" s="636"/>
      <c r="O313" s="671"/>
      <c r="P313" s="671"/>
      <c r="Q313" s="636"/>
      <c r="R313" s="636"/>
      <c r="S313" s="636"/>
      <c r="T313" s="631"/>
      <c r="U313" s="636"/>
      <c r="V313" s="494"/>
      <c r="W313" s="424"/>
      <c r="X313" s="425"/>
    </row>
    <row r="314" spans="1:24" s="426" customFormat="1" x14ac:dyDescent="0.3">
      <c r="A314" s="421"/>
      <c r="B314" s="420" t="s">
        <v>92</v>
      </c>
      <c r="C314" s="422"/>
      <c r="D314" s="422"/>
      <c r="E314" s="422"/>
      <c r="F314" s="429" t="s">
        <v>98</v>
      </c>
      <c r="G314" s="422"/>
      <c r="H314" s="420" t="s">
        <v>100</v>
      </c>
      <c r="I314" s="420"/>
      <c r="J314" s="420"/>
      <c r="K314" s="422"/>
      <c r="L314" s="422"/>
      <c r="M314" s="422"/>
      <c r="N314" s="422"/>
      <c r="O314" s="422"/>
      <c r="P314" s="422"/>
      <c r="Q314" s="422"/>
      <c r="R314" s="422"/>
      <c r="S314" s="422"/>
      <c r="T314" s="422"/>
      <c r="U314" s="422"/>
      <c r="V314" s="422"/>
      <c r="W314" s="424"/>
      <c r="X314" s="425"/>
    </row>
    <row r="315" spans="1:24" s="426" customFormat="1" x14ac:dyDescent="0.3">
      <c r="A315" s="421"/>
      <c r="B315" s="420" t="s">
        <v>336</v>
      </c>
      <c r="C315" s="420"/>
      <c r="D315" s="420"/>
      <c r="E315" s="420"/>
      <c r="F315" s="641" t="s">
        <v>282</v>
      </c>
      <c r="G315" s="420"/>
      <c r="H315" s="420" t="s">
        <v>371</v>
      </c>
      <c r="I315" s="422"/>
      <c r="J315" s="420"/>
      <c r="K315" s="422"/>
      <c r="L315" s="422"/>
      <c r="M315" s="422"/>
      <c r="N315" s="422"/>
      <c r="O315" s="422"/>
      <c r="P315" s="422"/>
      <c r="Q315" s="422"/>
      <c r="R315" s="422"/>
      <c r="S315" s="422"/>
      <c r="T315" s="422"/>
      <c r="U315" s="422"/>
      <c r="V315" s="422"/>
      <c r="W315" s="424"/>
      <c r="X315" s="425"/>
    </row>
    <row r="316" spans="1:24" s="426" customFormat="1" x14ac:dyDescent="0.3">
      <c r="A316" s="421"/>
      <c r="B316" s="420" t="s">
        <v>337</v>
      </c>
      <c r="C316" s="420"/>
      <c r="D316" s="420"/>
      <c r="E316" s="420"/>
      <c r="F316" s="641" t="s">
        <v>150</v>
      </c>
      <c r="G316" s="420"/>
      <c r="H316" s="420" t="s">
        <v>372</v>
      </c>
      <c r="I316" s="420"/>
      <c r="J316" s="420"/>
      <c r="K316" s="422"/>
      <c r="L316" s="422"/>
      <c r="M316" s="422"/>
      <c r="N316" s="422"/>
      <c r="O316" s="422"/>
      <c r="P316" s="422"/>
      <c r="Q316" s="422"/>
      <c r="R316" s="422"/>
      <c r="S316" s="422"/>
      <c r="T316" s="422"/>
      <c r="U316" s="422"/>
      <c r="V316" s="422"/>
      <c r="W316" s="424"/>
      <c r="X316" s="425"/>
    </row>
    <row r="317" spans="1:24" s="426" customFormat="1" x14ac:dyDescent="0.3">
      <c r="A317" s="421"/>
      <c r="B317" s="420"/>
      <c r="C317" s="420"/>
      <c r="D317" s="420"/>
      <c r="E317" s="420"/>
      <c r="F317" s="641"/>
      <c r="G317" s="420"/>
      <c r="H317" s="420"/>
      <c r="I317" s="420"/>
      <c r="J317" s="420"/>
      <c r="K317" s="422"/>
      <c r="L317" s="422"/>
      <c r="M317" s="422"/>
      <c r="N317" s="422"/>
      <c r="O317" s="422"/>
      <c r="P317" s="422"/>
      <c r="Q317" s="422"/>
      <c r="R317" s="422"/>
      <c r="S317" s="422"/>
      <c r="T317" s="422"/>
      <c r="U317" s="422"/>
      <c r="V317" s="422"/>
      <c r="W317" s="424"/>
      <c r="X317" s="425"/>
    </row>
    <row r="318" spans="1:24" s="426" customFormat="1" x14ac:dyDescent="0.3">
      <c r="A318" s="421"/>
      <c r="B318" s="494" t="s">
        <v>367</v>
      </c>
      <c r="C318" s="420"/>
      <c r="D318" s="420"/>
      <c r="E318" s="420"/>
      <c r="F318" s="641"/>
      <c r="G318" s="420"/>
      <c r="H318" s="420"/>
      <c r="I318" s="420"/>
      <c r="J318" s="420"/>
      <c r="K318" s="422"/>
      <c r="L318" s="422"/>
      <c r="M318" s="422"/>
      <c r="N318" s="422"/>
      <c r="O318" s="422"/>
      <c r="P318" s="422"/>
      <c r="Q318" s="422"/>
      <c r="R318" s="422"/>
      <c r="S318" s="422"/>
      <c r="T318" s="422"/>
      <c r="U318" s="422"/>
      <c r="V318" s="422"/>
      <c r="W318" s="424"/>
      <c r="X318" s="425"/>
    </row>
    <row r="319" spans="1:24" s="426" customFormat="1" x14ac:dyDescent="0.3">
      <c r="A319" s="421"/>
      <c r="B319" s="494" t="s">
        <v>373</v>
      </c>
      <c r="C319" s="420"/>
      <c r="D319" s="420"/>
      <c r="E319" s="420"/>
      <c r="F319" s="641"/>
      <c r="G319" s="420"/>
      <c r="H319" s="420"/>
      <c r="I319" s="420"/>
      <c r="J319" s="420"/>
      <c r="K319" s="422"/>
      <c r="L319" s="422"/>
      <c r="M319" s="422"/>
      <c r="N319" s="422"/>
      <c r="O319" s="422"/>
      <c r="P319" s="422"/>
      <c r="Q319" s="422"/>
      <c r="R319" s="422"/>
      <c r="S319" s="422"/>
      <c r="T319" s="422"/>
      <c r="U319" s="422"/>
      <c r="V319" s="422"/>
      <c r="W319" s="424"/>
      <c r="X319" s="425"/>
    </row>
    <row r="320" spans="1:24" s="426" customFormat="1" x14ac:dyDescent="0.3">
      <c r="A320" s="421"/>
      <c r="B320" s="494" t="s">
        <v>365</v>
      </c>
      <c r="C320" s="420"/>
      <c r="D320" s="420"/>
      <c r="E320" s="420"/>
      <c r="F320" s="641"/>
      <c r="G320" s="420"/>
      <c r="H320" s="420"/>
      <c r="I320" s="420"/>
      <c r="J320" s="420"/>
      <c r="K320" s="422"/>
      <c r="L320" s="422"/>
      <c r="M320" s="422"/>
      <c r="N320" s="422"/>
      <c r="O320" s="422"/>
      <c r="P320" s="422"/>
      <c r="Q320" s="422"/>
      <c r="R320" s="422"/>
      <c r="S320" s="422"/>
      <c r="T320" s="422"/>
      <c r="U320" s="422"/>
      <c r="V320" s="422"/>
      <c r="W320" s="424"/>
      <c r="X320" s="425"/>
    </row>
    <row r="321" spans="1:24" s="426" customFormat="1" x14ac:dyDescent="0.3">
      <c r="A321" s="421"/>
      <c r="B321" s="494" t="s">
        <v>366</v>
      </c>
      <c r="C321" s="420"/>
      <c r="D321" s="420"/>
      <c r="E321" s="420"/>
      <c r="F321" s="641"/>
      <c r="G321" s="420"/>
      <c r="H321" s="420"/>
      <c r="I321" s="420"/>
      <c r="J321" s="420"/>
      <c r="K321" s="422"/>
      <c r="L321" s="422"/>
      <c r="M321" s="422"/>
      <c r="N321" s="422"/>
      <c r="O321" s="422"/>
      <c r="P321" s="422"/>
      <c r="Q321" s="422"/>
      <c r="R321" s="422"/>
      <c r="S321" s="422"/>
      <c r="T321" s="422"/>
      <c r="U321" s="422"/>
      <c r="V321" s="422"/>
      <c r="W321" s="424"/>
      <c r="X321" s="425"/>
    </row>
    <row r="322" spans="1:24" s="426" customFormat="1" x14ac:dyDescent="0.3">
      <c r="A322" s="421"/>
      <c r="B322" s="494"/>
      <c r="C322" s="420"/>
      <c r="D322" s="420"/>
      <c r="E322" s="420"/>
      <c r="F322" s="641"/>
      <c r="G322" s="420"/>
      <c r="H322" s="420"/>
      <c r="I322" s="420"/>
      <c r="J322" s="420"/>
      <c r="K322" s="422"/>
      <c r="L322" s="422"/>
      <c r="M322" s="422"/>
      <c r="N322" s="422"/>
      <c r="O322" s="422"/>
      <c r="P322" s="422"/>
      <c r="Q322" s="422"/>
      <c r="R322" s="422"/>
      <c r="S322" s="422"/>
      <c r="T322" s="422"/>
      <c r="U322" s="422"/>
      <c r="V322" s="422"/>
      <c r="W322" s="424"/>
      <c r="X322" s="425"/>
    </row>
    <row r="323" spans="1:24" s="426" customFormat="1" x14ac:dyDescent="0.3">
      <c r="A323" s="421"/>
      <c r="B323" s="494" t="s">
        <v>418</v>
      </c>
      <c r="C323" s="420"/>
      <c r="D323" s="420"/>
      <c r="E323" s="420"/>
      <c r="F323" s="641"/>
      <c r="G323" s="420"/>
      <c r="H323" s="420"/>
      <c r="I323" s="420"/>
      <c r="J323" s="420"/>
      <c r="K323" s="422"/>
      <c r="L323" s="422"/>
      <c r="M323" s="422"/>
      <c r="N323" s="422"/>
      <c r="O323" s="422"/>
      <c r="P323" s="422"/>
      <c r="Q323" s="422"/>
      <c r="R323" s="422"/>
      <c r="S323" s="422"/>
      <c r="T323" s="422"/>
      <c r="U323" s="422"/>
      <c r="V323" s="422"/>
      <c r="W323" s="424"/>
      <c r="X323" s="425"/>
    </row>
    <row r="324" spans="1:24" x14ac:dyDescent="0.3">
      <c r="A324" s="408"/>
      <c r="B324" s="642"/>
      <c r="C324" s="642"/>
      <c r="D324" s="642"/>
      <c r="E324" s="642"/>
      <c r="F324" s="643"/>
      <c r="G324" s="642"/>
      <c r="H324" s="642"/>
      <c r="I324" s="642"/>
      <c r="J324" s="642"/>
      <c r="K324" s="531"/>
      <c r="L324" s="531"/>
      <c r="M324" s="531"/>
      <c r="N324" s="531"/>
      <c r="O324" s="531"/>
      <c r="P324" s="531"/>
      <c r="Q324" s="531"/>
      <c r="R324" s="531"/>
      <c r="S324" s="531"/>
      <c r="T324" s="531"/>
      <c r="U324" s="531"/>
      <c r="V324" s="531"/>
      <c r="W324" s="532"/>
      <c r="X324" s="406"/>
    </row>
    <row r="325" spans="1:24" ht="18" x14ac:dyDescent="0.35">
      <c r="A325" s="408"/>
      <c r="B325" s="644" t="s">
        <v>368</v>
      </c>
      <c r="C325" s="642"/>
      <c r="D325" s="642"/>
      <c r="E325" s="642"/>
      <c r="F325" s="642"/>
      <c r="G325" s="642"/>
      <c r="H325" s="531"/>
      <c r="I325" s="531"/>
      <c r="J325" s="531"/>
      <c r="K325" s="531"/>
      <c r="L325" s="410"/>
      <c r="M325" s="410"/>
      <c r="N325" s="645"/>
      <c r="O325" s="410"/>
      <c r="P325" s="646" t="s">
        <v>370</v>
      </c>
      <c r="Q325" s="531"/>
      <c r="R325" s="531"/>
      <c r="S325" s="531"/>
      <c r="T325" s="531"/>
      <c r="U325" s="531"/>
      <c r="V325" s="531"/>
      <c r="W325" s="532"/>
      <c r="X325" s="406"/>
    </row>
    <row r="326" spans="1:24" x14ac:dyDescent="0.3">
      <c r="A326" s="408"/>
      <c r="B326" s="642"/>
      <c r="C326" s="642"/>
      <c r="D326" s="642"/>
      <c r="E326" s="642"/>
      <c r="F326" s="642"/>
      <c r="G326" s="642"/>
      <c r="H326" s="531"/>
      <c r="I326" s="531"/>
      <c r="J326" s="531"/>
      <c r="K326" s="531"/>
      <c r="L326" s="531"/>
      <c r="M326" s="531"/>
      <c r="N326" s="531"/>
      <c r="O326" s="531"/>
      <c r="P326" s="531"/>
      <c r="Q326" s="531"/>
      <c r="R326" s="531"/>
      <c r="S326" s="531"/>
      <c r="T326" s="531"/>
      <c r="U326" s="531"/>
      <c r="V326" s="531"/>
      <c r="W326" s="532"/>
      <c r="X326" s="406"/>
    </row>
    <row r="327" spans="1:24" ht="18.600000000000001" thickBot="1" x14ac:dyDescent="0.4">
      <c r="A327" s="408"/>
      <c r="B327" s="647" t="str">
        <f>B201</f>
        <v>PM13 INVESTOR REPORT QUARTER ENDING MARCH 2021</v>
      </c>
      <c r="C327" s="642"/>
      <c r="D327" s="642"/>
      <c r="E327" s="642"/>
      <c r="F327" s="642"/>
      <c r="G327" s="642"/>
      <c r="H327" s="531"/>
      <c r="I327" s="531"/>
      <c r="J327" s="531"/>
      <c r="K327" s="531"/>
      <c r="L327" s="531"/>
      <c r="M327" s="531"/>
      <c r="N327" s="531"/>
      <c r="O327" s="531"/>
      <c r="P327" s="531"/>
      <c r="Q327" s="531"/>
      <c r="R327" s="531"/>
      <c r="S327" s="531"/>
      <c r="T327" s="531"/>
      <c r="U327" s="531"/>
      <c r="V327" s="531"/>
      <c r="W327" s="648"/>
      <c r="X327" s="406"/>
    </row>
    <row r="328" spans="1:24" x14ac:dyDescent="0.3">
      <c r="A328" s="649"/>
      <c r="B328" s="649"/>
      <c r="C328" s="649"/>
      <c r="D328" s="649"/>
      <c r="E328" s="649"/>
      <c r="F328" s="649"/>
      <c r="G328" s="649"/>
      <c r="H328" s="649"/>
      <c r="I328" s="649"/>
      <c r="J328" s="649"/>
      <c r="K328" s="649"/>
      <c r="L328" s="649"/>
      <c r="M328" s="649"/>
      <c r="N328" s="649"/>
      <c r="O328" s="649"/>
      <c r="P328" s="649"/>
      <c r="Q328" s="649"/>
      <c r="R328" s="649"/>
      <c r="S328" s="649"/>
      <c r="T328" s="649"/>
      <c r="U328" s="649"/>
      <c r="V328" s="649"/>
      <c r="W328" s="649"/>
    </row>
    <row r="329" spans="1:24" x14ac:dyDescent="0.3">
      <c r="B329" s="673" t="s">
        <v>393</v>
      </c>
      <c r="C329" s="674"/>
      <c r="D329" s="674"/>
      <c r="E329" s="674"/>
      <c r="F329" s="674"/>
      <c r="G329" s="674"/>
      <c r="H329" s="674"/>
      <c r="I329" s="674"/>
      <c r="J329" s="674"/>
      <c r="K329" s="674"/>
      <c r="L329" s="674"/>
      <c r="M329" s="674"/>
      <c r="N329" s="674"/>
      <c r="O329" s="674"/>
      <c r="P329" s="674"/>
      <c r="Q329" s="674"/>
    </row>
    <row r="330" spans="1:24" x14ac:dyDescent="0.3">
      <c r="B330" s="674" t="s">
        <v>394</v>
      </c>
      <c r="C330" s="674"/>
      <c r="D330" s="674"/>
      <c r="E330" s="674"/>
      <c r="F330" s="674"/>
      <c r="G330" s="674"/>
      <c r="H330" s="674"/>
      <c r="I330" s="674"/>
      <c r="J330" s="674"/>
      <c r="K330" s="674"/>
      <c r="L330" s="674"/>
      <c r="M330" s="674"/>
      <c r="N330" s="674"/>
      <c r="O330" s="674"/>
      <c r="P330" s="674"/>
      <c r="Q330" s="674"/>
    </row>
    <row r="331" spans="1:24" x14ac:dyDescent="0.3">
      <c r="B331" s="674" t="s">
        <v>395</v>
      </c>
      <c r="C331" s="674"/>
      <c r="D331" s="674"/>
      <c r="E331" s="674"/>
      <c r="F331" s="674"/>
      <c r="G331" s="674"/>
      <c r="H331" s="674"/>
      <c r="I331" s="674"/>
      <c r="J331" s="674"/>
      <c r="K331" s="674"/>
      <c r="L331" s="674"/>
      <c r="M331" s="674"/>
      <c r="N331" s="674"/>
      <c r="O331" s="674"/>
      <c r="P331" s="674"/>
      <c r="Q331" s="674"/>
    </row>
    <row r="332" spans="1:24" x14ac:dyDescent="0.3">
      <c r="B332" s="674" t="s">
        <v>396</v>
      </c>
      <c r="C332" s="674"/>
      <c r="D332" s="674"/>
      <c r="E332" s="674"/>
      <c r="F332" s="674"/>
      <c r="G332" s="674"/>
      <c r="H332" s="674"/>
      <c r="I332" s="674"/>
      <c r="J332" s="674"/>
      <c r="K332" s="674"/>
      <c r="L332" s="674"/>
      <c r="M332" s="674"/>
      <c r="N332" s="674"/>
      <c r="O332" s="674"/>
      <c r="P332" s="674"/>
      <c r="Q332" s="674"/>
    </row>
    <row r="333" spans="1:24" x14ac:dyDescent="0.3">
      <c r="B333" s="674" t="s">
        <v>397</v>
      </c>
      <c r="C333" s="674"/>
      <c r="D333" s="674"/>
      <c r="E333" s="674"/>
      <c r="F333" s="674"/>
      <c r="G333" s="674"/>
      <c r="H333" s="674"/>
      <c r="I333" s="674"/>
      <c r="J333" s="674"/>
      <c r="K333" s="674"/>
      <c r="L333" s="674"/>
      <c r="M333" s="674"/>
      <c r="N333" s="674"/>
      <c r="O333" s="674"/>
      <c r="P333" s="674"/>
      <c r="Q333" s="674"/>
    </row>
    <row r="334" spans="1:24" x14ac:dyDescent="0.3">
      <c r="B334" s="674" t="s">
        <v>398</v>
      </c>
      <c r="C334" s="674"/>
      <c r="D334" s="674"/>
      <c r="E334" s="674"/>
      <c r="F334" s="674"/>
      <c r="G334" s="674"/>
      <c r="H334" s="674"/>
      <c r="I334" s="674"/>
      <c r="J334" s="674"/>
      <c r="K334" s="674"/>
      <c r="L334" s="674"/>
      <c r="M334" s="674"/>
      <c r="N334" s="674"/>
      <c r="O334" s="674"/>
      <c r="P334" s="674"/>
      <c r="Q334" s="674"/>
    </row>
    <row r="335" spans="1:24" x14ac:dyDescent="0.3">
      <c r="B335" s="674" t="s">
        <v>399</v>
      </c>
      <c r="C335" s="674"/>
      <c r="D335" s="674"/>
      <c r="E335" s="674"/>
      <c r="F335" s="674"/>
      <c r="G335" s="674"/>
      <c r="H335" s="674"/>
      <c r="I335" s="674"/>
      <c r="J335" s="674"/>
      <c r="K335" s="674"/>
      <c r="L335" s="674"/>
      <c r="M335" s="674"/>
      <c r="N335" s="674"/>
      <c r="O335" s="674"/>
      <c r="P335" s="674"/>
      <c r="Q335" s="674"/>
    </row>
    <row r="336" spans="1:24" x14ac:dyDescent="0.3">
      <c r="B336" s="674" t="s">
        <v>400</v>
      </c>
      <c r="C336" s="674"/>
      <c r="D336" s="674"/>
      <c r="E336" s="674"/>
      <c r="F336" s="674"/>
      <c r="G336" s="674"/>
      <c r="H336" s="674"/>
      <c r="I336" s="674"/>
      <c r="J336" s="674"/>
      <c r="K336" s="674"/>
      <c r="L336" s="674"/>
      <c r="M336" s="674"/>
      <c r="N336" s="674"/>
      <c r="O336" s="674"/>
      <c r="P336" s="674"/>
      <c r="Q336" s="674"/>
    </row>
    <row r="337" spans="2:17" x14ac:dyDescent="0.3">
      <c r="B337" s="674"/>
      <c r="C337" s="674"/>
      <c r="D337" s="674"/>
      <c r="E337" s="674"/>
      <c r="F337" s="674"/>
      <c r="G337" s="674"/>
      <c r="H337" s="674"/>
      <c r="I337" s="674"/>
      <c r="J337" s="674"/>
      <c r="K337" s="674"/>
      <c r="L337" s="674"/>
      <c r="M337" s="674"/>
      <c r="N337" s="674"/>
      <c r="O337" s="674"/>
      <c r="P337" s="674"/>
      <c r="Q337" s="674"/>
    </row>
    <row r="338" spans="2:17" x14ac:dyDescent="0.3">
      <c r="B338" s="673" t="s">
        <v>412</v>
      </c>
      <c r="C338" s="674"/>
      <c r="D338" s="674"/>
      <c r="E338" s="674"/>
      <c r="F338" s="674"/>
      <c r="G338" s="674"/>
      <c r="H338" s="674"/>
      <c r="I338" s="674"/>
      <c r="J338" s="674"/>
      <c r="K338" s="674"/>
      <c r="L338" s="674"/>
      <c r="M338" s="674"/>
      <c r="N338" s="674"/>
      <c r="O338" s="674"/>
      <c r="P338" s="674"/>
      <c r="Q338" s="674"/>
    </row>
    <row r="339" spans="2:17" x14ac:dyDescent="0.3">
      <c r="B339" s="674" t="s">
        <v>424</v>
      </c>
      <c r="C339" s="674"/>
      <c r="D339" s="674"/>
      <c r="E339" s="674"/>
      <c r="F339" s="674"/>
      <c r="G339" s="674"/>
      <c r="H339" s="674"/>
      <c r="I339" s="674"/>
      <c r="J339" s="674"/>
      <c r="K339" s="674"/>
      <c r="L339" s="674"/>
      <c r="M339" s="674"/>
      <c r="N339" s="674"/>
      <c r="O339" s="674"/>
      <c r="P339" s="674"/>
      <c r="Q339" s="674"/>
    </row>
    <row r="340" spans="2:17" x14ac:dyDescent="0.3">
      <c r="B340" s="674" t="s">
        <v>429</v>
      </c>
      <c r="C340" s="674"/>
      <c r="D340" s="674"/>
      <c r="E340" s="674"/>
      <c r="F340" s="674"/>
      <c r="G340" s="674"/>
      <c r="H340" s="674"/>
      <c r="I340" s="674"/>
      <c r="J340" s="674"/>
      <c r="K340" s="674"/>
      <c r="L340" s="674"/>
      <c r="M340" s="674"/>
      <c r="N340" s="674"/>
      <c r="O340" s="674"/>
      <c r="P340" s="674"/>
      <c r="Q340" s="674"/>
    </row>
    <row r="341" spans="2:17" x14ac:dyDescent="0.3">
      <c r="B341" s="674"/>
      <c r="C341" s="674"/>
      <c r="D341" s="674"/>
      <c r="E341" s="674"/>
      <c r="F341" s="674"/>
      <c r="G341" s="674"/>
      <c r="H341" s="674"/>
      <c r="I341" s="674"/>
      <c r="J341" s="674"/>
      <c r="K341" s="674"/>
      <c r="L341" s="674"/>
      <c r="M341" s="674"/>
      <c r="N341" s="674"/>
      <c r="O341" s="674"/>
      <c r="P341" s="674"/>
      <c r="Q341" s="674"/>
    </row>
    <row r="342" spans="2:17" x14ac:dyDescent="0.3">
      <c r="B342" s="673" t="s">
        <v>401</v>
      </c>
      <c r="C342" s="674"/>
      <c r="D342" s="674"/>
      <c r="E342" s="674"/>
      <c r="F342" s="674"/>
      <c r="G342" s="674"/>
      <c r="H342" s="674"/>
      <c r="I342" s="674"/>
      <c r="J342" s="674"/>
      <c r="K342" s="674"/>
      <c r="L342" s="674"/>
      <c r="M342" s="674"/>
      <c r="N342" s="674"/>
      <c r="O342" s="674"/>
      <c r="P342" s="674"/>
      <c r="Q342" s="674"/>
    </row>
    <row r="343" spans="2:17" x14ac:dyDescent="0.3">
      <c r="B343" s="674" t="s">
        <v>402</v>
      </c>
      <c r="C343" s="674"/>
      <c r="D343" s="674"/>
      <c r="E343" s="674"/>
      <c r="F343" s="674"/>
      <c r="G343" s="674"/>
      <c r="H343" s="674"/>
      <c r="I343" s="674"/>
      <c r="J343" s="674"/>
      <c r="K343" s="674"/>
      <c r="L343" s="674"/>
      <c r="M343" s="674"/>
      <c r="N343" s="674"/>
      <c r="O343" s="674"/>
      <c r="P343" s="674"/>
      <c r="Q343" s="674"/>
    </row>
    <row r="344" spans="2:17" x14ac:dyDescent="0.3">
      <c r="B344" s="674" t="s">
        <v>403</v>
      </c>
      <c r="C344" s="674"/>
      <c r="D344" s="674"/>
      <c r="E344" s="674"/>
      <c r="F344" s="674"/>
      <c r="G344" s="674"/>
      <c r="H344" s="674"/>
      <c r="I344" s="674"/>
      <c r="J344" s="674"/>
      <c r="K344" s="674"/>
      <c r="L344" s="674"/>
      <c r="M344" s="674"/>
      <c r="N344" s="674"/>
      <c r="O344" s="674"/>
      <c r="P344" s="674"/>
      <c r="Q344" s="674"/>
    </row>
  </sheetData>
  <hyperlinks>
    <hyperlink ref="P237" r:id="rId1" display="http://www.paragon-group.co.uk" xr:uid="{E052FF87-6D4B-4949-8249-419CCA4149FF}"/>
    <hyperlink ref="I9" r:id="rId2" display="http://www.paragon-group.co.uk" xr:uid="{43D4FCF5-6F19-4B56-9F58-A69AB0931ADB}"/>
    <hyperlink ref="P325" r:id="rId3" display="http://www.paragon-group.co.uk" xr:uid="{AEF21D95-D7DA-400A-83D3-BE7AA0575AAC}"/>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2" man="1"/>
    <brk id="141" max="22" man="1"/>
    <brk id="201" max="22" man="1"/>
  </rowBreaks>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D2926"/>
  </sheetPr>
  <dimension ref="A1:Z28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238</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239</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140</v>
      </c>
      <c r="C5" s="8"/>
      <c r="D5" s="8"/>
      <c r="E5" s="8"/>
      <c r="F5" s="8"/>
      <c r="G5" s="8"/>
      <c r="H5" s="8"/>
      <c r="I5" s="8"/>
      <c r="J5" s="8"/>
      <c r="K5" s="8"/>
      <c r="L5" s="8"/>
      <c r="M5" s="8"/>
      <c r="N5" s="8"/>
      <c r="O5" s="8"/>
      <c r="P5" s="8"/>
      <c r="Q5" s="8"/>
      <c r="R5" s="8"/>
      <c r="S5" s="8"/>
      <c r="T5" s="8"/>
      <c r="U5" s="8"/>
      <c r="V5" s="8"/>
      <c r="W5" s="8"/>
      <c r="X5" s="5"/>
    </row>
    <row r="6" spans="1:24" ht="15.6" x14ac:dyDescent="0.3">
      <c r="A6" s="6"/>
      <c r="B6" s="11" t="s">
        <v>142</v>
      </c>
      <c r="C6" s="8"/>
      <c r="D6" s="8"/>
      <c r="E6" s="8"/>
      <c r="F6" s="8"/>
      <c r="G6" s="8"/>
      <c r="H6" s="8"/>
      <c r="I6" s="8"/>
      <c r="J6" s="8"/>
      <c r="K6" s="8"/>
      <c r="L6" s="8"/>
      <c r="M6" s="8"/>
      <c r="N6" s="8"/>
      <c r="O6" s="8"/>
      <c r="P6" s="8"/>
      <c r="Q6" s="8"/>
      <c r="R6" s="8"/>
      <c r="S6" s="8"/>
      <c r="T6" s="8"/>
      <c r="U6" s="8"/>
      <c r="V6" s="8"/>
      <c r="W6" s="8"/>
      <c r="X6" s="5"/>
    </row>
    <row r="7" spans="1:24" ht="15.6" x14ac:dyDescent="0.3">
      <c r="A7" s="6"/>
      <c r="B7" s="11" t="s">
        <v>141</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169</v>
      </c>
      <c r="C9" s="8"/>
      <c r="D9" s="8"/>
      <c r="E9" s="8"/>
      <c r="F9" s="8"/>
      <c r="G9" s="8"/>
      <c r="H9" s="8"/>
      <c r="I9" s="148" t="s">
        <v>170</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240</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105</v>
      </c>
      <c r="S15" s="137">
        <v>0.57609999999999995</v>
      </c>
      <c r="T15" s="17" t="s">
        <v>143</v>
      </c>
      <c r="U15" s="137">
        <v>0.4239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105</v>
      </c>
      <c r="S16" s="137">
        <v>0.56979999999999997</v>
      </c>
      <c r="T16" s="17" t="s">
        <v>143</v>
      </c>
      <c r="U16" s="137">
        <v>0.43020000000000003</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39016</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39560</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106</v>
      </c>
      <c r="U20" s="8"/>
      <c r="V20" s="16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180</v>
      </c>
      <c r="E22" s="112"/>
      <c r="F22" s="112" t="s">
        <v>181</v>
      </c>
      <c r="G22" s="112"/>
      <c r="H22" s="112" t="s">
        <v>182</v>
      </c>
      <c r="I22" s="112"/>
      <c r="J22" s="112" t="s">
        <v>223</v>
      </c>
      <c r="K22" s="112"/>
      <c r="L22" s="112" t="s">
        <v>183</v>
      </c>
      <c r="M22" s="112"/>
      <c r="N22" s="112" t="s">
        <v>184</v>
      </c>
      <c r="O22" s="112"/>
      <c r="P22" s="112" t="s">
        <v>224</v>
      </c>
      <c r="Q22" s="112"/>
      <c r="R22" s="112" t="s">
        <v>185</v>
      </c>
      <c r="S22" s="113"/>
      <c r="T22" s="23"/>
      <c r="U22" s="162"/>
      <c r="V22" s="162"/>
      <c r="W22" s="8"/>
      <c r="X22" s="5"/>
    </row>
    <row r="23" spans="1:24" ht="15.6" x14ac:dyDescent="0.3">
      <c r="A23" s="24"/>
      <c r="B23" s="25" t="s">
        <v>7</v>
      </c>
      <c r="C23" s="26"/>
      <c r="D23" s="26" t="s">
        <v>216</v>
      </c>
      <c r="E23" s="26"/>
      <c r="F23" s="26" t="s">
        <v>144</v>
      </c>
      <c r="G23" s="26"/>
      <c r="H23" s="26" t="s">
        <v>144</v>
      </c>
      <c r="I23" s="26"/>
      <c r="J23" s="26" t="s">
        <v>144</v>
      </c>
      <c r="K23" s="26"/>
      <c r="L23" s="26" t="s">
        <v>186</v>
      </c>
      <c r="M23" s="26"/>
      <c r="N23" s="26" t="s">
        <v>186</v>
      </c>
      <c r="O23" s="26"/>
      <c r="P23" s="26" t="s">
        <v>145</v>
      </c>
      <c r="Q23" s="26"/>
      <c r="R23" s="26" t="s">
        <v>145</v>
      </c>
      <c r="S23" s="26"/>
      <c r="T23" s="26"/>
      <c r="U23" s="163"/>
      <c r="V23" s="163"/>
      <c r="W23" s="25"/>
      <c r="X23" s="5"/>
    </row>
    <row r="24" spans="1:24" ht="15.6" x14ac:dyDescent="0.3">
      <c r="A24" s="24"/>
      <c r="B24" s="25" t="s">
        <v>8</v>
      </c>
      <c r="C24" s="26"/>
      <c r="D24" s="26" t="s">
        <v>217</v>
      </c>
      <c r="E24" s="26"/>
      <c r="F24" s="26" t="s">
        <v>146</v>
      </c>
      <c r="G24" s="26"/>
      <c r="H24" s="26" t="s">
        <v>146</v>
      </c>
      <c r="I24" s="26"/>
      <c r="J24" s="26" t="s">
        <v>146</v>
      </c>
      <c r="K24" s="26"/>
      <c r="L24" s="26" t="s">
        <v>168</v>
      </c>
      <c r="M24" s="26"/>
      <c r="N24" s="26" t="s">
        <v>168</v>
      </c>
      <c r="O24" s="26"/>
      <c r="P24" s="26" t="s">
        <v>147</v>
      </c>
      <c r="Q24" s="26"/>
      <c r="R24" s="26" t="s">
        <v>147</v>
      </c>
      <c r="S24" s="26"/>
      <c r="T24" s="26"/>
      <c r="U24" s="163"/>
      <c r="V24" s="163"/>
      <c r="W24" s="25"/>
      <c r="X24" s="5"/>
    </row>
    <row r="25" spans="1:24" ht="15.6" x14ac:dyDescent="0.3">
      <c r="A25" s="28"/>
      <c r="B25" s="131" t="s">
        <v>193</v>
      </c>
      <c r="C25" s="123"/>
      <c r="D25" s="26" t="s">
        <v>218</v>
      </c>
      <c r="E25" s="26"/>
      <c r="F25" s="26" t="s">
        <v>146</v>
      </c>
      <c r="G25" s="26"/>
      <c r="H25" s="26" t="s">
        <v>146</v>
      </c>
      <c r="I25" s="26"/>
      <c r="J25" s="26" t="s">
        <v>146</v>
      </c>
      <c r="K25" s="26"/>
      <c r="L25" s="26" t="s">
        <v>168</v>
      </c>
      <c r="M25" s="26"/>
      <c r="N25" s="26" t="s">
        <v>168</v>
      </c>
      <c r="O25" s="26"/>
      <c r="P25" s="26" t="s">
        <v>147</v>
      </c>
      <c r="Q25" s="26"/>
      <c r="R25" s="26" t="s">
        <v>147</v>
      </c>
      <c r="S25" s="123"/>
      <c r="T25" s="26"/>
      <c r="U25" s="163"/>
      <c r="V25" s="163"/>
      <c r="W25" s="25"/>
      <c r="X25" s="5"/>
    </row>
    <row r="26" spans="1:24" ht="15.6" x14ac:dyDescent="0.3">
      <c r="A26" s="28"/>
      <c r="B26" s="29" t="s">
        <v>9</v>
      </c>
      <c r="C26" s="123"/>
      <c r="D26" s="123" t="s">
        <v>216</v>
      </c>
      <c r="E26" s="123"/>
      <c r="F26" s="123" t="s">
        <v>144</v>
      </c>
      <c r="G26" s="123"/>
      <c r="H26" s="123" t="s">
        <v>144</v>
      </c>
      <c r="I26" s="123"/>
      <c r="J26" s="123" t="s">
        <v>144</v>
      </c>
      <c r="K26" s="123"/>
      <c r="L26" s="123" t="s">
        <v>186</v>
      </c>
      <c r="M26" s="123"/>
      <c r="N26" s="123" t="s">
        <v>186</v>
      </c>
      <c r="O26" s="123"/>
      <c r="P26" s="123" t="s">
        <v>145</v>
      </c>
      <c r="Q26" s="123"/>
      <c r="R26" s="123" t="s">
        <v>145</v>
      </c>
      <c r="S26" s="123"/>
      <c r="T26" s="26"/>
      <c r="U26" s="163"/>
      <c r="V26" s="163"/>
      <c r="W26" s="25"/>
      <c r="X26" s="5"/>
    </row>
    <row r="27" spans="1:24" ht="15.6" x14ac:dyDescent="0.3">
      <c r="A27" s="24"/>
      <c r="B27" s="29" t="s">
        <v>194</v>
      </c>
      <c r="C27" s="26"/>
      <c r="D27" s="123" t="s">
        <v>217</v>
      </c>
      <c r="E27" s="123"/>
      <c r="F27" s="123" t="s">
        <v>146</v>
      </c>
      <c r="G27" s="123"/>
      <c r="H27" s="123" t="s">
        <v>146</v>
      </c>
      <c r="I27" s="123"/>
      <c r="J27" s="123" t="s">
        <v>146</v>
      </c>
      <c r="K27" s="123"/>
      <c r="L27" s="123" t="s">
        <v>168</v>
      </c>
      <c r="M27" s="123"/>
      <c r="N27" s="123" t="s">
        <v>168</v>
      </c>
      <c r="O27" s="123"/>
      <c r="P27" s="123" t="s">
        <v>147</v>
      </c>
      <c r="Q27" s="123"/>
      <c r="R27" s="123" t="s">
        <v>147</v>
      </c>
      <c r="S27" s="26"/>
      <c r="T27" s="30"/>
      <c r="U27" s="163"/>
      <c r="V27" s="163"/>
      <c r="W27" s="25"/>
      <c r="X27" s="5"/>
    </row>
    <row r="28" spans="1:24" ht="15.6" x14ac:dyDescent="0.3">
      <c r="A28" s="24"/>
      <c r="B28" s="153" t="s">
        <v>195</v>
      </c>
      <c r="C28" s="26"/>
      <c r="D28" s="123" t="s">
        <v>218</v>
      </c>
      <c r="E28" s="123"/>
      <c r="F28" s="123" t="s">
        <v>146</v>
      </c>
      <c r="G28" s="123"/>
      <c r="H28" s="123" t="s">
        <v>146</v>
      </c>
      <c r="I28" s="123"/>
      <c r="J28" s="123" t="s">
        <v>146</v>
      </c>
      <c r="K28" s="123"/>
      <c r="L28" s="123" t="s">
        <v>168</v>
      </c>
      <c r="M28" s="123"/>
      <c r="N28" s="123" t="s">
        <v>168</v>
      </c>
      <c r="O28" s="123"/>
      <c r="P28" s="123" t="s">
        <v>147</v>
      </c>
      <c r="Q28" s="123"/>
      <c r="R28" s="123" t="s">
        <v>147</v>
      </c>
      <c r="S28" s="26"/>
      <c r="T28" s="30"/>
      <c r="U28" s="163"/>
      <c r="V28" s="163"/>
      <c r="W28" s="25"/>
      <c r="X28" s="5"/>
    </row>
    <row r="29" spans="1:24" ht="15.6" x14ac:dyDescent="0.3">
      <c r="A29" s="24"/>
      <c r="B29" s="25" t="s">
        <v>10</v>
      </c>
      <c r="C29" s="32"/>
      <c r="D29" s="26" t="s">
        <v>348</v>
      </c>
      <c r="E29" s="26"/>
      <c r="F29" s="30" t="s">
        <v>242</v>
      </c>
      <c r="G29" s="26"/>
      <c r="H29" s="26" t="s">
        <v>243</v>
      </c>
      <c r="I29" s="26"/>
      <c r="J29" s="26" t="s">
        <v>245</v>
      </c>
      <c r="K29" s="26"/>
      <c r="L29" s="26" t="s">
        <v>246</v>
      </c>
      <c r="M29" s="26"/>
      <c r="N29" s="26" t="s">
        <v>247</v>
      </c>
      <c r="O29" s="26"/>
      <c r="P29" s="26" t="s">
        <v>248</v>
      </c>
      <c r="Q29" s="26"/>
      <c r="R29" s="26" t="s">
        <v>249</v>
      </c>
      <c r="S29" s="31"/>
      <c r="T29" s="31"/>
      <c r="U29" s="164"/>
      <c r="V29" s="31"/>
      <c r="W29" s="34"/>
      <c r="X29" s="5"/>
    </row>
    <row r="30" spans="1:24" ht="15.6" x14ac:dyDescent="0.3">
      <c r="A30" s="24"/>
      <c r="B30" s="25" t="s">
        <v>10</v>
      </c>
      <c r="C30" s="32"/>
      <c r="D30" s="26" t="s">
        <v>241</v>
      </c>
      <c r="E30" s="26"/>
      <c r="F30" s="30" t="s">
        <v>121</v>
      </c>
      <c r="G30" s="26"/>
      <c r="H30" s="26" t="s">
        <v>121</v>
      </c>
      <c r="I30" s="26"/>
      <c r="J30" s="26" t="s">
        <v>244</v>
      </c>
      <c r="K30" s="26"/>
      <c r="L30" s="26" t="s">
        <v>121</v>
      </c>
      <c r="M30" s="26"/>
      <c r="N30" s="26" t="s">
        <v>121</v>
      </c>
      <c r="O30" s="26"/>
      <c r="P30" s="26" t="s">
        <v>121</v>
      </c>
      <c r="Q30" s="26"/>
      <c r="R30" s="26" t="s">
        <v>121</v>
      </c>
      <c r="S30" s="31"/>
      <c r="T30" s="31"/>
      <c r="U30" s="164"/>
      <c r="V30" s="31"/>
      <c r="W30" s="34"/>
      <c r="X30" s="5"/>
    </row>
    <row r="31" spans="1:24" ht="15.6" x14ac:dyDescent="0.3">
      <c r="A31" s="28"/>
      <c r="B31" s="25" t="s">
        <v>136</v>
      </c>
      <c r="C31" s="36"/>
      <c r="D31" s="146">
        <v>1500000</v>
      </c>
      <c r="E31" s="32"/>
      <c r="F31" s="31">
        <v>125000</v>
      </c>
      <c r="G31" s="31"/>
      <c r="H31" s="124">
        <v>315000</v>
      </c>
      <c r="I31" s="124"/>
      <c r="J31" s="146">
        <v>350000</v>
      </c>
      <c r="K31" s="31"/>
      <c r="L31" s="31">
        <v>56000</v>
      </c>
      <c r="M31" s="31"/>
      <c r="N31" s="124">
        <v>84000</v>
      </c>
      <c r="O31" s="31"/>
      <c r="P31" s="31">
        <v>13000</v>
      </c>
      <c r="Q31" s="31"/>
      <c r="R31" s="124">
        <v>81000</v>
      </c>
      <c r="S31" s="35"/>
      <c r="T31" s="35"/>
      <c r="U31" s="37"/>
      <c r="V31" s="35"/>
      <c r="W31" s="34"/>
      <c r="X31" s="5"/>
    </row>
    <row r="32" spans="1:24" ht="15.6" x14ac:dyDescent="0.3">
      <c r="A32" s="24"/>
      <c r="B32" s="25" t="s">
        <v>135</v>
      </c>
      <c r="C32" s="32"/>
      <c r="D32" s="146">
        <f>D31*D38</f>
        <v>1325949.6000000001</v>
      </c>
      <c r="E32" s="32"/>
      <c r="F32" s="31">
        <f>F31*F38</f>
        <v>110495.85</v>
      </c>
      <c r="G32" s="31"/>
      <c r="H32" s="124">
        <f>H31*H38</f>
        <v>278449.54200000002</v>
      </c>
      <c r="I32" s="124"/>
      <c r="J32" s="146">
        <f>J31*J38</f>
        <v>309388.24</v>
      </c>
      <c r="K32" s="31"/>
      <c r="L32" s="31">
        <f>L31*L38</f>
        <v>56000</v>
      </c>
      <c r="M32" s="31"/>
      <c r="N32" s="124">
        <f>N31*N38</f>
        <v>84000</v>
      </c>
      <c r="O32" s="31"/>
      <c r="P32" s="31">
        <f>P31*P38</f>
        <v>13000</v>
      </c>
      <c r="Q32" s="31"/>
      <c r="R32" s="124">
        <f>R31*R38</f>
        <v>81000</v>
      </c>
      <c r="S32" s="31"/>
      <c r="T32" s="31"/>
      <c r="U32" s="164"/>
      <c r="V32" s="31"/>
      <c r="W32" s="34"/>
      <c r="X32" s="5"/>
    </row>
    <row r="33" spans="1:24" ht="15.6" x14ac:dyDescent="0.3">
      <c r="A33" s="24"/>
      <c r="B33" s="29" t="s">
        <v>137</v>
      </c>
      <c r="C33" s="32"/>
      <c r="D33" s="151">
        <f>D37*D31</f>
        <v>1273870.6500000001</v>
      </c>
      <c r="E33" s="36"/>
      <c r="F33" s="35">
        <f>F37*F31</f>
        <v>106155.95</v>
      </c>
      <c r="G33" s="35"/>
      <c r="H33" s="125">
        <f>H31*H37</f>
        <v>267512.99400000001</v>
      </c>
      <c r="I33" s="125"/>
      <c r="J33" s="151">
        <f>J37*J31</f>
        <v>297236.48499999999</v>
      </c>
      <c r="K33" s="35"/>
      <c r="L33" s="35">
        <f>L31*L37</f>
        <v>56000</v>
      </c>
      <c r="M33" s="35"/>
      <c r="N33" s="125">
        <f>N31*N37</f>
        <v>84000</v>
      </c>
      <c r="O33" s="35"/>
      <c r="P33" s="35">
        <f>P31*P37</f>
        <v>13000</v>
      </c>
      <c r="Q33" s="35"/>
      <c r="R33" s="125">
        <f>R31*R37</f>
        <v>81000</v>
      </c>
      <c r="S33" s="31"/>
      <c r="T33" s="31"/>
      <c r="U33" s="164"/>
      <c r="V33" s="31"/>
      <c r="W33" s="34"/>
      <c r="X33" s="5"/>
    </row>
    <row r="34" spans="1:24" ht="15.6" x14ac:dyDescent="0.3">
      <c r="A34" s="28"/>
      <c r="B34" s="25" t="s">
        <v>298</v>
      </c>
      <c r="C34" s="36"/>
      <c r="D34" s="31">
        <v>797872</v>
      </c>
      <c r="E34" s="32"/>
      <c r="F34" s="31">
        <v>125000</v>
      </c>
      <c r="G34" s="31"/>
      <c r="H34" s="31">
        <v>211409</v>
      </c>
      <c r="I34" s="31"/>
      <c r="J34" s="31">
        <v>186170</v>
      </c>
      <c r="K34" s="31"/>
      <c r="L34" s="31">
        <v>56000</v>
      </c>
      <c r="M34" s="31"/>
      <c r="N34" s="31">
        <v>56376</v>
      </c>
      <c r="O34" s="31"/>
      <c r="P34" s="31">
        <v>13000</v>
      </c>
      <c r="Q34" s="31"/>
      <c r="R34" s="31">
        <v>54363</v>
      </c>
      <c r="S34" s="35"/>
      <c r="T34" s="35"/>
      <c r="U34" s="37"/>
      <c r="V34" s="154">
        <f>SUM(C34:R34)</f>
        <v>1500190</v>
      </c>
      <c r="W34" s="34"/>
      <c r="X34" s="5"/>
    </row>
    <row r="35" spans="1:24" ht="15.6" x14ac:dyDescent="0.3">
      <c r="A35" s="28"/>
      <c r="B35" s="25" t="s">
        <v>299</v>
      </c>
      <c r="C35" s="126"/>
      <c r="D35" s="31">
        <f>D34*D38</f>
        <v>705292.03950080008</v>
      </c>
      <c r="E35" s="32"/>
      <c r="F35" s="31">
        <f>F34*F38</f>
        <v>110495.85</v>
      </c>
      <c r="G35" s="31"/>
      <c r="H35" s="31">
        <f>H34*H38</f>
        <v>186878.53722120001</v>
      </c>
      <c r="I35" s="31"/>
      <c r="J35" s="31">
        <f>J34*J38</f>
        <v>164568.024688</v>
      </c>
      <c r="K35" s="31"/>
      <c r="L35" s="31">
        <f>L34*L38</f>
        <v>56000</v>
      </c>
      <c r="M35" s="31"/>
      <c r="N35" s="31">
        <f>N34*N38</f>
        <v>56376</v>
      </c>
      <c r="O35" s="31"/>
      <c r="P35" s="31">
        <f>P34*P38</f>
        <v>13000</v>
      </c>
      <c r="Q35" s="31"/>
      <c r="R35" s="31">
        <f>R34*R38</f>
        <v>54363</v>
      </c>
      <c r="S35" s="31"/>
      <c r="T35" s="31"/>
      <c r="U35" s="164"/>
      <c r="V35" s="154">
        <f>SUM(C35:R35)-1</f>
        <v>1346972.4514100002</v>
      </c>
      <c r="W35" s="34"/>
      <c r="X35" s="5"/>
    </row>
    <row r="36" spans="1:24" ht="15.6" x14ac:dyDescent="0.3">
      <c r="A36" s="28"/>
      <c r="B36" s="29" t="s">
        <v>304</v>
      </c>
      <c r="C36" s="126"/>
      <c r="D36" s="35">
        <f>D34*D37</f>
        <v>677590.48217119998</v>
      </c>
      <c r="E36" s="36"/>
      <c r="F36" s="35">
        <f>F34*F37</f>
        <v>106155.95</v>
      </c>
      <c r="G36" s="35"/>
      <c r="H36" s="35">
        <f>H34*H37</f>
        <v>179538.5858684</v>
      </c>
      <c r="I36" s="35"/>
      <c r="J36" s="35">
        <f>J34*J37</f>
        <v>158104.33260700002</v>
      </c>
      <c r="K36" s="35"/>
      <c r="L36" s="35">
        <v>56000</v>
      </c>
      <c r="M36" s="35"/>
      <c r="N36" s="35">
        <v>56376</v>
      </c>
      <c r="O36" s="35"/>
      <c r="P36" s="35">
        <v>13000</v>
      </c>
      <c r="Q36" s="35"/>
      <c r="R36" s="35">
        <v>54363</v>
      </c>
      <c r="S36" s="128"/>
      <c r="T36" s="128"/>
      <c r="U36" s="164"/>
      <c r="V36" s="155">
        <f>SUM(C36:R36)</f>
        <v>1301128.3506466001</v>
      </c>
      <c r="W36" s="34"/>
      <c r="X36" s="5"/>
    </row>
    <row r="37" spans="1:24" ht="15.6" x14ac:dyDescent="0.3">
      <c r="A37" s="24"/>
      <c r="B37" s="122" t="s">
        <v>133</v>
      </c>
      <c r="C37" s="25"/>
      <c r="D37" s="168">
        <v>0.84924710000000003</v>
      </c>
      <c r="E37" s="136"/>
      <c r="F37" s="168">
        <v>0.84924759999999999</v>
      </c>
      <c r="G37" s="135"/>
      <c r="H37" s="168">
        <v>0.84924759999999999</v>
      </c>
      <c r="I37" s="135"/>
      <c r="J37" s="168">
        <v>0.84924710000000003</v>
      </c>
      <c r="K37" s="135"/>
      <c r="L37" s="168">
        <v>1</v>
      </c>
      <c r="M37" s="135"/>
      <c r="N37" s="168">
        <v>1</v>
      </c>
      <c r="O37" s="135"/>
      <c r="P37" s="168">
        <v>1</v>
      </c>
      <c r="Q37" s="135"/>
      <c r="R37" s="168">
        <v>1</v>
      </c>
      <c r="S37" s="30"/>
      <c r="T37" s="30"/>
      <c r="U37" s="163"/>
      <c r="V37" s="163"/>
      <c r="W37" s="25"/>
      <c r="X37" s="5"/>
    </row>
    <row r="38" spans="1:24" ht="15.6" x14ac:dyDescent="0.3">
      <c r="A38" s="24"/>
      <c r="B38" s="122" t="s">
        <v>134</v>
      </c>
      <c r="C38" s="25"/>
      <c r="D38" s="168">
        <v>0.88396640000000004</v>
      </c>
      <c r="E38" s="136"/>
      <c r="F38" s="168">
        <v>0.88396680000000005</v>
      </c>
      <c r="G38" s="135"/>
      <c r="H38" s="168">
        <v>0.88396680000000005</v>
      </c>
      <c r="I38" s="135"/>
      <c r="J38" s="168">
        <v>0.88396640000000004</v>
      </c>
      <c r="K38" s="135"/>
      <c r="L38" s="135">
        <v>1</v>
      </c>
      <c r="M38" s="135"/>
      <c r="N38" s="135">
        <v>1</v>
      </c>
      <c r="O38" s="135"/>
      <c r="P38" s="135">
        <v>1</v>
      </c>
      <c r="Q38" s="135"/>
      <c r="R38" s="135">
        <v>1</v>
      </c>
      <c r="S38" s="39"/>
      <c r="T38" s="38"/>
      <c r="U38" s="163"/>
      <c r="V38" s="39"/>
      <c r="W38" s="25"/>
      <c r="X38" s="5"/>
    </row>
    <row r="39" spans="1:24" ht="15.6" x14ac:dyDescent="0.3">
      <c r="A39" s="24"/>
      <c r="B39" s="25" t="s">
        <v>11</v>
      </c>
      <c r="C39" s="25"/>
      <c r="D39" s="30" t="s">
        <v>280</v>
      </c>
      <c r="E39" s="25"/>
      <c r="F39" s="30" t="s">
        <v>225</v>
      </c>
      <c r="G39" s="30"/>
      <c r="H39" s="30" t="s">
        <v>225</v>
      </c>
      <c r="I39" s="30"/>
      <c r="J39" s="30" t="s">
        <v>251</v>
      </c>
      <c r="K39" s="30"/>
      <c r="L39" s="30" t="s">
        <v>252</v>
      </c>
      <c r="M39" s="30"/>
      <c r="N39" s="30" t="s">
        <v>253</v>
      </c>
      <c r="O39" s="30"/>
      <c r="P39" s="30" t="s">
        <v>254</v>
      </c>
      <c r="Q39" s="30"/>
      <c r="R39" s="30" t="s">
        <v>255</v>
      </c>
      <c r="S39" s="39"/>
      <c r="T39" s="38"/>
      <c r="U39" s="163"/>
      <c r="V39" s="163"/>
      <c r="W39" s="25"/>
      <c r="X39" s="5"/>
    </row>
    <row r="40" spans="1:24" ht="15.6" x14ac:dyDescent="0.3">
      <c r="A40" s="24"/>
      <c r="B40" s="25" t="s">
        <v>12</v>
      </c>
      <c r="C40" s="25"/>
      <c r="D40" s="38">
        <v>2.8275000000000002E-2</v>
      </c>
      <c r="E40" s="25"/>
      <c r="F40" s="38">
        <v>5.7868799999999998E-2</v>
      </c>
      <c r="G40" s="39"/>
      <c r="H40" s="38">
        <v>4.6960000000000002E-2</v>
      </c>
      <c r="I40" s="38"/>
      <c r="J40" s="38">
        <v>4.3475E-2</v>
      </c>
      <c r="K40" s="39"/>
      <c r="L40" s="38">
        <v>5.86688E-2</v>
      </c>
      <c r="M40" s="39"/>
      <c r="N40" s="38">
        <v>4.7660000000000001E-2</v>
      </c>
      <c r="O40" s="39"/>
      <c r="P40" s="38">
        <v>6.0668800000000002E-2</v>
      </c>
      <c r="Q40" s="39"/>
      <c r="R40" s="38">
        <v>4.9660000000000003E-2</v>
      </c>
      <c r="S40" s="39"/>
      <c r="T40" s="38"/>
      <c r="U40" s="163"/>
      <c r="V40" s="30"/>
      <c r="W40" s="25"/>
      <c r="X40" s="5"/>
    </row>
    <row r="41" spans="1:24" ht="15.6" x14ac:dyDescent="0.3">
      <c r="A41" s="24"/>
      <c r="B41" s="25" t="s">
        <v>13</v>
      </c>
      <c r="C41" s="25"/>
      <c r="D41" s="38">
        <v>5.0375000000000003E-2</v>
      </c>
      <c r="E41" s="25"/>
      <c r="F41" s="38">
        <v>6.4131300000000002E-2</v>
      </c>
      <c r="G41" s="39"/>
      <c r="H41" s="38">
        <v>4.8520000000000001E-2</v>
      </c>
      <c r="I41" s="38"/>
      <c r="J41" s="38">
        <v>5.3324999999999997E-2</v>
      </c>
      <c r="K41" s="39"/>
      <c r="L41" s="38">
        <v>6.4931299999999997E-2</v>
      </c>
      <c r="M41" s="39"/>
      <c r="N41" s="38">
        <v>4.922E-2</v>
      </c>
      <c r="O41" s="39"/>
      <c r="P41" s="38">
        <v>6.6931299999999999E-2</v>
      </c>
      <c r="Q41" s="39"/>
      <c r="R41" s="38">
        <v>5.1220000000000002E-2</v>
      </c>
      <c r="S41" s="39"/>
      <c r="T41" s="38"/>
      <c r="U41" s="163"/>
      <c r="V41" s="39" t="s">
        <v>196</v>
      </c>
      <c r="W41" s="25"/>
      <c r="X41" s="5"/>
    </row>
    <row r="42" spans="1:24" ht="15.6" x14ac:dyDescent="0.3">
      <c r="A42" s="24"/>
      <c r="B42" s="25" t="s">
        <v>300</v>
      </c>
      <c r="C42" s="25"/>
      <c r="D42" s="30" t="s">
        <v>285</v>
      </c>
      <c r="E42" s="25"/>
      <c r="F42" s="30" t="s">
        <v>225</v>
      </c>
      <c r="G42" s="30"/>
      <c r="H42" s="30" t="s">
        <v>263</v>
      </c>
      <c r="I42" s="30"/>
      <c r="J42" s="30" t="s">
        <v>262</v>
      </c>
      <c r="K42" s="30"/>
      <c r="L42" s="30" t="s">
        <v>252</v>
      </c>
      <c r="M42" s="30"/>
      <c r="N42" s="30" t="s">
        <v>264</v>
      </c>
      <c r="O42" s="30"/>
      <c r="P42" s="30" t="s">
        <v>254</v>
      </c>
      <c r="Q42" s="30"/>
      <c r="R42" s="30" t="s">
        <v>260</v>
      </c>
      <c r="S42" s="39"/>
      <c r="T42" s="38"/>
      <c r="U42" s="163"/>
      <c r="V42" s="163"/>
      <c r="W42" s="25"/>
      <c r="X42" s="5"/>
    </row>
    <row r="43" spans="1:24" ht="15.6" x14ac:dyDescent="0.3">
      <c r="A43" s="24"/>
      <c r="B43" s="25" t="s">
        <v>301</v>
      </c>
      <c r="C43" s="110"/>
      <c r="D43" s="38">
        <v>5.7087100000000002E-2</v>
      </c>
      <c r="E43" s="38"/>
      <c r="F43" s="38">
        <f>+F40</f>
        <v>5.7868799999999998E-2</v>
      </c>
      <c r="G43" s="38"/>
      <c r="H43" s="38">
        <v>5.7990800000000002E-2</v>
      </c>
      <c r="I43" s="38"/>
      <c r="J43" s="38">
        <v>5.7908800000000003E-2</v>
      </c>
      <c r="K43" s="38"/>
      <c r="L43" s="38">
        <f>+L40</f>
        <v>5.86688E-2</v>
      </c>
      <c r="M43" s="38"/>
      <c r="N43" s="38">
        <v>5.87588E-2</v>
      </c>
      <c r="O43" s="38"/>
      <c r="P43" s="38">
        <f>+P40</f>
        <v>6.0668800000000002E-2</v>
      </c>
      <c r="Q43" s="39"/>
      <c r="R43" s="38">
        <v>6.0868800000000001E-2</v>
      </c>
      <c r="S43" s="30"/>
      <c r="T43" s="30"/>
      <c r="U43" s="163"/>
      <c r="V43" s="39">
        <f>SUMPRODUCT(D43:R43,D35:R35)/V35</f>
        <v>5.7699959593716099E-2</v>
      </c>
      <c r="W43" s="25"/>
      <c r="X43" s="5"/>
    </row>
    <row r="44" spans="1:24" ht="15.6" x14ac:dyDescent="0.3">
      <c r="A44" s="24"/>
      <c r="B44" s="25" t="s">
        <v>302</v>
      </c>
      <c r="C44" s="110"/>
      <c r="D44" s="38">
        <v>6.3349600000000006E-2</v>
      </c>
      <c r="E44" s="38"/>
      <c r="F44" s="38">
        <f>+F41</f>
        <v>6.4131300000000002E-2</v>
      </c>
      <c r="G44" s="38"/>
      <c r="H44" s="38">
        <v>6.4253299999999999E-2</v>
      </c>
      <c r="I44" s="38"/>
      <c r="J44" s="38">
        <v>6.4171300000000001E-2</v>
      </c>
      <c r="K44" s="38"/>
      <c r="L44" s="38">
        <f>+L41</f>
        <v>6.4931299999999997E-2</v>
      </c>
      <c r="M44" s="38"/>
      <c r="N44" s="38">
        <v>6.5021300000000004E-2</v>
      </c>
      <c r="O44" s="38"/>
      <c r="P44" s="38">
        <f>+P41</f>
        <v>6.6931299999999999E-2</v>
      </c>
      <c r="Q44" s="39"/>
      <c r="R44" s="38">
        <v>6.7131300000000005E-2</v>
      </c>
      <c r="S44" s="30"/>
      <c r="T44" s="30"/>
      <c r="U44" s="163"/>
      <c r="V44" s="163"/>
      <c r="W44" s="25"/>
      <c r="X44" s="5"/>
    </row>
    <row r="45" spans="1:24" ht="15.6" x14ac:dyDescent="0.3">
      <c r="A45" s="24"/>
      <c r="B45" s="25" t="s">
        <v>14</v>
      </c>
      <c r="C45" s="25"/>
      <c r="D45" s="110">
        <v>40466</v>
      </c>
      <c r="E45" s="110"/>
      <c r="F45" s="110">
        <v>40466</v>
      </c>
      <c r="G45" s="110"/>
      <c r="H45" s="110">
        <v>40466</v>
      </c>
      <c r="I45" s="110"/>
      <c r="J45" s="110">
        <v>40466</v>
      </c>
      <c r="K45" s="110"/>
      <c r="L45" s="110">
        <v>40466</v>
      </c>
      <c r="M45" s="110"/>
      <c r="N45" s="110">
        <v>40466</v>
      </c>
      <c r="O45" s="110"/>
      <c r="P45" s="110">
        <v>40466</v>
      </c>
      <c r="Q45" s="110"/>
      <c r="R45" s="110">
        <v>40466</v>
      </c>
      <c r="S45" s="30"/>
      <c r="T45" s="30"/>
      <c r="U45" s="163"/>
      <c r="V45" s="163"/>
      <c r="W45" s="25"/>
      <c r="X45" s="5"/>
    </row>
    <row r="46" spans="1:24" ht="15.6" x14ac:dyDescent="0.3">
      <c r="A46" s="24"/>
      <c r="B46" s="25" t="s">
        <v>15</v>
      </c>
      <c r="C46" s="25"/>
      <c r="D46" s="110" t="s">
        <v>121</v>
      </c>
      <c r="E46" s="110"/>
      <c r="F46" s="110">
        <v>40831</v>
      </c>
      <c r="G46" s="110"/>
      <c r="H46" s="110">
        <v>40831</v>
      </c>
      <c r="I46" s="110"/>
      <c r="J46" s="110">
        <v>40831</v>
      </c>
      <c r="K46" s="30"/>
      <c r="L46" s="110">
        <v>40831</v>
      </c>
      <c r="M46" s="30"/>
      <c r="N46" s="110">
        <v>40831</v>
      </c>
      <c r="O46" s="30"/>
      <c r="P46" s="110">
        <v>40831</v>
      </c>
      <c r="Q46" s="30"/>
      <c r="R46" s="110">
        <v>40831</v>
      </c>
      <c r="S46" s="30"/>
      <c r="T46" s="30"/>
      <c r="U46" s="163"/>
      <c r="V46" s="163"/>
      <c r="W46" s="25"/>
      <c r="X46" s="5"/>
    </row>
    <row r="47" spans="1:24" ht="15.6" x14ac:dyDescent="0.3">
      <c r="A47" s="24"/>
      <c r="B47" s="25" t="s">
        <v>122</v>
      </c>
      <c r="C47" s="25"/>
      <c r="D47" s="160" t="s">
        <v>121</v>
      </c>
      <c r="E47" s="25"/>
      <c r="F47" s="30" t="s">
        <v>226</v>
      </c>
      <c r="G47" s="30"/>
      <c r="H47" s="30" t="s">
        <v>226</v>
      </c>
      <c r="I47" s="30"/>
      <c r="J47" s="30" t="s">
        <v>256</v>
      </c>
      <c r="K47" s="30"/>
      <c r="L47" s="30" t="s">
        <v>254</v>
      </c>
      <c r="M47" s="30"/>
      <c r="N47" s="30" t="s">
        <v>257</v>
      </c>
      <c r="O47" s="30"/>
      <c r="P47" s="30" t="s">
        <v>258</v>
      </c>
      <c r="Q47" s="30"/>
      <c r="R47" s="30" t="s">
        <v>259</v>
      </c>
      <c r="S47" s="40"/>
      <c r="T47" s="40"/>
      <c r="U47" s="40"/>
      <c r="V47" s="40"/>
      <c r="W47" s="25"/>
      <c r="X47" s="5"/>
    </row>
    <row r="48" spans="1:24" ht="15.6" x14ac:dyDescent="0.3">
      <c r="A48" s="24"/>
      <c r="B48" s="25" t="s">
        <v>303</v>
      </c>
      <c r="C48" s="25"/>
      <c r="D48" s="30" t="s">
        <v>203</v>
      </c>
      <c r="E48" s="25"/>
      <c r="F48" s="30" t="s">
        <v>226</v>
      </c>
      <c r="G48" s="30"/>
      <c r="H48" s="30" t="s">
        <v>227</v>
      </c>
      <c r="I48" s="30"/>
      <c r="J48" s="30" t="s">
        <v>237</v>
      </c>
      <c r="K48" s="30"/>
      <c r="L48" s="30" t="s">
        <v>254</v>
      </c>
      <c r="M48" s="30"/>
      <c r="N48" s="30" t="s">
        <v>260</v>
      </c>
      <c r="O48" s="30"/>
      <c r="P48" s="30" t="s">
        <v>258</v>
      </c>
      <c r="Q48" s="30"/>
      <c r="R48" s="30" t="s">
        <v>261</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196</v>
      </c>
      <c r="W49" s="25"/>
      <c r="X49" s="5"/>
    </row>
    <row r="50" spans="1:25" ht="15.6" x14ac:dyDescent="0.3">
      <c r="A50" s="24"/>
      <c r="B50" s="25" t="s">
        <v>172</v>
      </c>
      <c r="C50" s="25"/>
      <c r="D50" s="30"/>
      <c r="E50" s="25"/>
      <c r="F50" s="30"/>
      <c r="G50" s="30"/>
      <c r="H50" s="30"/>
      <c r="I50" s="30"/>
      <c r="J50" s="30"/>
      <c r="K50" s="30"/>
      <c r="L50" s="30"/>
      <c r="M50" s="30"/>
      <c r="N50" s="30"/>
      <c r="O50" s="30"/>
      <c r="P50" s="30"/>
      <c r="Q50" s="30"/>
      <c r="R50" s="30"/>
      <c r="S50" s="25"/>
      <c r="T50" s="25"/>
      <c r="U50" s="25"/>
      <c r="V50" s="39">
        <f>SUM(L34:R34)/SUM(D34:J34)</f>
        <v>0.13611940162868597</v>
      </c>
      <c r="W50" s="25"/>
      <c r="X50" s="5"/>
    </row>
    <row r="51" spans="1:25" ht="15.6" x14ac:dyDescent="0.3">
      <c r="A51" s="24"/>
      <c r="B51" s="25" t="s">
        <v>173</v>
      </c>
      <c r="C51" s="25"/>
      <c r="D51" s="25"/>
      <c r="E51" s="25"/>
      <c r="F51" s="41"/>
      <c r="G51" s="25"/>
      <c r="H51" s="25"/>
      <c r="I51" s="25"/>
      <c r="J51" s="25"/>
      <c r="K51" s="25"/>
      <c r="L51" s="25"/>
      <c r="M51" s="25"/>
      <c r="N51" s="25"/>
      <c r="O51" s="25"/>
      <c r="P51" s="25"/>
      <c r="Q51" s="25"/>
      <c r="R51" s="25"/>
      <c r="S51" s="25"/>
      <c r="T51" s="25"/>
      <c r="U51" s="25"/>
      <c r="V51" s="39">
        <f>SUM(L36:R36)/SUM(D36:J36)</f>
        <v>0.16028242099531387</v>
      </c>
      <c r="W51" s="25"/>
      <c r="X51" s="5"/>
    </row>
    <row r="52" spans="1:25" ht="15.6" x14ac:dyDescent="0.3">
      <c r="A52" s="24"/>
      <c r="B52" s="25" t="s">
        <v>174</v>
      </c>
      <c r="C52" s="25"/>
      <c r="D52" s="25"/>
      <c r="E52" s="25"/>
      <c r="F52" s="25"/>
      <c r="G52" s="25"/>
      <c r="H52" s="25"/>
      <c r="I52" s="25"/>
      <c r="J52" s="25"/>
      <c r="K52" s="25"/>
      <c r="L52" s="25"/>
      <c r="M52" s="25"/>
      <c r="N52" s="25"/>
      <c r="O52" s="25"/>
      <c r="P52" s="25"/>
      <c r="Q52" s="25"/>
      <c r="R52" s="25"/>
      <c r="S52" s="25"/>
      <c r="T52" s="30" t="s">
        <v>107</v>
      </c>
      <c r="U52" s="30" t="s">
        <v>112</v>
      </c>
      <c r="V52" s="31">
        <f>+V34/2-SUM(L34:R34)</f>
        <v>570356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205</v>
      </c>
      <c r="C54" s="25"/>
      <c r="D54" s="25"/>
      <c r="E54" s="25"/>
      <c r="F54" s="25"/>
      <c r="G54" s="25"/>
      <c r="H54" s="25"/>
      <c r="I54" s="25"/>
      <c r="J54" s="25"/>
      <c r="K54" s="25"/>
      <c r="L54" s="25"/>
      <c r="M54" s="25"/>
      <c r="N54" s="25"/>
      <c r="O54" s="25"/>
      <c r="P54" s="25"/>
      <c r="Q54" s="25"/>
      <c r="R54" s="25"/>
      <c r="S54" s="25"/>
      <c r="T54" s="25"/>
      <c r="U54" s="25"/>
      <c r="V54" s="156" t="s">
        <v>206</v>
      </c>
      <c r="W54" s="25"/>
      <c r="X54" s="5"/>
    </row>
    <row r="55" spans="1:25" ht="15.6" x14ac:dyDescent="0.3">
      <c r="A55" s="24"/>
      <c r="B55" s="25" t="s">
        <v>236</v>
      </c>
      <c r="C55" s="25"/>
      <c r="D55" s="25"/>
      <c r="E55" s="25"/>
      <c r="F55" s="25"/>
      <c r="G55" s="25"/>
      <c r="H55" s="25"/>
      <c r="I55" s="25"/>
      <c r="J55" s="25"/>
      <c r="K55" s="25"/>
      <c r="L55" s="25"/>
      <c r="M55" s="25"/>
      <c r="N55" s="25"/>
      <c r="O55" s="25"/>
      <c r="P55" s="25"/>
      <c r="Q55" s="25"/>
      <c r="R55" s="25"/>
      <c r="S55" s="25"/>
      <c r="T55" s="30"/>
      <c r="U55" s="30"/>
      <c r="V55" s="157" t="s">
        <v>114</v>
      </c>
      <c r="W55" s="25"/>
      <c r="X55" s="5"/>
    </row>
    <row r="56" spans="1:25" ht="15.6" x14ac:dyDescent="0.3">
      <c r="A56" s="24"/>
      <c r="B56" s="29" t="s">
        <v>204</v>
      </c>
      <c r="C56" s="29"/>
      <c r="D56" s="29"/>
      <c r="E56" s="29"/>
      <c r="F56" s="29"/>
      <c r="G56" s="29"/>
      <c r="H56" s="29"/>
      <c r="I56" s="29"/>
      <c r="J56" s="29"/>
      <c r="K56" s="29"/>
      <c r="L56" s="29"/>
      <c r="M56" s="29"/>
      <c r="N56" s="29"/>
      <c r="O56" s="29"/>
      <c r="P56" s="29"/>
      <c r="Q56" s="29"/>
      <c r="R56" s="29"/>
      <c r="S56" s="29"/>
      <c r="T56" s="43"/>
      <c r="U56" s="43"/>
      <c r="V56" s="44">
        <v>39553</v>
      </c>
      <c r="W56" s="25"/>
      <c r="X56" s="5"/>
    </row>
    <row r="57" spans="1:25" ht="15.6" x14ac:dyDescent="0.3">
      <c r="A57" s="24"/>
      <c r="B57" s="25" t="s">
        <v>124</v>
      </c>
      <c r="C57" s="25"/>
      <c r="D57" s="25"/>
      <c r="E57" s="25"/>
      <c r="F57" s="25"/>
      <c r="G57" s="25"/>
      <c r="H57" s="58"/>
      <c r="I57" s="58"/>
      <c r="J57" s="58"/>
      <c r="K57" s="58"/>
      <c r="L57" s="58"/>
      <c r="M57" s="58"/>
      <c r="N57" s="58"/>
      <c r="O57" s="58"/>
      <c r="P57" s="58"/>
      <c r="Q57" s="58"/>
      <c r="R57" s="25">
        <f>+V57-T57+1</f>
        <v>92</v>
      </c>
      <c r="S57" s="58"/>
      <c r="T57" s="45">
        <v>39370</v>
      </c>
      <c r="U57" s="46"/>
      <c r="V57" s="45">
        <v>39461</v>
      </c>
      <c r="W57" s="25"/>
      <c r="X57" s="5"/>
    </row>
    <row r="58" spans="1:25" ht="15.6" x14ac:dyDescent="0.3">
      <c r="A58" s="24"/>
      <c r="B58" s="25" t="s">
        <v>125</v>
      </c>
      <c r="C58" s="25"/>
      <c r="D58" s="25"/>
      <c r="E58" s="25"/>
      <c r="F58" s="25"/>
      <c r="G58" s="25"/>
      <c r="H58" s="25"/>
      <c r="I58" s="25"/>
      <c r="J58" s="25"/>
      <c r="K58" s="25"/>
      <c r="L58" s="25"/>
      <c r="M58" s="25"/>
      <c r="N58" s="25"/>
      <c r="O58" s="25"/>
      <c r="P58" s="25"/>
      <c r="Q58" s="25"/>
      <c r="R58" s="25">
        <f>+V58-T58+1</f>
        <v>91</v>
      </c>
      <c r="S58" s="25"/>
      <c r="T58" s="45">
        <v>39462</v>
      </c>
      <c r="U58" s="46"/>
      <c r="V58" s="45">
        <v>39552</v>
      </c>
      <c r="W58" s="25"/>
      <c r="X58" s="5"/>
    </row>
    <row r="59" spans="1:25" ht="15.6" x14ac:dyDescent="0.3">
      <c r="A59" s="24"/>
      <c r="B59" s="25" t="s">
        <v>235</v>
      </c>
      <c r="C59" s="25"/>
      <c r="D59" s="25"/>
      <c r="E59" s="25"/>
      <c r="F59" s="25"/>
      <c r="G59" s="25"/>
      <c r="H59" s="25"/>
      <c r="I59" s="25"/>
      <c r="J59" s="25"/>
      <c r="K59" s="25"/>
      <c r="L59" s="25"/>
      <c r="M59" s="25"/>
      <c r="N59" s="25"/>
      <c r="O59" s="25"/>
      <c r="P59" s="25"/>
      <c r="Q59" s="25"/>
      <c r="R59" s="25"/>
      <c r="S59" s="25"/>
      <c r="T59" s="45"/>
      <c r="U59" s="46"/>
      <c r="V59" s="45" t="s">
        <v>123</v>
      </c>
      <c r="W59" s="25"/>
      <c r="X59" s="5"/>
    </row>
    <row r="60" spans="1:25" ht="15.6" x14ac:dyDescent="0.3">
      <c r="A60" s="24"/>
      <c r="B60" s="25" t="s">
        <v>234</v>
      </c>
      <c r="C60" s="25"/>
      <c r="D60" s="25"/>
      <c r="E60" s="25"/>
      <c r="F60" s="25"/>
      <c r="G60" s="25"/>
      <c r="H60" s="25"/>
      <c r="I60" s="25"/>
      <c r="J60" s="25"/>
      <c r="K60" s="25"/>
      <c r="L60" s="25"/>
      <c r="M60" s="25"/>
      <c r="N60" s="25"/>
      <c r="O60" s="25"/>
      <c r="P60" s="25"/>
      <c r="Q60" s="25"/>
      <c r="R60" s="25"/>
      <c r="S60" s="25"/>
      <c r="T60" s="45"/>
      <c r="U60" s="46"/>
      <c r="V60" s="45" t="s">
        <v>157</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39539</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289</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95</v>
      </c>
      <c r="M68" s="115"/>
      <c r="N68" s="115" t="s">
        <v>97</v>
      </c>
      <c r="O68" s="115"/>
      <c r="P68" s="115" t="s">
        <v>99</v>
      </c>
      <c r="Q68" s="115"/>
      <c r="R68" s="115" t="s">
        <v>101</v>
      </c>
      <c r="S68" s="115"/>
      <c r="T68" s="115" t="s">
        <v>108</v>
      </c>
      <c r="U68" s="115"/>
      <c r="V68" s="116" t="s">
        <v>115</v>
      </c>
      <c r="W68" s="117"/>
      <c r="X68" s="5"/>
    </row>
    <row r="69" spans="1:24" ht="15.6" x14ac:dyDescent="0.3">
      <c r="A69" s="24"/>
      <c r="B69" s="25" t="s">
        <v>19</v>
      </c>
      <c r="C69" s="34"/>
      <c r="D69" s="34"/>
      <c r="E69" s="34"/>
      <c r="F69" s="34"/>
      <c r="G69" s="34"/>
      <c r="H69" s="34"/>
      <c r="I69" s="34"/>
      <c r="J69" s="34"/>
      <c r="K69" s="34"/>
      <c r="L69" s="34">
        <f>1085286</f>
        <v>1085286</v>
      </c>
      <c r="M69" s="34"/>
      <c r="N69" s="53">
        <v>1346973</v>
      </c>
      <c r="O69" s="34"/>
      <c r="P69" s="34">
        <f>45845+2637+2370</f>
        <v>50852</v>
      </c>
      <c r="Q69" s="34"/>
      <c r="R69" s="34">
        <f>2637+2370</f>
        <v>5007</v>
      </c>
      <c r="S69" s="34"/>
      <c r="T69" s="34">
        <v>0</v>
      </c>
      <c r="U69" s="34"/>
      <c r="V69" s="53">
        <f>+N69-P69+R69-T69</f>
        <v>1301128</v>
      </c>
      <c r="W69" s="25"/>
      <c r="X69" s="5"/>
    </row>
    <row r="70" spans="1:24" ht="15.6" x14ac:dyDescent="0.3">
      <c r="A70" s="24"/>
      <c r="B70" s="25" t="s">
        <v>20</v>
      </c>
      <c r="C70" s="34"/>
      <c r="D70" s="34"/>
      <c r="E70" s="34"/>
      <c r="F70" s="34"/>
      <c r="G70" s="34"/>
      <c r="H70" s="34"/>
      <c r="I70" s="34"/>
      <c r="J70" s="34"/>
      <c r="K70" s="34"/>
      <c r="L70" s="34">
        <v>35</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1085321</v>
      </c>
      <c r="M72" s="34"/>
      <c r="N72" s="54">
        <f>N69+N70</f>
        <v>1346973</v>
      </c>
      <c r="O72" s="34"/>
      <c r="P72" s="34">
        <f>SUM(P69:P71)</f>
        <v>50852</v>
      </c>
      <c r="Q72" s="34"/>
      <c r="R72" s="34">
        <f>SUM(R69:R71)</f>
        <v>5007</v>
      </c>
      <c r="S72" s="34"/>
      <c r="T72" s="34">
        <f>SUM(T69:T71)</f>
        <v>0</v>
      </c>
      <c r="U72" s="34"/>
      <c r="V72" s="54">
        <f>SUM(V69:V71)</f>
        <v>1301128</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120</v>
      </c>
      <c r="C82" s="34"/>
      <c r="D82" s="34"/>
      <c r="E82" s="34"/>
      <c r="F82" s="34"/>
      <c r="G82" s="34"/>
      <c r="H82" s="34"/>
      <c r="I82" s="34"/>
      <c r="J82" s="34"/>
      <c r="K82" s="34"/>
      <c r="L82" s="34">
        <f>414862+7</f>
        <v>414869</v>
      </c>
      <c r="M82" s="34"/>
      <c r="N82" s="34">
        <v>0</v>
      </c>
      <c r="O82" s="34"/>
      <c r="P82" s="34">
        <v>0</v>
      </c>
      <c r="Q82" s="34"/>
      <c r="R82" s="34"/>
      <c r="S82" s="34"/>
      <c r="T82" s="34"/>
      <c r="U82" s="34"/>
      <c r="V82" s="54">
        <f>SUM(N82:R82)</f>
        <v>0</v>
      </c>
      <c r="W82" s="25"/>
      <c r="X82" s="5"/>
    </row>
    <row r="83" spans="1:24" ht="15.6" x14ac:dyDescent="0.3">
      <c r="A83" s="24"/>
      <c r="B83" s="25" t="s">
        <v>149</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1500190</v>
      </c>
      <c r="M85" s="34"/>
      <c r="N85" s="54">
        <f>SUM(N72:N84)</f>
        <v>1346973</v>
      </c>
      <c r="O85" s="34"/>
      <c r="P85" s="34"/>
      <c r="Q85" s="34"/>
      <c r="R85" s="34"/>
      <c r="S85" s="34"/>
      <c r="T85" s="54"/>
      <c r="U85" s="34"/>
      <c r="V85" s="54">
        <f>SUM(V72:V84)</f>
        <v>1301128</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96</v>
      </c>
      <c r="M88" s="17"/>
      <c r="N88" s="158">
        <f>+T198</f>
        <v>39538</v>
      </c>
      <c r="O88" s="17"/>
      <c r="P88" s="17"/>
      <c r="Q88" s="17"/>
      <c r="R88" s="17"/>
      <c r="S88" s="17"/>
      <c r="T88" s="17" t="s">
        <v>109</v>
      </c>
      <c r="U88" s="17"/>
      <c r="V88" s="17" t="s">
        <v>116</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50852+3</f>
        <v>50855</v>
      </c>
      <c r="U90" s="25"/>
      <c r="V90" s="53"/>
      <c r="W90" s="25"/>
      <c r="X90" s="5"/>
    </row>
    <row r="91" spans="1:24" ht="15.6" x14ac:dyDescent="0.3">
      <c r="A91" s="24"/>
      <c r="B91" s="25" t="s">
        <v>219</v>
      </c>
      <c r="C91" s="25"/>
      <c r="D91" s="25"/>
      <c r="E91" s="25"/>
      <c r="F91" s="25"/>
      <c r="G91" s="25"/>
      <c r="H91" s="40"/>
      <c r="I91" s="40"/>
      <c r="J91" s="40"/>
      <c r="K91" s="57"/>
      <c r="L91" s="40"/>
      <c r="M91" s="25"/>
      <c r="N91" s="127"/>
      <c r="O91" s="25"/>
      <c r="P91" s="25"/>
      <c r="Q91" s="25"/>
      <c r="R91" s="25"/>
      <c r="S91" s="25"/>
      <c r="T91" s="34"/>
      <c r="U91" s="25"/>
      <c r="V91" s="53">
        <f>11098+10568-663-3575</f>
        <v>17428</v>
      </c>
      <c r="W91" s="25"/>
      <c r="X91" s="5"/>
    </row>
    <row r="92" spans="1:24" ht="15.6" x14ac:dyDescent="0.3">
      <c r="A92" s="24"/>
      <c r="B92" s="25" t="s">
        <v>214</v>
      </c>
      <c r="C92" s="25"/>
      <c r="D92" s="25"/>
      <c r="E92" s="25"/>
      <c r="F92" s="25"/>
      <c r="G92" s="25"/>
      <c r="H92" s="40"/>
      <c r="I92" s="40"/>
      <c r="J92" s="40"/>
      <c r="K92" s="57"/>
      <c r="L92" s="40"/>
      <c r="M92" s="25"/>
      <c r="N92" s="127"/>
      <c r="O92" s="25"/>
      <c r="P92" s="25"/>
      <c r="Q92" s="25"/>
      <c r="R92" s="25"/>
      <c r="S92" s="25"/>
      <c r="T92" s="34"/>
      <c r="U92" s="25"/>
      <c r="V92" s="53">
        <f>216+221</f>
        <v>437</v>
      </c>
      <c r="W92" s="25"/>
      <c r="X92" s="5"/>
    </row>
    <row r="93" spans="1:24" ht="15.6" x14ac:dyDescent="0.3">
      <c r="A93" s="24"/>
      <c r="B93" s="25" t="s">
        <v>215</v>
      </c>
      <c r="C93" s="25"/>
      <c r="D93" s="25"/>
      <c r="E93" s="25"/>
      <c r="F93" s="25"/>
      <c r="G93" s="25"/>
      <c r="H93" s="40"/>
      <c r="I93" s="40"/>
      <c r="J93" s="40"/>
      <c r="K93" s="57"/>
      <c r="L93" s="40"/>
      <c r="M93" s="25"/>
      <c r="N93" s="127"/>
      <c r="O93" s="25"/>
      <c r="P93" s="25"/>
      <c r="Q93" s="25"/>
      <c r="R93" s="25"/>
      <c r="S93" s="25"/>
      <c r="T93" s="34"/>
      <c r="U93" s="25"/>
      <c r="V93" s="53">
        <v>957</v>
      </c>
      <c r="W93" s="25"/>
      <c r="X93" s="5"/>
    </row>
    <row r="94" spans="1:24" ht="15.6" x14ac:dyDescent="0.3">
      <c r="A94" s="24"/>
      <c r="B94" s="25" t="s">
        <v>277</v>
      </c>
      <c r="C94" s="25"/>
      <c r="D94" s="25"/>
      <c r="E94" s="25"/>
      <c r="F94" s="25"/>
      <c r="G94" s="25"/>
      <c r="H94" s="40"/>
      <c r="I94" s="40"/>
      <c r="J94" s="40"/>
      <c r="K94" s="57"/>
      <c r="L94" s="40"/>
      <c r="M94" s="25"/>
      <c r="N94" s="127"/>
      <c r="O94" s="25"/>
      <c r="P94" s="25"/>
      <c r="Q94" s="25"/>
      <c r="R94" s="25"/>
      <c r="S94" s="25"/>
      <c r="T94" s="34"/>
      <c r="U94" s="25"/>
      <c r="V94" s="53">
        <f>850+1</f>
        <v>851</v>
      </c>
      <c r="W94" s="25"/>
      <c r="X94" s="5"/>
    </row>
    <row r="95" spans="1:24" ht="15.6" x14ac:dyDescent="0.3">
      <c r="A95" s="24"/>
      <c r="B95" s="25" t="s">
        <v>138</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265</v>
      </c>
      <c r="C96" s="25"/>
      <c r="D96" s="25"/>
      <c r="E96" s="25"/>
      <c r="F96" s="25"/>
      <c r="G96" s="25"/>
      <c r="H96" s="25"/>
      <c r="I96" s="25"/>
      <c r="J96" s="25"/>
      <c r="K96" s="25"/>
      <c r="L96" s="25"/>
      <c r="M96" s="25"/>
      <c r="N96" s="25"/>
      <c r="O96" s="25"/>
      <c r="P96" s="25"/>
      <c r="Q96" s="25"/>
      <c r="R96" s="25"/>
      <c r="S96" s="25"/>
      <c r="T96" s="34"/>
      <c r="U96" s="25"/>
      <c r="V96" s="53">
        <v>3022</v>
      </c>
      <c r="W96" s="25"/>
      <c r="X96" s="5"/>
    </row>
    <row r="97" spans="1:26" ht="15.6" x14ac:dyDescent="0.3">
      <c r="A97" s="24"/>
      <c r="B97" s="25" t="s">
        <v>30</v>
      </c>
      <c r="C97" s="25"/>
      <c r="D97" s="25"/>
      <c r="E97" s="25"/>
      <c r="F97" s="25"/>
      <c r="G97" s="25"/>
      <c r="H97" s="25"/>
      <c r="I97" s="25"/>
      <c r="J97" s="25"/>
      <c r="K97" s="25"/>
      <c r="L97" s="25"/>
      <c r="M97" s="25"/>
      <c r="N97" s="25"/>
      <c r="O97" s="25"/>
      <c r="P97" s="25"/>
      <c r="Q97" s="25"/>
      <c r="R97" s="25"/>
      <c r="S97" s="25"/>
      <c r="T97" s="34">
        <f>SUM(T89:T96)</f>
        <v>50855</v>
      </c>
      <c r="U97" s="25"/>
      <c r="V97" s="54">
        <f>SUM(V89:V96)</f>
        <v>22695</v>
      </c>
      <c r="W97" s="25"/>
      <c r="X97" s="5"/>
    </row>
    <row r="98" spans="1:26" ht="15.6" x14ac:dyDescent="0.3">
      <c r="A98" s="24"/>
      <c r="B98" s="25" t="s">
        <v>164</v>
      </c>
      <c r="C98" s="25"/>
      <c r="D98" s="25"/>
      <c r="E98" s="25"/>
      <c r="F98" s="25"/>
      <c r="G98" s="25"/>
      <c r="H98" s="25"/>
      <c r="I98" s="25"/>
      <c r="J98" s="25"/>
      <c r="K98" s="25"/>
      <c r="L98" s="25"/>
      <c r="M98" s="25"/>
      <c r="N98" s="25"/>
      <c r="O98" s="25"/>
      <c r="P98" s="25"/>
      <c r="Q98" s="25"/>
      <c r="R98" s="25"/>
      <c r="S98" s="25"/>
      <c r="T98" s="34">
        <f>-V98</f>
        <v>-1067</v>
      </c>
      <c r="U98" s="25"/>
      <c r="V98" s="54">
        <v>1067</v>
      </c>
      <c r="W98" s="25"/>
      <c r="X98" s="5"/>
    </row>
    <row r="99" spans="1:26"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6" ht="15.6" x14ac:dyDescent="0.3">
      <c r="A100" s="24"/>
      <c r="B100" s="25" t="s">
        <v>288</v>
      </c>
      <c r="C100" s="25"/>
      <c r="D100" s="25"/>
      <c r="E100" s="25"/>
      <c r="F100" s="25"/>
      <c r="G100" s="25"/>
      <c r="H100" s="25"/>
      <c r="I100" s="25"/>
      <c r="J100" s="25"/>
      <c r="K100" s="25"/>
      <c r="L100" s="25"/>
      <c r="M100" s="25"/>
      <c r="N100" s="25"/>
      <c r="O100" s="25"/>
      <c r="P100" s="25"/>
      <c r="Q100" s="25"/>
      <c r="R100" s="25"/>
      <c r="S100" s="25"/>
      <c r="T100" s="34"/>
      <c r="U100" s="25"/>
      <c r="V100" s="53">
        <v>0</v>
      </c>
      <c r="W100" s="25"/>
      <c r="X100" s="5"/>
    </row>
    <row r="101" spans="1:26"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49788</v>
      </c>
      <c r="U101" s="25"/>
      <c r="V101" s="54">
        <f>V97+V99+V98+V100</f>
        <v>23762</v>
      </c>
      <c r="W101" s="25"/>
      <c r="X101" s="5"/>
    </row>
    <row r="102" spans="1:26"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6"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6" ht="15.6" x14ac:dyDescent="0.3">
      <c r="A104" s="24">
        <f>+A103+1</f>
        <v>2</v>
      </c>
      <c r="B104" s="25" t="s">
        <v>231</v>
      </c>
      <c r="C104" s="25"/>
      <c r="D104" s="25"/>
      <c r="E104" s="25"/>
      <c r="F104" s="25"/>
      <c r="G104" s="25"/>
      <c r="H104" s="25"/>
      <c r="I104" s="25"/>
      <c r="J104" s="25"/>
      <c r="K104" s="25"/>
      <c r="L104" s="25"/>
      <c r="M104" s="25"/>
      <c r="N104" s="25"/>
      <c r="O104" s="25"/>
      <c r="P104" s="25"/>
      <c r="Q104" s="25"/>
      <c r="R104" s="25"/>
      <c r="S104" s="25"/>
      <c r="T104" s="25"/>
      <c r="U104" s="25"/>
      <c r="V104" s="53">
        <f>-2</f>
        <v>-2</v>
      </c>
      <c r="W104" s="25"/>
      <c r="X104" s="5"/>
    </row>
    <row r="105" spans="1:26" ht="15.6" x14ac:dyDescent="0.3">
      <c r="A105" s="24">
        <f>+A104+1</f>
        <v>3</v>
      </c>
      <c r="B105" s="25" t="s">
        <v>207</v>
      </c>
      <c r="C105" s="25"/>
      <c r="D105" s="25"/>
      <c r="E105" s="25"/>
      <c r="F105" s="25"/>
      <c r="G105" s="25"/>
      <c r="H105" s="25"/>
      <c r="I105" s="25"/>
      <c r="J105" s="25"/>
      <c r="K105" s="25"/>
      <c r="L105" s="25"/>
      <c r="M105" s="25"/>
      <c r="N105" s="25"/>
      <c r="O105" s="25"/>
      <c r="P105" s="25"/>
      <c r="Q105" s="25"/>
      <c r="R105" s="25"/>
      <c r="S105" s="25"/>
      <c r="T105" s="25"/>
      <c r="U105" s="25"/>
      <c r="V105" s="53">
        <f>-504-44-16</f>
        <v>-564</v>
      </c>
      <c r="W105" s="25"/>
      <c r="X105" s="5"/>
    </row>
    <row r="106" spans="1:26" ht="15.6" x14ac:dyDescent="0.3">
      <c r="A106" s="24" t="s">
        <v>130</v>
      </c>
      <c r="B106" s="25" t="s">
        <v>119</v>
      </c>
      <c r="C106" s="25"/>
      <c r="D106" s="25"/>
      <c r="E106" s="25"/>
      <c r="F106" s="25"/>
      <c r="G106" s="25"/>
      <c r="H106" s="25"/>
      <c r="I106" s="25"/>
      <c r="J106" s="25"/>
      <c r="K106" s="25"/>
      <c r="L106" s="25"/>
      <c r="M106" s="25"/>
      <c r="N106" s="25"/>
      <c r="O106" s="25"/>
      <c r="P106" s="25"/>
      <c r="Q106" s="25"/>
      <c r="R106" s="25"/>
      <c r="S106" s="25"/>
      <c r="T106" s="25"/>
      <c r="U106" s="25"/>
      <c r="V106" s="53">
        <v>0</v>
      </c>
      <c r="W106" s="25"/>
      <c r="X106" s="5"/>
    </row>
    <row r="107" spans="1:26" ht="15.6" x14ac:dyDescent="0.3">
      <c r="A107" s="24" t="s">
        <v>131</v>
      </c>
      <c r="B107" s="25" t="s">
        <v>228</v>
      </c>
      <c r="C107" s="25"/>
      <c r="D107" s="25"/>
      <c r="E107" s="25"/>
      <c r="F107" s="25"/>
      <c r="G107" s="25"/>
      <c r="H107" s="25"/>
      <c r="I107" s="25"/>
      <c r="J107" s="25"/>
      <c r="K107" s="25"/>
      <c r="L107" s="25"/>
      <c r="M107" s="25"/>
      <c r="N107" s="25"/>
      <c r="O107" s="25"/>
      <c r="P107" s="25"/>
      <c r="Q107" s="25"/>
      <c r="R107" s="25"/>
      <c r="S107" s="25"/>
      <c r="T107" s="25"/>
      <c r="U107" s="25"/>
      <c r="V107" s="53">
        <v>-15116</v>
      </c>
      <c r="W107" s="25"/>
      <c r="X107" s="5"/>
      <c r="Y107" s="109"/>
      <c r="Z107" s="109"/>
    </row>
    <row r="108" spans="1:26" ht="15.6" x14ac:dyDescent="0.3">
      <c r="A108" s="24" t="s">
        <v>153</v>
      </c>
      <c r="B108" s="25" t="s">
        <v>187</v>
      </c>
      <c r="C108" s="25"/>
      <c r="D108" s="25"/>
      <c r="E108" s="25"/>
      <c r="F108" s="25"/>
      <c r="G108" s="25"/>
      <c r="H108" s="25"/>
      <c r="I108" s="25"/>
      <c r="J108" s="25"/>
      <c r="K108" s="25"/>
      <c r="L108" s="25"/>
      <c r="M108" s="25"/>
      <c r="N108" s="25"/>
      <c r="O108" s="25"/>
      <c r="P108" s="25"/>
      <c r="Q108" s="25"/>
      <c r="R108" s="25"/>
      <c r="S108" s="25"/>
      <c r="T108" s="25"/>
      <c r="U108" s="25"/>
      <c r="V108" s="53">
        <f>-1594</f>
        <v>-1594</v>
      </c>
      <c r="W108" s="25"/>
      <c r="X108" s="5"/>
      <c r="Y108" s="109"/>
    </row>
    <row r="109" spans="1:26" ht="15.6" x14ac:dyDescent="0.3">
      <c r="A109" s="24" t="s">
        <v>266</v>
      </c>
      <c r="B109" s="25" t="s">
        <v>269</v>
      </c>
      <c r="C109" s="25"/>
      <c r="D109" s="25"/>
      <c r="E109" s="25"/>
      <c r="F109" s="25"/>
      <c r="G109" s="25"/>
      <c r="H109" s="25"/>
      <c r="I109" s="25"/>
      <c r="J109" s="25"/>
      <c r="K109" s="25"/>
      <c r="L109" s="25"/>
      <c r="M109" s="25"/>
      <c r="N109" s="25"/>
      <c r="O109" s="25"/>
      <c r="P109" s="25"/>
      <c r="Q109" s="25"/>
      <c r="R109" s="25"/>
      <c r="S109" s="25"/>
      <c r="T109" s="25"/>
      <c r="U109" s="25"/>
      <c r="V109" s="53">
        <v>-3</v>
      </c>
      <c r="W109" s="25"/>
      <c r="X109" s="5"/>
    </row>
    <row r="110" spans="1:26" ht="15.6" x14ac:dyDescent="0.3">
      <c r="A110" s="24" t="s">
        <v>208</v>
      </c>
      <c r="B110" s="25" t="s">
        <v>188</v>
      </c>
      <c r="C110" s="25"/>
      <c r="D110" s="25"/>
      <c r="E110" s="25"/>
      <c r="F110" s="25"/>
      <c r="G110" s="25"/>
      <c r="H110" s="25"/>
      <c r="I110" s="25"/>
      <c r="J110" s="25"/>
      <c r="K110" s="25"/>
      <c r="L110" s="25"/>
      <c r="M110" s="25"/>
      <c r="N110" s="25"/>
      <c r="O110" s="25"/>
      <c r="P110" s="25"/>
      <c r="Q110" s="25"/>
      <c r="R110" s="25"/>
      <c r="S110" s="25"/>
      <c r="T110" s="25"/>
      <c r="U110" s="25"/>
      <c r="V110" s="53">
        <v>-826</v>
      </c>
      <c r="W110" s="25"/>
      <c r="X110" s="5"/>
      <c r="Y110" s="109"/>
    </row>
    <row r="111" spans="1:26" ht="15.6" x14ac:dyDescent="0.3">
      <c r="A111" s="24" t="s">
        <v>209</v>
      </c>
      <c r="B111" s="25" t="s">
        <v>189</v>
      </c>
      <c r="C111" s="25"/>
      <c r="D111" s="25"/>
      <c r="E111" s="25"/>
      <c r="F111" s="25"/>
      <c r="G111" s="25"/>
      <c r="H111" s="25"/>
      <c r="I111" s="25"/>
      <c r="J111" s="25"/>
      <c r="K111" s="25"/>
      <c r="L111" s="25"/>
      <c r="M111" s="25"/>
      <c r="N111" s="25"/>
      <c r="O111" s="25"/>
      <c r="P111" s="25"/>
      <c r="Q111" s="25"/>
      <c r="R111" s="25"/>
      <c r="S111" s="25"/>
      <c r="T111" s="25"/>
      <c r="U111" s="25"/>
      <c r="V111" s="53">
        <v>-819</v>
      </c>
      <c r="W111" s="25"/>
      <c r="X111" s="5"/>
      <c r="Y111" s="109"/>
    </row>
    <row r="112" spans="1:26" ht="15.6" x14ac:dyDescent="0.3">
      <c r="A112" s="24" t="s">
        <v>210</v>
      </c>
      <c r="B112" s="25" t="s">
        <v>199</v>
      </c>
      <c r="C112" s="25"/>
      <c r="D112" s="25"/>
      <c r="E112" s="25"/>
      <c r="F112" s="25"/>
      <c r="G112" s="25"/>
      <c r="H112" s="25"/>
      <c r="I112" s="25"/>
      <c r="J112" s="25"/>
      <c r="K112" s="25"/>
      <c r="L112" s="25"/>
      <c r="M112" s="25"/>
      <c r="N112" s="25"/>
      <c r="O112" s="25"/>
      <c r="P112" s="25"/>
      <c r="Q112" s="25"/>
      <c r="R112" s="25"/>
      <c r="S112" s="25"/>
      <c r="T112" s="25"/>
      <c r="U112" s="25"/>
      <c r="V112" s="53">
        <v>-825</v>
      </c>
      <c r="W112" s="25"/>
      <c r="X112" s="5"/>
      <c r="Y112" s="109"/>
    </row>
    <row r="113" spans="1:25" ht="15.6" x14ac:dyDescent="0.3">
      <c r="A113" s="24" t="s">
        <v>230</v>
      </c>
      <c r="B113" s="25" t="s">
        <v>229</v>
      </c>
      <c r="C113" s="25"/>
      <c r="D113" s="25"/>
      <c r="E113" s="25"/>
      <c r="F113" s="25"/>
      <c r="G113" s="25"/>
      <c r="H113" s="25"/>
      <c r="I113" s="25"/>
      <c r="J113" s="25"/>
      <c r="K113" s="25"/>
      <c r="L113" s="25"/>
      <c r="M113" s="25"/>
      <c r="N113" s="25"/>
      <c r="O113" s="25"/>
      <c r="P113" s="25"/>
      <c r="Q113" s="25"/>
      <c r="R113" s="25"/>
      <c r="S113" s="25"/>
      <c r="T113" s="25"/>
      <c r="U113" s="25"/>
      <c r="V113" s="53">
        <v>-197</v>
      </c>
      <c r="W113" s="25"/>
      <c r="X113" s="5"/>
      <c r="Y113" s="109"/>
    </row>
    <row r="114" spans="1:25" ht="15.6" x14ac:dyDescent="0.3">
      <c r="A114" s="24">
        <v>7</v>
      </c>
      <c r="B114" s="25" t="s">
        <v>35</v>
      </c>
      <c r="C114" s="25"/>
      <c r="D114" s="25"/>
      <c r="E114" s="25"/>
      <c r="F114" s="25"/>
      <c r="G114" s="25"/>
      <c r="H114" s="25"/>
      <c r="I114" s="25"/>
      <c r="J114" s="25"/>
      <c r="K114" s="25"/>
      <c r="L114" s="25"/>
      <c r="M114" s="25"/>
      <c r="N114" s="25"/>
      <c r="O114" s="25"/>
      <c r="P114" s="25"/>
      <c r="Q114" s="25"/>
      <c r="R114" s="25"/>
      <c r="S114" s="25"/>
      <c r="T114" s="25"/>
      <c r="U114" s="25"/>
      <c r="V114" s="53">
        <v>-10</v>
      </c>
      <c r="W114" s="25"/>
      <c r="X114" s="5"/>
    </row>
    <row r="115" spans="1:25" ht="15.6" x14ac:dyDescent="0.3">
      <c r="A115" s="24">
        <f t="shared" ref="A115:A121" si="0">+A114+1</f>
        <v>8</v>
      </c>
      <c r="B115" s="25" t="s">
        <v>45</v>
      </c>
      <c r="C115" s="25"/>
      <c r="D115" s="25"/>
      <c r="E115" s="25"/>
      <c r="F115" s="25"/>
      <c r="G115" s="25"/>
      <c r="H115" s="25"/>
      <c r="I115" s="25"/>
      <c r="J115" s="25"/>
      <c r="K115" s="25"/>
      <c r="L115" s="25"/>
      <c r="M115" s="25"/>
      <c r="N115" s="25"/>
      <c r="O115" s="25"/>
      <c r="P115" s="25"/>
      <c r="Q115" s="25"/>
      <c r="R115" s="25"/>
      <c r="S115" s="25"/>
      <c r="T115" s="34">
        <f>-V115</f>
        <v>-3</v>
      </c>
      <c r="U115" s="25"/>
      <c r="V115" s="53">
        <v>3</v>
      </c>
      <c r="W115" s="25"/>
      <c r="X115" s="5"/>
    </row>
    <row r="116" spans="1:25" ht="15.6" x14ac:dyDescent="0.3">
      <c r="A116" s="24">
        <f t="shared" si="0"/>
        <v>9</v>
      </c>
      <c r="B116" s="25" t="s">
        <v>128</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5" ht="15.6" x14ac:dyDescent="0.3">
      <c r="A117" s="24">
        <f t="shared" si="0"/>
        <v>10</v>
      </c>
      <c r="B117" s="25" t="s">
        <v>271</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11</v>
      </c>
      <c r="B118" s="25" t="s">
        <v>36</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12</v>
      </c>
      <c r="B119" s="25" t="s">
        <v>270</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13</v>
      </c>
      <c r="B120" s="25" t="s">
        <v>152</v>
      </c>
      <c r="C120" s="25"/>
      <c r="D120" s="25"/>
      <c r="E120" s="25"/>
      <c r="F120" s="25"/>
      <c r="G120" s="25"/>
      <c r="H120" s="25"/>
      <c r="I120" s="25"/>
      <c r="J120" s="25"/>
      <c r="K120" s="25"/>
      <c r="L120" s="25"/>
      <c r="M120" s="25"/>
      <c r="N120" s="25"/>
      <c r="O120" s="25"/>
      <c r="P120" s="25"/>
      <c r="Q120" s="25"/>
      <c r="R120" s="25"/>
      <c r="S120" s="25"/>
      <c r="T120" s="25"/>
      <c r="U120" s="25"/>
      <c r="V120" s="53">
        <v>-504</v>
      </c>
      <c r="W120" s="25"/>
      <c r="X120" s="5"/>
    </row>
    <row r="121" spans="1:25" ht="15.6" x14ac:dyDescent="0.3">
      <c r="A121" s="24">
        <f t="shared" si="0"/>
        <v>14</v>
      </c>
      <c r="B121" s="25" t="s">
        <v>129</v>
      </c>
      <c r="C121" s="25"/>
      <c r="D121" s="25"/>
      <c r="E121" s="25"/>
      <c r="F121" s="25"/>
      <c r="G121" s="25"/>
      <c r="H121" s="25"/>
      <c r="I121" s="25"/>
      <c r="J121" s="25"/>
      <c r="K121" s="25"/>
      <c r="L121" s="25"/>
      <c r="M121" s="25"/>
      <c r="N121" s="25"/>
      <c r="O121" s="25"/>
      <c r="P121" s="25"/>
      <c r="Q121" s="25"/>
      <c r="R121" s="25"/>
      <c r="S121" s="25"/>
      <c r="T121" s="25"/>
      <c r="U121" s="25"/>
      <c r="V121" s="53">
        <f>-V101-SUM(V103:V120)</f>
        <v>-3305</v>
      </c>
      <c r="W121" s="25"/>
      <c r="X121" s="5"/>
    </row>
    <row r="122" spans="1:25" ht="15.6" x14ac:dyDescent="0.3">
      <c r="A122" s="24"/>
      <c r="B122" s="118" t="s">
        <v>37</v>
      </c>
      <c r="C122" s="25"/>
      <c r="D122" s="25"/>
      <c r="E122" s="25"/>
      <c r="F122" s="25"/>
      <c r="G122" s="25"/>
      <c r="H122" s="25"/>
      <c r="I122" s="25"/>
      <c r="J122" s="25"/>
      <c r="K122" s="25"/>
      <c r="L122" s="25"/>
      <c r="M122" s="25"/>
      <c r="N122" s="25"/>
      <c r="O122" s="25"/>
      <c r="P122" s="25"/>
      <c r="Q122" s="25"/>
      <c r="R122" s="25"/>
      <c r="S122" s="25"/>
      <c r="T122" s="25"/>
      <c r="U122" s="25"/>
      <c r="V122" s="59"/>
      <c r="W122" s="25"/>
      <c r="X122" s="5"/>
    </row>
    <row r="123" spans="1:25" ht="15.6" x14ac:dyDescent="0.3">
      <c r="A123" s="24"/>
      <c r="B123" s="25" t="s">
        <v>176</v>
      </c>
      <c r="C123" s="25"/>
      <c r="D123" s="25"/>
      <c r="E123" s="25"/>
      <c r="F123" s="25"/>
      <c r="G123" s="25"/>
      <c r="H123" s="25"/>
      <c r="I123" s="25"/>
      <c r="J123" s="25"/>
      <c r="K123" s="25"/>
      <c r="L123" s="25"/>
      <c r="M123" s="25"/>
      <c r="N123" s="25"/>
      <c r="O123" s="25"/>
      <c r="P123" s="25"/>
      <c r="Q123" s="25"/>
      <c r="R123" s="25"/>
      <c r="S123" s="25"/>
      <c r="T123" s="34">
        <f>-T182</f>
        <v>0</v>
      </c>
      <c r="U123" s="34"/>
      <c r="V123" s="53"/>
      <c r="W123" s="25"/>
      <c r="X123" s="5"/>
    </row>
    <row r="124" spans="1:25" ht="15.6" x14ac:dyDescent="0.3">
      <c r="A124" s="24"/>
      <c r="B124" s="25" t="s">
        <v>177</v>
      </c>
      <c r="C124" s="25"/>
      <c r="D124" s="25"/>
      <c r="E124" s="25"/>
      <c r="F124" s="25"/>
      <c r="G124" s="25"/>
      <c r="H124" s="25"/>
      <c r="I124" s="25"/>
      <c r="J124" s="25"/>
      <c r="K124" s="25"/>
      <c r="L124" s="25"/>
      <c r="M124" s="25"/>
      <c r="N124" s="25"/>
      <c r="O124" s="25"/>
      <c r="P124" s="25"/>
      <c r="Q124" s="25"/>
      <c r="R124" s="25"/>
      <c r="S124" s="25"/>
      <c r="T124" s="34">
        <v>-769</v>
      </c>
      <c r="U124" s="34"/>
      <c r="V124" s="53"/>
      <c r="W124" s="25"/>
      <c r="X124" s="5"/>
    </row>
    <row r="125" spans="1:25" ht="15.6" x14ac:dyDescent="0.3">
      <c r="A125" s="24"/>
      <c r="B125" s="25" t="s">
        <v>38</v>
      </c>
      <c r="C125" s="25"/>
      <c r="D125" s="25"/>
      <c r="E125" s="25"/>
      <c r="F125" s="25"/>
      <c r="G125" s="25"/>
      <c r="H125" s="25"/>
      <c r="I125" s="25"/>
      <c r="J125" s="25"/>
      <c r="K125" s="25"/>
      <c r="L125" s="25"/>
      <c r="M125" s="25"/>
      <c r="N125" s="25"/>
      <c r="O125" s="25"/>
      <c r="P125" s="25"/>
      <c r="Q125" s="25"/>
      <c r="R125" s="25"/>
      <c r="S125" s="25"/>
      <c r="T125" s="34">
        <f>-S182</f>
        <v>-3171</v>
      </c>
      <c r="U125" s="34"/>
      <c r="V125" s="53"/>
      <c r="W125" s="25"/>
      <c r="X125" s="5"/>
    </row>
    <row r="126" spans="1:25" ht="15.6" x14ac:dyDescent="0.3">
      <c r="A126" s="24"/>
      <c r="B126" s="25" t="s">
        <v>200</v>
      </c>
      <c r="C126" s="25"/>
      <c r="D126" s="25"/>
      <c r="E126" s="25"/>
      <c r="F126" s="25"/>
      <c r="G126" s="25"/>
      <c r="H126" s="25"/>
      <c r="I126" s="25"/>
      <c r="J126" s="25"/>
      <c r="K126" s="25"/>
      <c r="L126" s="25"/>
      <c r="M126" s="25"/>
      <c r="N126" s="25"/>
      <c r="O126" s="25"/>
      <c r="P126" s="25"/>
      <c r="Q126" s="25"/>
      <c r="R126" s="25"/>
      <c r="S126" s="25"/>
      <c r="T126" s="34">
        <v>-27701</v>
      </c>
      <c r="U126" s="34"/>
      <c r="V126" s="53"/>
      <c r="W126" s="25"/>
      <c r="X126" s="5"/>
    </row>
    <row r="127" spans="1:25" ht="15.6" x14ac:dyDescent="0.3">
      <c r="A127" s="24"/>
      <c r="B127" s="25" t="s">
        <v>198</v>
      </c>
      <c r="C127" s="25"/>
      <c r="D127" s="25"/>
      <c r="E127" s="25"/>
      <c r="F127" s="25"/>
      <c r="G127" s="25"/>
      <c r="H127" s="25"/>
      <c r="I127" s="25"/>
      <c r="J127" s="25"/>
      <c r="K127" s="25"/>
      <c r="L127" s="25"/>
      <c r="M127" s="25"/>
      <c r="N127" s="25"/>
      <c r="O127" s="25"/>
      <c r="P127" s="25"/>
      <c r="Q127" s="25"/>
      <c r="R127" s="25"/>
      <c r="S127" s="25"/>
      <c r="T127" s="34">
        <v>-4340</v>
      </c>
      <c r="U127" s="34"/>
      <c r="V127" s="53"/>
      <c r="W127" s="25"/>
      <c r="X127" s="5"/>
    </row>
    <row r="128" spans="1:25" ht="15.6" x14ac:dyDescent="0.3">
      <c r="A128" s="24"/>
      <c r="B128" s="25" t="s">
        <v>197</v>
      </c>
      <c r="C128" s="25"/>
      <c r="D128" s="25"/>
      <c r="E128" s="25"/>
      <c r="F128" s="25"/>
      <c r="G128" s="25"/>
      <c r="H128" s="25"/>
      <c r="I128" s="25"/>
      <c r="J128" s="25"/>
      <c r="K128" s="25"/>
      <c r="L128" s="25"/>
      <c r="M128" s="25"/>
      <c r="N128" s="25"/>
      <c r="O128" s="25"/>
      <c r="P128" s="25"/>
      <c r="Q128" s="25"/>
      <c r="R128" s="25"/>
      <c r="S128" s="25"/>
      <c r="T128" s="34">
        <v>-7340</v>
      </c>
      <c r="U128" s="34"/>
      <c r="V128" s="53"/>
      <c r="W128" s="25"/>
      <c r="X128" s="5"/>
    </row>
    <row r="129" spans="1:24" ht="15.6" x14ac:dyDescent="0.3">
      <c r="A129" s="24"/>
      <c r="B129" s="25" t="s">
        <v>232</v>
      </c>
      <c r="C129" s="25"/>
      <c r="D129" s="25"/>
      <c r="E129" s="25"/>
      <c r="F129" s="25"/>
      <c r="G129" s="25"/>
      <c r="H129" s="25"/>
      <c r="I129" s="25"/>
      <c r="J129" s="25"/>
      <c r="K129" s="25"/>
      <c r="L129" s="25"/>
      <c r="M129" s="25"/>
      <c r="N129" s="25"/>
      <c r="O129" s="25"/>
      <c r="P129" s="25"/>
      <c r="Q129" s="25"/>
      <c r="R129" s="25"/>
      <c r="S129" s="25"/>
      <c r="T129" s="34">
        <v>-6464</v>
      </c>
      <c r="U129" s="34"/>
      <c r="V129" s="53"/>
      <c r="W129" s="25"/>
      <c r="X129" s="5"/>
    </row>
    <row r="130" spans="1:24" ht="15.6" x14ac:dyDescent="0.3">
      <c r="A130" s="24"/>
      <c r="B130" s="25" t="s">
        <v>192</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191</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233</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190</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39</v>
      </c>
      <c r="C134" s="25"/>
      <c r="D134" s="25"/>
      <c r="E134" s="25"/>
      <c r="F134" s="25"/>
      <c r="G134" s="25"/>
      <c r="H134" s="25"/>
      <c r="I134" s="25"/>
      <c r="J134" s="25"/>
      <c r="K134" s="25"/>
      <c r="L134" s="25"/>
      <c r="M134" s="25"/>
      <c r="N134" s="25"/>
      <c r="O134" s="25"/>
      <c r="P134" s="25"/>
      <c r="Q134" s="25"/>
      <c r="R134" s="25"/>
      <c r="S134" s="25"/>
      <c r="T134" s="34">
        <f>SUM(T123:T133)</f>
        <v>-49785</v>
      </c>
      <c r="U134" s="34"/>
      <c r="V134" s="34">
        <f>SUM(V102:V131)</f>
        <v>-23762</v>
      </c>
      <c r="W134" s="25"/>
      <c r="X134" s="5"/>
    </row>
    <row r="135" spans="1:24" ht="15.6" x14ac:dyDescent="0.3">
      <c r="A135" s="24"/>
      <c r="B135" s="25" t="s">
        <v>40</v>
      </c>
      <c r="C135" s="25"/>
      <c r="D135" s="25"/>
      <c r="E135" s="25"/>
      <c r="F135" s="25"/>
      <c r="G135" s="25"/>
      <c r="H135" s="25"/>
      <c r="I135" s="25"/>
      <c r="J135" s="25"/>
      <c r="K135" s="25"/>
      <c r="L135" s="25"/>
      <c r="M135" s="25"/>
      <c r="N135" s="25"/>
      <c r="O135" s="25"/>
      <c r="P135" s="25"/>
      <c r="Q135" s="25"/>
      <c r="R135" s="25"/>
      <c r="S135" s="25"/>
      <c r="T135" s="34">
        <f>T101+T134+T115</f>
        <v>0</v>
      </c>
      <c r="U135" s="34"/>
      <c r="V135" s="34">
        <f>V101+V134</f>
        <v>0</v>
      </c>
      <c r="W135" s="25"/>
      <c r="X135" s="5"/>
    </row>
    <row r="136" spans="1:24" ht="15.6" x14ac:dyDescent="0.3">
      <c r="A136" s="24"/>
      <c r="B136" s="25"/>
      <c r="C136" s="25"/>
      <c r="D136" s="25"/>
      <c r="E136" s="25"/>
      <c r="F136" s="25"/>
      <c r="G136" s="25"/>
      <c r="H136" s="25"/>
      <c r="I136" s="25"/>
      <c r="J136" s="25"/>
      <c r="K136" s="25"/>
      <c r="L136" s="25"/>
      <c r="M136" s="25"/>
      <c r="N136" s="25"/>
      <c r="O136" s="25"/>
      <c r="P136" s="25"/>
      <c r="Q136" s="25"/>
      <c r="R136" s="25"/>
      <c r="S136" s="25"/>
      <c r="T136" s="34"/>
      <c r="U136" s="34"/>
      <c r="V136" s="34"/>
      <c r="W136" s="25"/>
      <c r="X136" s="5"/>
    </row>
    <row r="137" spans="1:24" ht="15.6" x14ac:dyDescent="0.3">
      <c r="A137" s="6"/>
      <c r="B137" s="8"/>
      <c r="C137" s="8"/>
      <c r="D137" s="8"/>
      <c r="E137" s="8"/>
      <c r="F137" s="8"/>
      <c r="G137" s="8"/>
      <c r="H137" s="8"/>
      <c r="I137" s="8"/>
      <c r="J137" s="8"/>
      <c r="K137" s="8"/>
      <c r="L137" s="8"/>
      <c r="M137" s="8"/>
      <c r="N137" s="8"/>
      <c r="O137" s="8"/>
      <c r="P137" s="8"/>
      <c r="Q137" s="8"/>
      <c r="R137" s="8"/>
      <c r="S137" s="8"/>
      <c r="T137" s="8"/>
      <c r="U137" s="8"/>
      <c r="V137" s="52"/>
      <c r="W137" s="8"/>
      <c r="X137" s="5"/>
    </row>
    <row r="138" spans="1:24" ht="18" thickBot="1" x14ac:dyDescent="0.35">
      <c r="A138" s="101"/>
      <c r="B138" s="102" t="str">
        <f>B64</f>
        <v>PM13 INVESTOR REPORT QUARTER ENDING MARCH 2008</v>
      </c>
      <c r="C138" s="103"/>
      <c r="D138" s="103"/>
      <c r="E138" s="103"/>
      <c r="F138" s="103"/>
      <c r="G138" s="103"/>
      <c r="H138" s="103"/>
      <c r="I138" s="103"/>
      <c r="J138" s="103"/>
      <c r="K138" s="103"/>
      <c r="L138" s="103"/>
      <c r="M138" s="103"/>
      <c r="N138" s="103"/>
      <c r="O138" s="103"/>
      <c r="P138" s="103"/>
      <c r="Q138" s="103"/>
      <c r="R138" s="103"/>
      <c r="S138" s="103"/>
      <c r="T138" s="103"/>
      <c r="U138" s="103"/>
      <c r="V138" s="106"/>
      <c r="W138" s="105"/>
      <c r="X138" s="5"/>
    </row>
    <row r="139" spans="1:24" ht="15.6" x14ac:dyDescent="0.3">
      <c r="A139" s="2"/>
      <c r="B139" s="60" t="s">
        <v>41</v>
      </c>
      <c r="C139" s="4"/>
      <c r="D139" s="4"/>
      <c r="E139" s="4"/>
      <c r="F139" s="4"/>
      <c r="G139" s="4"/>
      <c r="H139" s="4"/>
      <c r="I139" s="4"/>
      <c r="J139" s="4"/>
      <c r="K139" s="4"/>
      <c r="L139" s="4"/>
      <c r="M139" s="4"/>
      <c r="N139" s="4"/>
      <c r="O139" s="4"/>
      <c r="P139" s="4"/>
      <c r="Q139" s="4"/>
      <c r="R139" s="4"/>
      <c r="S139" s="4"/>
      <c r="T139" s="4"/>
      <c r="U139" s="4"/>
      <c r="V139" s="50"/>
      <c r="W139" s="4"/>
      <c r="X139" s="5"/>
    </row>
    <row r="140" spans="1:24" ht="15.6" x14ac:dyDescent="0.3">
      <c r="A140" s="6"/>
      <c r="B140" s="21"/>
      <c r="C140" s="8"/>
      <c r="D140" s="8"/>
      <c r="E140" s="8"/>
      <c r="F140" s="8"/>
      <c r="G140" s="8"/>
      <c r="H140" s="8"/>
      <c r="I140" s="8"/>
      <c r="J140" s="8"/>
      <c r="K140" s="8"/>
      <c r="L140" s="8"/>
      <c r="M140" s="8"/>
      <c r="N140" s="8"/>
      <c r="O140" s="8"/>
      <c r="P140" s="8"/>
      <c r="Q140" s="8"/>
      <c r="R140" s="8"/>
      <c r="S140" s="8"/>
      <c r="T140" s="8"/>
      <c r="U140" s="8"/>
      <c r="V140" s="52"/>
      <c r="W140" s="8"/>
      <c r="X140" s="5"/>
    </row>
    <row r="141" spans="1:24" ht="15.6" x14ac:dyDescent="0.3">
      <c r="A141" s="6"/>
      <c r="B141" s="119" t="s">
        <v>42</v>
      </c>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24"/>
      <c r="B142" s="25" t="s">
        <v>43</v>
      </c>
      <c r="C142" s="25"/>
      <c r="D142" s="25"/>
      <c r="E142" s="25"/>
      <c r="F142" s="25"/>
      <c r="G142" s="25"/>
      <c r="H142" s="25"/>
      <c r="I142" s="25"/>
      <c r="J142" s="25"/>
      <c r="K142" s="25"/>
      <c r="L142" s="25"/>
      <c r="M142" s="25"/>
      <c r="N142" s="25"/>
      <c r="O142" s="25"/>
      <c r="P142" s="25"/>
      <c r="Q142" s="25"/>
      <c r="R142" s="25"/>
      <c r="S142" s="25"/>
      <c r="T142" s="25"/>
      <c r="U142" s="25"/>
      <c r="V142" s="53">
        <f>+V34*0.019</f>
        <v>28503.61</v>
      </c>
      <c r="W142" s="25"/>
      <c r="X142" s="5"/>
    </row>
    <row r="143" spans="1:24" ht="15.6" x14ac:dyDescent="0.3">
      <c r="A143" s="24"/>
      <c r="B143" s="25" t="s">
        <v>44</v>
      </c>
      <c r="C143" s="25"/>
      <c r="D143" s="25"/>
      <c r="E143" s="25"/>
      <c r="F143" s="25"/>
      <c r="G143" s="25"/>
      <c r="H143" s="25"/>
      <c r="I143" s="25"/>
      <c r="J143" s="25"/>
      <c r="K143" s="25"/>
      <c r="L143" s="25"/>
      <c r="M143" s="25"/>
      <c r="N143" s="25"/>
      <c r="O143" s="25"/>
      <c r="P143" s="25"/>
      <c r="Q143" s="25"/>
      <c r="R143" s="25"/>
      <c r="S143" s="25"/>
      <c r="T143" s="25"/>
      <c r="U143" s="25"/>
      <c r="V143" s="53">
        <v>28504</v>
      </c>
      <c r="W143" s="25"/>
      <c r="X143" s="5"/>
    </row>
    <row r="144" spans="1:24" ht="15.6" x14ac:dyDescent="0.3">
      <c r="A144" s="24"/>
      <c r="B144" s="25" t="s">
        <v>139</v>
      </c>
      <c r="C144" s="25"/>
      <c r="D144" s="25"/>
      <c r="E144" s="25"/>
      <c r="F144" s="25"/>
      <c r="G144" s="25"/>
      <c r="H144" s="25"/>
      <c r="I144" s="25"/>
      <c r="J144" s="25"/>
      <c r="K144" s="25"/>
      <c r="L144" s="25"/>
      <c r="M144" s="25"/>
      <c r="N144" s="25"/>
      <c r="O144" s="25"/>
      <c r="P144" s="25"/>
      <c r="Q144" s="25"/>
      <c r="R144" s="25"/>
      <c r="S144" s="25"/>
      <c r="T144" s="25"/>
      <c r="U144" s="25"/>
      <c r="V144" s="53"/>
      <c r="W144" s="25"/>
      <c r="X144" s="5"/>
    </row>
    <row r="145" spans="1:25" ht="15.6" x14ac:dyDescent="0.3">
      <c r="A145" s="24"/>
      <c r="B145" s="25" t="s">
        <v>126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127</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178</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45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132</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267</v>
      </c>
      <c r="C150" s="25"/>
      <c r="D150" s="25"/>
      <c r="E150" s="25"/>
      <c r="F150" s="25"/>
      <c r="G150" s="25"/>
      <c r="H150" s="25"/>
      <c r="I150" s="25"/>
      <c r="J150" s="25"/>
      <c r="K150" s="25"/>
      <c r="L150" s="25"/>
      <c r="M150" s="25"/>
      <c r="N150" s="25"/>
      <c r="O150" s="25"/>
      <c r="P150" s="25"/>
      <c r="Q150" s="25"/>
      <c r="R150" s="25"/>
      <c r="S150" s="25"/>
      <c r="T150" s="25"/>
      <c r="U150" s="25"/>
      <c r="V150" s="53">
        <v>0</v>
      </c>
      <c r="W150" s="25"/>
      <c r="X150" s="5"/>
      <c r="Y150" s="109"/>
    </row>
    <row r="151" spans="1:25" ht="15.6" x14ac:dyDescent="0.3">
      <c r="A151" s="24"/>
      <c r="B151" s="25" t="s">
        <v>46</v>
      </c>
      <c r="C151" s="25"/>
      <c r="D151" s="25"/>
      <c r="E151" s="25"/>
      <c r="F151" s="25"/>
      <c r="G151" s="25"/>
      <c r="H151" s="25"/>
      <c r="I151" s="25"/>
      <c r="J151" s="25"/>
      <c r="K151" s="25"/>
      <c r="L151" s="25"/>
      <c r="M151" s="25"/>
      <c r="N151" s="25"/>
      <c r="O151" s="25"/>
      <c r="P151" s="25"/>
      <c r="Q151" s="25"/>
      <c r="R151" s="25"/>
      <c r="S151" s="25"/>
      <c r="T151" s="25"/>
      <c r="U151" s="25"/>
      <c r="V151" s="53">
        <f>SUM(V143:V150)</f>
        <v>28504</v>
      </c>
      <c r="W151" s="25"/>
      <c r="X151" s="5"/>
    </row>
    <row r="152" spans="1:25" ht="15.6" x14ac:dyDescent="0.3">
      <c r="A152" s="24"/>
      <c r="B152" s="25"/>
      <c r="C152" s="25"/>
      <c r="D152" s="25"/>
      <c r="E152" s="25"/>
      <c r="F152" s="25"/>
      <c r="G152" s="25"/>
      <c r="H152" s="25"/>
      <c r="I152" s="25"/>
      <c r="J152" s="25"/>
      <c r="K152" s="25"/>
      <c r="L152" s="25"/>
      <c r="M152" s="25"/>
      <c r="N152" s="25"/>
      <c r="O152" s="25"/>
      <c r="P152" s="25"/>
      <c r="Q152" s="25"/>
      <c r="R152" s="25"/>
      <c r="S152" s="25"/>
      <c r="T152" s="25"/>
      <c r="U152" s="25"/>
      <c r="V152" s="53"/>
      <c r="W152" s="25"/>
      <c r="X152" s="5"/>
    </row>
    <row r="153" spans="1:25" ht="15.6" x14ac:dyDescent="0.3">
      <c r="A153" s="24"/>
      <c r="B153" s="138" t="s">
        <v>268</v>
      </c>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25" t="s">
        <v>158</v>
      </c>
      <c r="C154" s="25"/>
      <c r="D154" s="25"/>
      <c r="E154" s="25"/>
      <c r="F154" s="25"/>
      <c r="G154" s="25"/>
      <c r="H154" s="25"/>
      <c r="I154" s="25"/>
      <c r="J154" s="25"/>
      <c r="K154" s="25"/>
      <c r="L154" s="25"/>
      <c r="M154" s="25"/>
      <c r="N154" s="25"/>
      <c r="O154" s="25"/>
      <c r="P154" s="25"/>
      <c r="Q154" s="25"/>
      <c r="R154" s="25"/>
      <c r="S154" s="25"/>
      <c r="T154" s="25"/>
      <c r="U154" s="25"/>
      <c r="V154" s="53">
        <v>15000</v>
      </c>
      <c r="W154" s="25"/>
      <c r="X154" s="5"/>
    </row>
    <row r="155" spans="1:25" ht="15.6" x14ac:dyDescent="0.3">
      <c r="A155" s="24"/>
      <c r="B155" s="25" t="s">
        <v>175</v>
      </c>
      <c r="C155" s="25"/>
      <c r="D155" s="25"/>
      <c r="E155" s="25"/>
      <c r="F155" s="25"/>
      <c r="G155" s="25"/>
      <c r="H155" s="25"/>
      <c r="I155" s="25"/>
      <c r="J155" s="25"/>
      <c r="K155" s="25"/>
      <c r="L155" s="25"/>
      <c r="M155" s="25"/>
      <c r="N155" s="25"/>
      <c r="O155" s="25"/>
      <c r="P155" s="25"/>
      <c r="Q155" s="25"/>
      <c r="R155" s="25"/>
      <c r="S155" s="25"/>
      <c r="T155" s="25"/>
      <c r="U155" s="25"/>
      <c r="V155" s="53">
        <v>0</v>
      </c>
      <c r="W155" s="25"/>
      <c r="X155" s="5"/>
    </row>
    <row r="156" spans="1:25" ht="15.6" x14ac:dyDescent="0.3">
      <c r="A156" s="24"/>
      <c r="B156" s="25" t="s">
        <v>272</v>
      </c>
      <c r="C156" s="25"/>
      <c r="D156" s="25"/>
      <c r="E156" s="25"/>
      <c r="F156" s="25"/>
      <c r="G156" s="25"/>
      <c r="H156" s="25"/>
      <c r="I156" s="25"/>
      <c r="J156" s="25"/>
      <c r="K156" s="25"/>
      <c r="L156" s="25"/>
      <c r="M156" s="25"/>
      <c r="N156" s="25"/>
      <c r="O156" s="25"/>
      <c r="P156" s="25"/>
      <c r="Q156" s="25"/>
      <c r="R156" s="25"/>
      <c r="S156" s="25"/>
      <c r="T156" s="25"/>
      <c r="U156" s="25"/>
      <c r="V156" s="53">
        <v>7795</v>
      </c>
      <c r="W156" s="25"/>
      <c r="X156" s="5"/>
    </row>
    <row r="157" spans="1:25" ht="15.6" x14ac:dyDescent="0.3">
      <c r="A157" s="24"/>
      <c r="B157" s="25"/>
      <c r="C157" s="25"/>
      <c r="D157" s="25"/>
      <c r="E157" s="25"/>
      <c r="F157" s="25"/>
      <c r="G157" s="25"/>
      <c r="H157" s="25"/>
      <c r="I157" s="25"/>
      <c r="J157" s="25"/>
      <c r="K157" s="25"/>
      <c r="L157" s="25"/>
      <c r="M157" s="25"/>
      <c r="N157" s="25"/>
      <c r="O157" s="25"/>
      <c r="P157" s="25"/>
      <c r="Q157" s="25"/>
      <c r="R157" s="25"/>
      <c r="S157" s="25"/>
      <c r="T157" s="25"/>
      <c r="U157" s="25"/>
      <c r="V157" s="53"/>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61"/>
      <c r="W158" s="25"/>
      <c r="X158" s="5"/>
    </row>
    <row r="159" spans="1:25" ht="15.6" x14ac:dyDescent="0.3">
      <c r="A159" s="6"/>
      <c r="B159" s="119" t="s">
        <v>24</v>
      </c>
      <c r="C159" s="8"/>
      <c r="D159" s="8"/>
      <c r="E159" s="8"/>
      <c r="F159" s="8"/>
      <c r="G159" s="8"/>
      <c r="H159" s="8"/>
      <c r="I159" s="8"/>
      <c r="J159" s="8"/>
      <c r="K159" s="8"/>
      <c r="L159" s="8"/>
      <c r="M159" s="8"/>
      <c r="N159" s="8"/>
      <c r="O159" s="8"/>
      <c r="P159" s="8"/>
      <c r="Q159" s="8"/>
      <c r="R159" s="8"/>
      <c r="S159" s="8"/>
      <c r="T159" s="8"/>
      <c r="U159" s="8"/>
      <c r="V159" s="52"/>
      <c r="W159" s="8"/>
      <c r="X159" s="5"/>
    </row>
    <row r="160" spans="1:25" ht="15.6" x14ac:dyDescent="0.3">
      <c r="A160" s="24"/>
      <c r="B160" s="25" t="s">
        <v>47</v>
      </c>
      <c r="C160" s="25"/>
      <c r="D160" s="25"/>
      <c r="E160" s="25"/>
      <c r="F160" s="25"/>
      <c r="G160" s="25"/>
      <c r="H160" s="25"/>
      <c r="I160" s="25"/>
      <c r="J160" s="25"/>
      <c r="K160" s="25"/>
      <c r="L160" s="25"/>
      <c r="M160" s="25"/>
      <c r="N160" s="25"/>
      <c r="O160" s="25"/>
      <c r="P160" s="25"/>
      <c r="Q160" s="25"/>
      <c r="R160" s="25"/>
      <c r="S160" s="25"/>
      <c r="T160" s="25"/>
      <c r="U160" s="25"/>
      <c r="V160" s="59" t="s">
        <v>121</v>
      </c>
      <c r="W160" s="25"/>
      <c r="X160" s="5"/>
    </row>
    <row r="161" spans="1:24" ht="15.6" x14ac:dyDescent="0.3">
      <c r="A161" s="24"/>
      <c r="B161" s="25" t="s">
        <v>48</v>
      </c>
      <c r="C161" s="163"/>
      <c r="D161" s="163"/>
      <c r="E161" s="163"/>
      <c r="F161" s="163"/>
      <c r="G161" s="163"/>
      <c r="H161" s="163"/>
      <c r="I161" s="163"/>
      <c r="J161" s="163"/>
      <c r="K161" s="163"/>
      <c r="L161" s="163"/>
      <c r="M161" s="163"/>
      <c r="N161" s="163"/>
      <c r="O161" s="163"/>
      <c r="P161" s="163"/>
      <c r="Q161" s="163"/>
      <c r="R161" s="163"/>
      <c r="S161" s="163"/>
      <c r="T161" s="163"/>
      <c r="U161" s="163"/>
      <c r="V161" s="59" t="s">
        <v>121</v>
      </c>
      <c r="W161" s="25"/>
      <c r="X161" s="5"/>
    </row>
    <row r="162" spans="1:24" ht="15.6" x14ac:dyDescent="0.3">
      <c r="A162" s="24"/>
      <c r="B162" s="25" t="s">
        <v>49</v>
      </c>
      <c r="C162" s="25"/>
      <c r="D162" s="25"/>
      <c r="E162" s="25"/>
      <c r="F162" s="25"/>
      <c r="G162" s="25"/>
      <c r="H162" s="25"/>
      <c r="I162" s="25"/>
      <c r="J162" s="25"/>
      <c r="K162" s="25"/>
      <c r="L162" s="25"/>
      <c r="M162" s="25"/>
      <c r="N162" s="25"/>
      <c r="O162" s="25"/>
      <c r="P162" s="25"/>
      <c r="Q162" s="25"/>
      <c r="R162" s="25"/>
      <c r="S162" s="25"/>
      <c r="T162" s="25"/>
      <c r="U162" s="25"/>
      <c r="V162" s="59" t="s">
        <v>121</v>
      </c>
      <c r="W162" s="25"/>
      <c r="X162" s="5"/>
    </row>
    <row r="163" spans="1:24" ht="15.6" x14ac:dyDescent="0.3">
      <c r="A163" s="24"/>
      <c r="B163" s="25" t="s">
        <v>50</v>
      </c>
      <c r="C163" s="25"/>
      <c r="D163" s="25"/>
      <c r="E163" s="25"/>
      <c r="F163" s="25"/>
      <c r="G163" s="25"/>
      <c r="H163" s="25"/>
      <c r="I163" s="25"/>
      <c r="J163" s="25"/>
      <c r="K163" s="25"/>
      <c r="L163" s="25"/>
      <c r="M163" s="25"/>
      <c r="N163" s="25"/>
      <c r="O163" s="25"/>
      <c r="P163" s="25"/>
      <c r="Q163" s="25"/>
      <c r="R163" s="25"/>
      <c r="S163" s="25"/>
      <c r="T163" s="25"/>
      <c r="U163" s="25"/>
      <c r="V163" s="59" t="s">
        <v>121</v>
      </c>
      <c r="W163" s="25"/>
      <c r="X163" s="5"/>
    </row>
    <row r="164" spans="1:24" ht="15.6" x14ac:dyDescent="0.3">
      <c r="A164" s="24"/>
      <c r="B164" s="25"/>
      <c r="C164" s="25"/>
      <c r="D164" s="25"/>
      <c r="E164" s="25"/>
      <c r="F164" s="25"/>
      <c r="G164" s="25"/>
      <c r="H164" s="25"/>
      <c r="I164" s="25"/>
      <c r="J164" s="25"/>
      <c r="K164" s="25"/>
      <c r="L164" s="25"/>
      <c r="M164" s="25"/>
      <c r="N164" s="25"/>
      <c r="O164" s="25"/>
      <c r="P164" s="25"/>
      <c r="Q164" s="25"/>
      <c r="R164" s="25"/>
      <c r="S164" s="25"/>
      <c r="T164" s="25"/>
      <c r="U164" s="25"/>
      <c r="V164" s="61"/>
      <c r="W164" s="25"/>
      <c r="X164" s="5"/>
    </row>
    <row r="165" spans="1:24" ht="15.6" x14ac:dyDescent="0.3">
      <c r="A165" s="6"/>
      <c r="B165" s="119" t="s">
        <v>51</v>
      </c>
      <c r="C165" s="8"/>
      <c r="D165" s="8"/>
      <c r="E165" s="8"/>
      <c r="F165" s="8"/>
      <c r="G165" s="8"/>
      <c r="H165" s="8"/>
      <c r="I165" s="8"/>
      <c r="J165" s="8"/>
      <c r="K165" s="8"/>
      <c r="L165" s="8"/>
      <c r="M165" s="8"/>
      <c r="N165" s="8"/>
      <c r="O165" s="8"/>
      <c r="P165" s="8"/>
      <c r="Q165" s="8"/>
      <c r="R165" s="8"/>
      <c r="S165" s="8"/>
      <c r="T165" s="8"/>
      <c r="U165" s="8"/>
      <c r="V165" s="63"/>
      <c r="W165" s="8"/>
      <c r="X165" s="5"/>
    </row>
    <row r="166" spans="1:24" ht="15.6" x14ac:dyDescent="0.3">
      <c r="A166" s="24"/>
      <c r="B166" s="25" t="s">
        <v>52</v>
      </c>
      <c r="C166" s="25"/>
      <c r="D166" s="25"/>
      <c r="E166" s="25"/>
      <c r="F166" s="25"/>
      <c r="G166" s="25"/>
      <c r="H166" s="25"/>
      <c r="I166" s="25"/>
      <c r="J166" s="25"/>
      <c r="K166" s="25"/>
      <c r="L166" s="25"/>
      <c r="M166" s="25"/>
      <c r="N166" s="25"/>
      <c r="O166" s="25"/>
      <c r="P166" s="25"/>
      <c r="Q166" s="25"/>
      <c r="R166" s="25"/>
      <c r="S166" s="25"/>
      <c r="T166" s="25"/>
      <c r="U166" s="25"/>
      <c r="V166" s="53">
        <v>0</v>
      </c>
      <c r="W166" s="25"/>
      <c r="X166" s="5"/>
    </row>
    <row r="167" spans="1:24" ht="15.6" x14ac:dyDescent="0.3">
      <c r="A167" s="24"/>
      <c r="B167" s="25" t="s">
        <v>53</v>
      </c>
      <c r="C167" s="25"/>
      <c r="D167" s="25"/>
      <c r="E167" s="25"/>
      <c r="F167" s="25"/>
      <c r="G167" s="25"/>
      <c r="H167" s="25"/>
      <c r="I167" s="25"/>
      <c r="J167" s="25"/>
      <c r="K167" s="25"/>
      <c r="L167" s="25"/>
      <c r="M167" s="25"/>
      <c r="N167" s="25"/>
      <c r="O167" s="25"/>
      <c r="P167" s="25"/>
      <c r="Q167" s="25"/>
      <c r="R167" s="25"/>
      <c r="S167" s="25"/>
      <c r="T167" s="25"/>
      <c r="U167" s="25"/>
      <c r="V167" s="53">
        <f>T115</f>
        <v>-3</v>
      </c>
      <c r="W167" s="34"/>
      <c r="X167" s="5"/>
    </row>
    <row r="168" spans="1:24" ht="15.6" x14ac:dyDescent="0.3">
      <c r="A168" s="24"/>
      <c r="B168" s="25" t="s">
        <v>54</v>
      </c>
      <c r="C168" s="25"/>
      <c r="D168" s="25"/>
      <c r="E168" s="25"/>
      <c r="F168" s="25"/>
      <c r="G168" s="25"/>
      <c r="H168" s="25"/>
      <c r="I168" s="25"/>
      <c r="J168" s="25"/>
      <c r="K168" s="25"/>
      <c r="L168" s="25"/>
      <c r="M168" s="25"/>
      <c r="N168" s="25"/>
      <c r="O168" s="25"/>
      <c r="P168" s="25"/>
      <c r="Q168" s="25"/>
      <c r="R168" s="25"/>
      <c r="S168" s="25"/>
      <c r="T168" s="25"/>
      <c r="U168" s="25"/>
      <c r="V168" s="53">
        <f>V167+V166</f>
        <v>-3</v>
      </c>
      <c r="W168" s="25"/>
      <c r="X168" s="5"/>
    </row>
    <row r="169" spans="1:24" ht="15.6" x14ac:dyDescent="0.3">
      <c r="A169" s="24"/>
      <c r="B169" s="391" t="s">
        <v>318</v>
      </c>
      <c r="C169" s="25"/>
      <c r="D169" s="25"/>
      <c r="E169" s="25"/>
      <c r="F169" s="25"/>
      <c r="G169" s="25"/>
      <c r="H169" s="25"/>
      <c r="I169" s="25"/>
      <c r="J169" s="25"/>
      <c r="K169" s="25"/>
      <c r="L169" s="25"/>
      <c r="M169" s="25"/>
      <c r="N169" s="25"/>
      <c r="O169" s="25"/>
      <c r="P169" s="25"/>
      <c r="Q169" s="25"/>
      <c r="R169" s="25"/>
      <c r="S169" s="25"/>
      <c r="T169" s="25"/>
      <c r="U169" s="25"/>
      <c r="V169" s="53">
        <f>V115</f>
        <v>3</v>
      </c>
      <c r="W169" s="25"/>
      <c r="X169" s="5"/>
    </row>
    <row r="170" spans="1:24" ht="15.6" x14ac:dyDescent="0.3">
      <c r="A170" s="24"/>
      <c r="B170" s="25" t="s">
        <v>55</v>
      </c>
      <c r="C170" s="25"/>
      <c r="D170" s="25"/>
      <c r="E170" s="25"/>
      <c r="F170" s="25"/>
      <c r="G170" s="25"/>
      <c r="H170" s="25"/>
      <c r="I170" s="25"/>
      <c r="J170" s="25"/>
      <c r="K170" s="25"/>
      <c r="L170" s="25"/>
      <c r="M170" s="25"/>
      <c r="N170" s="25"/>
      <c r="O170" s="25"/>
      <c r="P170" s="25"/>
      <c r="Q170" s="25"/>
      <c r="R170" s="25"/>
      <c r="S170" s="25"/>
      <c r="T170" s="25"/>
      <c r="U170" s="25"/>
      <c r="V170" s="53">
        <f>V168+V169</f>
        <v>0</v>
      </c>
      <c r="W170" s="25"/>
      <c r="X170" s="5"/>
    </row>
    <row r="171" spans="1:24" ht="16.2" thickBot="1" x14ac:dyDescent="0.35">
      <c r="A171" s="24"/>
      <c r="B171" s="25"/>
      <c r="C171" s="25"/>
      <c r="D171" s="25"/>
      <c r="E171" s="25"/>
      <c r="F171" s="25"/>
      <c r="G171" s="25"/>
      <c r="H171" s="25"/>
      <c r="I171" s="25"/>
      <c r="J171" s="25"/>
      <c r="K171" s="25"/>
      <c r="L171" s="25"/>
      <c r="M171" s="25"/>
      <c r="N171" s="25"/>
      <c r="O171" s="25"/>
      <c r="P171" s="25"/>
      <c r="Q171" s="25"/>
      <c r="R171" s="25"/>
      <c r="S171" s="25"/>
      <c r="T171" s="25"/>
      <c r="U171" s="25"/>
      <c r="V171" s="61"/>
      <c r="W171" s="25"/>
      <c r="X171" s="5"/>
    </row>
    <row r="172" spans="1:24" ht="15.6" x14ac:dyDescent="0.3">
      <c r="A172" s="2"/>
      <c r="B172" s="4"/>
      <c r="C172" s="4"/>
      <c r="D172" s="4"/>
      <c r="E172" s="4"/>
      <c r="F172" s="4"/>
      <c r="G172" s="4"/>
      <c r="H172" s="4"/>
      <c r="I172" s="4"/>
      <c r="J172" s="4"/>
      <c r="K172" s="4"/>
      <c r="L172" s="4"/>
      <c r="M172" s="4"/>
      <c r="N172" s="4"/>
      <c r="O172" s="4"/>
      <c r="P172" s="4"/>
      <c r="Q172" s="4"/>
      <c r="R172" s="4"/>
      <c r="S172" s="4"/>
      <c r="T172" s="4"/>
      <c r="U172" s="4"/>
      <c r="V172" s="50"/>
      <c r="W172" s="4"/>
      <c r="X172" s="5"/>
    </row>
    <row r="173" spans="1:24" ht="15.6" x14ac:dyDescent="0.3">
      <c r="A173" s="6"/>
      <c r="B173" s="119" t="s">
        <v>56</v>
      </c>
      <c r="C173" s="8"/>
      <c r="D173" s="8"/>
      <c r="E173" s="8"/>
      <c r="F173" s="8"/>
      <c r="G173" s="8"/>
      <c r="H173" s="8"/>
      <c r="I173" s="8"/>
      <c r="J173" s="8"/>
      <c r="K173" s="8"/>
      <c r="L173" s="8"/>
      <c r="M173" s="8"/>
      <c r="N173" s="8"/>
      <c r="O173" s="8"/>
      <c r="P173" s="8"/>
      <c r="Q173" s="8"/>
      <c r="R173" s="8"/>
      <c r="S173" s="8"/>
      <c r="T173" s="8"/>
      <c r="U173" s="8"/>
      <c r="V173" s="52"/>
      <c r="W173" s="8"/>
      <c r="X173" s="5"/>
    </row>
    <row r="174" spans="1:24" ht="15.6" x14ac:dyDescent="0.3">
      <c r="A174" s="6"/>
      <c r="B174" s="21"/>
      <c r="C174" s="8"/>
      <c r="D174" s="8"/>
      <c r="E174" s="8"/>
      <c r="F174" s="8"/>
      <c r="G174" s="8"/>
      <c r="H174" s="8"/>
      <c r="I174" s="8"/>
      <c r="J174" s="8"/>
      <c r="K174" s="8"/>
      <c r="L174" s="8"/>
      <c r="M174" s="8"/>
      <c r="N174" s="8"/>
      <c r="O174" s="8"/>
      <c r="P174" s="8"/>
      <c r="Q174" s="8"/>
      <c r="R174" s="8"/>
      <c r="S174" s="8"/>
      <c r="T174" s="8"/>
      <c r="U174" s="8"/>
      <c r="V174" s="52"/>
      <c r="W174" s="8"/>
      <c r="X174" s="5"/>
    </row>
    <row r="175" spans="1:24" ht="15.6" x14ac:dyDescent="0.3">
      <c r="A175" s="24"/>
      <c r="B175" s="25" t="s">
        <v>57</v>
      </c>
      <c r="C175" s="25"/>
      <c r="D175" s="25"/>
      <c r="E175" s="25"/>
      <c r="F175" s="25"/>
      <c r="G175" s="25"/>
      <c r="H175" s="25"/>
      <c r="I175" s="25"/>
      <c r="J175" s="25"/>
      <c r="K175" s="25"/>
      <c r="L175" s="25"/>
      <c r="M175" s="25"/>
      <c r="N175" s="25"/>
      <c r="O175" s="25"/>
      <c r="P175" s="25"/>
      <c r="Q175" s="25"/>
      <c r="R175" s="25"/>
      <c r="S175" s="25"/>
      <c r="T175" s="25"/>
      <c r="U175" s="25"/>
      <c r="V175" s="53">
        <f>V72</f>
        <v>1301128</v>
      </c>
      <c r="W175" s="25"/>
      <c r="X175" s="5"/>
    </row>
    <row r="176" spans="1:24" ht="15.6" x14ac:dyDescent="0.3">
      <c r="A176" s="24"/>
      <c r="B176" s="25" t="s">
        <v>58</v>
      </c>
      <c r="C176" s="25"/>
      <c r="D176" s="25"/>
      <c r="E176" s="25"/>
      <c r="F176" s="25"/>
      <c r="G176" s="25"/>
      <c r="H176" s="25"/>
      <c r="I176" s="25"/>
      <c r="J176" s="25"/>
      <c r="K176" s="25"/>
      <c r="L176" s="25"/>
      <c r="M176" s="25"/>
      <c r="N176" s="25"/>
      <c r="O176" s="25"/>
      <c r="P176" s="25"/>
      <c r="Q176" s="25"/>
      <c r="R176" s="25"/>
      <c r="S176" s="25"/>
      <c r="T176" s="25"/>
      <c r="U176" s="25"/>
      <c r="V176" s="53">
        <f>V85</f>
        <v>1301128</v>
      </c>
      <c r="W176" s="25"/>
      <c r="X176" s="5"/>
    </row>
    <row r="177" spans="1:24" ht="16.2" thickBot="1" x14ac:dyDescent="0.35">
      <c r="A177" s="24"/>
      <c r="B177" s="25"/>
      <c r="C177" s="25"/>
      <c r="D177" s="25"/>
      <c r="E177" s="25"/>
      <c r="F177" s="25"/>
      <c r="G177" s="25"/>
      <c r="H177" s="25"/>
      <c r="I177" s="25"/>
      <c r="J177" s="25"/>
      <c r="K177" s="25"/>
      <c r="L177" s="25"/>
      <c r="M177" s="25"/>
      <c r="N177" s="25"/>
      <c r="O177" s="25"/>
      <c r="P177" s="25"/>
      <c r="Q177" s="25"/>
      <c r="R177" s="25"/>
      <c r="S177" s="25"/>
      <c r="T177" s="25"/>
      <c r="U177" s="25"/>
      <c r="V177" s="61"/>
      <c r="W177" s="25"/>
      <c r="X177" s="5"/>
    </row>
    <row r="178" spans="1:24" ht="15.6" x14ac:dyDescent="0.3">
      <c r="A178" s="2"/>
      <c r="B178" s="4"/>
      <c r="C178" s="4"/>
      <c r="D178" s="4"/>
      <c r="E178" s="4"/>
      <c r="F178" s="4"/>
      <c r="G178" s="4"/>
      <c r="H178" s="4"/>
      <c r="I178" s="4"/>
      <c r="J178" s="4"/>
      <c r="K178" s="4"/>
      <c r="L178" s="4"/>
      <c r="M178" s="4"/>
      <c r="N178" s="4"/>
      <c r="O178" s="4"/>
      <c r="P178" s="4"/>
      <c r="Q178" s="4"/>
      <c r="R178" s="4"/>
      <c r="S178" s="4"/>
      <c r="T178" s="4"/>
      <c r="U178" s="4"/>
      <c r="V178" s="50"/>
      <c r="W178" s="4"/>
      <c r="X178" s="5"/>
    </row>
    <row r="179" spans="1:24" ht="15.6" x14ac:dyDescent="0.3">
      <c r="A179" s="6"/>
      <c r="B179" s="119" t="s">
        <v>59</v>
      </c>
      <c r="C179" s="117"/>
      <c r="D179" s="117"/>
      <c r="E179" s="117"/>
      <c r="F179" s="117"/>
      <c r="G179" s="117"/>
      <c r="H179" s="120"/>
      <c r="I179" s="120"/>
      <c r="J179" s="120"/>
      <c r="K179" s="120"/>
      <c r="L179" s="120"/>
      <c r="M179" s="120"/>
      <c r="N179" s="120"/>
      <c r="O179" s="120"/>
      <c r="P179" s="120"/>
      <c r="Q179" s="120"/>
      <c r="R179" s="120"/>
      <c r="S179" s="120" t="s">
        <v>102</v>
      </c>
      <c r="T179" s="120" t="s">
        <v>179</v>
      </c>
      <c r="U179" s="111"/>
      <c r="V179" s="121" t="s">
        <v>117</v>
      </c>
      <c r="W179" s="10"/>
      <c r="X179" s="5"/>
    </row>
    <row r="180" spans="1:24" ht="15.6" x14ac:dyDescent="0.3">
      <c r="A180" s="24"/>
      <c r="B180" s="25" t="s">
        <v>60</v>
      </c>
      <c r="C180" s="25"/>
      <c r="D180" s="25"/>
      <c r="E180" s="25"/>
      <c r="F180" s="25"/>
      <c r="G180" s="25"/>
      <c r="H180" s="25"/>
      <c r="I180" s="25"/>
      <c r="J180" s="25"/>
      <c r="K180" s="25"/>
      <c r="L180" s="25"/>
      <c r="M180" s="25"/>
      <c r="N180" s="25"/>
      <c r="O180" s="25"/>
      <c r="P180" s="25"/>
      <c r="Q180" s="25"/>
      <c r="R180" s="25"/>
      <c r="S180" s="53">
        <f>+V34*0.16</f>
        <v>240030.4</v>
      </c>
      <c r="T180" s="40"/>
      <c r="U180" s="25"/>
      <c r="V180" s="53"/>
      <c r="W180" s="25"/>
      <c r="X180" s="5"/>
    </row>
    <row r="181" spans="1:24" ht="15.6" x14ac:dyDescent="0.3">
      <c r="A181" s="24"/>
      <c r="B181" s="25" t="s">
        <v>61</v>
      </c>
      <c r="C181" s="25"/>
      <c r="D181" s="25"/>
      <c r="E181" s="25"/>
      <c r="F181" s="25"/>
      <c r="G181" s="25"/>
      <c r="H181" s="25"/>
      <c r="I181" s="25"/>
      <c r="J181" s="25"/>
      <c r="K181" s="25"/>
      <c r="L181" s="25"/>
      <c r="M181" s="25"/>
      <c r="N181" s="25"/>
      <c r="O181" s="25"/>
      <c r="P181" s="25"/>
      <c r="Q181" s="25"/>
      <c r="R181" s="25"/>
      <c r="S181" s="53">
        <f>+'Dec 07'!S183</f>
        <v>28652</v>
      </c>
      <c r="T181" s="53">
        <f>+'Dec 07'!T183</f>
        <v>7622</v>
      </c>
      <c r="U181" s="25"/>
      <c r="V181" s="53">
        <f>S181+T181</f>
        <v>36274</v>
      </c>
      <c r="W181" s="25"/>
      <c r="X181" s="5"/>
    </row>
    <row r="182" spans="1:24" ht="15.6" x14ac:dyDescent="0.3">
      <c r="A182" s="24"/>
      <c r="B182" s="25" t="s">
        <v>62</v>
      </c>
      <c r="C182" s="25"/>
      <c r="D182" s="25"/>
      <c r="E182" s="25"/>
      <c r="F182" s="25"/>
      <c r="G182" s="25"/>
      <c r="H182" s="25"/>
      <c r="I182" s="25"/>
      <c r="J182" s="25"/>
      <c r="K182" s="25"/>
      <c r="L182" s="25"/>
      <c r="M182" s="25"/>
      <c r="N182" s="25"/>
      <c r="O182" s="25"/>
      <c r="P182" s="25"/>
      <c r="Q182" s="25"/>
      <c r="R182" s="25"/>
      <c r="S182" s="34">
        <f>2638+533</f>
        <v>3171</v>
      </c>
      <c r="T182" s="34">
        <v>0</v>
      </c>
      <c r="U182" s="25"/>
      <c r="V182" s="53">
        <f>S182+T182</f>
        <v>3171</v>
      </c>
      <c r="W182" s="25"/>
      <c r="X182" s="5"/>
    </row>
    <row r="183" spans="1:24" ht="15.6" x14ac:dyDescent="0.3">
      <c r="A183" s="24"/>
      <c r="B183" s="25" t="s">
        <v>63</v>
      </c>
      <c r="C183" s="25"/>
      <c r="D183" s="25"/>
      <c r="E183" s="25"/>
      <c r="F183" s="25"/>
      <c r="G183" s="25"/>
      <c r="H183" s="25"/>
      <c r="I183" s="25"/>
      <c r="J183" s="25"/>
      <c r="K183" s="25"/>
      <c r="L183" s="25"/>
      <c r="M183" s="25"/>
      <c r="N183" s="25"/>
      <c r="O183" s="25"/>
      <c r="P183" s="25"/>
      <c r="Q183" s="25"/>
      <c r="R183" s="25"/>
      <c r="S183" s="53">
        <f>S181+S182</f>
        <v>31823</v>
      </c>
      <c r="T183" s="53">
        <f>T182+T181</f>
        <v>7622</v>
      </c>
      <c r="U183" s="25"/>
      <c r="V183" s="53">
        <f>S183+T183</f>
        <v>39445</v>
      </c>
      <c r="W183" s="25"/>
      <c r="X183" s="5"/>
    </row>
    <row r="184" spans="1:24" ht="15.6" x14ac:dyDescent="0.3">
      <c r="A184" s="24"/>
      <c r="B184" s="25" t="s">
        <v>64</v>
      </c>
      <c r="C184" s="25"/>
      <c r="D184" s="25"/>
      <c r="E184" s="25"/>
      <c r="F184" s="25"/>
      <c r="G184" s="25"/>
      <c r="H184" s="25"/>
      <c r="I184" s="25"/>
      <c r="J184" s="25"/>
      <c r="K184" s="25"/>
      <c r="L184" s="25"/>
      <c r="M184" s="25"/>
      <c r="N184" s="25"/>
      <c r="O184" s="25"/>
      <c r="P184" s="25"/>
      <c r="Q184" s="25"/>
      <c r="R184" s="25"/>
      <c r="S184" s="53">
        <f>S180-S183-T183</f>
        <v>200585.4</v>
      </c>
      <c r="T184" s="40"/>
      <c r="U184" s="25"/>
      <c r="V184" s="53"/>
      <c r="W184" s="25"/>
      <c r="X184" s="5"/>
    </row>
    <row r="185" spans="1:24" ht="16.2" thickBot="1" x14ac:dyDescent="0.35">
      <c r="A185" s="24"/>
      <c r="B185" s="25"/>
      <c r="C185" s="25"/>
      <c r="D185" s="25"/>
      <c r="E185" s="25"/>
      <c r="F185" s="25"/>
      <c r="G185" s="25"/>
      <c r="H185" s="25"/>
      <c r="I185" s="25"/>
      <c r="J185" s="25"/>
      <c r="K185" s="25"/>
      <c r="L185" s="25"/>
      <c r="M185" s="25"/>
      <c r="N185" s="25"/>
      <c r="O185" s="25"/>
      <c r="P185" s="25"/>
      <c r="Q185" s="25"/>
      <c r="R185" s="25"/>
      <c r="S185" s="25"/>
      <c r="T185" s="25"/>
      <c r="U185" s="25"/>
      <c r="V185" s="61"/>
      <c r="W185" s="25"/>
      <c r="X185" s="5"/>
    </row>
    <row r="186" spans="1:24" ht="15.6" x14ac:dyDescent="0.3">
      <c r="A186" s="2"/>
      <c r="B186" s="4"/>
      <c r="C186" s="4"/>
      <c r="D186" s="4"/>
      <c r="E186" s="4"/>
      <c r="F186" s="4"/>
      <c r="G186" s="4"/>
      <c r="H186" s="4"/>
      <c r="I186" s="4"/>
      <c r="J186" s="4"/>
      <c r="K186" s="4"/>
      <c r="L186" s="4"/>
      <c r="M186" s="4"/>
      <c r="N186" s="4"/>
      <c r="O186" s="4"/>
      <c r="P186" s="4"/>
      <c r="Q186" s="4"/>
      <c r="R186" s="4"/>
      <c r="S186" s="4"/>
      <c r="T186" s="4"/>
      <c r="U186" s="4"/>
      <c r="V186" s="50"/>
      <c r="W186" s="4"/>
      <c r="X186" s="5"/>
    </row>
    <row r="187" spans="1:24" ht="15.6" x14ac:dyDescent="0.3">
      <c r="A187" s="6"/>
      <c r="B187" s="119" t="s">
        <v>65</v>
      </c>
      <c r="C187" s="8"/>
      <c r="D187" s="8"/>
      <c r="E187" s="8"/>
      <c r="F187" s="8"/>
      <c r="G187" s="8"/>
      <c r="H187" s="8"/>
      <c r="I187" s="8"/>
      <c r="J187" s="8"/>
      <c r="K187" s="8"/>
      <c r="L187" s="8"/>
      <c r="M187" s="8"/>
      <c r="N187" s="8"/>
      <c r="O187" s="8"/>
      <c r="P187" s="8"/>
      <c r="Q187" s="8"/>
      <c r="R187" s="8"/>
      <c r="S187" s="8"/>
      <c r="T187" s="8"/>
      <c r="U187" s="8"/>
      <c r="V187" s="65"/>
      <c r="W187" s="8"/>
      <c r="X187" s="5"/>
    </row>
    <row r="188" spans="1:24" ht="15.6" x14ac:dyDescent="0.3">
      <c r="A188" s="24"/>
      <c r="B188" s="25" t="s">
        <v>66</v>
      </c>
      <c r="C188" s="25"/>
      <c r="D188" s="25"/>
      <c r="E188" s="25"/>
      <c r="F188" s="25"/>
      <c r="G188" s="25"/>
      <c r="H188" s="25"/>
      <c r="I188" s="25"/>
      <c r="J188" s="25"/>
      <c r="K188" s="25"/>
      <c r="L188" s="25"/>
      <c r="M188" s="25"/>
      <c r="N188" s="25"/>
      <c r="O188" s="25"/>
      <c r="P188" s="25"/>
      <c r="Q188" s="25"/>
      <c r="R188" s="25"/>
      <c r="S188" s="25"/>
      <c r="T188" s="25"/>
      <c r="U188" s="25"/>
      <c r="V188" s="59">
        <f>(V101+V103+V104+V105+V106)/-(V107+V108)</f>
        <v>1.3881508078994613</v>
      </c>
      <c r="W188" s="25" t="s">
        <v>118</v>
      </c>
      <c r="X188" s="5"/>
    </row>
    <row r="189" spans="1:24" ht="15.6" x14ac:dyDescent="0.3">
      <c r="A189" s="24"/>
      <c r="B189" s="25" t="s">
        <v>67</v>
      </c>
      <c r="C189" s="25"/>
      <c r="D189" s="25"/>
      <c r="E189" s="25"/>
      <c r="F189" s="25"/>
      <c r="G189" s="25"/>
      <c r="H189" s="25"/>
      <c r="I189" s="25"/>
      <c r="J189" s="25"/>
      <c r="K189" s="25"/>
      <c r="L189" s="25"/>
      <c r="M189" s="25"/>
      <c r="N189" s="25"/>
      <c r="O189" s="25"/>
      <c r="P189" s="25"/>
      <c r="Q189" s="25"/>
      <c r="R189" s="25"/>
      <c r="S189" s="25"/>
      <c r="T189" s="25"/>
      <c r="U189" s="25"/>
      <c r="V189" s="66">
        <v>1.36</v>
      </c>
      <c r="W189" s="25" t="s">
        <v>118</v>
      </c>
      <c r="X189" s="5"/>
    </row>
    <row r="190" spans="1:24" ht="15.6" x14ac:dyDescent="0.3">
      <c r="A190" s="24"/>
      <c r="B190" s="25" t="s">
        <v>68</v>
      </c>
      <c r="C190" s="25"/>
      <c r="D190" s="25"/>
      <c r="E190" s="25"/>
      <c r="F190" s="25"/>
      <c r="G190" s="25"/>
      <c r="H190" s="25"/>
      <c r="I190" s="25"/>
      <c r="J190" s="25"/>
      <c r="K190" s="25"/>
      <c r="L190" s="25"/>
      <c r="M190" s="25"/>
      <c r="N190" s="25"/>
      <c r="O190" s="25"/>
      <c r="P190" s="25"/>
      <c r="Q190" s="25"/>
      <c r="R190" s="25"/>
      <c r="S190" s="25"/>
      <c r="T190" s="25"/>
      <c r="U190" s="25"/>
      <c r="V190" s="59">
        <f>(V101+V103+V104+V105+V106+V107+V108)/-(V110+V111)</f>
        <v>3.9428571428571431</v>
      </c>
      <c r="W190" s="25" t="s">
        <v>118</v>
      </c>
      <c r="X190" s="5"/>
    </row>
    <row r="191" spans="1:24" ht="15.6" x14ac:dyDescent="0.3">
      <c r="A191" s="24"/>
      <c r="B191" s="25" t="s">
        <v>69</v>
      </c>
      <c r="C191" s="25"/>
      <c r="D191" s="25"/>
      <c r="E191" s="25"/>
      <c r="F191" s="25"/>
      <c r="G191" s="25"/>
      <c r="H191" s="25"/>
      <c r="I191" s="25"/>
      <c r="J191" s="25"/>
      <c r="K191" s="25"/>
      <c r="L191" s="25"/>
      <c r="M191" s="25"/>
      <c r="N191" s="25"/>
      <c r="O191" s="25"/>
      <c r="P191" s="25"/>
      <c r="Q191" s="25"/>
      <c r="R191" s="25"/>
      <c r="S191" s="25"/>
      <c r="T191" s="25"/>
      <c r="U191" s="25"/>
      <c r="V191" s="66">
        <v>3.93</v>
      </c>
      <c r="W191" s="25" t="s">
        <v>118</v>
      </c>
      <c r="X191" s="5"/>
    </row>
    <row r="192" spans="1:24" ht="15.6" x14ac:dyDescent="0.3">
      <c r="A192" s="24"/>
      <c r="B192" s="25" t="s">
        <v>201</v>
      </c>
      <c r="C192" s="25"/>
      <c r="D192" s="25"/>
      <c r="E192" s="25"/>
      <c r="F192" s="25"/>
      <c r="G192" s="25"/>
      <c r="H192" s="25"/>
      <c r="I192" s="25"/>
      <c r="J192" s="25"/>
      <c r="K192" s="25"/>
      <c r="L192" s="25"/>
      <c r="M192" s="25"/>
      <c r="N192" s="25"/>
      <c r="O192" s="25"/>
      <c r="P192" s="25"/>
      <c r="Q192" s="25"/>
      <c r="R192" s="25"/>
      <c r="S192" s="25"/>
      <c r="T192" s="25"/>
      <c r="U192" s="25"/>
      <c r="V192" s="59">
        <f>(V101+V103+V104+V105+V106+V107+V108+V110+V111)/-(V112+V113)</f>
        <v>4.7367906066536207</v>
      </c>
      <c r="W192" s="25" t="s">
        <v>118</v>
      </c>
      <c r="X192" s="5"/>
    </row>
    <row r="193" spans="1:24" ht="15.6" x14ac:dyDescent="0.3">
      <c r="A193" s="24"/>
      <c r="B193" s="25" t="s">
        <v>202</v>
      </c>
      <c r="C193" s="25"/>
      <c r="D193" s="25"/>
      <c r="E193" s="25"/>
      <c r="F193" s="25"/>
      <c r="G193" s="25"/>
      <c r="H193" s="25"/>
      <c r="I193" s="25"/>
      <c r="J193" s="25"/>
      <c r="K193" s="25"/>
      <c r="L193" s="25"/>
      <c r="M193" s="25"/>
      <c r="N193" s="25"/>
      <c r="O193" s="25"/>
      <c r="P193" s="25"/>
      <c r="Q193" s="25"/>
      <c r="R193" s="25"/>
      <c r="S193" s="25"/>
      <c r="T193" s="25"/>
      <c r="U193" s="25"/>
      <c r="V193" s="66">
        <v>4.72</v>
      </c>
      <c r="W193" s="25" t="s">
        <v>118</v>
      </c>
      <c r="X193" s="5"/>
    </row>
    <row r="194" spans="1:24" ht="15.6" x14ac:dyDescent="0.3">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5"/>
    </row>
    <row r="195" spans="1:24" ht="15.6" x14ac:dyDescent="0.3">
      <c r="A195" s="24"/>
      <c r="B195" s="25"/>
      <c r="C195" s="25"/>
      <c r="D195" s="25"/>
      <c r="E195" s="25"/>
      <c r="F195" s="25"/>
      <c r="G195" s="25"/>
      <c r="H195" s="25"/>
      <c r="I195" s="25"/>
      <c r="J195" s="25"/>
      <c r="K195" s="25"/>
      <c r="L195" s="25"/>
      <c r="M195" s="25"/>
      <c r="N195" s="25"/>
      <c r="O195" s="25"/>
      <c r="P195" s="25"/>
      <c r="Q195" s="25"/>
      <c r="R195" s="25"/>
      <c r="S195" s="25"/>
      <c r="T195" s="25"/>
      <c r="U195" s="25"/>
      <c r="V195" s="25"/>
      <c r="W195" s="25"/>
      <c r="X195" s="5"/>
    </row>
    <row r="196" spans="1:24" ht="15.6" x14ac:dyDescent="0.3">
      <c r="A196" s="6"/>
      <c r="B196" s="8"/>
      <c r="C196" s="8"/>
      <c r="D196" s="8"/>
      <c r="E196" s="8"/>
      <c r="F196" s="8"/>
      <c r="G196" s="8"/>
      <c r="H196" s="8"/>
      <c r="I196" s="8"/>
      <c r="J196" s="8"/>
      <c r="K196" s="8"/>
      <c r="L196" s="8"/>
      <c r="M196" s="8"/>
      <c r="N196" s="8"/>
      <c r="O196" s="8"/>
      <c r="P196" s="8"/>
      <c r="Q196" s="8"/>
      <c r="R196" s="8"/>
      <c r="S196" s="8"/>
      <c r="T196" s="8"/>
      <c r="U196" s="8"/>
      <c r="V196" s="8"/>
      <c r="W196" s="8"/>
      <c r="X196" s="5"/>
    </row>
    <row r="197" spans="1:24" ht="18" thickBot="1" x14ac:dyDescent="0.35">
      <c r="A197" s="101"/>
      <c r="B197" s="102" t="str">
        <f>B138</f>
        <v>PM13 INVESTOR REPORT QUARTER ENDING MARCH 2008</v>
      </c>
      <c r="C197" s="165"/>
      <c r="D197" s="165"/>
      <c r="E197" s="165"/>
      <c r="F197" s="165"/>
      <c r="G197" s="165"/>
      <c r="H197" s="165"/>
      <c r="I197" s="165"/>
      <c r="J197" s="165"/>
      <c r="K197" s="165"/>
      <c r="L197" s="165"/>
      <c r="M197" s="165"/>
      <c r="N197" s="165"/>
      <c r="O197" s="165"/>
      <c r="P197" s="165"/>
      <c r="Q197" s="165"/>
      <c r="R197" s="165"/>
      <c r="S197" s="165"/>
      <c r="T197" s="165"/>
      <c r="U197" s="165"/>
      <c r="V197" s="165"/>
      <c r="W197" s="166"/>
      <c r="X197" s="5"/>
    </row>
    <row r="198" spans="1:24" ht="15.6" x14ac:dyDescent="0.3">
      <c r="A198" s="67"/>
      <c r="B198" s="60" t="s">
        <v>70</v>
      </c>
      <c r="C198" s="68"/>
      <c r="D198" s="68"/>
      <c r="E198" s="68"/>
      <c r="F198" s="68"/>
      <c r="G198" s="69"/>
      <c r="H198" s="69"/>
      <c r="I198" s="69"/>
      <c r="J198" s="69"/>
      <c r="K198" s="69"/>
      <c r="L198" s="69"/>
      <c r="M198" s="69"/>
      <c r="N198" s="69"/>
      <c r="O198" s="69"/>
      <c r="P198" s="69"/>
      <c r="Q198" s="69"/>
      <c r="R198" s="69"/>
      <c r="S198" s="69"/>
      <c r="T198" s="70">
        <v>39538</v>
      </c>
      <c r="U198" s="4"/>
      <c r="V198" s="4"/>
      <c r="W198" s="4"/>
      <c r="X198" s="5"/>
    </row>
    <row r="199" spans="1:24" ht="15.6" x14ac:dyDescent="0.3">
      <c r="A199" s="71"/>
      <c r="B199" s="72"/>
      <c r="C199" s="73"/>
      <c r="D199" s="73"/>
      <c r="E199" s="73"/>
      <c r="F199" s="73"/>
      <c r="G199" s="74"/>
      <c r="H199" s="74"/>
      <c r="I199" s="74"/>
      <c r="J199" s="74"/>
      <c r="K199" s="74"/>
      <c r="L199" s="74"/>
      <c r="M199" s="74"/>
      <c r="N199" s="74"/>
      <c r="O199" s="74"/>
      <c r="P199" s="74"/>
      <c r="Q199" s="74"/>
      <c r="R199" s="74"/>
      <c r="S199" s="74"/>
      <c r="T199" s="74"/>
      <c r="U199" s="8"/>
      <c r="V199" s="8"/>
      <c r="W199" s="8"/>
      <c r="X199" s="5"/>
    </row>
    <row r="200" spans="1:24" ht="15.6" x14ac:dyDescent="0.3">
      <c r="A200" s="75"/>
      <c r="B200" s="76" t="s">
        <v>71</v>
      </c>
      <c r="C200" s="77"/>
      <c r="D200" s="77"/>
      <c r="E200" s="77"/>
      <c r="F200" s="77"/>
      <c r="G200" s="64"/>
      <c r="H200" s="64"/>
      <c r="I200" s="64"/>
      <c r="J200" s="64"/>
      <c r="K200" s="64"/>
      <c r="L200" s="64"/>
      <c r="M200" s="64"/>
      <c r="N200" s="64"/>
      <c r="O200" s="64"/>
      <c r="P200" s="64"/>
      <c r="Q200" s="64"/>
      <c r="R200" s="64"/>
      <c r="S200" s="64"/>
      <c r="T200" s="78">
        <v>5.4539999999999998E-2</v>
      </c>
      <c r="U200" s="25"/>
      <c r="V200" s="25"/>
      <c r="W200" s="25"/>
      <c r="X200" s="5"/>
    </row>
    <row r="201" spans="1:24" ht="15.6" x14ac:dyDescent="0.3">
      <c r="A201" s="75"/>
      <c r="B201" s="76" t="s">
        <v>154</v>
      </c>
      <c r="C201" s="77"/>
      <c r="D201" s="77"/>
      <c r="E201" s="77"/>
      <c r="F201" s="77"/>
      <c r="G201" s="64"/>
      <c r="H201" s="64"/>
      <c r="I201" s="64"/>
      <c r="J201" s="64"/>
      <c r="K201" s="64"/>
      <c r="L201" s="64"/>
      <c r="M201" s="64"/>
      <c r="N201" s="64"/>
      <c r="O201" s="64"/>
      <c r="P201" s="64"/>
      <c r="Q201" s="64"/>
      <c r="R201" s="64"/>
      <c r="S201" s="64"/>
      <c r="T201" s="39">
        <f>'Dec 06'!T199</f>
        <v>5.238600504269459E-2</v>
      </c>
      <c r="U201" s="25"/>
      <c r="V201" s="25"/>
      <c r="W201" s="25"/>
      <c r="X201" s="5"/>
    </row>
    <row r="202" spans="1:24" ht="15.6" x14ac:dyDescent="0.3">
      <c r="A202" s="75"/>
      <c r="B202" s="76" t="s">
        <v>72</v>
      </c>
      <c r="C202" s="77"/>
      <c r="D202" s="77"/>
      <c r="E202" s="77"/>
      <c r="F202" s="77"/>
      <c r="G202" s="64"/>
      <c r="H202" s="64"/>
      <c r="I202" s="64"/>
      <c r="J202" s="64"/>
      <c r="K202" s="64"/>
      <c r="L202" s="64"/>
      <c r="M202" s="64"/>
      <c r="N202" s="64"/>
      <c r="O202" s="64"/>
      <c r="P202" s="64"/>
      <c r="Q202" s="64"/>
      <c r="R202" s="64"/>
      <c r="S202" s="64"/>
      <c r="T202" s="78">
        <f>+T200-T201</f>
        <v>2.1539949573054079E-3</v>
      </c>
      <c r="U202" s="25"/>
      <c r="V202" s="25"/>
      <c r="W202" s="25"/>
      <c r="X202" s="5"/>
    </row>
    <row r="203" spans="1:24" ht="15.6" x14ac:dyDescent="0.3">
      <c r="A203" s="75"/>
      <c r="B203" s="76" t="s">
        <v>73</v>
      </c>
      <c r="C203" s="77"/>
      <c r="D203" s="77"/>
      <c r="E203" s="77"/>
      <c r="F203" s="77"/>
      <c r="G203" s="64"/>
      <c r="H203" s="64"/>
      <c r="I203" s="64"/>
      <c r="J203" s="64"/>
      <c r="K203" s="64"/>
      <c r="L203" s="64"/>
      <c r="M203" s="64"/>
      <c r="N203" s="64"/>
      <c r="O203" s="64"/>
      <c r="P203" s="64"/>
      <c r="Q203" s="64"/>
      <c r="R203" s="64"/>
      <c r="S203" s="64"/>
      <c r="T203" s="78">
        <v>5.7009999999999998E-2</v>
      </c>
      <c r="U203" s="25"/>
      <c r="V203" s="25"/>
      <c r="W203" s="25"/>
      <c r="X203" s="5"/>
    </row>
    <row r="204" spans="1:24" ht="15.6" x14ac:dyDescent="0.3">
      <c r="A204" s="75"/>
      <c r="B204" s="76" t="s">
        <v>222</v>
      </c>
      <c r="C204" s="77"/>
      <c r="D204" s="77"/>
      <c r="E204" s="77"/>
      <c r="F204" s="77"/>
      <c r="G204" s="64"/>
      <c r="H204" s="64"/>
      <c r="I204" s="64"/>
      <c r="J204" s="64"/>
      <c r="K204" s="64"/>
      <c r="L204" s="64"/>
      <c r="M204" s="64"/>
      <c r="N204" s="64"/>
      <c r="O204" s="64"/>
      <c r="P204" s="64"/>
      <c r="Q204" s="64"/>
      <c r="R204" s="64"/>
      <c r="S204" s="64"/>
      <c r="T204" s="78">
        <f>V43</f>
        <v>5.7699959593716099E-2</v>
      </c>
      <c r="U204" s="25"/>
      <c r="V204" s="25"/>
      <c r="W204" s="25"/>
      <c r="X204" s="5"/>
    </row>
    <row r="205" spans="1:24" ht="15.6" x14ac:dyDescent="0.3">
      <c r="A205" s="75"/>
      <c r="B205" s="76" t="s">
        <v>74</v>
      </c>
      <c r="C205" s="77"/>
      <c r="D205" s="77"/>
      <c r="E205" s="77"/>
      <c r="F205" s="77"/>
      <c r="G205" s="64"/>
      <c r="H205" s="64"/>
      <c r="I205" s="64"/>
      <c r="J205" s="64"/>
      <c r="K205" s="64"/>
      <c r="L205" s="64"/>
      <c r="M205" s="64"/>
      <c r="N205" s="64"/>
      <c r="O205" s="64"/>
      <c r="P205" s="64"/>
      <c r="Q205" s="64"/>
      <c r="R205" s="64"/>
      <c r="S205" s="64"/>
      <c r="T205" s="78">
        <f>T203-T204</f>
        <v>-6.8995959371610099E-4</v>
      </c>
      <c r="U205" s="25"/>
      <c r="V205" s="25"/>
      <c r="W205" s="25"/>
      <c r="X205" s="5"/>
    </row>
    <row r="206" spans="1:24" ht="15.6" x14ac:dyDescent="0.3">
      <c r="A206" s="75"/>
      <c r="B206" s="76" t="s">
        <v>274</v>
      </c>
      <c r="C206" s="77"/>
      <c r="D206" s="77"/>
      <c r="E206" s="77"/>
      <c r="F206" s="77"/>
      <c r="G206" s="64"/>
      <c r="H206" s="64"/>
      <c r="I206" s="64"/>
      <c r="J206" s="64"/>
      <c r="K206" s="64"/>
      <c r="L206" s="64"/>
      <c r="M206" s="64"/>
      <c r="N206" s="64"/>
      <c r="O206" s="64"/>
      <c r="P206" s="64"/>
      <c r="Q206" s="64"/>
      <c r="R206" s="64"/>
      <c r="S206" s="64"/>
      <c r="T206" s="78">
        <f>+V101/N72</f>
        <v>1.7641036605782003E-2</v>
      </c>
      <c r="U206" s="25"/>
      <c r="V206" s="25"/>
      <c r="W206" s="25"/>
      <c r="X206" s="5"/>
    </row>
    <row r="207" spans="1:24" ht="15.6" x14ac:dyDescent="0.3">
      <c r="A207" s="75"/>
      <c r="B207" s="76" t="s">
        <v>211</v>
      </c>
      <c r="C207" s="77"/>
      <c r="D207" s="77"/>
      <c r="E207" s="77"/>
      <c r="F207" s="77"/>
      <c r="G207" s="64"/>
      <c r="H207" s="64"/>
      <c r="I207" s="64"/>
      <c r="J207" s="64"/>
      <c r="K207" s="64"/>
      <c r="L207" s="64"/>
      <c r="M207" s="64"/>
      <c r="N207" s="64"/>
      <c r="O207" s="64"/>
      <c r="P207" s="64"/>
      <c r="Q207" s="64"/>
      <c r="R207" s="64"/>
      <c r="S207" s="64"/>
      <c r="T207" s="129">
        <v>50771</v>
      </c>
      <c r="U207" s="25"/>
      <c r="V207" s="25"/>
      <c r="W207" s="25"/>
      <c r="X207" s="5"/>
    </row>
    <row r="208" spans="1:24" ht="15.6" x14ac:dyDescent="0.3">
      <c r="A208" s="75"/>
      <c r="B208" s="76" t="s">
        <v>212</v>
      </c>
      <c r="C208" s="77"/>
      <c r="D208" s="77"/>
      <c r="E208" s="77"/>
      <c r="F208" s="77"/>
      <c r="G208" s="64"/>
      <c r="H208" s="64"/>
      <c r="I208" s="64"/>
      <c r="J208" s="64"/>
      <c r="K208" s="64"/>
      <c r="L208" s="64"/>
      <c r="M208" s="64"/>
      <c r="N208" s="64"/>
      <c r="O208" s="64"/>
      <c r="P208" s="64"/>
      <c r="Q208" s="64"/>
      <c r="R208" s="64"/>
      <c r="S208" s="64"/>
      <c r="T208" s="129">
        <v>50771</v>
      </c>
      <c r="U208" s="25"/>
      <c r="V208" s="25"/>
      <c r="W208" s="25"/>
      <c r="X208" s="5"/>
    </row>
    <row r="209" spans="1:24" ht="15.6" x14ac:dyDescent="0.3">
      <c r="A209" s="75"/>
      <c r="B209" s="76" t="s">
        <v>213</v>
      </c>
      <c r="C209" s="77"/>
      <c r="D209" s="77"/>
      <c r="E209" s="77"/>
      <c r="F209" s="77"/>
      <c r="G209" s="64"/>
      <c r="H209" s="64"/>
      <c r="I209" s="64"/>
      <c r="J209" s="64"/>
      <c r="K209" s="64"/>
      <c r="L209" s="64"/>
      <c r="M209" s="64"/>
      <c r="N209" s="64"/>
      <c r="O209" s="64"/>
      <c r="P209" s="64"/>
      <c r="Q209" s="64"/>
      <c r="R209" s="64"/>
      <c r="S209" s="64"/>
      <c r="T209" s="129">
        <v>50771</v>
      </c>
      <c r="U209" s="25"/>
      <c r="V209" s="25"/>
      <c r="W209" s="25"/>
      <c r="X209" s="5"/>
    </row>
    <row r="210" spans="1:24" ht="15.6" x14ac:dyDescent="0.3">
      <c r="A210" s="75"/>
      <c r="B210" s="76" t="s">
        <v>75</v>
      </c>
      <c r="C210" s="77"/>
      <c r="D210" s="77"/>
      <c r="E210" s="77"/>
      <c r="F210" s="77"/>
      <c r="G210" s="64"/>
      <c r="H210" s="64"/>
      <c r="I210" s="64"/>
      <c r="J210" s="64"/>
      <c r="K210" s="64"/>
      <c r="L210" s="64"/>
      <c r="M210" s="64"/>
      <c r="N210" s="64"/>
      <c r="O210" s="64"/>
      <c r="P210" s="64"/>
      <c r="Q210" s="64"/>
      <c r="R210" s="64"/>
      <c r="S210" s="64"/>
      <c r="T210" s="133">
        <v>20.66</v>
      </c>
      <c r="U210" s="25" t="s">
        <v>113</v>
      </c>
      <c r="V210" s="25"/>
      <c r="W210" s="25"/>
      <c r="X210" s="5"/>
    </row>
    <row r="211" spans="1:24" ht="15.6" x14ac:dyDescent="0.3">
      <c r="A211" s="75"/>
      <c r="B211" s="76" t="s">
        <v>76</v>
      </c>
      <c r="C211" s="77"/>
      <c r="D211" s="77"/>
      <c r="E211" s="77"/>
      <c r="F211" s="77"/>
      <c r="G211" s="64"/>
      <c r="H211" s="64"/>
      <c r="I211" s="64"/>
      <c r="J211" s="64"/>
      <c r="K211" s="64"/>
      <c r="L211" s="64"/>
      <c r="M211" s="64"/>
      <c r="N211" s="64"/>
      <c r="O211" s="64"/>
      <c r="P211" s="64"/>
      <c r="Q211" s="64"/>
      <c r="R211" s="64"/>
      <c r="S211" s="64"/>
      <c r="T211" s="133">
        <v>19.5</v>
      </c>
      <c r="U211" s="25" t="s">
        <v>113</v>
      </c>
      <c r="V211" s="25"/>
      <c r="W211" s="25"/>
      <c r="X211" s="5"/>
    </row>
    <row r="212" spans="1:24" ht="15.6" x14ac:dyDescent="0.3">
      <c r="A212" s="75"/>
      <c r="B212" s="76" t="s">
        <v>77</v>
      </c>
      <c r="C212" s="77"/>
      <c r="D212" s="77"/>
      <c r="E212" s="77"/>
      <c r="F212" s="77"/>
      <c r="G212" s="64"/>
      <c r="H212" s="64"/>
      <c r="I212" s="64"/>
      <c r="J212" s="64"/>
      <c r="K212" s="64"/>
      <c r="L212" s="64"/>
      <c r="M212" s="64"/>
      <c r="N212" s="64"/>
      <c r="O212" s="64"/>
      <c r="P212" s="64"/>
      <c r="Q212" s="64"/>
      <c r="R212" s="64"/>
      <c r="S212" s="64"/>
      <c r="T212" s="78">
        <f>+P69/N69</f>
        <v>3.7752798311473205E-2</v>
      </c>
      <c r="U212" s="25"/>
      <c r="V212" s="25"/>
      <c r="W212" s="25"/>
      <c r="X212" s="5"/>
    </row>
    <row r="213" spans="1:24" ht="15.6" x14ac:dyDescent="0.3">
      <c r="A213" s="75"/>
      <c r="B213" s="76" t="s">
        <v>78</v>
      </c>
      <c r="C213" s="77"/>
      <c r="D213" s="77"/>
      <c r="E213" s="77"/>
      <c r="F213" s="77"/>
      <c r="G213" s="64"/>
      <c r="H213" s="64"/>
      <c r="I213" s="64"/>
      <c r="J213" s="64"/>
      <c r="K213" s="64"/>
      <c r="L213" s="64"/>
      <c r="M213" s="64"/>
      <c r="N213" s="64"/>
      <c r="O213" s="64"/>
      <c r="P213" s="64"/>
      <c r="Q213" s="64"/>
      <c r="R213" s="64"/>
      <c r="S213" s="64"/>
      <c r="T213" s="78">
        <v>0.1178</v>
      </c>
      <c r="U213" s="25"/>
      <c r="V213" s="25"/>
      <c r="W213" s="25"/>
      <c r="X213" s="5"/>
    </row>
    <row r="214" spans="1:24" ht="15.6" x14ac:dyDescent="0.3">
      <c r="A214" s="75"/>
      <c r="B214" s="76"/>
      <c r="C214" s="76"/>
      <c r="D214" s="76"/>
      <c r="E214" s="76"/>
      <c r="F214" s="76"/>
      <c r="G214" s="25"/>
      <c r="H214" s="25"/>
      <c r="I214" s="25"/>
      <c r="J214" s="25"/>
      <c r="K214" s="25"/>
      <c r="L214" s="25"/>
      <c r="M214" s="25"/>
      <c r="N214" s="25"/>
      <c r="O214" s="25"/>
      <c r="P214" s="25"/>
      <c r="Q214" s="25"/>
      <c r="R214" s="25"/>
      <c r="S214" s="25"/>
      <c r="T214" s="61"/>
      <c r="U214" s="25"/>
      <c r="V214" s="79"/>
      <c r="W214" s="25"/>
      <c r="X214" s="5"/>
    </row>
    <row r="215" spans="1:24" ht="15.6" x14ac:dyDescent="0.3">
      <c r="A215" s="80"/>
      <c r="B215" s="14" t="s">
        <v>79</v>
      </c>
      <c r="C215" s="81"/>
      <c r="D215" s="81"/>
      <c r="E215" s="81"/>
      <c r="F215" s="82"/>
      <c r="G215" s="81"/>
      <c r="H215" s="17"/>
      <c r="I215" s="17"/>
      <c r="J215" s="17"/>
      <c r="K215" s="17"/>
      <c r="L215" s="17"/>
      <c r="M215" s="17"/>
      <c r="N215" s="17"/>
      <c r="O215" s="17"/>
      <c r="P215" s="17"/>
      <c r="Q215" s="17"/>
      <c r="R215" s="17"/>
      <c r="S215" s="17" t="s">
        <v>103</v>
      </c>
      <c r="T215" s="83" t="s">
        <v>110</v>
      </c>
      <c r="U215" s="8"/>
      <c r="V215" s="8"/>
      <c r="W215" s="8"/>
      <c r="X215" s="5"/>
    </row>
    <row r="216" spans="1:24" ht="15.6" x14ac:dyDescent="0.3">
      <c r="A216" s="84"/>
      <c r="B216" s="76" t="s">
        <v>80</v>
      </c>
      <c r="C216" s="54"/>
      <c r="D216" s="54"/>
      <c r="E216" s="54"/>
      <c r="F216" s="25"/>
      <c r="G216" s="25"/>
      <c r="H216" s="30"/>
      <c r="I216" s="30"/>
      <c r="J216" s="30"/>
      <c r="K216" s="30"/>
      <c r="L216" s="30"/>
      <c r="M216" s="30"/>
      <c r="N216" s="30"/>
      <c r="O216" s="30"/>
      <c r="P216" s="30"/>
      <c r="Q216" s="30"/>
      <c r="R216" s="30"/>
      <c r="S216" s="30">
        <v>0</v>
      </c>
      <c r="T216" s="85">
        <v>0</v>
      </c>
      <c r="U216" s="25"/>
      <c r="V216" s="79"/>
      <c r="W216" s="86"/>
      <c r="X216" s="5"/>
    </row>
    <row r="217" spans="1:24" ht="15.6" x14ac:dyDescent="0.3">
      <c r="A217" s="84"/>
      <c r="B217" s="76" t="s">
        <v>148</v>
      </c>
      <c r="C217" s="54"/>
      <c r="D217" s="54"/>
      <c r="E217" s="54"/>
      <c r="F217" s="25"/>
      <c r="G217" s="25"/>
      <c r="H217" s="30"/>
      <c r="I217" s="30"/>
      <c r="J217" s="30"/>
      <c r="K217" s="30"/>
      <c r="L217" s="30"/>
      <c r="M217" s="30"/>
      <c r="N217" s="30"/>
      <c r="O217" s="30"/>
      <c r="P217" s="30"/>
      <c r="Q217" s="30"/>
      <c r="R217" s="30"/>
      <c r="S217" s="152">
        <f>+R257</f>
        <v>42</v>
      </c>
      <c r="T217" s="85">
        <f>+T257</f>
        <v>4859</v>
      </c>
      <c r="U217" s="25"/>
      <c r="V217" s="79"/>
      <c r="W217" s="86"/>
      <c r="X217" s="5"/>
    </row>
    <row r="218" spans="1:24" ht="15.6" x14ac:dyDescent="0.3">
      <c r="A218" s="84"/>
      <c r="B218" s="76" t="s">
        <v>81</v>
      </c>
      <c r="C218" s="54"/>
      <c r="D218" s="54"/>
      <c r="E218" s="54"/>
      <c r="F218" s="25"/>
      <c r="G218" s="25"/>
      <c r="H218" s="30"/>
      <c r="I218" s="30"/>
      <c r="J218" s="30"/>
      <c r="K218" s="30"/>
      <c r="L218" s="30"/>
      <c r="M218" s="30"/>
      <c r="N218" s="30"/>
      <c r="O218" s="30"/>
      <c r="P218" s="30"/>
      <c r="Q218" s="30"/>
      <c r="R218" s="30"/>
      <c r="S218" s="30">
        <v>0</v>
      </c>
      <c r="T218" s="85">
        <v>0</v>
      </c>
      <c r="U218" s="25"/>
      <c r="V218" s="79"/>
      <c r="W218" s="86"/>
      <c r="X218" s="5"/>
    </row>
    <row r="219" spans="1:24" ht="15.6" x14ac:dyDescent="0.3">
      <c r="A219" s="84"/>
      <c r="B219" s="122" t="s">
        <v>82</v>
      </c>
      <c r="C219" s="54"/>
      <c r="D219" s="54"/>
      <c r="E219" s="54"/>
      <c r="F219" s="25"/>
      <c r="G219" s="25"/>
      <c r="H219" s="25"/>
      <c r="I219" s="25"/>
      <c r="J219" s="25"/>
      <c r="K219" s="25"/>
      <c r="L219" s="25"/>
      <c r="M219" s="25"/>
      <c r="N219" s="25"/>
      <c r="O219" s="25"/>
      <c r="P219" s="25"/>
      <c r="Q219" s="25"/>
      <c r="R219" s="25"/>
      <c r="S219" s="25"/>
      <c r="T219" s="85">
        <v>0</v>
      </c>
      <c r="U219" s="25"/>
      <c r="V219" s="79"/>
      <c r="W219" s="86"/>
      <c r="X219" s="5"/>
    </row>
    <row r="220" spans="1:24" ht="15.6" x14ac:dyDescent="0.3">
      <c r="A220" s="84"/>
      <c r="B220" s="122" t="s">
        <v>275</v>
      </c>
      <c r="C220" s="54"/>
      <c r="D220" s="54"/>
      <c r="E220" s="54"/>
      <c r="F220" s="25"/>
      <c r="G220" s="25"/>
      <c r="H220" s="25"/>
      <c r="I220" s="25"/>
      <c r="J220" s="25"/>
      <c r="K220" s="25"/>
      <c r="L220" s="25"/>
      <c r="M220" s="25"/>
      <c r="N220" s="25"/>
      <c r="O220" s="25"/>
      <c r="P220" s="25"/>
      <c r="Q220" s="25"/>
      <c r="R220" s="25"/>
      <c r="S220" s="25"/>
      <c r="T220" s="85">
        <f>+N82</f>
        <v>0</v>
      </c>
      <c r="U220" s="25"/>
      <c r="V220" s="79"/>
      <c r="W220" s="86"/>
      <c r="X220" s="5"/>
    </row>
    <row r="221" spans="1:24" ht="15.6" x14ac:dyDescent="0.3">
      <c r="A221" s="87"/>
      <c r="B221" s="122" t="s">
        <v>83</v>
      </c>
      <c r="C221" s="76"/>
      <c r="D221" s="76"/>
      <c r="E221" s="76"/>
      <c r="F221" s="76"/>
      <c r="G221" s="25"/>
      <c r="H221" s="25"/>
      <c r="I221" s="25"/>
      <c r="J221" s="25"/>
      <c r="K221" s="25"/>
      <c r="L221" s="25"/>
      <c r="M221" s="25"/>
      <c r="N221" s="25"/>
      <c r="O221" s="25"/>
      <c r="P221" s="25"/>
      <c r="Q221" s="25"/>
      <c r="R221" s="25"/>
      <c r="S221" s="25"/>
      <c r="T221" s="85"/>
      <c r="U221" s="25"/>
      <c r="V221" s="79"/>
      <c r="W221" s="88"/>
      <c r="X221" s="5"/>
    </row>
    <row r="222" spans="1:24" ht="15.6" x14ac:dyDescent="0.3">
      <c r="A222" s="87"/>
      <c r="B222" s="131" t="s">
        <v>84</v>
      </c>
      <c r="C222" s="76"/>
      <c r="D222" s="76"/>
      <c r="E222" s="76"/>
      <c r="F222" s="76"/>
      <c r="G222" s="25"/>
      <c r="H222" s="25"/>
      <c r="I222" s="25"/>
      <c r="J222" s="25"/>
      <c r="K222" s="25"/>
      <c r="L222" s="25"/>
      <c r="M222" s="25"/>
      <c r="N222" s="25"/>
      <c r="O222" s="25"/>
      <c r="P222" s="25"/>
      <c r="Q222" s="25"/>
      <c r="R222" s="25"/>
      <c r="S222" s="30"/>
      <c r="T222" s="85">
        <f>V167</f>
        <v>-3</v>
      </c>
      <c r="U222" s="25"/>
      <c r="V222" s="79"/>
      <c r="W222" s="88"/>
      <c r="X222" s="5"/>
    </row>
    <row r="223" spans="1:24" ht="15.6" x14ac:dyDescent="0.3">
      <c r="A223" s="84"/>
      <c r="B223" s="76" t="s">
        <v>85</v>
      </c>
      <c r="C223" s="54"/>
      <c r="D223" s="54"/>
      <c r="E223" s="54"/>
      <c r="F223" s="54"/>
      <c r="G223" s="25"/>
      <c r="H223" s="25"/>
      <c r="I223" s="25"/>
      <c r="J223" s="25"/>
      <c r="K223" s="25"/>
      <c r="L223" s="25"/>
      <c r="M223" s="25"/>
      <c r="N223" s="25"/>
      <c r="O223" s="25"/>
      <c r="P223" s="25"/>
      <c r="Q223" s="25"/>
      <c r="R223" s="25"/>
      <c r="S223" s="30"/>
      <c r="T223" s="85">
        <f>'Dec 07'!T223+T222</f>
        <v>1</v>
      </c>
      <c r="U223" s="25"/>
      <c r="V223" s="79"/>
      <c r="W223" s="88"/>
      <c r="X223" s="5"/>
    </row>
    <row r="224" spans="1:24" ht="15.6" x14ac:dyDescent="0.3">
      <c r="A224" s="87"/>
      <c r="B224" s="122" t="s">
        <v>297</v>
      </c>
      <c r="C224" s="76"/>
      <c r="D224" s="76"/>
      <c r="E224" s="76"/>
      <c r="F224" s="76"/>
      <c r="G224" s="25"/>
      <c r="H224" s="25"/>
      <c r="I224" s="25"/>
      <c r="J224" s="25"/>
      <c r="K224" s="25"/>
      <c r="L224" s="25"/>
      <c r="M224" s="25"/>
      <c r="N224" s="25"/>
      <c r="O224" s="25"/>
      <c r="P224" s="25"/>
      <c r="Q224" s="25"/>
      <c r="R224" s="25"/>
      <c r="S224" s="30"/>
      <c r="T224" s="85"/>
      <c r="U224" s="25"/>
      <c r="V224" s="79"/>
      <c r="W224" s="88"/>
      <c r="X224" s="5"/>
    </row>
    <row r="225" spans="1:25" ht="15.6" x14ac:dyDescent="0.3">
      <c r="A225" s="87"/>
      <c r="B225" s="76" t="s">
        <v>295</v>
      </c>
      <c r="C225" s="76"/>
      <c r="D225" s="76"/>
      <c r="E225" s="76"/>
      <c r="F225" s="76"/>
      <c r="G225" s="25"/>
      <c r="H225" s="25"/>
      <c r="I225" s="25"/>
      <c r="J225" s="25"/>
      <c r="K225" s="25"/>
      <c r="L225" s="25"/>
      <c r="M225" s="25"/>
      <c r="N225" s="25"/>
      <c r="O225" s="25"/>
      <c r="P225" s="25"/>
      <c r="Q225" s="25"/>
      <c r="R225" s="25"/>
      <c r="S225" s="30">
        <v>0</v>
      </c>
      <c r="T225" s="85">
        <v>0</v>
      </c>
      <c r="U225" s="25"/>
      <c r="V225" s="79"/>
      <c r="W225" s="88"/>
      <c r="X225" s="5"/>
    </row>
    <row r="226" spans="1:25" ht="15.6" x14ac:dyDescent="0.3">
      <c r="A226" s="84"/>
      <c r="B226" s="76" t="s">
        <v>87</v>
      </c>
      <c r="C226" s="89"/>
      <c r="D226" s="89"/>
      <c r="E226" s="89"/>
      <c r="F226" s="90"/>
      <c r="G226" s="25"/>
      <c r="H226" s="25"/>
      <c r="I226" s="25"/>
      <c r="J226" s="25"/>
      <c r="K226" s="25"/>
      <c r="L226" s="25"/>
      <c r="M226" s="25"/>
      <c r="N226" s="25"/>
      <c r="O226" s="25"/>
      <c r="P226" s="25"/>
      <c r="Q226" s="25"/>
      <c r="R226" s="25"/>
      <c r="S226" s="25"/>
      <c r="T226" s="62">
        <v>0</v>
      </c>
      <c r="U226" s="25"/>
      <c r="V226" s="79"/>
      <c r="W226" s="88"/>
      <c r="X226" s="5"/>
    </row>
    <row r="227" spans="1:25" ht="15.6" x14ac:dyDescent="0.3">
      <c r="A227" s="84"/>
      <c r="B227" s="76" t="s">
        <v>88</v>
      </c>
      <c r="C227" s="89"/>
      <c r="D227" s="89"/>
      <c r="E227" s="89"/>
      <c r="F227" s="90"/>
      <c r="G227" s="25"/>
      <c r="H227" s="25"/>
      <c r="I227" s="25"/>
      <c r="J227" s="25"/>
      <c r="K227" s="25"/>
      <c r="L227" s="25"/>
      <c r="M227" s="25"/>
      <c r="N227" s="25"/>
      <c r="O227" s="25"/>
      <c r="P227" s="25"/>
      <c r="Q227" s="25"/>
      <c r="R227" s="25"/>
      <c r="S227" s="25"/>
      <c r="T227" s="62">
        <v>0</v>
      </c>
      <c r="U227" s="25"/>
      <c r="V227" s="79"/>
      <c r="W227" s="88"/>
      <c r="X227" s="5"/>
    </row>
    <row r="228" spans="1:25" ht="15.6" x14ac:dyDescent="0.3">
      <c r="A228" s="84"/>
      <c r="B228" s="122" t="s">
        <v>220</v>
      </c>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5.6" x14ac:dyDescent="0.3">
      <c r="A229" s="84"/>
      <c r="B229" s="76" t="s">
        <v>295</v>
      </c>
      <c r="C229" s="89"/>
      <c r="D229" s="89"/>
      <c r="E229" s="89"/>
      <c r="F229" s="90"/>
      <c r="G229" s="25"/>
      <c r="H229" s="25"/>
      <c r="I229" s="25"/>
      <c r="J229" s="25"/>
      <c r="K229" s="25"/>
      <c r="L229" s="25"/>
      <c r="M229" s="25"/>
      <c r="N229" s="25"/>
      <c r="O229" s="25"/>
      <c r="P229" s="25"/>
      <c r="Q229" s="25"/>
      <c r="R229" s="25"/>
      <c r="S229" s="30">
        <v>3</v>
      </c>
      <c r="T229" s="85">
        <v>521</v>
      </c>
      <c r="U229" s="25"/>
      <c r="V229" s="79"/>
      <c r="W229" s="88"/>
      <c r="X229" s="5"/>
    </row>
    <row r="230" spans="1:25" ht="15.6" x14ac:dyDescent="0.3">
      <c r="A230" s="84"/>
      <c r="B230" s="76" t="s">
        <v>221</v>
      </c>
      <c r="C230" s="89"/>
      <c r="D230" s="89"/>
      <c r="E230" s="89"/>
      <c r="F230" s="90"/>
      <c r="G230" s="25"/>
      <c r="H230" s="25"/>
      <c r="I230" s="25"/>
      <c r="J230" s="25"/>
      <c r="K230" s="25"/>
      <c r="L230" s="25"/>
      <c r="M230" s="25"/>
      <c r="N230" s="25"/>
      <c r="O230" s="25"/>
      <c r="P230" s="25"/>
      <c r="Q230" s="25"/>
      <c r="R230" s="25"/>
      <c r="S230" s="25"/>
      <c r="T230" s="62">
        <v>4.91</v>
      </c>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7.399999999999999" x14ac:dyDescent="0.3">
      <c r="A233" s="84"/>
      <c r="B233" s="149" t="s">
        <v>171</v>
      </c>
      <c r="C233" s="89"/>
      <c r="D233" s="89"/>
      <c r="E233" s="89"/>
      <c r="F233" s="90"/>
      <c r="G233" s="25"/>
      <c r="H233" s="25"/>
      <c r="I233" s="25"/>
      <c r="J233" s="25"/>
      <c r="K233" s="25"/>
      <c r="L233" s="25"/>
      <c r="M233" s="25"/>
      <c r="N233" s="25"/>
      <c r="O233" s="25"/>
      <c r="P233" s="150" t="s">
        <v>170</v>
      </c>
      <c r="Q233" s="25"/>
      <c r="R233" s="25"/>
      <c r="S233" s="25"/>
      <c r="T233" s="91"/>
      <c r="U233" s="25"/>
      <c r="V233" s="79"/>
      <c r="W233" s="88"/>
      <c r="X233" s="5"/>
    </row>
    <row r="234" spans="1:25" ht="15.6" x14ac:dyDescent="0.3">
      <c r="A234" s="84"/>
      <c r="B234" s="76"/>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5" ht="15.6" x14ac:dyDescent="0.3">
      <c r="A235" s="6"/>
      <c r="B235" s="14" t="s">
        <v>165</v>
      </c>
      <c r="C235" s="81"/>
      <c r="D235" s="81"/>
      <c r="E235" s="81"/>
      <c r="F235" s="82"/>
      <c r="G235" s="81"/>
      <c r="H235" s="17"/>
      <c r="I235" s="17"/>
      <c r="J235" s="17"/>
      <c r="K235" s="17"/>
      <c r="L235" s="17"/>
      <c r="M235" s="17"/>
      <c r="N235" s="17"/>
      <c r="O235" s="17"/>
      <c r="P235" s="17"/>
      <c r="Q235" s="17"/>
      <c r="R235" s="83" t="s">
        <v>103</v>
      </c>
      <c r="S235" s="17" t="s">
        <v>104</v>
      </c>
      <c r="T235" s="83" t="s">
        <v>111</v>
      </c>
      <c r="U235" s="17" t="s">
        <v>104</v>
      </c>
      <c r="V235" s="8"/>
      <c r="W235" s="92"/>
      <c r="X235" s="5"/>
    </row>
    <row r="236" spans="1:25" ht="15.6" x14ac:dyDescent="0.3">
      <c r="A236" s="24"/>
      <c r="B236" s="54" t="s">
        <v>89</v>
      </c>
      <c r="C236" s="93"/>
      <c r="D236" s="93"/>
      <c r="E236" s="93"/>
      <c r="F236" s="25"/>
      <c r="G236" s="93"/>
      <c r="H236" s="93"/>
      <c r="I236" s="93"/>
      <c r="J236" s="93"/>
      <c r="K236" s="93"/>
      <c r="L236" s="93"/>
      <c r="M236" s="93"/>
      <c r="N236" s="93"/>
      <c r="O236" s="93"/>
      <c r="P236" s="93"/>
      <c r="Q236" s="93"/>
      <c r="R236" s="54">
        <v>10061</v>
      </c>
      <c r="S236" s="94">
        <f t="shared" ref="S236:S243" si="1">R236/$R$245</f>
        <v>0.99025590551181097</v>
      </c>
      <c r="T236" s="53">
        <v>1281239</v>
      </c>
      <c r="U236" s="132">
        <f t="shared" ref="U236:U243" si="2">T236/$T$245</f>
        <v>0.9884051844177405</v>
      </c>
      <c r="V236" s="79"/>
      <c r="W236" s="88"/>
      <c r="X236" s="5"/>
    </row>
    <row r="237" spans="1:25" ht="15.6" x14ac:dyDescent="0.3">
      <c r="A237" s="24"/>
      <c r="B237" s="54" t="s">
        <v>90</v>
      </c>
      <c r="C237" s="93"/>
      <c r="D237" s="93"/>
      <c r="E237" s="93"/>
      <c r="F237" s="25"/>
      <c r="G237" s="94"/>
      <c r="H237" s="93"/>
      <c r="I237" s="93"/>
      <c r="J237" s="93"/>
      <c r="K237" s="93"/>
      <c r="L237" s="93"/>
      <c r="M237" s="93"/>
      <c r="N237" s="93"/>
      <c r="O237" s="93"/>
      <c r="P237" s="93"/>
      <c r="Q237" s="93"/>
      <c r="R237" s="54">
        <v>81</v>
      </c>
      <c r="S237" s="94">
        <f t="shared" si="1"/>
        <v>7.9724409448818905E-3</v>
      </c>
      <c r="T237" s="53">
        <v>12164</v>
      </c>
      <c r="U237" s="132">
        <f t="shared" si="2"/>
        <v>9.3838547400269551E-3</v>
      </c>
      <c r="V237" s="79"/>
      <c r="W237" s="88"/>
      <c r="X237" s="5"/>
      <c r="Y237" s="109"/>
    </row>
    <row r="238" spans="1:25" ht="15.6" x14ac:dyDescent="0.3">
      <c r="A238" s="24"/>
      <c r="B238" s="54" t="s">
        <v>91</v>
      </c>
      <c r="C238" s="93"/>
      <c r="D238" s="93"/>
      <c r="E238" s="93"/>
      <c r="F238" s="25"/>
      <c r="G238" s="94"/>
      <c r="H238" s="93"/>
      <c r="I238" s="93"/>
      <c r="J238" s="93"/>
      <c r="K238" s="93"/>
      <c r="L238" s="93"/>
      <c r="M238" s="93"/>
      <c r="N238" s="93"/>
      <c r="O238" s="93"/>
      <c r="P238" s="93"/>
      <c r="Q238" s="93"/>
      <c r="R238" s="54">
        <v>17</v>
      </c>
      <c r="S238" s="94">
        <f t="shared" si="1"/>
        <v>1.6732283464566929E-3</v>
      </c>
      <c r="T238" s="53">
        <v>2704</v>
      </c>
      <c r="U238" s="132">
        <f t="shared" si="2"/>
        <v>2.0859867820645253E-3</v>
      </c>
      <c r="V238" s="79"/>
      <c r="W238" s="88"/>
      <c r="X238" s="5"/>
    </row>
    <row r="239" spans="1:25" ht="15.6" x14ac:dyDescent="0.3">
      <c r="A239" s="24"/>
      <c r="B239" s="54" t="s">
        <v>159</v>
      </c>
      <c r="C239" s="93"/>
      <c r="D239" s="93"/>
      <c r="E239" s="93"/>
      <c r="F239" s="25"/>
      <c r="G239" s="94"/>
      <c r="H239" s="93"/>
      <c r="I239" s="93"/>
      <c r="J239" s="93"/>
      <c r="K239" s="93"/>
      <c r="L239" s="93"/>
      <c r="M239" s="93"/>
      <c r="N239" s="93"/>
      <c r="O239" s="93"/>
      <c r="P239" s="93"/>
      <c r="Q239" s="93"/>
      <c r="R239" s="54">
        <v>1</v>
      </c>
      <c r="S239" s="94">
        <f t="shared" si="1"/>
        <v>9.8425196850393699E-5</v>
      </c>
      <c r="T239" s="53">
        <v>162</v>
      </c>
      <c r="U239" s="132">
        <f t="shared" si="2"/>
        <v>1.2497406016806698E-4</v>
      </c>
      <c r="V239" s="79"/>
      <c r="W239" s="88"/>
      <c r="X239" s="5"/>
      <c r="Y239" s="109"/>
    </row>
    <row r="240" spans="1:25" ht="15.6" x14ac:dyDescent="0.3">
      <c r="A240" s="24"/>
      <c r="B240" s="54" t="s">
        <v>160</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row>
    <row r="241" spans="1:25" ht="15.6" x14ac:dyDescent="0.3">
      <c r="A241" s="24"/>
      <c r="B241" s="54" t="s">
        <v>161</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c r="Y241" s="109"/>
    </row>
    <row r="242" spans="1:25" ht="15.6" x14ac:dyDescent="0.3">
      <c r="A242" s="24"/>
      <c r="B242" s="54" t="s">
        <v>162</v>
      </c>
      <c r="C242" s="93"/>
      <c r="D242" s="93"/>
      <c r="E242" s="93"/>
      <c r="F242" s="25"/>
      <c r="G242" s="94"/>
      <c r="H242" s="93"/>
      <c r="I242" s="93"/>
      <c r="J242" s="93"/>
      <c r="K242" s="93"/>
      <c r="L242" s="93"/>
      <c r="M242" s="93"/>
      <c r="N242" s="93"/>
      <c r="O242" s="93"/>
      <c r="P242" s="93"/>
      <c r="Q242" s="93"/>
      <c r="R242" s="54">
        <v>0</v>
      </c>
      <c r="S242" s="94">
        <f t="shared" si="1"/>
        <v>0</v>
      </c>
      <c r="T242" s="53">
        <v>0</v>
      </c>
      <c r="U242" s="132">
        <f t="shared" si="2"/>
        <v>0</v>
      </c>
      <c r="V242" s="79"/>
      <c r="W242" s="88"/>
      <c r="X242" s="5"/>
    </row>
    <row r="243" spans="1:25" ht="15.6" x14ac:dyDescent="0.3">
      <c r="A243" s="24"/>
      <c r="B243" s="54" t="s">
        <v>163</v>
      </c>
      <c r="C243" s="93"/>
      <c r="D243" s="93"/>
      <c r="E243" s="93"/>
      <c r="F243" s="25"/>
      <c r="G243" s="94"/>
      <c r="H243" s="93"/>
      <c r="I243" s="93"/>
      <c r="J243" s="93"/>
      <c r="K243" s="93"/>
      <c r="L243" s="93"/>
      <c r="M243" s="93"/>
      <c r="N243" s="93"/>
      <c r="O243" s="93"/>
      <c r="P243" s="93"/>
      <c r="Q243" s="93"/>
      <c r="R243" s="54">
        <v>0</v>
      </c>
      <c r="S243" s="94">
        <f t="shared" si="1"/>
        <v>0</v>
      </c>
      <c r="T243" s="53">
        <v>0</v>
      </c>
      <c r="U243" s="132">
        <f t="shared" si="2"/>
        <v>0</v>
      </c>
      <c r="V243" s="79"/>
      <c r="W243" s="88"/>
      <c r="X243" s="5"/>
      <c r="Y243" s="109"/>
    </row>
    <row r="244" spans="1:25" ht="15.6" x14ac:dyDescent="0.3">
      <c r="A244" s="24"/>
      <c r="B244" s="54"/>
      <c r="C244" s="93"/>
      <c r="D244" s="93"/>
      <c r="E244" s="93"/>
      <c r="F244" s="25"/>
      <c r="G244" s="94"/>
      <c r="H244" s="93"/>
      <c r="I244" s="93"/>
      <c r="J244" s="93"/>
      <c r="K244" s="93"/>
      <c r="L244" s="93"/>
      <c r="M244" s="93"/>
      <c r="N244" s="93"/>
      <c r="O244" s="93"/>
      <c r="P244" s="93"/>
      <c r="Q244" s="93"/>
      <c r="R244" s="54"/>
      <c r="S244" s="94"/>
      <c r="T244" s="53"/>
      <c r="U244" s="132"/>
      <c r="V244" s="79"/>
      <c r="W244" s="88"/>
      <c r="X244" s="5"/>
    </row>
    <row r="245" spans="1:25" ht="15.6" x14ac:dyDescent="0.3">
      <c r="A245" s="24"/>
      <c r="B245" s="25" t="s">
        <v>117</v>
      </c>
      <c r="C245" s="25"/>
      <c r="D245" s="25"/>
      <c r="E245" s="25"/>
      <c r="F245" s="25"/>
      <c r="G245" s="25"/>
      <c r="H245" s="95"/>
      <c r="I245" s="95"/>
      <c r="J245" s="95"/>
      <c r="K245" s="95"/>
      <c r="L245" s="95"/>
      <c r="M245" s="95"/>
      <c r="N245" s="95"/>
      <c r="O245" s="95"/>
      <c r="P245" s="95"/>
      <c r="Q245" s="95"/>
      <c r="R245" s="34">
        <f>SUM(R236:R244)</f>
        <v>10160</v>
      </c>
      <c r="S245" s="132">
        <f>SUM(S236:S244)</f>
        <v>1</v>
      </c>
      <c r="T245" s="53">
        <f>SUM(T236:T244)</f>
        <v>1296269</v>
      </c>
      <c r="U245" s="132">
        <f>SUM(U236:U244)</f>
        <v>1</v>
      </c>
      <c r="V245" s="25"/>
      <c r="W245" s="25"/>
      <c r="X245" s="5"/>
    </row>
    <row r="246" spans="1:25" ht="15.6" x14ac:dyDescent="0.3">
      <c r="A246" s="24"/>
      <c r="B246" s="25"/>
      <c r="C246" s="25"/>
      <c r="D246" s="25"/>
      <c r="E246" s="25"/>
      <c r="F246" s="25"/>
      <c r="G246" s="25"/>
      <c r="H246" s="95"/>
      <c r="I246" s="95"/>
      <c r="J246" s="95"/>
      <c r="K246" s="95"/>
      <c r="L246" s="95"/>
      <c r="M246" s="95"/>
      <c r="N246" s="95"/>
      <c r="O246" s="95"/>
      <c r="P246" s="95"/>
      <c r="Q246" s="95"/>
      <c r="R246" s="34"/>
      <c r="S246" s="132"/>
      <c r="T246" s="53"/>
      <c r="U246" s="132"/>
      <c r="V246" s="25"/>
      <c r="W246" s="25"/>
      <c r="X246" s="5"/>
    </row>
    <row r="247" spans="1:25" ht="15.6" x14ac:dyDescent="0.3">
      <c r="A247" s="141"/>
      <c r="B247" s="14" t="s">
        <v>279</v>
      </c>
      <c r="C247" s="81"/>
      <c r="D247" s="81"/>
      <c r="E247" s="81"/>
      <c r="F247" s="82"/>
      <c r="G247" s="81"/>
      <c r="H247" s="17"/>
      <c r="I247" s="17"/>
      <c r="J247" s="17"/>
      <c r="K247" s="17"/>
      <c r="L247" s="17"/>
      <c r="M247" s="17"/>
      <c r="N247" s="17"/>
      <c r="O247" s="17"/>
      <c r="P247" s="17"/>
      <c r="Q247" s="17"/>
      <c r="R247" s="83" t="s">
        <v>103</v>
      </c>
      <c r="S247" s="17" t="s">
        <v>104</v>
      </c>
      <c r="T247" s="83" t="s">
        <v>111</v>
      </c>
      <c r="U247" s="17" t="s">
        <v>104</v>
      </c>
      <c r="V247" s="139"/>
      <c r="W247" s="140"/>
      <c r="X247" s="5"/>
    </row>
    <row r="248" spans="1:25" ht="15.6" x14ac:dyDescent="0.3">
      <c r="A248" s="24"/>
      <c r="B248" s="54" t="s">
        <v>89</v>
      </c>
      <c r="C248" s="93"/>
      <c r="D248" s="93"/>
      <c r="E248" s="93"/>
      <c r="F248" s="25"/>
      <c r="G248" s="93"/>
      <c r="H248" s="93"/>
      <c r="I248" s="93"/>
      <c r="J248" s="93"/>
      <c r="K248" s="93"/>
      <c r="L248" s="93"/>
      <c r="M248" s="93"/>
      <c r="N248" s="93"/>
      <c r="O248" s="93"/>
      <c r="P248" s="93"/>
      <c r="Q248" s="93"/>
      <c r="R248" s="54">
        <v>10</v>
      </c>
      <c r="S248" s="94">
        <f t="shared" ref="S248:S255" si="3">R248/$R$257</f>
        <v>0.23809523809523808</v>
      </c>
      <c r="T248" s="53">
        <v>1293</v>
      </c>
      <c r="U248" s="132">
        <f t="shared" ref="U248:U255" si="4">T248/$T$257</f>
        <v>0.26610413665363242</v>
      </c>
      <c r="V248" s="25"/>
      <c r="W248" s="25"/>
      <c r="X248" s="5"/>
    </row>
    <row r="249" spans="1:25" ht="15.6" x14ac:dyDescent="0.3">
      <c r="A249" s="24"/>
      <c r="B249" s="54" t="s">
        <v>90</v>
      </c>
      <c r="C249" s="93"/>
      <c r="D249" s="93"/>
      <c r="E249" s="93"/>
      <c r="F249" s="25"/>
      <c r="G249" s="94"/>
      <c r="H249" s="93"/>
      <c r="I249" s="93"/>
      <c r="J249" s="93"/>
      <c r="K249" s="93"/>
      <c r="L249" s="93"/>
      <c r="M249" s="93"/>
      <c r="N249" s="93"/>
      <c r="O249" s="93"/>
      <c r="P249" s="93"/>
      <c r="Q249" s="93"/>
      <c r="R249" s="54">
        <v>2</v>
      </c>
      <c r="S249" s="94">
        <f t="shared" si="3"/>
        <v>4.7619047619047616E-2</v>
      </c>
      <c r="T249" s="53">
        <v>287</v>
      </c>
      <c r="U249" s="132">
        <f t="shared" si="4"/>
        <v>5.906565136859436E-2</v>
      </c>
      <c r="V249" s="25"/>
      <c r="W249" s="25"/>
      <c r="X249" s="5"/>
    </row>
    <row r="250" spans="1:25" ht="15.6" x14ac:dyDescent="0.3">
      <c r="A250" s="24"/>
      <c r="B250" s="54" t="s">
        <v>91</v>
      </c>
      <c r="C250" s="93"/>
      <c r="D250" s="93"/>
      <c r="E250" s="93"/>
      <c r="F250" s="25"/>
      <c r="G250" s="94"/>
      <c r="H250" s="93"/>
      <c r="I250" s="93"/>
      <c r="J250" s="93"/>
      <c r="K250" s="93"/>
      <c r="L250" s="93"/>
      <c r="M250" s="93"/>
      <c r="N250" s="93"/>
      <c r="O250" s="93"/>
      <c r="P250" s="93"/>
      <c r="Q250" s="93"/>
      <c r="R250" s="54">
        <v>5</v>
      </c>
      <c r="S250" s="94">
        <f t="shared" si="3"/>
        <v>0.11904761904761904</v>
      </c>
      <c r="T250" s="53">
        <v>344</v>
      </c>
      <c r="U250" s="132">
        <f t="shared" si="4"/>
        <v>7.0796460176991149E-2</v>
      </c>
      <c r="V250" s="25"/>
      <c r="W250" s="25"/>
      <c r="X250" s="5"/>
    </row>
    <row r="251" spans="1:25" ht="15.6" x14ac:dyDescent="0.3">
      <c r="A251" s="24"/>
      <c r="B251" s="54" t="s">
        <v>159</v>
      </c>
      <c r="C251" s="93"/>
      <c r="D251" s="93"/>
      <c r="E251" s="93"/>
      <c r="F251" s="25"/>
      <c r="G251" s="94"/>
      <c r="H251" s="93"/>
      <c r="I251" s="93"/>
      <c r="J251" s="93"/>
      <c r="K251" s="93"/>
      <c r="L251" s="93"/>
      <c r="M251" s="93"/>
      <c r="N251" s="93"/>
      <c r="O251" s="93"/>
      <c r="P251" s="93"/>
      <c r="Q251" s="93"/>
      <c r="R251" s="54">
        <v>6</v>
      </c>
      <c r="S251" s="94">
        <f t="shared" si="3"/>
        <v>0.14285714285714285</v>
      </c>
      <c r="T251" s="53">
        <v>769</v>
      </c>
      <c r="U251" s="132">
        <f t="shared" si="4"/>
        <v>0.15826301708170407</v>
      </c>
      <c r="V251" s="25"/>
      <c r="W251" s="25"/>
      <c r="X251" s="5"/>
    </row>
    <row r="252" spans="1:25" ht="15.6" x14ac:dyDescent="0.3">
      <c r="A252" s="24"/>
      <c r="B252" s="54" t="s">
        <v>160</v>
      </c>
      <c r="C252" s="93"/>
      <c r="D252" s="93"/>
      <c r="E252" s="93"/>
      <c r="F252" s="25"/>
      <c r="G252" s="94"/>
      <c r="H252" s="93"/>
      <c r="I252" s="93"/>
      <c r="J252" s="93"/>
      <c r="K252" s="93"/>
      <c r="L252" s="93"/>
      <c r="M252" s="93"/>
      <c r="N252" s="93"/>
      <c r="O252" s="93"/>
      <c r="P252" s="93"/>
      <c r="Q252" s="93"/>
      <c r="R252" s="54">
        <v>2</v>
      </c>
      <c r="S252" s="94">
        <f t="shared" si="3"/>
        <v>4.7619047619047616E-2</v>
      </c>
      <c r="T252" s="53">
        <v>179</v>
      </c>
      <c r="U252" s="132">
        <f t="shared" si="4"/>
        <v>3.6838855731632023E-2</v>
      </c>
      <c r="V252" s="25"/>
      <c r="W252" s="25"/>
      <c r="X252" s="5"/>
    </row>
    <row r="253" spans="1:25" ht="15.6" x14ac:dyDescent="0.3">
      <c r="A253" s="24"/>
      <c r="B253" s="54" t="s">
        <v>161</v>
      </c>
      <c r="C253" s="93"/>
      <c r="D253" s="93"/>
      <c r="E253" s="93"/>
      <c r="F253" s="25"/>
      <c r="G253" s="94"/>
      <c r="H253" s="93"/>
      <c r="I253" s="93"/>
      <c r="J253" s="93"/>
      <c r="K253" s="93"/>
      <c r="L253" s="93"/>
      <c r="M253" s="93"/>
      <c r="N253" s="93"/>
      <c r="O253" s="93"/>
      <c r="P253" s="93"/>
      <c r="Q253" s="93"/>
      <c r="R253" s="54">
        <v>7</v>
      </c>
      <c r="S253" s="94">
        <f t="shared" si="3"/>
        <v>0.16666666666666666</v>
      </c>
      <c r="T253" s="53">
        <v>803</v>
      </c>
      <c r="U253" s="132">
        <f t="shared" si="4"/>
        <v>0.1652603416340811</v>
      </c>
      <c r="V253" s="25"/>
      <c r="W253" s="25"/>
      <c r="X253" s="5"/>
    </row>
    <row r="254" spans="1:25" ht="15.6" x14ac:dyDescent="0.3">
      <c r="A254" s="24"/>
      <c r="B254" s="54" t="s">
        <v>162</v>
      </c>
      <c r="C254" s="93"/>
      <c r="D254" s="93"/>
      <c r="E254" s="93"/>
      <c r="F254" s="25"/>
      <c r="G254" s="94"/>
      <c r="H254" s="93"/>
      <c r="I254" s="93"/>
      <c r="J254" s="93"/>
      <c r="K254" s="93"/>
      <c r="L254" s="93"/>
      <c r="M254" s="93"/>
      <c r="N254" s="93"/>
      <c r="O254" s="93"/>
      <c r="P254" s="93"/>
      <c r="Q254" s="93"/>
      <c r="R254" s="54">
        <v>10</v>
      </c>
      <c r="S254" s="94">
        <f t="shared" si="3"/>
        <v>0.23809523809523808</v>
      </c>
      <c r="T254" s="53">
        <v>1184</v>
      </c>
      <c r="U254" s="132">
        <f t="shared" si="4"/>
        <v>0.24367153735336489</v>
      </c>
      <c r="V254" s="25"/>
      <c r="W254" s="25"/>
      <c r="X254" s="5"/>
    </row>
    <row r="255" spans="1:25" ht="15.6" x14ac:dyDescent="0.3">
      <c r="A255" s="24"/>
      <c r="B255" s="54" t="s">
        <v>163</v>
      </c>
      <c r="C255" s="93"/>
      <c r="D255" s="93"/>
      <c r="E255" s="93"/>
      <c r="F255" s="25"/>
      <c r="G255" s="94"/>
      <c r="H255" s="93"/>
      <c r="I255" s="93"/>
      <c r="J255" s="93"/>
      <c r="K255" s="93"/>
      <c r="L255" s="93"/>
      <c r="M255" s="93"/>
      <c r="N255" s="93"/>
      <c r="O255" s="93"/>
      <c r="P255" s="93"/>
      <c r="Q255" s="93"/>
      <c r="R255" s="54">
        <v>0</v>
      </c>
      <c r="S255" s="94">
        <f t="shared" si="3"/>
        <v>0</v>
      </c>
      <c r="T255" s="53">
        <v>0</v>
      </c>
      <c r="U255" s="132">
        <f t="shared" si="4"/>
        <v>0</v>
      </c>
      <c r="V255" s="25"/>
      <c r="W255" s="25"/>
      <c r="X255" s="5"/>
    </row>
    <row r="256" spans="1:25" ht="15.6" x14ac:dyDescent="0.3">
      <c r="A256" s="24"/>
      <c r="B256" s="54"/>
      <c r="C256" s="93"/>
      <c r="D256" s="93"/>
      <c r="E256" s="93"/>
      <c r="F256" s="25"/>
      <c r="G256" s="94"/>
      <c r="H256" s="93"/>
      <c r="I256" s="93"/>
      <c r="J256" s="93"/>
      <c r="K256" s="93"/>
      <c r="L256" s="93"/>
      <c r="M256" s="93"/>
      <c r="N256" s="93"/>
      <c r="O256" s="93"/>
      <c r="P256" s="93"/>
      <c r="Q256" s="93"/>
      <c r="R256" s="54"/>
      <c r="S256" s="94"/>
      <c r="T256" s="53"/>
      <c r="U256" s="132"/>
      <c r="V256" s="25"/>
      <c r="W256" s="25"/>
      <c r="X256" s="5"/>
    </row>
    <row r="257" spans="1:24" ht="15.6" x14ac:dyDescent="0.3">
      <c r="A257" s="24"/>
      <c r="B257" s="25" t="s">
        <v>117</v>
      </c>
      <c r="C257" s="25"/>
      <c r="D257" s="25"/>
      <c r="E257" s="25"/>
      <c r="F257" s="25"/>
      <c r="G257" s="25"/>
      <c r="H257" s="95"/>
      <c r="I257" s="95"/>
      <c r="J257" s="95"/>
      <c r="K257" s="95"/>
      <c r="L257" s="95"/>
      <c r="M257" s="95"/>
      <c r="N257" s="95"/>
      <c r="O257" s="95"/>
      <c r="P257" s="95"/>
      <c r="Q257" s="95"/>
      <c r="R257" s="34">
        <f>SUM(R248:R256)</f>
        <v>42</v>
      </c>
      <c r="S257" s="132">
        <f>SUM(S248:S256)</f>
        <v>1</v>
      </c>
      <c r="T257" s="53">
        <f>SUM(T248:T256)</f>
        <v>4859</v>
      </c>
      <c r="U257" s="132">
        <f>SUM(U248:U256)</f>
        <v>1</v>
      </c>
      <c r="V257" s="25"/>
      <c r="W257" s="25"/>
      <c r="X257" s="5"/>
    </row>
    <row r="258" spans="1:24" ht="15.6" x14ac:dyDescent="0.3">
      <c r="A258" s="24"/>
      <c r="B258" s="25"/>
      <c r="C258" s="25"/>
      <c r="D258" s="25"/>
      <c r="E258" s="25"/>
      <c r="F258" s="25"/>
      <c r="G258" s="25"/>
      <c r="H258" s="95"/>
      <c r="I258" s="95"/>
      <c r="J258" s="95"/>
      <c r="K258" s="95"/>
      <c r="L258" s="95"/>
      <c r="M258" s="95"/>
      <c r="N258" s="95"/>
      <c r="O258" s="95"/>
      <c r="P258" s="95"/>
      <c r="Q258" s="95"/>
      <c r="R258" s="34"/>
      <c r="S258" s="132"/>
      <c r="T258" s="53"/>
      <c r="U258" s="132"/>
      <c r="V258" s="25"/>
      <c r="W258" s="25"/>
      <c r="X258" s="5"/>
    </row>
    <row r="259" spans="1:24" ht="15.6" x14ac:dyDescent="0.3">
      <c r="A259" s="141"/>
      <c r="B259" s="14" t="s">
        <v>166</v>
      </c>
      <c r="C259" s="139"/>
      <c r="D259" s="139"/>
      <c r="E259" s="139"/>
      <c r="F259" s="139"/>
      <c r="G259" s="139"/>
      <c r="H259" s="145"/>
      <c r="I259" s="145"/>
      <c r="J259" s="145"/>
      <c r="K259" s="145"/>
      <c r="L259" s="145"/>
      <c r="M259" s="145"/>
      <c r="N259" s="145"/>
      <c r="O259" s="145"/>
      <c r="P259" s="145"/>
      <c r="Q259" s="145"/>
      <c r="R259" s="83" t="s">
        <v>103</v>
      </c>
      <c r="S259" s="17" t="s">
        <v>104</v>
      </c>
      <c r="T259" s="83" t="s">
        <v>111</v>
      </c>
      <c r="U259" s="17" t="s">
        <v>104</v>
      </c>
      <c r="V259" s="139"/>
      <c r="W259" s="140"/>
      <c r="X259" s="5"/>
    </row>
    <row r="260" spans="1:24" ht="15.6" x14ac:dyDescent="0.3">
      <c r="A260" s="24"/>
      <c r="B260" s="54" t="s">
        <v>89</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90</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91</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159</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160</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t="s">
        <v>161</v>
      </c>
      <c r="C265" s="25"/>
      <c r="D265" s="25"/>
      <c r="E265" s="25"/>
      <c r="F265" s="25"/>
      <c r="G265" s="25"/>
      <c r="H265" s="95"/>
      <c r="I265" s="95"/>
      <c r="J265" s="95"/>
      <c r="K265" s="95"/>
      <c r="L265" s="95"/>
      <c r="M265" s="95"/>
      <c r="N265" s="95"/>
      <c r="O265" s="95"/>
      <c r="P265" s="95"/>
      <c r="Q265" s="95"/>
      <c r="R265" s="54">
        <v>0</v>
      </c>
      <c r="S265" s="94">
        <v>0</v>
      </c>
      <c r="T265" s="53">
        <v>0</v>
      </c>
      <c r="U265" s="132">
        <v>0</v>
      </c>
      <c r="V265" s="25"/>
      <c r="W265" s="25"/>
      <c r="X265" s="5"/>
    </row>
    <row r="266" spans="1:24" ht="15.6" x14ac:dyDescent="0.3">
      <c r="A266" s="24"/>
      <c r="B266" s="54" t="s">
        <v>162</v>
      </c>
      <c r="C266" s="25"/>
      <c r="D266" s="25"/>
      <c r="E266" s="25"/>
      <c r="F266" s="25"/>
      <c r="G266" s="25"/>
      <c r="H266" s="95"/>
      <c r="I266" s="95"/>
      <c r="J266" s="95"/>
      <c r="K266" s="95"/>
      <c r="L266" s="95"/>
      <c r="M266" s="95"/>
      <c r="N266" s="95"/>
      <c r="O266" s="95"/>
      <c r="P266" s="95"/>
      <c r="Q266" s="95"/>
      <c r="R266" s="54">
        <v>0</v>
      </c>
      <c r="S266" s="94">
        <v>0</v>
      </c>
      <c r="T266" s="53">
        <v>0</v>
      </c>
      <c r="U266" s="132">
        <v>0</v>
      </c>
      <c r="V266" s="25"/>
      <c r="W266" s="25"/>
      <c r="X266" s="5"/>
    </row>
    <row r="267" spans="1:24" ht="15.6" x14ac:dyDescent="0.3">
      <c r="A267" s="24"/>
      <c r="B267" s="54" t="s">
        <v>163</v>
      </c>
      <c r="C267" s="25"/>
      <c r="D267" s="25"/>
      <c r="E267" s="25"/>
      <c r="F267" s="25"/>
      <c r="G267" s="25"/>
      <c r="H267" s="95"/>
      <c r="I267" s="95"/>
      <c r="J267" s="95"/>
      <c r="K267" s="95"/>
      <c r="L267" s="95"/>
      <c r="M267" s="95"/>
      <c r="N267" s="95"/>
      <c r="O267" s="95"/>
      <c r="P267" s="95"/>
      <c r="Q267" s="95"/>
      <c r="R267" s="54">
        <v>0</v>
      </c>
      <c r="S267" s="94">
        <v>0</v>
      </c>
      <c r="T267" s="53">
        <v>0</v>
      </c>
      <c r="U267" s="132">
        <v>0</v>
      </c>
      <c r="V267" s="25"/>
      <c r="W267" s="25"/>
      <c r="X267" s="5"/>
    </row>
    <row r="268" spans="1:24" ht="15.6" x14ac:dyDescent="0.3">
      <c r="A268" s="24"/>
      <c r="B268" s="54"/>
      <c r="C268" s="25"/>
      <c r="D268" s="25"/>
      <c r="E268" s="25"/>
      <c r="F268" s="25"/>
      <c r="G268" s="25"/>
      <c r="H268" s="95"/>
      <c r="I268" s="95"/>
      <c r="J268" s="95"/>
      <c r="K268" s="95"/>
      <c r="L268" s="95"/>
      <c r="M268" s="95"/>
      <c r="N268" s="95"/>
      <c r="O268" s="95"/>
      <c r="P268" s="95"/>
      <c r="Q268" s="95"/>
      <c r="R268" s="54"/>
      <c r="S268" s="94"/>
      <c r="T268" s="53"/>
      <c r="U268" s="132"/>
      <c r="V268" s="25"/>
      <c r="W268" s="25"/>
      <c r="X268" s="5"/>
    </row>
    <row r="269" spans="1:24" ht="15.6" x14ac:dyDescent="0.3">
      <c r="A269" s="24"/>
      <c r="B269" s="25" t="s">
        <v>117</v>
      </c>
      <c r="C269" s="25"/>
      <c r="D269" s="25"/>
      <c r="E269" s="25"/>
      <c r="F269" s="25"/>
      <c r="G269" s="25"/>
      <c r="H269" s="95"/>
      <c r="I269" s="95"/>
      <c r="J269" s="95"/>
      <c r="K269" s="95"/>
      <c r="L269" s="95"/>
      <c r="M269" s="95"/>
      <c r="N269" s="95"/>
      <c r="O269" s="95"/>
      <c r="P269" s="95"/>
      <c r="Q269" s="95"/>
      <c r="R269" s="34">
        <f>SUM(R260:R267)</f>
        <v>0</v>
      </c>
      <c r="S269" s="94">
        <f>SUM(S260:S267)</f>
        <v>0</v>
      </c>
      <c r="T269" s="53">
        <f>SUM(T260:T267)</f>
        <v>0</v>
      </c>
      <c r="U269" s="132">
        <f>SUM(U260:U267)</f>
        <v>0</v>
      </c>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34"/>
      <c r="S270" s="132"/>
      <c r="T270" s="53"/>
      <c r="U270" s="132"/>
      <c r="V270" s="25"/>
      <c r="W270" s="25"/>
      <c r="X270" s="5"/>
    </row>
    <row r="271" spans="1:24" ht="15.6" x14ac:dyDescent="0.3">
      <c r="A271" s="24"/>
      <c r="B271" s="142" t="s">
        <v>167</v>
      </c>
      <c r="C271" s="25"/>
      <c r="D271" s="25"/>
      <c r="E271" s="25"/>
      <c r="F271" s="25"/>
      <c r="G271" s="25"/>
      <c r="H271" s="95"/>
      <c r="I271" s="95"/>
      <c r="J271" s="95"/>
      <c r="K271" s="95"/>
      <c r="L271" s="95"/>
      <c r="M271" s="95"/>
      <c r="N271" s="95"/>
      <c r="O271" s="95"/>
      <c r="P271" s="95"/>
      <c r="Q271" s="95"/>
      <c r="R271" s="161">
        <f>R269+R257+R245</f>
        <v>10202</v>
      </c>
      <c r="S271" s="143"/>
      <c r="T271" s="144">
        <f>+T269+T257+T245</f>
        <v>1301128</v>
      </c>
      <c r="U271" s="143"/>
      <c r="V271" s="25"/>
      <c r="W271" s="25"/>
      <c r="X271" s="5"/>
    </row>
    <row r="272" spans="1:24" ht="15.6" x14ac:dyDescent="0.3">
      <c r="A272" s="24"/>
      <c r="B272" s="25"/>
      <c r="C272" s="25"/>
      <c r="D272" s="25"/>
      <c r="E272" s="25"/>
      <c r="F272" s="25"/>
      <c r="G272" s="25"/>
      <c r="H272" s="95"/>
      <c r="I272" s="95"/>
      <c r="J272" s="95"/>
      <c r="K272" s="95"/>
      <c r="L272" s="95"/>
      <c r="M272" s="95"/>
      <c r="N272" s="95"/>
      <c r="O272" s="95"/>
      <c r="P272" s="95"/>
      <c r="Q272" s="95"/>
      <c r="R272" s="95"/>
      <c r="S272" s="95"/>
      <c r="T272" s="53"/>
      <c r="U272" s="95"/>
      <c r="V272" s="25"/>
      <c r="W272" s="25"/>
      <c r="X272" s="5"/>
    </row>
    <row r="273" spans="1:24" ht="15.6" x14ac:dyDescent="0.3">
      <c r="A273" s="6"/>
      <c r="B273" s="8"/>
      <c r="C273" s="8"/>
      <c r="D273" s="8"/>
      <c r="E273" s="8"/>
      <c r="F273" s="8"/>
      <c r="G273" s="8"/>
      <c r="H273" s="96"/>
      <c r="I273" s="96"/>
      <c r="J273" s="96"/>
      <c r="K273" s="96"/>
      <c r="L273" s="96"/>
      <c r="M273" s="96"/>
      <c r="N273" s="96"/>
      <c r="O273" s="96"/>
      <c r="P273" s="96"/>
      <c r="Q273" s="96"/>
      <c r="R273" s="96"/>
      <c r="S273" s="96"/>
      <c r="T273" s="97"/>
      <c r="U273" s="96"/>
      <c r="V273" s="8"/>
      <c r="W273" s="8"/>
      <c r="X273" s="5"/>
    </row>
    <row r="274" spans="1:24" ht="15.6" x14ac:dyDescent="0.3">
      <c r="A274" s="167"/>
      <c r="B274" s="14" t="s">
        <v>92</v>
      </c>
      <c r="C274" s="15"/>
      <c r="D274" s="15"/>
      <c r="E274" s="15"/>
      <c r="F274" s="17" t="s">
        <v>98</v>
      </c>
      <c r="G274" s="15"/>
      <c r="H274" s="14" t="s">
        <v>100</v>
      </c>
      <c r="I274" s="14"/>
      <c r="J274" s="14"/>
      <c r="K274" s="162"/>
      <c r="L274" s="162"/>
      <c r="M274" s="162"/>
      <c r="N274" s="162"/>
      <c r="O274" s="162"/>
      <c r="P274" s="162"/>
      <c r="Q274" s="162"/>
      <c r="R274" s="162"/>
      <c r="S274" s="162"/>
      <c r="T274" s="162"/>
      <c r="U274" s="162"/>
      <c r="V274" s="162"/>
      <c r="W274" s="162"/>
      <c r="X274" s="5"/>
    </row>
    <row r="275" spans="1:24" ht="15.6" x14ac:dyDescent="0.3">
      <c r="A275" s="167"/>
      <c r="B275" s="13" t="s">
        <v>93</v>
      </c>
      <c r="C275" s="8"/>
      <c r="D275" s="8"/>
      <c r="E275" s="8"/>
      <c r="F275" s="130" t="s">
        <v>151</v>
      </c>
      <c r="G275" s="8"/>
      <c r="H275" s="13" t="s">
        <v>155</v>
      </c>
      <c r="I275" s="13"/>
      <c r="J275" s="13"/>
      <c r="K275" s="162"/>
      <c r="L275" s="162"/>
      <c r="M275" s="162"/>
      <c r="N275" s="162"/>
      <c r="O275" s="162"/>
      <c r="P275" s="162"/>
      <c r="Q275" s="162"/>
      <c r="R275" s="162"/>
      <c r="S275" s="162"/>
      <c r="T275" s="162"/>
      <c r="U275" s="162"/>
      <c r="V275" s="162"/>
      <c r="W275" s="162"/>
      <c r="X275" s="5"/>
    </row>
    <row r="276" spans="1:24" ht="15.6" x14ac:dyDescent="0.3">
      <c r="A276" s="167"/>
      <c r="B276" s="13" t="s">
        <v>281</v>
      </c>
      <c r="C276" s="13"/>
      <c r="D276" s="13"/>
      <c r="E276" s="13"/>
      <c r="F276" s="130" t="s">
        <v>282</v>
      </c>
      <c r="G276" s="13"/>
      <c r="H276" s="13" t="s">
        <v>283</v>
      </c>
      <c r="I276" s="162"/>
      <c r="J276" s="13"/>
      <c r="K276" s="162"/>
      <c r="L276" s="162"/>
      <c r="M276" s="162"/>
      <c r="N276" s="162"/>
      <c r="O276" s="162"/>
      <c r="P276" s="162"/>
      <c r="Q276" s="162"/>
      <c r="R276" s="162"/>
      <c r="S276" s="162"/>
      <c r="T276" s="162"/>
      <c r="U276" s="162"/>
      <c r="V276" s="162"/>
      <c r="W276" s="162"/>
      <c r="X276" s="5"/>
    </row>
    <row r="277" spans="1:24" ht="15.6" x14ac:dyDescent="0.3">
      <c r="A277" s="167"/>
      <c r="B277" s="13" t="s">
        <v>94</v>
      </c>
      <c r="C277" s="13"/>
      <c r="D277" s="13"/>
      <c r="E277" s="13"/>
      <c r="F277" s="130" t="s">
        <v>150</v>
      </c>
      <c r="G277" s="13"/>
      <c r="H277" s="13" t="s">
        <v>156</v>
      </c>
      <c r="I277" s="13"/>
      <c r="J277" s="13"/>
      <c r="K277" s="162"/>
      <c r="L277" s="162"/>
      <c r="M277" s="162"/>
      <c r="N277" s="162"/>
      <c r="O277" s="162"/>
      <c r="P277" s="162"/>
      <c r="Q277" s="162"/>
      <c r="R277" s="162"/>
      <c r="S277" s="162"/>
      <c r="T277" s="162"/>
      <c r="U277" s="162"/>
      <c r="V277" s="162"/>
      <c r="W277" s="162"/>
      <c r="X277" s="5"/>
    </row>
    <row r="278" spans="1:24" ht="15.6" x14ac:dyDescent="0.3">
      <c r="A278" s="167"/>
      <c r="B278" s="13"/>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ht="15.6" x14ac:dyDescent="0.3">
      <c r="A279" s="167"/>
      <c r="B279" s="13"/>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ht="18" thickBot="1" x14ac:dyDescent="0.35">
      <c r="A280" s="167"/>
      <c r="B280" s="49" t="str">
        <f>B197</f>
        <v>PM13 INVESTOR REPORT QUARTER ENDING MARCH 2008</v>
      </c>
      <c r="C280" s="13"/>
      <c r="D280" s="13"/>
      <c r="E280" s="13"/>
      <c r="F280" s="13"/>
      <c r="G280" s="99"/>
      <c r="H280" s="162"/>
      <c r="I280" s="162"/>
      <c r="J280" s="162"/>
      <c r="K280" s="162"/>
      <c r="L280" s="162"/>
      <c r="M280" s="162"/>
      <c r="N280" s="162"/>
      <c r="O280" s="162"/>
      <c r="P280" s="162"/>
      <c r="Q280" s="162"/>
      <c r="R280" s="162"/>
      <c r="S280" s="162"/>
      <c r="T280" s="162"/>
      <c r="U280" s="162"/>
      <c r="V280" s="162"/>
      <c r="W280" s="162"/>
      <c r="X280" s="5"/>
    </row>
    <row r="281" spans="1:24" x14ac:dyDescent="0.25">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row>
  </sheetData>
  <phoneticPr fontId="0" type="noConversion"/>
  <hyperlinks>
    <hyperlink ref="P233" r:id="rId1" xr:uid="{00000000-0004-0000-0500-000000000000}"/>
    <hyperlink ref="I9" r:id="rId2" xr:uid="{00000000-0004-0000-05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8" max="14" man="1"/>
    <brk id="197" max="14"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9CB31"/>
  </sheetPr>
  <dimension ref="A1:Z28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238</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239</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140</v>
      </c>
      <c r="C5" s="8"/>
      <c r="D5" s="8"/>
      <c r="E5" s="8"/>
      <c r="F5" s="8"/>
      <c r="G5" s="8"/>
      <c r="H5" s="8"/>
      <c r="I5" s="8"/>
      <c r="J5" s="8"/>
      <c r="K5" s="8"/>
      <c r="L5" s="8"/>
      <c r="M5" s="8"/>
      <c r="N5" s="8"/>
      <c r="O5" s="8"/>
      <c r="P5" s="8"/>
      <c r="Q5" s="8"/>
      <c r="R5" s="8"/>
      <c r="S5" s="8"/>
      <c r="T5" s="8"/>
      <c r="U5" s="8"/>
      <c r="V5" s="8"/>
      <c r="W5" s="8"/>
      <c r="X5" s="5"/>
    </row>
    <row r="6" spans="1:24" ht="15.6" x14ac:dyDescent="0.3">
      <c r="A6" s="6"/>
      <c r="B6" s="11" t="s">
        <v>142</v>
      </c>
      <c r="C6" s="8"/>
      <c r="D6" s="8"/>
      <c r="E6" s="8"/>
      <c r="F6" s="8"/>
      <c r="G6" s="8"/>
      <c r="H6" s="8"/>
      <c r="I6" s="8"/>
      <c r="J6" s="8"/>
      <c r="K6" s="8"/>
      <c r="L6" s="8"/>
      <c r="M6" s="8"/>
      <c r="N6" s="8"/>
      <c r="O6" s="8"/>
      <c r="P6" s="8"/>
      <c r="Q6" s="8"/>
      <c r="R6" s="8"/>
      <c r="S6" s="8"/>
      <c r="T6" s="8"/>
      <c r="U6" s="8"/>
      <c r="V6" s="8"/>
      <c r="W6" s="8"/>
      <c r="X6" s="5"/>
    </row>
    <row r="7" spans="1:24" ht="15.6" x14ac:dyDescent="0.3">
      <c r="A7" s="6"/>
      <c r="B7" s="11" t="s">
        <v>141</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169</v>
      </c>
      <c r="C9" s="8"/>
      <c r="D9" s="8"/>
      <c r="E9" s="8"/>
      <c r="F9" s="8"/>
      <c r="G9" s="8"/>
      <c r="H9" s="8"/>
      <c r="I9" s="148" t="s">
        <v>170</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240</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105</v>
      </c>
      <c r="S15" s="137">
        <v>0.57609999999999995</v>
      </c>
      <c r="T15" s="17" t="s">
        <v>143</v>
      </c>
      <c r="U15" s="137">
        <v>0.4239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105</v>
      </c>
      <c r="S16" s="137">
        <v>0.59140000000000004</v>
      </c>
      <c r="T16" s="17" t="s">
        <v>143</v>
      </c>
      <c r="U16" s="137">
        <v>0.40860000000000002</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39016</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39653</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106</v>
      </c>
      <c r="U20" s="8"/>
      <c r="V20" s="16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180</v>
      </c>
      <c r="E22" s="112"/>
      <c r="F22" s="112" t="s">
        <v>181</v>
      </c>
      <c r="G22" s="112"/>
      <c r="H22" s="112" t="s">
        <v>182</v>
      </c>
      <c r="I22" s="112"/>
      <c r="J22" s="112" t="s">
        <v>223</v>
      </c>
      <c r="K22" s="112"/>
      <c r="L22" s="112" t="s">
        <v>183</v>
      </c>
      <c r="M22" s="112"/>
      <c r="N22" s="112" t="s">
        <v>184</v>
      </c>
      <c r="O22" s="112"/>
      <c r="P22" s="112" t="s">
        <v>224</v>
      </c>
      <c r="Q22" s="112"/>
      <c r="R22" s="112" t="s">
        <v>185</v>
      </c>
      <c r="S22" s="113"/>
      <c r="T22" s="23"/>
      <c r="U22" s="162"/>
      <c r="V22" s="162"/>
      <c r="W22" s="8"/>
      <c r="X22" s="5"/>
    </row>
    <row r="23" spans="1:24" ht="15.6" x14ac:dyDescent="0.3">
      <c r="A23" s="24"/>
      <c r="B23" s="25" t="s">
        <v>7</v>
      </c>
      <c r="C23" s="26"/>
      <c r="D23" s="26" t="s">
        <v>216</v>
      </c>
      <c r="E23" s="26"/>
      <c r="F23" s="26" t="s">
        <v>144</v>
      </c>
      <c r="G23" s="26"/>
      <c r="H23" s="26" t="s">
        <v>144</v>
      </c>
      <c r="I23" s="26"/>
      <c r="J23" s="26" t="s">
        <v>144</v>
      </c>
      <c r="K23" s="26"/>
      <c r="L23" s="26" t="s">
        <v>186</v>
      </c>
      <c r="M23" s="26"/>
      <c r="N23" s="26" t="s">
        <v>186</v>
      </c>
      <c r="O23" s="26"/>
      <c r="P23" s="26" t="s">
        <v>145</v>
      </c>
      <c r="Q23" s="26"/>
      <c r="R23" s="26" t="s">
        <v>145</v>
      </c>
      <c r="S23" s="26"/>
      <c r="T23" s="26"/>
      <c r="U23" s="163"/>
      <c r="V23" s="163"/>
      <c r="W23" s="25"/>
      <c r="X23" s="5"/>
    </row>
    <row r="24" spans="1:24" ht="15.6" x14ac:dyDescent="0.3">
      <c r="A24" s="24"/>
      <c r="B24" s="25" t="s">
        <v>8</v>
      </c>
      <c r="C24" s="26"/>
      <c r="D24" s="26" t="s">
        <v>217</v>
      </c>
      <c r="E24" s="26"/>
      <c r="F24" s="26" t="s">
        <v>146</v>
      </c>
      <c r="G24" s="26"/>
      <c r="H24" s="26" t="s">
        <v>146</v>
      </c>
      <c r="I24" s="26"/>
      <c r="J24" s="26" t="s">
        <v>146</v>
      </c>
      <c r="K24" s="26"/>
      <c r="L24" s="26" t="s">
        <v>168</v>
      </c>
      <c r="M24" s="26"/>
      <c r="N24" s="26" t="s">
        <v>168</v>
      </c>
      <c r="O24" s="26"/>
      <c r="P24" s="26" t="s">
        <v>147</v>
      </c>
      <c r="Q24" s="26"/>
      <c r="R24" s="26" t="s">
        <v>147</v>
      </c>
      <c r="S24" s="26"/>
      <c r="T24" s="26"/>
      <c r="U24" s="163"/>
      <c r="V24" s="163"/>
      <c r="W24" s="25"/>
      <c r="X24" s="5"/>
    </row>
    <row r="25" spans="1:24" ht="15.6" x14ac:dyDescent="0.3">
      <c r="A25" s="28"/>
      <c r="B25" s="131" t="s">
        <v>193</v>
      </c>
      <c r="C25" s="123"/>
      <c r="D25" s="26" t="s">
        <v>218</v>
      </c>
      <c r="E25" s="26"/>
      <c r="F25" s="26" t="s">
        <v>146</v>
      </c>
      <c r="G25" s="26"/>
      <c r="H25" s="26" t="s">
        <v>146</v>
      </c>
      <c r="I25" s="26"/>
      <c r="J25" s="26" t="s">
        <v>146</v>
      </c>
      <c r="K25" s="26"/>
      <c r="L25" s="26" t="s">
        <v>168</v>
      </c>
      <c r="M25" s="26"/>
      <c r="N25" s="26" t="s">
        <v>168</v>
      </c>
      <c r="O25" s="26"/>
      <c r="P25" s="26" t="s">
        <v>147</v>
      </c>
      <c r="Q25" s="26"/>
      <c r="R25" s="26" t="s">
        <v>147</v>
      </c>
      <c r="S25" s="123"/>
      <c r="T25" s="26"/>
      <c r="U25" s="163"/>
      <c r="V25" s="163"/>
      <c r="W25" s="25"/>
      <c r="X25" s="5"/>
    </row>
    <row r="26" spans="1:24" ht="15.6" x14ac:dyDescent="0.3">
      <c r="A26" s="28"/>
      <c r="B26" s="29" t="s">
        <v>9</v>
      </c>
      <c r="C26" s="123"/>
      <c r="D26" s="123" t="s">
        <v>216</v>
      </c>
      <c r="E26" s="123"/>
      <c r="F26" s="123" t="s">
        <v>144</v>
      </c>
      <c r="G26" s="123"/>
      <c r="H26" s="123" t="s">
        <v>144</v>
      </c>
      <c r="I26" s="123"/>
      <c r="J26" s="123" t="s">
        <v>144</v>
      </c>
      <c r="K26" s="123"/>
      <c r="L26" s="123" t="s">
        <v>186</v>
      </c>
      <c r="M26" s="123"/>
      <c r="N26" s="123" t="s">
        <v>186</v>
      </c>
      <c r="O26" s="123"/>
      <c r="P26" s="123" t="s">
        <v>145</v>
      </c>
      <c r="Q26" s="123"/>
      <c r="R26" s="123" t="s">
        <v>145</v>
      </c>
      <c r="S26" s="123"/>
      <c r="T26" s="26"/>
      <c r="U26" s="163"/>
      <c r="V26" s="163"/>
      <c r="W26" s="25"/>
      <c r="X26" s="5"/>
    </row>
    <row r="27" spans="1:24" ht="15.6" x14ac:dyDescent="0.3">
      <c r="A27" s="24"/>
      <c r="B27" s="29" t="s">
        <v>194</v>
      </c>
      <c r="C27" s="26"/>
      <c r="D27" s="123" t="s">
        <v>217</v>
      </c>
      <c r="E27" s="123"/>
      <c r="F27" s="123" t="s">
        <v>146</v>
      </c>
      <c r="G27" s="123"/>
      <c r="H27" s="123" t="s">
        <v>146</v>
      </c>
      <c r="I27" s="123"/>
      <c r="J27" s="123" t="s">
        <v>146</v>
      </c>
      <c r="K27" s="123"/>
      <c r="L27" s="123" t="s">
        <v>168</v>
      </c>
      <c r="M27" s="123"/>
      <c r="N27" s="123" t="s">
        <v>168</v>
      </c>
      <c r="O27" s="123"/>
      <c r="P27" s="123" t="s">
        <v>147</v>
      </c>
      <c r="Q27" s="123"/>
      <c r="R27" s="123" t="s">
        <v>147</v>
      </c>
      <c r="S27" s="26"/>
      <c r="T27" s="30"/>
      <c r="U27" s="163"/>
      <c r="V27" s="163"/>
      <c r="W27" s="25"/>
      <c r="X27" s="5"/>
    </row>
    <row r="28" spans="1:24" ht="15.6" x14ac:dyDescent="0.3">
      <c r="A28" s="24"/>
      <c r="B28" s="153" t="s">
        <v>195</v>
      </c>
      <c r="C28" s="26"/>
      <c r="D28" s="123" t="s">
        <v>218</v>
      </c>
      <c r="E28" s="123"/>
      <c r="F28" s="123" t="s">
        <v>146</v>
      </c>
      <c r="G28" s="123"/>
      <c r="H28" s="123" t="s">
        <v>146</v>
      </c>
      <c r="I28" s="123"/>
      <c r="J28" s="123" t="s">
        <v>146</v>
      </c>
      <c r="K28" s="123"/>
      <c r="L28" s="123" t="s">
        <v>168</v>
      </c>
      <c r="M28" s="123"/>
      <c r="N28" s="123" t="s">
        <v>168</v>
      </c>
      <c r="O28" s="123"/>
      <c r="P28" s="123" t="s">
        <v>147</v>
      </c>
      <c r="Q28" s="123"/>
      <c r="R28" s="123" t="s">
        <v>147</v>
      </c>
      <c r="S28" s="26"/>
      <c r="T28" s="30"/>
      <c r="U28" s="163"/>
      <c r="V28" s="163"/>
      <c r="W28" s="25"/>
      <c r="X28" s="5"/>
    </row>
    <row r="29" spans="1:24" ht="15.6" x14ac:dyDescent="0.3">
      <c r="A29" s="24"/>
      <c r="B29" s="25" t="s">
        <v>10</v>
      </c>
      <c r="C29" s="32"/>
      <c r="D29" s="26" t="s">
        <v>348</v>
      </c>
      <c r="E29" s="26"/>
      <c r="F29" s="30" t="s">
        <v>242</v>
      </c>
      <c r="G29" s="26"/>
      <c r="H29" s="26" t="s">
        <v>243</v>
      </c>
      <c r="I29" s="26"/>
      <c r="J29" s="26" t="s">
        <v>245</v>
      </c>
      <c r="K29" s="26"/>
      <c r="L29" s="26" t="s">
        <v>246</v>
      </c>
      <c r="M29" s="26"/>
      <c r="N29" s="26" t="s">
        <v>247</v>
      </c>
      <c r="O29" s="26"/>
      <c r="P29" s="26" t="s">
        <v>248</v>
      </c>
      <c r="Q29" s="26"/>
      <c r="R29" s="26" t="s">
        <v>249</v>
      </c>
      <c r="S29" s="31"/>
      <c r="T29" s="31"/>
      <c r="U29" s="164"/>
      <c r="V29" s="31"/>
      <c r="W29" s="34"/>
      <c r="X29" s="5"/>
    </row>
    <row r="30" spans="1:24" ht="15.6" x14ac:dyDescent="0.3">
      <c r="A30" s="24"/>
      <c r="B30" s="25" t="s">
        <v>10</v>
      </c>
      <c r="C30" s="32"/>
      <c r="D30" s="26" t="s">
        <v>241</v>
      </c>
      <c r="E30" s="26"/>
      <c r="F30" s="30" t="s">
        <v>121</v>
      </c>
      <c r="G30" s="26"/>
      <c r="H30" s="26" t="s">
        <v>121</v>
      </c>
      <c r="I30" s="26"/>
      <c r="J30" s="26" t="s">
        <v>244</v>
      </c>
      <c r="K30" s="26"/>
      <c r="L30" s="26" t="s">
        <v>121</v>
      </c>
      <c r="M30" s="26"/>
      <c r="N30" s="26" t="s">
        <v>121</v>
      </c>
      <c r="O30" s="26"/>
      <c r="P30" s="26" t="s">
        <v>121</v>
      </c>
      <c r="Q30" s="26"/>
      <c r="R30" s="26" t="s">
        <v>121</v>
      </c>
      <c r="S30" s="31"/>
      <c r="T30" s="31"/>
      <c r="U30" s="164"/>
      <c r="V30" s="31"/>
      <c r="W30" s="34"/>
      <c r="X30" s="5"/>
    </row>
    <row r="31" spans="1:24" ht="15.6" x14ac:dyDescent="0.3">
      <c r="A31" s="28"/>
      <c r="B31" s="25" t="s">
        <v>136</v>
      </c>
      <c r="C31" s="36"/>
      <c r="D31" s="146">
        <v>1500000</v>
      </c>
      <c r="E31" s="32"/>
      <c r="F31" s="31">
        <v>125000</v>
      </c>
      <c r="G31" s="31"/>
      <c r="H31" s="124">
        <v>315000</v>
      </c>
      <c r="I31" s="124"/>
      <c r="J31" s="146">
        <v>350000</v>
      </c>
      <c r="K31" s="31"/>
      <c r="L31" s="31">
        <v>56000</v>
      </c>
      <c r="M31" s="31"/>
      <c r="N31" s="124">
        <v>84000</v>
      </c>
      <c r="O31" s="31"/>
      <c r="P31" s="31">
        <v>13000</v>
      </c>
      <c r="Q31" s="31"/>
      <c r="R31" s="124">
        <v>81000</v>
      </c>
      <c r="S31" s="35"/>
      <c r="T31" s="35"/>
      <c r="U31" s="37"/>
      <c r="V31" s="35"/>
      <c r="W31" s="34"/>
      <c r="X31" s="5"/>
    </row>
    <row r="32" spans="1:24" ht="15.6" x14ac:dyDescent="0.3">
      <c r="A32" s="24"/>
      <c r="B32" s="25" t="s">
        <v>135</v>
      </c>
      <c r="C32" s="32"/>
      <c r="D32" s="146">
        <f>D31*D38</f>
        <v>1273870.6500000001</v>
      </c>
      <c r="E32" s="32"/>
      <c r="F32" s="31">
        <f>F31*F38</f>
        <v>106155.95</v>
      </c>
      <c r="G32" s="31"/>
      <c r="H32" s="124">
        <f>H31*H38</f>
        <v>267512.99400000001</v>
      </c>
      <c r="I32" s="124"/>
      <c r="J32" s="146">
        <f>J31*J38</f>
        <v>297236.48499999999</v>
      </c>
      <c r="K32" s="31"/>
      <c r="L32" s="31">
        <f>L31*L38</f>
        <v>56000</v>
      </c>
      <c r="M32" s="31"/>
      <c r="N32" s="124">
        <f>N31*N38</f>
        <v>84000</v>
      </c>
      <c r="O32" s="31"/>
      <c r="P32" s="31">
        <f>P31*P38</f>
        <v>13000</v>
      </c>
      <c r="Q32" s="31"/>
      <c r="R32" s="124">
        <f>R31*R38</f>
        <v>81000</v>
      </c>
      <c r="S32" s="31"/>
      <c r="T32" s="31"/>
      <c r="U32" s="164"/>
      <c r="V32" s="31"/>
      <c r="W32" s="34"/>
      <c r="X32" s="5"/>
    </row>
    <row r="33" spans="1:24" ht="15.6" x14ac:dyDescent="0.3">
      <c r="A33" s="24"/>
      <c r="B33" s="29" t="s">
        <v>137</v>
      </c>
      <c r="C33" s="32"/>
      <c r="D33" s="151">
        <f>D37*D31</f>
        <v>1203000</v>
      </c>
      <c r="E33" s="36"/>
      <c r="F33" s="35">
        <f>F37*F31</f>
        <v>100250.075</v>
      </c>
      <c r="G33" s="35"/>
      <c r="H33" s="125">
        <f>H31*H37</f>
        <v>252630.18899999998</v>
      </c>
      <c r="I33" s="125"/>
      <c r="J33" s="151">
        <f>J37*J31</f>
        <v>280700</v>
      </c>
      <c r="K33" s="35"/>
      <c r="L33" s="35">
        <f>L31*L37</f>
        <v>56000</v>
      </c>
      <c r="M33" s="35"/>
      <c r="N33" s="125">
        <f>N31*N37</f>
        <v>84000</v>
      </c>
      <c r="O33" s="35"/>
      <c r="P33" s="35">
        <f>P31*P37</f>
        <v>13000</v>
      </c>
      <c r="Q33" s="35"/>
      <c r="R33" s="125">
        <f>R31*R37</f>
        <v>81000</v>
      </c>
      <c r="S33" s="31"/>
      <c r="T33" s="31"/>
      <c r="U33" s="164"/>
      <c r="V33" s="31"/>
      <c r="W33" s="34"/>
      <c r="X33" s="5"/>
    </row>
    <row r="34" spans="1:24" ht="15.6" x14ac:dyDescent="0.3">
      <c r="A34" s="28"/>
      <c r="B34" s="25" t="s">
        <v>298</v>
      </c>
      <c r="C34" s="36"/>
      <c r="D34" s="31">
        <v>797872</v>
      </c>
      <c r="E34" s="32"/>
      <c r="F34" s="31">
        <v>125000</v>
      </c>
      <c r="G34" s="31"/>
      <c r="H34" s="31">
        <v>211409</v>
      </c>
      <c r="I34" s="31"/>
      <c r="J34" s="31">
        <v>186170</v>
      </c>
      <c r="K34" s="31"/>
      <c r="L34" s="31">
        <v>56000</v>
      </c>
      <c r="M34" s="31"/>
      <c r="N34" s="31">
        <v>56376</v>
      </c>
      <c r="O34" s="31"/>
      <c r="P34" s="31">
        <v>13000</v>
      </c>
      <c r="Q34" s="31"/>
      <c r="R34" s="31">
        <v>54363</v>
      </c>
      <c r="S34" s="35"/>
      <c r="T34" s="35"/>
      <c r="U34" s="37"/>
      <c r="V34" s="154">
        <f>SUM(C34:R34)</f>
        <v>1500190</v>
      </c>
      <c r="W34" s="34"/>
      <c r="X34" s="5"/>
    </row>
    <row r="35" spans="1:24" ht="15.6" x14ac:dyDescent="0.3">
      <c r="A35" s="28"/>
      <c r="B35" s="25" t="s">
        <v>299</v>
      </c>
      <c r="C35" s="126"/>
      <c r="D35" s="31">
        <f>D34*D38</f>
        <v>677590.48217119998</v>
      </c>
      <c r="E35" s="32"/>
      <c r="F35" s="31">
        <f>F34*F38</f>
        <v>106155.95</v>
      </c>
      <c r="G35" s="31"/>
      <c r="H35" s="31">
        <f>H34*H38</f>
        <v>179538.5858684</v>
      </c>
      <c r="I35" s="31"/>
      <c r="J35" s="31">
        <f>J34*J38</f>
        <v>158104.33260700002</v>
      </c>
      <c r="K35" s="31"/>
      <c r="L35" s="31">
        <f>L34*L38</f>
        <v>56000</v>
      </c>
      <c r="M35" s="31"/>
      <c r="N35" s="31">
        <f>N34*N38</f>
        <v>56376</v>
      </c>
      <c r="O35" s="31"/>
      <c r="P35" s="31">
        <f>P34*P38</f>
        <v>13000</v>
      </c>
      <c r="Q35" s="31"/>
      <c r="R35" s="31">
        <f>R34*R38</f>
        <v>54363</v>
      </c>
      <c r="S35" s="31"/>
      <c r="T35" s="31"/>
      <c r="U35" s="164"/>
      <c r="V35" s="154">
        <f>SUM(C35:R35)-1</f>
        <v>1301127.3506466001</v>
      </c>
      <c r="W35" s="34"/>
      <c r="X35" s="5"/>
    </row>
    <row r="36" spans="1:24" ht="15.6" x14ac:dyDescent="0.3">
      <c r="A36" s="28"/>
      <c r="B36" s="29" t="s">
        <v>304</v>
      </c>
      <c r="C36" s="126"/>
      <c r="D36" s="35">
        <f>D34*D37</f>
        <v>639893.34400000004</v>
      </c>
      <c r="E36" s="36"/>
      <c r="F36" s="35">
        <f>F34*F37</f>
        <v>100250.075</v>
      </c>
      <c r="G36" s="35"/>
      <c r="H36" s="35">
        <f>H34*H37</f>
        <v>169550.14484539998</v>
      </c>
      <c r="I36" s="35"/>
      <c r="J36" s="35">
        <f>J34*J37</f>
        <v>149308.34</v>
      </c>
      <c r="K36" s="35"/>
      <c r="L36" s="35">
        <v>56000</v>
      </c>
      <c r="M36" s="35"/>
      <c r="N36" s="35">
        <v>56376</v>
      </c>
      <c r="O36" s="35"/>
      <c r="P36" s="35">
        <v>13000</v>
      </c>
      <c r="Q36" s="35"/>
      <c r="R36" s="35">
        <v>54363</v>
      </c>
      <c r="S36" s="128"/>
      <c r="T36" s="128"/>
      <c r="U36" s="164"/>
      <c r="V36" s="155">
        <f>SUM(C36:R36)</f>
        <v>1238740.9038454001</v>
      </c>
      <c r="W36" s="34"/>
      <c r="X36" s="5"/>
    </row>
    <row r="37" spans="1:24" ht="15.6" x14ac:dyDescent="0.3">
      <c r="A37" s="24"/>
      <c r="B37" s="122" t="s">
        <v>133</v>
      </c>
      <c r="C37" s="25"/>
      <c r="D37" s="168">
        <v>0.80200000000000005</v>
      </c>
      <c r="E37" s="136"/>
      <c r="F37" s="168">
        <v>0.80200059999999995</v>
      </c>
      <c r="G37" s="135"/>
      <c r="H37" s="168">
        <v>0.80200059999999995</v>
      </c>
      <c r="I37" s="135"/>
      <c r="J37" s="168">
        <v>0.80200000000000005</v>
      </c>
      <c r="K37" s="135"/>
      <c r="L37" s="168">
        <v>1</v>
      </c>
      <c r="M37" s="135"/>
      <c r="N37" s="168">
        <v>1</v>
      </c>
      <c r="O37" s="135"/>
      <c r="P37" s="168">
        <v>1</v>
      </c>
      <c r="Q37" s="135"/>
      <c r="R37" s="168">
        <v>1</v>
      </c>
      <c r="S37" s="30"/>
      <c r="T37" s="30"/>
      <c r="U37" s="163"/>
      <c r="V37" s="163"/>
      <c r="W37" s="25"/>
      <c r="X37" s="5"/>
    </row>
    <row r="38" spans="1:24" ht="15.6" x14ac:dyDescent="0.3">
      <c r="A38" s="24"/>
      <c r="B38" s="122" t="s">
        <v>134</v>
      </c>
      <c r="C38" s="25"/>
      <c r="D38" s="168">
        <v>0.84924710000000003</v>
      </c>
      <c r="E38" s="136"/>
      <c r="F38" s="168">
        <v>0.84924759999999999</v>
      </c>
      <c r="G38" s="135"/>
      <c r="H38" s="168">
        <v>0.84924759999999999</v>
      </c>
      <c r="I38" s="135"/>
      <c r="J38" s="168">
        <v>0.84924710000000003</v>
      </c>
      <c r="K38" s="135"/>
      <c r="L38" s="135">
        <v>1</v>
      </c>
      <c r="M38" s="135"/>
      <c r="N38" s="135">
        <v>1</v>
      </c>
      <c r="O38" s="135"/>
      <c r="P38" s="135">
        <v>1</v>
      </c>
      <c r="Q38" s="135"/>
      <c r="R38" s="135">
        <v>1</v>
      </c>
      <c r="S38" s="39"/>
      <c r="T38" s="38"/>
      <c r="U38" s="163"/>
      <c r="V38" s="39"/>
      <c r="W38" s="25"/>
      <c r="X38" s="5"/>
    </row>
    <row r="39" spans="1:24" ht="15.6" x14ac:dyDescent="0.3">
      <c r="A39" s="24"/>
      <c r="B39" s="25" t="s">
        <v>11</v>
      </c>
      <c r="C39" s="25"/>
      <c r="D39" s="30" t="s">
        <v>280</v>
      </c>
      <c r="E39" s="25"/>
      <c r="F39" s="30" t="s">
        <v>225</v>
      </c>
      <c r="G39" s="30"/>
      <c r="H39" s="30" t="s">
        <v>225</v>
      </c>
      <c r="I39" s="30"/>
      <c r="J39" s="30" t="s">
        <v>251</v>
      </c>
      <c r="K39" s="30"/>
      <c r="L39" s="30" t="s">
        <v>252</v>
      </c>
      <c r="M39" s="30"/>
      <c r="N39" s="30" t="s">
        <v>253</v>
      </c>
      <c r="O39" s="30"/>
      <c r="P39" s="30" t="s">
        <v>254</v>
      </c>
      <c r="Q39" s="30"/>
      <c r="R39" s="30" t="s">
        <v>255</v>
      </c>
      <c r="S39" s="39"/>
      <c r="T39" s="38"/>
      <c r="U39" s="163"/>
      <c r="V39" s="163"/>
      <c r="W39" s="25"/>
      <c r="X39" s="5"/>
    </row>
    <row r="40" spans="1:24" ht="15.6" x14ac:dyDescent="0.3">
      <c r="A40" s="24"/>
      <c r="B40" s="25" t="s">
        <v>12</v>
      </c>
      <c r="C40" s="25"/>
      <c r="D40" s="38">
        <v>2.4812500000000001E-2</v>
      </c>
      <c r="E40" s="25"/>
      <c r="F40" s="38">
        <v>6.04938E-2</v>
      </c>
      <c r="G40" s="39"/>
      <c r="H40" s="38">
        <v>4.8669999999999998E-2</v>
      </c>
      <c r="I40" s="38"/>
      <c r="J40" s="38">
        <v>2.8031299999999999E-2</v>
      </c>
      <c r="K40" s="39"/>
      <c r="L40" s="38">
        <v>6.1293800000000002E-2</v>
      </c>
      <c r="M40" s="39"/>
      <c r="N40" s="38">
        <v>4.9369999999999997E-2</v>
      </c>
      <c r="O40" s="39"/>
      <c r="P40" s="38">
        <v>6.3293799999999997E-2</v>
      </c>
      <c r="Q40" s="39"/>
      <c r="R40" s="38">
        <v>5.1369999999999999E-2</v>
      </c>
      <c r="S40" s="39"/>
      <c r="T40" s="38"/>
      <c r="U40" s="163"/>
      <c r="V40" s="30"/>
      <c r="W40" s="25"/>
      <c r="X40" s="5"/>
    </row>
    <row r="41" spans="1:24" ht="15.6" x14ac:dyDescent="0.3">
      <c r="A41" s="24"/>
      <c r="B41" s="25" t="s">
        <v>13</v>
      </c>
      <c r="C41" s="25"/>
      <c r="D41" s="38">
        <v>2.8275000000000002E-2</v>
      </c>
      <c r="E41" s="25"/>
      <c r="F41" s="38">
        <v>5.7868799999999998E-2</v>
      </c>
      <c r="G41" s="39"/>
      <c r="H41" s="38">
        <v>4.6960000000000002E-2</v>
      </c>
      <c r="I41" s="38"/>
      <c r="J41" s="38">
        <v>4.3475E-2</v>
      </c>
      <c r="K41" s="39"/>
      <c r="L41" s="38">
        <v>5.86688E-2</v>
      </c>
      <c r="M41" s="39"/>
      <c r="N41" s="38">
        <v>4.7660000000000001E-2</v>
      </c>
      <c r="O41" s="39"/>
      <c r="P41" s="38">
        <v>6.0668800000000002E-2</v>
      </c>
      <c r="Q41" s="39"/>
      <c r="R41" s="38">
        <v>4.9660000000000003E-2</v>
      </c>
      <c r="S41" s="39"/>
      <c r="T41" s="38"/>
      <c r="U41" s="163"/>
      <c r="V41" s="39" t="s">
        <v>196</v>
      </c>
      <c r="W41" s="25"/>
      <c r="X41" s="5"/>
    </row>
    <row r="42" spans="1:24" ht="15.6" x14ac:dyDescent="0.3">
      <c r="A42" s="24"/>
      <c r="B42" s="25" t="s">
        <v>300</v>
      </c>
      <c r="C42" s="25"/>
      <c r="D42" s="30" t="s">
        <v>285</v>
      </c>
      <c r="E42" s="25"/>
      <c r="F42" s="30" t="s">
        <v>225</v>
      </c>
      <c r="G42" s="30"/>
      <c r="H42" s="30" t="s">
        <v>263</v>
      </c>
      <c r="I42" s="30"/>
      <c r="J42" s="30" t="s">
        <v>262</v>
      </c>
      <c r="K42" s="30"/>
      <c r="L42" s="30" t="s">
        <v>252</v>
      </c>
      <c r="M42" s="30"/>
      <c r="N42" s="30" t="s">
        <v>264</v>
      </c>
      <c r="O42" s="30"/>
      <c r="P42" s="30" t="s">
        <v>254</v>
      </c>
      <c r="Q42" s="30"/>
      <c r="R42" s="30" t="s">
        <v>260</v>
      </c>
      <c r="S42" s="39"/>
      <c r="T42" s="38"/>
      <c r="U42" s="163"/>
      <c r="V42" s="163"/>
      <c r="W42" s="25"/>
      <c r="X42" s="5"/>
    </row>
    <row r="43" spans="1:24" ht="15.6" x14ac:dyDescent="0.3">
      <c r="A43" s="24"/>
      <c r="B43" s="25" t="s">
        <v>301</v>
      </c>
      <c r="C43" s="110"/>
      <c r="D43" s="38">
        <v>5.9712099999999997E-2</v>
      </c>
      <c r="E43" s="38"/>
      <c r="F43" s="38">
        <f>+F40</f>
        <v>6.04938E-2</v>
      </c>
      <c r="G43" s="38"/>
      <c r="H43" s="38">
        <v>6.0615799999999997E-2</v>
      </c>
      <c r="I43" s="38"/>
      <c r="J43" s="38">
        <v>6.0533799999999999E-2</v>
      </c>
      <c r="K43" s="38"/>
      <c r="L43" s="38">
        <f>+L40</f>
        <v>6.1293800000000002E-2</v>
      </c>
      <c r="M43" s="38"/>
      <c r="N43" s="38">
        <v>6.1383800000000002E-2</v>
      </c>
      <c r="O43" s="38"/>
      <c r="P43" s="38">
        <f>+P40</f>
        <v>6.3293799999999997E-2</v>
      </c>
      <c r="Q43" s="39"/>
      <c r="R43" s="38">
        <v>6.3493800000000003E-2</v>
      </c>
      <c r="S43" s="30"/>
      <c r="T43" s="30"/>
      <c r="U43" s="163"/>
      <c r="V43" s="39">
        <f>SUMPRODUCT(D43:R43,D35:R35)/V35</f>
        <v>6.0334768322408881E-2</v>
      </c>
      <c r="W43" s="25"/>
      <c r="X43" s="5"/>
    </row>
    <row r="44" spans="1:24" ht="15.6" x14ac:dyDescent="0.3">
      <c r="A44" s="24"/>
      <c r="B44" s="25" t="s">
        <v>302</v>
      </c>
      <c r="C44" s="110"/>
      <c r="D44" s="38">
        <v>5.7087100000000002E-2</v>
      </c>
      <c r="E44" s="38"/>
      <c r="F44" s="38">
        <f>+F41</f>
        <v>5.7868799999999998E-2</v>
      </c>
      <c r="G44" s="38"/>
      <c r="H44" s="38">
        <v>5.7990800000000002E-2</v>
      </c>
      <c r="I44" s="38"/>
      <c r="J44" s="38">
        <v>5.7908800000000003E-2</v>
      </c>
      <c r="K44" s="38"/>
      <c r="L44" s="38">
        <f>+L41</f>
        <v>5.86688E-2</v>
      </c>
      <c r="M44" s="38"/>
      <c r="N44" s="38">
        <v>5.87588E-2</v>
      </c>
      <c r="O44" s="38"/>
      <c r="P44" s="38">
        <f>+P41</f>
        <v>6.0668800000000002E-2</v>
      </c>
      <c r="Q44" s="39"/>
      <c r="R44" s="38">
        <v>6.0868800000000001E-2</v>
      </c>
      <c r="S44" s="30"/>
      <c r="T44" s="30"/>
      <c r="U44" s="163"/>
      <c r="V44" s="163"/>
      <c r="W44" s="25"/>
      <c r="X44" s="5"/>
    </row>
    <row r="45" spans="1:24" ht="15.6" x14ac:dyDescent="0.3">
      <c r="A45" s="24"/>
      <c r="B45" s="25" t="s">
        <v>14</v>
      </c>
      <c r="C45" s="25"/>
      <c r="D45" s="110">
        <v>40466</v>
      </c>
      <c r="E45" s="110"/>
      <c r="F45" s="110">
        <v>40466</v>
      </c>
      <c r="G45" s="110"/>
      <c r="H45" s="110">
        <v>40466</v>
      </c>
      <c r="I45" s="110"/>
      <c r="J45" s="110">
        <v>40466</v>
      </c>
      <c r="K45" s="110"/>
      <c r="L45" s="110">
        <v>40466</v>
      </c>
      <c r="M45" s="110"/>
      <c r="N45" s="110">
        <v>40466</v>
      </c>
      <c r="O45" s="110"/>
      <c r="P45" s="110">
        <v>40466</v>
      </c>
      <c r="Q45" s="110"/>
      <c r="R45" s="110">
        <v>40466</v>
      </c>
      <c r="S45" s="30"/>
      <c r="T45" s="30"/>
      <c r="U45" s="163"/>
      <c r="V45" s="163"/>
      <c r="W45" s="25"/>
      <c r="X45" s="5"/>
    </row>
    <row r="46" spans="1:24" ht="15.6" x14ac:dyDescent="0.3">
      <c r="A46" s="24"/>
      <c r="B46" s="25" t="s">
        <v>15</v>
      </c>
      <c r="C46" s="25"/>
      <c r="D46" s="110" t="s">
        <v>121</v>
      </c>
      <c r="E46" s="110"/>
      <c r="F46" s="110">
        <v>40831</v>
      </c>
      <c r="G46" s="110"/>
      <c r="H46" s="110">
        <v>40831</v>
      </c>
      <c r="I46" s="110"/>
      <c r="J46" s="110">
        <v>40831</v>
      </c>
      <c r="K46" s="30"/>
      <c r="L46" s="110">
        <v>40831</v>
      </c>
      <c r="M46" s="30"/>
      <c r="N46" s="110">
        <v>40831</v>
      </c>
      <c r="O46" s="30"/>
      <c r="P46" s="110">
        <v>40831</v>
      </c>
      <c r="Q46" s="30"/>
      <c r="R46" s="110">
        <v>40831</v>
      </c>
      <c r="S46" s="30"/>
      <c r="T46" s="30"/>
      <c r="U46" s="163"/>
      <c r="V46" s="163"/>
      <c r="W46" s="25"/>
      <c r="X46" s="5"/>
    </row>
    <row r="47" spans="1:24" ht="15.6" x14ac:dyDescent="0.3">
      <c r="A47" s="24"/>
      <c r="B47" s="25" t="s">
        <v>122</v>
      </c>
      <c r="C47" s="25"/>
      <c r="D47" s="160" t="s">
        <v>121</v>
      </c>
      <c r="E47" s="25"/>
      <c r="F47" s="30" t="s">
        <v>226</v>
      </c>
      <c r="G47" s="30"/>
      <c r="H47" s="30" t="s">
        <v>226</v>
      </c>
      <c r="I47" s="30"/>
      <c r="J47" s="30" t="s">
        <v>256</v>
      </c>
      <c r="K47" s="30"/>
      <c r="L47" s="30" t="s">
        <v>254</v>
      </c>
      <c r="M47" s="30"/>
      <c r="N47" s="30" t="s">
        <v>257</v>
      </c>
      <c r="O47" s="30"/>
      <c r="P47" s="30" t="s">
        <v>258</v>
      </c>
      <c r="Q47" s="30"/>
      <c r="R47" s="30" t="s">
        <v>259</v>
      </c>
      <c r="S47" s="40"/>
      <c r="T47" s="40"/>
      <c r="U47" s="40"/>
      <c r="V47" s="40"/>
      <c r="W47" s="25"/>
      <c r="X47" s="5"/>
    </row>
    <row r="48" spans="1:24" ht="15.6" x14ac:dyDescent="0.3">
      <c r="A48" s="24"/>
      <c r="B48" s="25" t="s">
        <v>303</v>
      </c>
      <c r="C48" s="25"/>
      <c r="D48" s="30" t="s">
        <v>203</v>
      </c>
      <c r="E48" s="25"/>
      <c r="F48" s="30" t="s">
        <v>226</v>
      </c>
      <c r="G48" s="30"/>
      <c r="H48" s="30" t="s">
        <v>227</v>
      </c>
      <c r="I48" s="30"/>
      <c r="J48" s="30" t="s">
        <v>237</v>
      </c>
      <c r="K48" s="30"/>
      <c r="L48" s="30" t="s">
        <v>254</v>
      </c>
      <c r="M48" s="30"/>
      <c r="N48" s="30" t="s">
        <v>260</v>
      </c>
      <c r="O48" s="30"/>
      <c r="P48" s="30" t="s">
        <v>258</v>
      </c>
      <c r="Q48" s="30"/>
      <c r="R48" s="30" t="s">
        <v>261</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196</v>
      </c>
      <c r="W49" s="25"/>
      <c r="X49" s="5"/>
    </row>
    <row r="50" spans="1:25" ht="15.6" x14ac:dyDescent="0.3">
      <c r="A50" s="24"/>
      <c r="B50" s="25" t="s">
        <v>172</v>
      </c>
      <c r="C50" s="25"/>
      <c r="D50" s="30"/>
      <c r="E50" s="25"/>
      <c r="F50" s="30"/>
      <c r="G50" s="30"/>
      <c r="H50" s="30"/>
      <c r="I50" s="30"/>
      <c r="J50" s="30"/>
      <c r="K50" s="30"/>
      <c r="L50" s="30"/>
      <c r="M50" s="30"/>
      <c r="N50" s="30"/>
      <c r="O50" s="30"/>
      <c r="P50" s="30"/>
      <c r="Q50" s="30"/>
      <c r="R50" s="30"/>
      <c r="S50" s="25"/>
      <c r="T50" s="25"/>
      <c r="U50" s="25"/>
      <c r="V50" s="39">
        <f>SUM(L34:R34)/SUM(D34:J34)</f>
        <v>0.13611940162868597</v>
      </c>
      <c r="W50" s="25"/>
      <c r="X50" s="5"/>
    </row>
    <row r="51" spans="1:25" ht="15.6" x14ac:dyDescent="0.3">
      <c r="A51" s="24"/>
      <c r="B51" s="25" t="s">
        <v>173</v>
      </c>
      <c r="C51" s="25"/>
      <c r="D51" s="25"/>
      <c r="E51" s="25"/>
      <c r="F51" s="41"/>
      <c r="G51" s="25"/>
      <c r="H51" s="25"/>
      <c r="I51" s="25"/>
      <c r="J51" s="25"/>
      <c r="K51" s="25"/>
      <c r="L51" s="25"/>
      <c r="M51" s="25"/>
      <c r="N51" s="25"/>
      <c r="O51" s="25"/>
      <c r="P51" s="25"/>
      <c r="Q51" s="25"/>
      <c r="R51" s="25"/>
      <c r="S51" s="25"/>
      <c r="T51" s="25"/>
      <c r="U51" s="25"/>
      <c r="V51" s="39">
        <f>SUM(L36:R36)/SUM(D36:J36)</f>
        <v>0.16972490733712547</v>
      </c>
      <c r="W51" s="25"/>
      <c r="X51" s="5"/>
    </row>
    <row r="52" spans="1:25" ht="15.6" x14ac:dyDescent="0.3">
      <c r="A52" s="24"/>
      <c r="B52" s="25" t="s">
        <v>174</v>
      </c>
      <c r="C52" s="25"/>
      <c r="D52" s="25"/>
      <c r="E52" s="25"/>
      <c r="F52" s="25"/>
      <c r="G52" s="25"/>
      <c r="H52" s="25"/>
      <c r="I52" s="25"/>
      <c r="J52" s="25"/>
      <c r="K52" s="25"/>
      <c r="L52" s="25"/>
      <c r="M52" s="25"/>
      <c r="N52" s="25"/>
      <c r="O52" s="25"/>
      <c r="P52" s="25"/>
      <c r="Q52" s="25"/>
      <c r="R52" s="25"/>
      <c r="S52" s="25"/>
      <c r="T52" s="30" t="s">
        <v>107</v>
      </c>
      <c r="U52" s="30" t="s">
        <v>112</v>
      </c>
      <c r="V52" s="31">
        <f>+V34/2-SUM(L34:R34)</f>
        <v>570356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205</v>
      </c>
      <c r="C54" s="25"/>
      <c r="D54" s="25"/>
      <c r="E54" s="25"/>
      <c r="F54" s="25"/>
      <c r="G54" s="25"/>
      <c r="H54" s="25"/>
      <c r="I54" s="25"/>
      <c r="J54" s="25"/>
      <c r="K54" s="25"/>
      <c r="L54" s="25"/>
      <c r="M54" s="25"/>
      <c r="N54" s="25"/>
      <c r="O54" s="25"/>
      <c r="P54" s="25"/>
      <c r="Q54" s="25"/>
      <c r="R54" s="25"/>
      <c r="S54" s="25"/>
      <c r="T54" s="25"/>
      <c r="U54" s="25"/>
      <c r="V54" s="156" t="s">
        <v>206</v>
      </c>
      <c r="W54" s="25"/>
      <c r="X54" s="5"/>
    </row>
    <row r="55" spans="1:25" ht="15.6" x14ac:dyDescent="0.3">
      <c r="A55" s="24"/>
      <c r="B55" s="25" t="s">
        <v>236</v>
      </c>
      <c r="C55" s="25"/>
      <c r="D55" s="25"/>
      <c r="E55" s="25"/>
      <c r="F55" s="25"/>
      <c r="G55" s="25"/>
      <c r="H55" s="25"/>
      <c r="I55" s="25"/>
      <c r="J55" s="25"/>
      <c r="K55" s="25"/>
      <c r="L55" s="25"/>
      <c r="M55" s="25"/>
      <c r="N55" s="25"/>
      <c r="O55" s="25"/>
      <c r="P55" s="25"/>
      <c r="Q55" s="25"/>
      <c r="R55" s="25"/>
      <c r="S55" s="25"/>
      <c r="T55" s="30"/>
      <c r="U55" s="30"/>
      <c r="V55" s="157" t="s">
        <v>114</v>
      </c>
      <c r="W55" s="25"/>
      <c r="X55" s="5"/>
    </row>
    <row r="56" spans="1:25" ht="15.6" x14ac:dyDescent="0.3">
      <c r="A56" s="24"/>
      <c r="B56" s="29" t="s">
        <v>204</v>
      </c>
      <c r="C56" s="29"/>
      <c r="D56" s="29"/>
      <c r="E56" s="29"/>
      <c r="F56" s="29"/>
      <c r="G56" s="29"/>
      <c r="H56" s="29"/>
      <c r="I56" s="29"/>
      <c r="J56" s="29"/>
      <c r="K56" s="29"/>
      <c r="L56" s="29"/>
      <c r="M56" s="29"/>
      <c r="N56" s="29"/>
      <c r="O56" s="29"/>
      <c r="P56" s="29"/>
      <c r="Q56" s="29"/>
      <c r="R56" s="29"/>
      <c r="S56" s="29"/>
      <c r="T56" s="43"/>
      <c r="U56" s="43"/>
      <c r="V56" s="44">
        <v>39644</v>
      </c>
      <c r="W56" s="25"/>
      <c r="X56" s="5"/>
    </row>
    <row r="57" spans="1:25" ht="15.6" x14ac:dyDescent="0.3">
      <c r="A57" s="24"/>
      <c r="B57" s="25" t="s">
        <v>124</v>
      </c>
      <c r="C57" s="25"/>
      <c r="D57" s="25"/>
      <c r="E57" s="25"/>
      <c r="F57" s="25"/>
      <c r="G57" s="25"/>
      <c r="H57" s="58"/>
      <c r="I57" s="58"/>
      <c r="J57" s="58"/>
      <c r="K57" s="58"/>
      <c r="L57" s="58"/>
      <c r="M57" s="58"/>
      <c r="N57" s="58"/>
      <c r="O57" s="58"/>
      <c r="P57" s="58"/>
      <c r="Q57" s="58"/>
      <c r="R57" s="25">
        <f>+V57-T57+1</f>
        <v>91</v>
      </c>
      <c r="S57" s="58"/>
      <c r="T57" s="45">
        <v>39462</v>
      </c>
      <c r="U57" s="46"/>
      <c r="V57" s="45">
        <v>39552</v>
      </c>
      <c r="W57" s="25"/>
      <c r="X57" s="5"/>
    </row>
    <row r="58" spans="1:25" ht="15.6" x14ac:dyDescent="0.3">
      <c r="A58" s="24"/>
      <c r="B58" s="25" t="s">
        <v>125</v>
      </c>
      <c r="C58" s="25"/>
      <c r="D58" s="25"/>
      <c r="E58" s="25"/>
      <c r="F58" s="25"/>
      <c r="G58" s="25"/>
      <c r="H58" s="25"/>
      <c r="I58" s="25"/>
      <c r="J58" s="25"/>
      <c r="K58" s="25"/>
      <c r="L58" s="25"/>
      <c r="M58" s="25"/>
      <c r="N58" s="25"/>
      <c r="O58" s="25"/>
      <c r="P58" s="25"/>
      <c r="Q58" s="25"/>
      <c r="R58" s="25">
        <f>+V58-T58+1</f>
        <v>91</v>
      </c>
      <c r="S58" s="25"/>
      <c r="T58" s="45">
        <v>39553</v>
      </c>
      <c r="U58" s="46"/>
      <c r="V58" s="45">
        <v>39643</v>
      </c>
      <c r="W58" s="25"/>
      <c r="X58" s="5"/>
    </row>
    <row r="59" spans="1:25" ht="15.6" x14ac:dyDescent="0.3">
      <c r="A59" s="24"/>
      <c r="B59" s="25" t="s">
        <v>235</v>
      </c>
      <c r="C59" s="25"/>
      <c r="D59" s="25"/>
      <c r="E59" s="25"/>
      <c r="F59" s="25"/>
      <c r="G59" s="25"/>
      <c r="H59" s="25"/>
      <c r="I59" s="25"/>
      <c r="J59" s="25"/>
      <c r="K59" s="25"/>
      <c r="L59" s="25"/>
      <c r="M59" s="25"/>
      <c r="N59" s="25"/>
      <c r="O59" s="25"/>
      <c r="P59" s="25"/>
      <c r="Q59" s="25"/>
      <c r="R59" s="25"/>
      <c r="S59" s="25"/>
      <c r="T59" s="45"/>
      <c r="U59" s="46"/>
      <c r="V59" s="45" t="s">
        <v>123</v>
      </c>
      <c r="W59" s="25"/>
      <c r="X59" s="5"/>
    </row>
    <row r="60" spans="1:25" ht="15.6" x14ac:dyDescent="0.3">
      <c r="A60" s="24"/>
      <c r="B60" s="25" t="s">
        <v>234</v>
      </c>
      <c r="C60" s="25"/>
      <c r="D60" s="25"/>
      <c r="E60" s="25"/>
      <c r="F60" s="25"/>
      <c r="G60" s="25"/>
      <c r="H60" s="25"/>
      <c r="I60" s="25"/>
      <c r="J60" s="25"/>
      <c r="K60" s="25"/>
      <c r="L60" s="25"/>
      <c r="M60" s="25"/>
      <c r="N60" s="25"/>
      <c r="O60" s="25"/>
      <c r="P60" s="25"/>
      <c r="Q60" s="25"/>
      <c r="R60" s="25"/>
      <c r="S60" s="25"/>
      <c r="T60" s="45"/>
      <c r="U60" s="46"/>
      <c r="V60" s="45" t="s">
        <v>157</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39630</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290</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95</v>
      </c>
      <c r="M68" s="115"/>
      <c r="N68" s="115" t="s">
        <v>97</v>
      </c>
      <c r="O68" s="115"/>
      <c r="P68" s="115" t="s">
        <v>99</v>
      </c>
      <c r="Q68" s="115"/>
      <c r="R68" s="115" t="s">
        <v>101</v>
      </c>
      <c r="S68" s="115"/>
      <c r="T68" s="115" t="s">
        <v>108</v>
      </c>
      <c r="U68" s="115"/>
      <c r="V68" s="116" t="s">
        <v>115</v>
      </c>
      <c r="W68" s="117"/>
      <c r="X68" s="5"/>
    </row>
    <row r="69" spans="1:24" ht="15.6" x14ac:dyDescent="0.3">
      <c r="A69" s="24"/>
      <c r="B69" s="25" t="s">
        <v>19</v>
      </c>
      <c r="C69" s="34"/>
      <c r="D69" s="34"/>
      <c r="E69" s="34"/>
      <c r="F69" s="34"/>
      <c r="G69" s="34"/>
      <c r="H69" s="34"/>
      <c r="I69" s="34"/>
      <c r="J69" s="34"/>
      <c r="K69" s="34"/>
      <c r="L69" s="34">
        <f>1085286</f>
        <v>1085286</v>
      </c>
      <c r="M69" s="34"/>
      <c r="N69" s="53">
        <v>1301128</v>
      </c>
      <c r="O69" s="34"/>
      <c r="P69" s="34">
        <f>62388+3591+2536-1</f>
        <v>68514</v>
      </c>
      <c r="Q69" s="34"/>
      <c r="R69" s="34">
        <f>3591+2536</f>
        <v>6127</v>
      </c>
      <c r="S69" s="34"/>
      <c r="T69" s="34">
        <v>0</v>
      </c>
      <c r="U69" s="34"/>
      <c r="V69" s="53">
        <f>+N69-P69+R69-T69</f>
        <v>1238741</v>
      </c>
      <c r="W69" s="25"/>
      <c r="X69" s="5"/>
    </row>
    <row r="70" spans="1:24" ht="15.6" x14ac:dyDescent="0.3">
      <c r="A70" s="24"/>
      <c r="B70" s="25" t="s">
        <v>20</v>
      </c>
      <c r="C70" s="34"/>
      <c r="D70" s="34"/>
      <c r="E70" s="34"/>
      <c r="F70" s="34"/>
      <c r="G70" s="34"/>
      <c r="H70" s="34"/>
      <c r="I70" s="34"/>
      <c r="J70" s="34"/>
      <c r="K70" s="34"/>
      <c r="L70" s="34">
        <v>35</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1085321</v>
      </c>
      <c r="M72" s="34"/>
      <c r="N72" s="54">
        <f>N69+N70</f>
        <v>1301128</v>
      </c>
      <c r="O72" s="34"/>
      <c r="P72" s="34">
        <f>SUM(P69:P71)</f>
        <v>68514</v>
      </c>
      <c r="Q72" s="34"/>
      <c r="R72" s="34">
        <f>SUM(R69:R71)</f>
        <v>6127</v>
      </c>
      <c r="S72" s="34"/>
      <c r="T72" s="34">
        <f>SUM(T69:T71)</f>
        <v>0</v>
      </c>
      <c r="U72" s="34"/>
      <c r="V72" s="54">
        <f>SUM(V69:V71)</f>
        <v>1238741</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120</v>
      </c>
      <c r="C82" s="34"/>
      <c r="D82" s="34"/>
      <c r="E82" s="34"/>
      <c r="F82" s="34"/>
      <c r="G82" s="34"/>
      <c r="H82" s="34"/>
      <c r="I82" s="34"/>
      <c r="J82" s="34"/>
      <c r="K82" s="34"/>
      <c r="L82" s="34">
        <f>414862+7</f>
        <v>414869</v>
      </c>
      <c r="M82" s="34"/>
      <c r="N82" s="34">
        <v>0</v>
      </c>
      <c r="O82" s="34"/>
      <c r="P82" s="34">
        <v>0</v>
      </c>
      <c r="Q82" s="34"/>
      <c r="R82" s="34"/>
      <c r="S82" s="34"/>
      <c r="T82" s="34"/>
      <c r="U82" s="34"/>
      <c r="V82" s="54">
        <f>SUM(N82:R82)</f>
        <v>0</v>
      </c>
      <c r="W82" s="25"/>
      <c r="X82" s="5"/>
    </row>
    <row r="83" spans="1:24" ht="15.6" x14ac:dyDescent="0.3">
      <c r="A83" s="24"/>
      <c r="B83" s="25" t="s">
        <v>149</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1500190</v>
      </c>
      <c r="M85" s="34"/>
      <c r="N85" s="54">
        <f>SUM(N72:N84)</f>
        <v>1301128</v>
      </c>
      <c r="O85" s="34"/>
      <c r="P85" s="34"/>
      <c r="Q85" s="34"/>
      <c r="R85" s="34"/>
      <c r="S85" s="34"/>
      <c r="T85" s="54"/>
      <c r="U85" s="34"/>
      <c r="V85" s="54">
        <f>SUM(V72:V84)</f>
        <v>1238741</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96</v>
      </c>
      <c r="M88" s="17"/>
      <c r="N88" s="158">
        <f>+T198</f>
        <v>39629</v>
      </c>
      <c r="O88" s="17"/>
      <c r="P88" s="17"/>
      <c r="Q88" s="17"/>
      <c r="R88" s="17"/>
      <c r="S88" s="17"/>
      <c r="T88" s="17" t="s">
        <v>109</v>
      </c>
      <c r="U88" s="17"/>
      <c r="V88" s="17" t="s">
        <v>116</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v>68510</v>
      </c>
      <c r="U90" s="25"/>
      <c r="V90" s="53"/>
      <c r="W90" s="25"/>
      <c r="X90" s="5"/>
    </row>
    <row r="91" spans="1:24" ht="15.6" x14ac:dyDescent="0.3">
      <c r="A91" s="24"/>
      <c r="B91" s="25" t="s">
        <v>219</v>
      </c>
      <c r="C91" s="25"/>
      <c r="D91" s="25"/>
      <c r="E91" s="25"/>
      <c r="F91" s="25"/>
      <c r="G91" s="25"/>
      <c r="H91" s="40"/>
      <c r="I91" s="40"/>
      <c r="J91" s="40"/>
      <c r="K91" s="57"/>
      <c r="L91" s="40"/>
      <c r="M91" s="25"/>
      <c r="N91" s="127"/>
      <c r="O91" s="25"/>
      <c r="P91" s="25"/>
      <c r="Q91" s="25"/>
      <c r="R91" s="25"/>
      <c r="S91" s="25"/>
      <c r="T91" s="34"/>
      <c r="U91" s="25"/>
      <c r="V91" s="53">
        <f>11114+9677-526-3112</f>
        <v>17153</v>
      </c>
      <c r="W91" s="25"/>
      <c r="X91" s="5"/>
    </row>
    <row r="92" spans="1:24" ht="15.6" x14ac:dyDescent="0.3">
      <c r="A92" s="24"/>
      <c r="B92" s="25" t="s">
        <v>214</v>
      </c>
      <c r="C92" s="25"/>
      <c r="D92" s="25"/>
      <c r="E92" s="25"/>
      <c r="F92" s="25"/>
      <c r="G92" s="25"/>
      <c r="H92" s="40"/>
      <c r="I92" s="40"/>
      <c r="J92" s="40"/>
      <c r="K92" s="57"/>
      <c r="L92" s="40"/>
      <c r="M92" s="25"/>
      <c r="N92" s="127"/>
      <c r="O92" s="25"/>
      <c r="P92" s="25"/>
      <c r="Q92" s="25"/>
      <c r="R92" s="25"/>
      <c r="S92" s="25"/>
      <c r="T92" s="34"/>
      <c r="U92" s="25"/>
      <c r="V92" s="53">
        <f>250+332</f>
        <v>582</v>
      </c>
      <c r="W92" s="25"/>
      <c r="X92" s="5"/>
    </row>
    <row r="93" spans="1:24" ht="15.6" x14ac:dyDescent="0.3">
      <c r="A93" s="24"/>
      <c r="B93" s="25" t="s">
        <v>215</v>
      </c>
      <c r="C93" s="25"/>
      <c r="D93" s="25"/>
      <c r="E93" s="25"/>
      <c r="F93" s="25"/>
      <c r="G93" s="25"/>
      <c r="H93" s="40"/>
      <c r="I93" s="40"/>
      <c r="J93" s="40"/>
      <c r="K93" s="57"/>
      <c r="L93" s="40"/>
      <c r="M93" s="25"/>
      <c r="N93" s="127"/>
      <c r="O93" s="25"/>
      <c r="P93" s="25"/>
      <c r="Q93" s="25"/>
      <c r="R93" s="25"/>
      <c r="S93" s="25"/>
      <c r="T93" s="34"/>
      <c r="U93" s="25"/>
      <c r="V93" s="53">
        <v>990</v>
      </c>
      <c r="W93" s="25"/>
      <c r="X93" s="5"/>
    </row>
    <row r="94" spans="1:24" ht="15.6" x14ac:dyDescent="0.3">
      <c r="A94" s="24"/>
      <c r="B94" s="25" t="s">
        <v>277</v>
      </c>
      <c r="C94" s="25"/>
      <c r="D94" s="25"/>
      <c r="E94" s="25"/>
      <c r="F94" s="25"/>
      <c r="G94" s="25"/>
      <c r="H94" s="40"/>
      <c r="I94" s="40"/>
      <c r="J94" s="40"/>
      <c r="K94" s="57"/>
      <c r="L94" s="40"/>
      <c r="M94" s="25"/>
      <c r="N94" s="127"/>
      <c r="O94" s="25"/>
      <c r="P94" s="25"/>
      <c r="Q94" s="25"/>
      <c r="R94" s="25"/>
      <c r="S94" s="25"/>
      <c r="T94" s="34"/>
      <c r="U94" s="25"/>
      <c r="V94" s="53">
        <f>4+1127</f>
        <v>1131</v>
      </c>
      <c r="W94" s="25"/>
      <c r="X94" s="5"/>
    </row>
    <row r="95" spans="1:24" ht="15.6" x14ac:dyDescent="0.3">
      <c r="A95" s="24"/>
      <c r="B95" s="25" t="s">
        <v>138</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265</v>
      </c>
      <c r="C96" s="25"/>
      <c r="D96" s="25"/>
      <c r="E96" s="25"/>
      <c r="F96" s="25"/>
      <c r="G96" s="25"/>
      <c r="H96" s="25"/>
      <c r="I96" s="25"/>
      <c r="J96" s="25"/>
      <c r="K96" s="25"/>
      <c r="L96" s="25"/>
      <c r="M96" s="25"/>
      <c r="N96" s="25"/>
      <c r="O96" s="25"/>
      <c r="P96" s="25"/>
      <c r="Q96" s="25"/>
      <c r="R96" s="25"/>
      <c r="S96" s="25"/>
      <c r="T96" s="34"/>
      <c r="U96" s="25"/>
      <c r="V96" s="53">
        <v>3584</v>
      </c>
      <c r="W96" s="25"/>
      <c r="X96" s="5"/>
    </row>
    <row r="97" spans="1:26" ht="15.6" x14ac:dyDescent="0.3">
      <c r="A97" s="24"/>
      <c r="B97" s="25" t="s">
        <v>30</v>
      </c>
      <c r="C97" s="25"/>
      <c r="D97" s="25"/>
      <c r="E97" s="25"/>
      <c r="F97" s="25"/>
      <c r="G97" s="25"/>
      <c r="H97" s="25"/>
      <c r="I97" s="25"/>
      <c r="J97" s="25"/>
      <c r="K97" s="25"/>
      <c r="L97" s="25"/>
      <c r="M97" s="25"/>
      <c r="N97" s="25"/>
      <c r="O97" s="25"/>
      <c r="P97" s="25"/>
      <c r="Q97" s="25"/>
      <c r="R97" s="25"/>
      <c r="S97" s="25"/>
      <c r="T97" s="34">
        <f>SUM(T89:T96)</f>
        <v>68510</v>
      </c>
      <c r="U97" s="25"/>
      <c r="V97" s="54">
        <f>SUM(V89:V96)</f>
        <v>23440</v>
      </c>
      <c r="W97" s="25"/>
      <c r="X97" s="5"/>
    </row>
    <row r="98" spans="1:26" ht="15.6" x14ac:dyDescent="0.3">
      <c r="A98" s="24"/>
      <c r="B98" s="25" t="s">
        <v>164</v>
      </c>
      <c r="C98" s="25"/>
      <c r="D98" s="25"/>
      <c r="E98" s="25"/>
      <c r="F98" s="25"/>
      <c r="G98" s="25"/>
      <c r="H98" s="25"/>
      <c r="I98" s="25"/>
      <c r="J98" s="25"/>
      <c r="K98" s="25"/>
      <c r="L98" s="25"/>
      <c r="M98" s="25"/>
      <c r="N98" s="25"/>
      <c r="O98" s="25"/>
      <c r="P98" s="25"/>
      <c r="Q98" s="25"/>
      <c r="R98" s="25"/>
      <c r="S98" s="25"/>
      <c r="T98" s="34">
        <f>-V98</f>
        <v>-1007</v>
      </c>
      <c r="U98" s="25"/>
      <c r="V98" s="54">
        <v>1007</v>
      </c>
      <c r="W98" s="25"/>
      <c r="X98" s="5"/>
    </row>
    <row r="99" spans="1:26"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6" ht="15.6" x14ac:dyDescent="0.3">
      <c r="A100" s="24"/>
      <c r="B100" s="25" t="s">
        <v>288</v>
      </c>
      <c r="C100" s="25"/>
      <c r="D100" s="25"/>
      <c r="E100" s="25"/>
      <c r="F100" s="25"/>
      <c r="G100" s="25"/>
      <c r="H100" s="25"/>
      <c r="I100" s="25"/>
      <c r="J100" s="25"/>
      <c r="K100" s="25"/>
      <c r="L100" s="25"/>
      <c r="M100" s="25"/>
      <c r="N100" s="25"/>
      <c r="O100" s="25"/>
      <c r="P100" s="25"/>
      <c r="Q100" s="25"/>
      <c r="R100" s="25"/>
      <c r="S100" s="25"/>
      <c r="T100" s="34"/>
      <c r="U100" s="25"/>
      <c r="V100" s="53">
        <v>-83</v>
      </c>
      <c r="W100" s="25"/>
      <c r="X100" s="5"/>
    </row>
    <row r="101" spans="1:26"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67503</v>
      </c>
      <c r="U101" s="25"/>
      <c r="V101" s="54">
        <f>V97+V99+V98+V100</f>
        <v>24364</v>
      </c>
      <c r="W101" s="25"/>
      <c r="X101" s="5"/>
    </row>
    <row r="102" spans="1:26"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6"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6" ht="15.6" x14ac:dyDescent="0.3">
      <c r="A104" s="24">
        <f>+A103+1</f>
        <v>2</v>
      </c>
      <c r="B104" s="25" t="s">
        <v>231</v>
      </c>
      <c r="C104" s="25"/>
      <c r="D104" s="25"/>
      <c r="E104" s="25"/>
      <c r="F104" s="25"/>
      <c r="G104" s="25"/>
      <c r="H104" s="25"/>
      <c r="I104" s="25"/>
      <c r="J104" s="25"/>
      <c r="K104" s="25"/>
      <c r="L104" s="25"/>
      <c r="M104" s="25"/>
      <c r="N104" s="25"/>
      <c r="O104" s="25"/>
      <c r="P104" s="25"/>
      <c r="Q104" s="25"/>
      <c r="R104" s="25"/>
      <c r="S104" s="25"/>
      <c r="T104" s="25"/>
      <c r="U104" s="25"/>
      <c r="V104" s="53">
        <f>-2</f>
        <v>-2</v>
      </c>
      <c r="W104" s="25"/>
      <c r="X104" s="5"/>
    </row>
    <row r="105" spans="1:26" ht="15.6" x14ac:dyDescent="0.3">
      <c r="A105" s="24">
        <f>+A104+1</f>
        <v>3</v>
      </c>
      <c r="B105" s="25" t="s">
        <v>207</v>
      </c>
      <c r="C105" s="25"/>
      <c r="D105" s="25"/>
      <c r="E105" s="25"/>
      <c r="F105" s="25"/>
      <c r="G105" s="25"/>
      <c r="H105" s="25"/>
      <c r="I105" s="25"/>
      <c r="J105" s="25"/>
      <c r="K105" s="25"/>
      <c r="L105" s="25"/>
      <c r="M105" s="25"/>
      <c r="N105" s="25"/>
      <c r="O105" s="25"/>
      <c r="P105" s="25"/>
      <c r="Q105" s="25"/>
      <c r="R105" s="25"/>
      <c r="S105" s="25"/>
      <c r="T105" s="25"/>
      <c r="U105" s="25"/>
      <c r="V105" s="53">
        <f>-487-57-15</f>
        <v>-559</v>
      </c>
      <c r="W105" s="25"/>
      <c r="X105" s="5"/>
    </row>
    <row r="106" spans="1:26" ht="15.6" x14ac:dyDescent="0.3">
      <c r="A106" s="24" t="s">
        <v>130</v>
      </c>
      <c r="B106" s="25" t="s">
        <v>119</v>
      </c>
      <c r="C106" s="25"/>
      <c r="D106" s="25"/>
      <c r="E106" s="25"/>
      <c r="F106" s="25"/>
      <c r="G106" s="25"/>
      <c r="H106" s="25"/>
      <c r="I106" s="25"/>
      <c r="J106" s="25"/>
      <c r="K106" s="25"/>
      <c r="L106" s="25"/>
      <c r="M106" s="25"/>
      <c r="N106" s="25"/>
      <c r="O106" s="25"/>
      <c r="P106" s="25"/>
      <c r="Q106" s="25"/>
      <c r="R106" s="25"/>
      <c r="S106" s="25"/>
      <c r="T106" s="25"/>
      <c r="U106" s="25"/>
      <c r="V106" s="53">
        <v>0</v>
      </c>
      <c r="W106" s="25"/>
      <c r="X106" s="5"/>
    </row>
    <row r="107" spans="1:26" ht="15.6" x14ac:dyDescent="0.3">
      <c r="A107" s="24" t="s">
        <v>131</v>
      </c>
      <c r="B107" s="25" t="s">
        <v>228</v>
      </c>
      <c r="C107" s="25"/>
      <c r="D107" s="25"/>
      <c r="E107" s="25"/>
      <c r="F107" s="25"/>
      <c r="G107" s="25"/>
      <c r="H107" s="25"/>
      <c r="I107" s="25"/>
      <c r="J107" s="25"/>
      <c r="K107" s="25"/>
      <c r="L107" s="25"/>
      <c r="M107" s="25"/>
      <c r="N107" s="25"/>
      <c r="O107" s="25"/>
      <c r="P107" s="25"/>
      <c r="Q107" s="25"/>
      <c r="R107" s="25"/>
      <c r="S107" s="25"/>
      <c r="T107" s="25"/>
      <c r="U107" s="25"/>
      <c r="V107" s="53">
        <v>-15186</v>
      </c>
      <c r="W107" s="25"/>
      <c r="X107" s="5"/>
      <c r="Y107" s="109"/>
      <c r="Z107" s="109"/>
    </row>
    <row r="108" spans="1:26" ht="15.6" x14ac:dyDescent="0.3">
      <c r="A108" s="24" t="s">
        <v>153</v>
      </c>
      <c r="B108" s="25" t="s">
        <v>187</v>
      </c>
      <c r="C108" s="25"/>
      <c r="D108" s="25"/>
      <c r="E108" s="25"/>
      <c r="F108" s="25"/>
      <c r="G108" s="25"/>
      <c r="H108" s="25"/>
      <c r="I108" s="25"/>
      <c r="J108" s="25"/>
      <c r="K108" s="25"/>
      <c r="L108" s="25"/>
      <c r="M108" s="25"/>
      <c r="N108" s="25"/>
      <c r="O108" s="25"/>
      <c r="P108" s="25"/>
      <c r="Q108" s="25"/>
      <c r="R108" s="25"/>
      <c r="S108" s="25"/>
      <c r="T108" s="25"/>
      <c r="U108" s="25"/>
      <c r="V108" s="53">
        <f>-1601</f>
        <v>-1601</v>
      </c>
      <c r="W108" s="25"/>
      <c r="X108" s="5"/>
      <c r="Y108" s="109"/>
    </row>
    <row r="109" spans="1:26" ht="15.6" x14ac:dyDescent="0.3">
      <c r="A109" s="24" t="s">
        <v>266</v>
      </c>
      <c r="B109" s="25" t="s">
        <v>269</v>
      </c>
      <c r="C109" s="25"/>
      <c r="D109" s="25"/>
      <c r="E109" s="25"/>
      <c r="F109" s="25"/>
      <c r="G109" s="25"/>
      <c r="H109" s="25"/>
      <c r="I109" s="25"/>
      <c r="J109" s="25"/>
      <c r="K109" s="25"/>
      <c r="L109" s="25"/>
      <c r="M109" s="25"/>
      <c r="N109" s="25"/>
      <c r="O109" s="25"/>
      <c r="P109" s="25"/>
      <c r="Q109" s="25"/>
      <c r="R109" s="25"/>
      <c r="S109" s="25"/>
      <c r="T109" s="25"/>
      <c r="U109" s="25"/>
      <c r="V109" s="53">
        <v>-2</v>
      </c>
      <c r="W109" s="25"/>
      <c r="X109" s="5"/>
    </row>
    <row r="110" spans="1:26" ht="15.6" x14ac:dyDescent="0.3">
      <c r="A110" s="24" t="s">
        <v>208</v>
      </c>
      <c r="B110" s="25" t="s">
        <v>188</v>
      </c>
      <c r="C110" s="25"/>
      <c r="D110" s="25"/>
      <c r="E110" s="25"/>
      <c r="F110" s="25"/>
      <c r="G110" s="25"/>
      <c r="H110" s="25"/>
      <c r="I110" s="25"/>
      <c r="J110" s="25"/>
      <c r="K110" s="25"/>
      <c r="L110" s="25"/>
      <c r="M110" s="25"/>
      <c r="N110" s="25"/>
      <c r="O110" s="25"/>
      <c r="P110" s="25"/>
      <c r="Q110" s="25"/>
      <c r="R110" s="25"/>
      <c r="S110" s="25"/>
      <c r="T110" s="25"/>
      <c r="U110" s="25"/>
      <c r="V110" s="53">
        <v>-863</v>
      </c>
      <c r="W110" s="25"/>
      <c r="X110" s="5"/>
      <c r="Y110" s="109"/>
    </row>
    <row r="111" spans="1:26" ht="15.6" x14ac:dyDescent="0.3">
      <c r="A111" s="24" t="s">
        <v>209</v>
      </c>
      <c r="B111" s="25" t="s">
        <v>189</v>
      </c>
      <c r="C111" s="25"/>
      <c r="D111" s="25"/>
      <c r="E111" s="25"/>
      <c r="F111" s="25"/>
      <c r="G111" s="25"/>
      <c r="H111" s="25"/>
      <c r="I111" s="25"/>
      <c r="J111" s="25"/>
      <c r="K111" s="25"/>
      <c r="L111" s="25"/>
      <c r="M111" s="25"/>
      <c r="N111" s="25"/>
      <c r="O111" s="25"/>
      <c r="P111" s="25"/>
      <c r="Q111" s="25"/>
      <c r="R111" s="25"/>
      <c r="S111" s="25"/>
      <c r="T111" s="25"/>
      <c r="U111" s="25"/>
      <c r="V111" s="53">
        <v>-856</v>
      </c>
      <c r="W111" s="25"/>
      <c r="X111" s="5"/>
      <c r="Y111" s="109"/>
    </row>
    <row r="112" spans="1:26" ht="15.6" x14ac:dyDescent="0.3">
      <c r="A112" s="24" t="s">
        <v>210</v>
      </c>
      <c r="B112" s="25" t="s">
        <v>199</v>
      </c>
      <c r="C112" s="25"/>
      <c r="D112" s="25"/>
      <c r="E112" s="25"/>
      <c r="F112" s="25"/>
      <c r="G112" s="25"/>
      <c r="H112" s="25"/>
      <c r="I112" s="25"/>
      <c r="J112" s="25"/>
      <c r="K112" s="25"/>
      <c r="L112" s="25"/>
      <c r="M112" s="25"/>
      <c r="N112" s="25"/>
      <c r="O112" s="25"/>
      <c r="P112" s="25"/>
      <c r="Q112" s="25"/>
      <c r="R112" s="25"/>
      <c r="S112" s="25"/>
      <c r="T112" s="25"/>
      <c r="U112" s="25"/>
      <c r="V112" s="53">
        <v>-861</v>
      </c>
      <c r="W112" s="25"/>
      <c r="X112" s="5"/>
      <c r="Y112" s="109"/>
    </row>
    <row r="113" spans="1:25" ht="15.6" x14ac:dyDescent="0.3">
      <c r="A113" s="24" t="s">
        <v>230</v>
      </c>
      <c r="B113" s="25" t="s">
        <v>229</v>
      </c>
      <c r="C113" s="25"/>
      <c r="D113" s="25"/>
      <c r="E113" s="25"/>
      <c r="F113" s="25"/>
      <c r="G113" s="25"/>
      <c r="H113" s="25"/>
      <c r="I113" s="25"/>
      <c r="J113" s="25"/>
      <c r="K113" s="25"/>
      <c r="L113" s="25"/>
      <c r="M113" s="25"/>
      <c r="N113" s="25"/>
      <c r="O113" s="25"/>
      <c r="P113" s="25"/>
      <c r="Q113" s="25"/>
      <c r="R113" s="25"/>
      <c r="S113" s="25"/>
      <c r="T113" s="25"/>
      <c r="U113" s="25"/>
      <c r="V113" s="53">
        <v>-205</v>
      </c>
      <c r="W113" s="25"/>
      <c r="X113" s="5"/>
      <c r="Y113" s="109"/>
    </row>
    <row r="114" spans="1:25" ht="15.6" x14ac:dyDescent="0.3">
      <c r="A114" s="24">
        <v>7</v>
      </c>
      <c r="B114" s="25" t="s">
        <v>35</v>
      </c>
      <c r="C114" s="25"/>
      <c r="D114" s="25"/>
      <c r="E114" s="25"/>
      <c r="F114" s="25"/>
      <c r="G114" s="25"/>
      <c r="H114" s="25"/>
      <c r="I114" s="25"/>
      <c r="J114" s="25"/>
      <c r="K114" s="25"/>
      <c r="L114" s="25"/>
      <c r="M114" s="25"/>
      <c r="N114" s="25"/>
      <c r="O114" s="25"/>
      <c r="P114" s="25"/>
      <c r="Q114" s="25"/>
      <c r="R114" s="25"/>
      <c r="S114" s="25"/>
      <c r="T114" s="25"/>
      <c r="U114" s="25"/>
      <c r="V114" s="53">
        <v>-10</v>
      </c>
      <c r="W114" s="25"/>
      <c r="X114" s="5"/>
    </row>
    <row r="115" spans="1:25" ht="15.6" x14ac:dyDescent="0.3">
      <c r="A115" s="24">
        <f t="shared" ref="A115:A121" si="0">+A114+1</f>
        <v>8</v>
      </c>
      <c r="B115" s="25" t="s">
        <v>45</v>
      </c>
      <c r="C115" s="25"/>
      <c r="D115" s="25"/>
      <c r="E115" s="25"/>
      <c r="F115" s="25"/>
      <c r="G115" s="25"/>
      <c r="H115" s="25"/>
      <c r="I115" s="25"/>
      <c r="J115" s="25"/>
      <c r="K115" s="25"/>
      <c r="L115" s="25"/>
      <c r="M115" s="25"/>
      <c r="N115" s="25"/>
      <c r="O115" s="25"/>
      <c r="P115" s="25"/>
      <c r="Q115" s="25"/>
      <c r="R115" s="25"/>
      <c r="S115" s="25"/>
      <c r="T115" s="34">
        <f>-V115</f>
        <v>4</v>
      </c>
      <c r="U115" s="25"/>
      <c r="V115" s="53">
        <v>-4</v>
      </c>
      <c r="W115" s="25"/>
      <c r="X115" s="5"/>
    </row>
    <row r="116" spans="1:25" ht="15.6" x14ac:dyDescent="0.3">
      <c r="A116" s="24">
        <f t="shared" si="0"/>
        <v>9</v>
      </c>
      <c r="B116" s="25" t="s">
        <v>128</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5" ht="15.6" x14ac:dyDescent="0.3">
      <c r="A117" s="24">
        <f t="shared" si="0"/>
        <v>10</v>
      </c>
      <c r="B117" s="25" t="s">
        <v>271</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11</v>
      </c>
      <c r="B118" s="25" t="s">
        <v>36</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12</v>
      </c>
      <c r="B119" s="25" t="s">
        <v>270</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13</v>
      </c>
      <c r="B120" s="25" t="s">
        <v>152</v>
      </c>
      <c r="C120" s="25"/>
      <c r="D120" s="25"/>
      <c r="E120" s="25"/>
      <c r="F120" s="25"/>
      <c r="G120" s="25"/>
      <c r="H120" s="25"/>
      <c r="I120" s="25"/>
      <c r="J120" s="25"/>
      <c r="K120" s="25"/>
      <c r="L120" s="25"/>
      <c r="M120" s="25"/>
      <c r="N120" s="25"/>
      <c r="O120" s="25"/>
      <c r="P120" s="25"/>
      <c r="Q120" s="25"/>
      <c r="R120" s="25"/>
      <c r="S120" s="25"/>
      <c r="T120" s="25"/>
      <c r="U120" s="25"/>
      <c r="V120" s="53">
        <v>-487</v>
      </c>
      <c r="W120" s="25"/>
      <c r="X120" s="5"/>
    </row>
    <row r="121" spans="1:25" ht="15.6" x14ac:dyDescent="0.3">
      <c r="A121" s="24">
        <f t="shared" si="0"/>
        <v>14</v>
      </c>
      <c r="B121" s="25" t="s">
        <v>129</v>
      </c>
      <c r="C121" s="25"/>
      <c r="D121" s="25"/>
      <c r="E121" s="25"/>
      <c r="F121" s="25"/>
      <c r="G121" s="25"/>
      <c r="H121" s="25"/>
      <c r="I121" s="25"/>
      <c r="J121" s="25"/>
      <c r="K121" s="25"/>
      <c r="L121" s="25"/>
      <c r="M121" s="25"/>
      <c r="N121" s="25"/>
      <c r="O121" s="25"/>
      <c r="P121" s="25"/>
      <c r="Q121" s="25"/>
      <c r="R121" s="25"/>
      <c r="S121" s="25"/>
      <c r="T121" s="25"/>
      <c r="U121" s="25"/>
      <c r="V121" s="53">
        <f>-V101-SUM(V103:V120)</f>
        <v>-3728</v>
      </c>
      <c r="W121" s="25"/>
      <c r="X121" s="5"/>
    </row>
    <row r="122" spans="1:25" ht="15.6" x14ac:dyDescent="0.3">
      <c r="A122" s="24"/>
      <c r="B122" s="118" t="s">
        <v>37</v>
      </c>
      <c r="C122" s="25"/>
      <c r="D122" s="25"/>
      <c r="E122" s="25"/>
      <c r="F122" s="25"/>
      <c r="G122" s="25"/>
      <c r="H122" s="25"/>
      <c r="I122" s="25"/>
      <c r="J122" s="25"/>
      <c r="K122" s="25"/>
      <c r="L122" s="25"/>
      <c r="M122" s="25"/>
      <c r="N122" s="25"/>
      <c r="O122" s="25"/>
      <c r="P122" s="25"/>
      <c r="Q122" s="25"/>
      <c r="R122" s="25"/>
      <c r="S122" s="25"/>
      <c r="T122" s="25"/>
      <c r="U122" s="25"/>
      <c r="V122" s="59"/>
      <c r="W122" s="25"/>
      <c r="X122" s="5"/>
    </row>
    <row r="123" spans="1:25" ht="15.6" x14ac:dyDescent="0.3">
      <c r="A123" s="24"/>
      <c r="B123" s="25" t="s">
        <v>176</v>
      </c>
      <c r="C123" s="25"/>
      <c r="D123" s="25"/>
      <c r="E123" s="25"/>
      <c r="F123" s="25"/>
      <c r="G123" s="25"/>
      <c r="H123" s="25"/>
      <c r="I123" s="25"/>
      <c r="J123" s="25"/>
      <c r="K123" s="25"/>
      <c r="L123" s="25"/>
      <c r="M123" s="25"/>
      <c r="N123" s="25"/>
      <c r="O123" s="25"/>
      <c r="P123" s="25"/>
      <c r="Q123" s="25"/>
      <c r="R123" s="25"/>
      <c r="S123" s="25"/>
      <c r="T123" s="34">
        <f>-T182</f>
        <v>-95</v>
      </c>
      <c r="U123" s="34"/>
      <c r="V123" s="53"/>
      <c r="W123" s="25"/>
      <c r="X123" s="5"/>
    </row>
    <row r="124" spans="1:25" ht="15.6" x14ac:dyDescent="0.3">
      <c r="A124" s="24"/>
      <c r="B124" s="25" t="s">
        <v>177</v>
      </c>
      <c r="C124" s="25"/>
      <c r="D124" s="25"/>
      <c r="E124" s="25"/>
      <c r="F124" s="25"/>
      <c r="G124" s="25"/>
      <c r="H124" s="25"/>
      <c r="I124" s="25"/>
      <c r="J124" s="25"/>
      <c r="K124" s="25"/>
      <c r="L124" s="25"/>
      <c r="M124" s="25"/>
      <c r="N124" s="25"/>
      <c r="O124" s="25"/>
      <c r="P124" s="25"/>
      <c r="Q124" s="25"/>
      <c r="R124" s="25"/>
      <c r="S124" s="25"/>
      <c r="T124" s="34">
        <v>-692</v>
      </c>
      <c r="U124" s="34"/>
      <c r="V124" s="53"/>
      <c r="W124" s="25"/>
      <c r="X124" s="5"/>
    </row>
    <row r="125" spans="1:25" ht="15.6" x14ac:dyDescent="0.3">
      <c r="A125" s="24"/>
      <c r="B125" s="25" t="s">
        <v>38</v>
      </c>
      <c r="C125" s="25"/>
      <c r="D125" s="25"/>
      <c r="E125" s="25"/>
      <c r="F125" s="25"/>
      <c r="G125" s="25"/>
      <c r="H125" s="25"/>
      <c r="I125" s="25"/>
      <c r="J125" s="25"/>
      <c r="K125" s="25"/>
      <c r="L125" s="25"/>
      <c r="M125" s="25"/>
      <c r="N125" s="25"/>
      <c r="O125" s="25"/>
      <c r="P125" s="25"/>
      <c r="Q125" s="25"/>
      <c r="R125" s="25"/>
      <c r="S125" s="25"/>
      <c r="T125" s="34">
        <f>-S182</f>
        <v>-4333</v>
      </c>
      <c r="U125" s="34"/>
      <c r="V125" s="53"/>
      <c r="W125" s="25"/>
      <c r="X125" s="5"/>
    </row>
    <row r="126" spans="1:25" ht="15.6" x14ac:dyDescent="0.3">
      <c r="A126" s="24"/>
      <c r="B126" s="25" t="s">
        <v>200</v>
      </c>
      <c r="C126" s="25"/>
      <c r="D126" s="25"/>
      <c r="E126" s="25"/>
      <c r="F126" s="25"/>
      <c r="G126" s="25"/>
      <c r="H126" s="25"/>
      <c r="I126" s="25"/>
      <c r="J126" s="25"/>
      <c r="K126" s="25"/>
      <c r="L126" s="25"/>
      <c r="M126" s="25"/>
      <c r="N126" s="25"/>
      <c r="O126" s="25"/>
      <c r="P126" s="25"/>
      <c r="Q126" s="25"/>
      <c r="R126" s="25"/>
      <c r="S126" s="25"/>
      <c r="T126" s="34">
        <v>-37697</v>
      </c>
      <c r="U126" s="34"/>
      <c r="V126" s="53"/>
      <c r="W126" s="25"/>
      <c r="X126" s="5"/>
    </row>
    <row r="127" spans="1:25" ht="15.6" x14ac:dyDescent="0.3">
      <c r="A127" s="24"/>
      <c r="B127" s="25" t="s">
        <v>198</v>
      </c>
      <c r="C127" s="25"/>
      <c r="D127" s="25"/>
      <c r="E127" s="25"/>
      <c r="F127" s="25"/>
      <c r="G127" s="25"/>
      <c r="H127" s="25"/>
      <c r="I127" s="25"/>
      <c r="J127" s="25"/>
      <c r="K127" s="25"/>
      <c r="L127" s="25"/>
      <c r="M127" s="25"/>
      <c r="N127" s="25"/>
      <c r="O127" s="25"/>
      <c r="P127" s="25"/>
      <c r="Q127" s="25"/>
      <c r="R127" s="25"/>
      <c r="S127" s="25"/>
      <c r="T127" s="34">
        <v>-5906</v>
      </c>
      <c r="U127" s="34"/>
      <c r="V127" s="53"/>
      <c r="W127" s="25"/>
      <c r="X127" s="5"/>
    </row>
    <row r="128" spans="1:25" ht="15.6" x14ac:dyDescent="0.3">
      <c r="A128" s="24"/>
      <c r="B128" s="25" t="s">
        <v>197</v>
      </c>
      <c r="C128" s="25"/>
      <c r="D128" s="25"/>
      <c r="E128" s="25"/>
      <c r="F128" s="25"/>
      <c r="G128" s="25"/>
      <c r="H128" s="25"/>
      <c r="I128" s="25"/>
      <c r="J128" s="25"/>
      <c r="K128" s="25"/>
      <c r="L128" s="25"/>
      <c r="M128" s="25"/>
      <c r="N128" s="25"/>
      <c r="O128" s="25"/>
      <c r="P128" s="25"/>
      <c r="Q128" s="25"/>
      <c r="R128" s="25"/>
      <c r="S128" s="25"/>
      <c r="T128" s="34">
        <v>-9988</v>
      </c>
      <c r="U128" s="34"/>
      <c r="V128" s="53"/>
      <c r="W128" s="25"/>
      <c r="X128" s="5"/>
    </row>
    <row r="129" spans="1:24" ht="15.6" x14ac:dyDescent="0.3">
      <c r="A129" s="24"/>
      <c r="B129" s="25" t="s">
        <v>232</v>
      </c>
      <c r="C129" s="25"/>
      <c r="D129" s="25"/>
      <c r="E129" s="25"/>
      <c r="F129" s="25"/>
      <c r="G129" s="25"/>
      <c r="H129" s="25"/>
      <c r="I129" s="25"/>
      <c r="J129" s="25"/>
      <c r="K129" s="25"/>
      <c r="L129" s="25"/>
      <c r="M129" s="25"/>
      <c r="N129" s="25"/>
      <c r="O129" s="25"/>
      <c r="P129" s="25"/>
      <c r="Q129" s="25"/>
      <c r="R129" s="25"/>
      <c r="S129" s="25"/>
      <c r="T129" s="34">
        <v>-8796</v>
      </c>
      <c r="U129" s="34"/>
      <c r="V129" s="53"/>
      <c r="W129" s="25"/>
      <c r="X129" s="5"/>
    </row>
    <row r="130" spans="1:24" ht="15.6" x14ac:dyDescent="0.3">
      <c r="A130" s="24"/>
      <c r="B130" s="25" t="s">
        <v>192</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191</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233</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190</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39</v>
      </c>
      <c r="C134" s="25"/>
      <c r="D134" s="25"/>
      <c r="E134" s="25"/>
      <c r="F134" s="25"/>
      <c r="G134" s="25"/>
      <c r="H134" s="25"/>
      <c r="I134" s="25"/>
      <c r="J134" s="25"/>
      <c r="K134" s="25"/>
      <c r="L134" s="25"/>
      <c r="M134" s="25"/>
      <c r="N134" s="25"/>
      <c r="O134" s="25"/>
      <c r="P134" s="25"/>
      <c r="Q134" s="25"/>
      <c r="R134" s="25"/>
      <c r="S134" s="25"/>
      <c r="T134" s="34">
        <f>SUM(T123:T133)</f>
        <v>-67507</v>
      </c>
      <c r="U134" s="34"/>
      <c r="V134" s="34">
        <f>SUM(V102:V131)</f>
        <v>-24364</v>
      </c>
      <c r="W134" s="25"/>
      <c r="X134" s="5"/>
    </row>
    <row r="135" spans="1:24" ht="15.6" x14ac:dyDescent="0.3">
      <c r="A135" s="24"/>
      <c r="B135" s="25" t="s">
        <v>40</v>
      </c>
      <c r="C135" s="25"/>
      <c r="D135" s="25"/>
      <c r="E135" s="25"/>
      <c r="F135" s="25"/>
      <c r="G135" s="25"/>
      <c r="H135" s="25"/>
      <c r="I135" s="25"/>
      <c r="J135" s="25"/>
      <c r="K135" s="25"/>
      <c r="L135" s="25"/>
      <c r="M135" s="25"/>
      <c r="N135" s="25"/>
      <c r="O135" s="25"/>
      <c r="P135" s="25"/>
      <c r="Q135" s="25"/>
      <c r="R135" s="25"/>
      <c r="S135" s="25"/>
      <c r="T135" s="34">
        <f>T101+T134+T115</f>
        <v>0</v>
      </c>
      <c r="U135" s="34"/>
      <c r="V135" s="34">
        <f>V101+V134</f>
        <v>0</v>
      </c>
      <c r="W135" s="25"/>
      <c r="X135" s="5"/>
    </row>
    <row r="136" spans="1:24" ht="15.6" x14ac:dyDescent="0.3">
      <c r="A136" s="24"/>
      <c r="B136" s="25"/>
      <c r="C136" s="25"/>
      <c r="D136" s="25"/>
      <c r="E136" s="25"/>
      <c r="F136" s="25"/>
      <c r="G136" s="25"/>
      <c r="H136" s="25"/>
      <c r="I136" s="25"/>
      <c r="J136" s="25"/>
      <c r="K136" s="25"/>
      <c r="L136" s="25"/>
      <c r="M136" s="25"/>
      <c r="N136" s="25"/>
      <c r="O136" s="25"/>
      <c r="P136" s="25"/>
      <c r="Q136" s="25"/>
      <c r="R136" s="25"/>
      <c r="S136" s="25"/>
      <c r="T136" s="34"/>
      <c r="U136" s="34"/>
      <c r="V136" s="34"/>
      <c r="W136" s="25"/>
      <c r="X136" s="5"/>
    </row>
    <row r="137" spans="1:24" ht="15.6" x14ac:dyDescent="0.3">
      <c r="A137" s="6"/>
      <c r="B137" s="8"/>
      <c r="C137" s="8"/>
      <c r="D137" s="8"/>
      <c r="E137" s="8"/>
      <c r="F137" s="8"/>
      <c r="G137" s="8"/>
      <c r="H137" s="8"/>
      <c r="I137" s="8"/>
      <c r="J137" s="8"/>
      <c r="K137" s="8"/>
      <c r="L137" s="8"/>
      <c r="M137" s="8"/>
      <c r="N137" s="8"/>
      <c r="O137" s="8"/>
      <c r="P137" s="8"/>
      <c r="Q137" s="8"/>
      <c r="R137" s="8"/>
      <c r="S137" s="8"/>
      <c r="T137" s="8"/>
      <c r="U137" s="8"/>
      <c r="V137" s="52"/>
      <c r="W137" s="8"/>
      <c r="X137" s="5"/>
    </row>
    <row r="138" spans="1:24" ht="18" thickBot="1" x14ac:dyDescent="0.35">
      <c r="A138" s="101"/>
      <c r="B138" s="102" t="str">
        <f>B64</f>
        <v>PM13 INVESTOR REPORT QUARTER ENDING JUNE 2008</v>
      </c>
      <c r="C138" s="103"/>
      <c r="D138" s="103"/>
      <c r="E138" s="103"/>
      <c r="F138" s="103"/>
      <c r="G138" s="103"/>
      <c r="H138" s="103"/>
      <c r="I138" s="103"/>
      <c r="J138" s="103"/>
      <c r="K138" s="103"/>
      <c r="L138" s="103"/>
      <c r="M138" s="103"/>
      <c r="N138" s="103"/>
      <c r="O138" s="103"/>
      <c r="P138" s="103"/>
      <c r="Q138" s="103"/>
      <c r="R138" s="103"/>
      <c r="S138" s="103"/>
      <c r="T138" s="103"/>
      <c r="U138" s="103"/>
      <c r="V138" s="106"/>
      <c r="W138" s="105"/>
      <c r="X138" s="5"/>
    </row>
    <row r="139" spans="1:24" ht="15.6" x14ac:dyDescent="0.3">
      <c r="A139" s="2"/>
      <c r="B139" s="60" t="s">
        <v>41</v>
      </c>
      <c r="C139" s="4"/>
      <c r="D139" s="4"/>
      <c r="E139" s="4"/>
      <c r="F139" s="4"/>
      <c r="G139" s="4"/>
      <c r="H139" s="4"/>
      <c r="I139" s="4"/>
      <c r="J139" s="4"/>
      <c r="K139" s="4"/>
      <c r="L139" s="4"/>
      <c r="M139" s="4"/>
      <c r="N139" s="4"/>
      <c r="O139" s="4"/>
      <c r="P139" s="4"/>
      <c r="Q139" s="4"/>
      <c r="R139" s="4"/>
      <c r="S139" s="4"/>
      <c r="T139" s="4"/>
      <c r="U139" s="4"/>
      <c r="V139" s="50"/>
      <c r="W139" s="4"/>
      <c r="X139" s="5"/>
    </row>
    <row r="140" spans="1:24" ht="15.6" x14ac:dyDescent="0.3">
      <c r="A140" s="6"/>
      <c r="B140" s="21"/>
      <c r="C140" s="8"/>
      <c r="D140" s="8"/>
      <c r="E140" s="8"/>
      <c r="F140" s="8"/>
      <c r="G140" s="8"/>
      <c r="H140" s="8"/>
      <c r="I140" s="8"/>
      <c r="J140" s="8"/>
      <c r="K140" s="8"/>
      <c r="L140" s="8"/>
      <c r="M140" s="8"/>
      <c r="N140" s="8"/>
      <c r="O140" s="8"/>
      <c r="P140" s="8"/>
      <c r="Q140" s="8"/>
      <c r="R140" s="8"/>
      <c r="S140" s="8"/>
      <c r="T140" s="8"/>
      <c r="U140" s="8"/>
      <c r="V140" s="52"/>
      <c r="W140" s="8"/>
      <c r="X140" s="5"/>
    </row>
    <row r="141" spans="1:24" ht="15.6" x14ac:dyDescent="0.3">
      <c r="A141" s="6"/>
      <c r="B141" s="119" t="s">
        <v>42</v>
      </c>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24"/>
      <c r="B142" s="25" t="s">
        <v>43</v>
      </c>
      <c r="C142" s="25"/>
      <c r="D142" s="25"/>
      <c r="E142" s="25"/>
      <c r="F142" s="25"/>
      <c r="G142" s="25"/>
      <c r="H142" s="25"/>
      <c r="I142" s="25"/>
      <c r="J142" s="25"/>
      <c r="K142" s="25"/>
      <c r="L142" s="25"/>
      <c r="M142" s="25"/>
      <c r="N142" s="25"/>
      <c r="O142" s="25"/>
      <c r="P142" s="25"/>
      <c r="Q142" s="25"/>
      <c r="R142" s="25"/>
      <c r="S142" s="25"/>
      <c r="T142" s="25"/>
      <c r="U142" s="25"/>
      <c r="V142" s="53">
        <f>+V34*0.019</f>
        <v>28503.61</v>
      </c>
      <c r="W142" s="25"/>
      <c r="X142" s="5"/>
    </row>
    <row r="143" spans="1:24" ht="15.6" x14ac:dyDescent="0.3">
      <c r="A143" s="24"/>
      <c r="B143" s="25" t="s">
        <v>44</v>
      </c>
      <c r="C143" s="25"/>
      <c r="D143" s="25"/>
      <c r="E143" s="25"/>
      <c r="F143" s="25"/>
      <c r="G143" s="25"/>
      <c r="H143" s="25"/>
      <c r="I143" s="25"/>
      <c r="J143" s="25"/>
      <c r="K143" s="25"/>
      <c r="L143" s="25"/>
      <c r="M143" s="25"/>
      <c r="N143" s="25"/>
      <c r="O143" s="25"/>
      <c r="P143" s="25"/>
      <c r="Q143" s="25"/>
      <c r="R143" s="25"/>
      <c r="S143" s="25"/>
      <c r="T143" s="25"/>
      <c r="U143" s="25"/>
      <c r="V143" s="53">
        <v>28504</v>
      </c>
      <c r="W143" s="25"/>
      <c r="X143" s="5"/>
    </row>
    <row r="144" spans="1:24" ht="15.6" x14ac:dyDescent="0.3">
      <c r="A144" s="24"/>
      <c r="B144" s="25" t="s">
        <v>139</v>
      </c>
      <c r="C144" s="25"/>
      <c r="D144" s="25"/>
      <c r="E144" s="25"/>
      <c r="F144" s="25"/>
      <c r="G144" s="25"/>
      <c r="H144" s="25"/>
      <c r="I144" s="25"/>
      <c r="J144" s="25"/>
      <c r="K144" s="25"/>
      <c r="L144" s="25"/>
      <c r="M144" s="25"/>
      <c r="N144" s="25"/>
      <c r="O144" s="25"/>
      <c r="P144" s="25"/>
      <c r="Q144" s="25"/>
      <c r="R144" s="25"/>
      <c r="S144" s="25"/>
      <c r="T144" s="25"/>
      <c r="U144" s="25"/>
      <c r="V144" s="53"/>
      <c r="W144" s="25"/>
      <c r="X144" s="5"/>
    </row>
    <row r="145" spans="1:25" ht="15.6" x14ac:dyDescent="0.3">
      <c r="A145" s="24"/>
      <c r="B145" s="25" t="s">
        <v>126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127</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178</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45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132</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267</v>
      </c>
      <c r="C150" s="25"/>
      <c r="D150" s="25"/>
      <c r="E150" s="25"/>
      <c r="F150" s="25"/>
      <c r="G150" s="25"/>
      <c r="H150" s="25"/>
      <c r="I150" s="25"/>
      <c r="J150" s="25"/>
      <c r="K150" s="25"/>
      <c r="L150" s="25"/>
      <c r="M150" s="25"/>
      <c r="N150" s="25"/>
      <c r="O150" s="25"/>
      <c r="P150" s="25"/>
      <c r="Q150" s="25"/>
      <c r="R150" s="25"/>
      <c r="S150" s="25"/>
      <c r="T150" s="25"/>
      <c r="U150" s="25"/>
      <c r="V150" s="53">
        <v>0</v>
      </c>
      <c r="W150" s="25"/>
      <c r="X150" s="5"/>
      <c r="Y150" s="109"/>
    </row>
    <row r="151" spans="1:25" ht="15.6" x14ac:dyDescent="0.3">
      <c r="A151" s="24"/>
      <c r="B151" s="25" t="s">
        <v>46</v>
      </c>
      <c r="C151" s="25"/>
      <c r="D151" s="25"/>
      <c r="E151" s="25"/>
      <c r="F151" s="25"/>
      <c r="G151" s="25"/>
      <c r="H151" s="25"/>
      <c r="I151" s="25"/>
      <c r="J151" s="25"/>
      <c r="K151" s="25"/>
      <c r="L151" s="25"/>
      <c r="M151" s="25"/>
      <c r="N151" s="25"/>
      <c r="O151" s="25"/>
      <c r="P151" s="25"/>
      <c r="Q151" s="25"/>
      <c r="R151" s="25"/>
      <c r="S151" s="25"/>
      <c r="T151" s="25"/>
      <c r="U151" s="25"/>
      <c r="V151" s="53">
        <f>SUM(V143:V150)</f>
        <v>28504</v>
      </c>
      <c r="W151" s="25"/>
      <c r="X151" s="5"/>
    </row>
    <row r="152" spans="1:25" ht="15.6" x14ac:dyDescent="0.3">
      <c r="A152" s="24"/>
      <c r="B152" s="25"/>
      <c r="C152" s="25"/>
      <c r="D152" s="25"/>
      <c r="E152" s="25"/>
      <c r="F152" s="25"/>
      <c r="G152" s="25"/>
      <c r="H152" s="25"/>
      <c r="I152" s="25"/>
      <c r="J152" s="25"/>
      <c r="K152" s="25"/>
      <c r="L152" s="25"/>
      <c r="M152" s="25"/>
      <c r="N152" s="25"/>
      <c r="O152" s="25"/>
      <c r="P152" s="25"/>
      <c r="Q152" s="25"/>
      <c r="R152" s="25"/>
      <c r="S152" s="25"/>
      <c r="T152" s="25"/>
      <c r="U152" s="25"/>
      <c r="V152" s="53"/>
      <c r="W152" s="25"/>
      <c r="X152" s="5"/>
    </row>
    <row r="153" spans="1:25" ht="15.6" x14ac:dyDescent="0.3">
      <c r="A153" s="24"/>
      <c r="B153" s="138" t="s">
        <v>268</v>
      </c>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25" t="s">
        <v>158</v>
      </c>
      <c r="C154" s="25"/>
      <c r="D154" s="25"/>
      <c r="E154" s="25"/>
      <c r="F154" s="25"/>
      <c r="G154" s="25"/>
      <c r="H154" s="25"/>
      <c r="I154" s="25"/>
      <c r="J154" s="25"/>
      <c r="K154" s="25"/>
      <c r="L154" s="25"/>
      <c r="M154" s="25"/>
      <c r="N154" s="25"/>
      <c r="O154" s="25"/>
      <c r="P154" s="25"/>
      <c r="Q154" s="25"/>
      <c r="R154" s="25"/>
      <c r="S154" s="25"/>
      <c r="T154" s="25"/>
      <c r="U154" s="25"/>
      <c r="V154" s="53">
        <v>15000</v>
      </c>
      <c r="W154" s="25"/>
      <c r="X154" s="5"/>
    </row>
    <row r="155" spans="1:25" ht="15.6" x14ac:dyDescent="0.3">
      <c r="A155" s="24"/>
      <c r="B155" s="25" t="s">
        <v>175</v>
      </c>
      <c r="C155" s="25"/>
      <c r="D155" s="25"/>
      <c r="E155" s="25"/>
      <c r="F155" s="25"/>
      <c r="G155" s="25"/>
      <c r="H155" s="25"/>
      <c r="I155" s="25"/>
      <c r="J155" s="25"/>
      <c r="K155" s="25"/>
      <c r="L155" s="25"/>
      <c r="M155" s="25"/>
      <c r="N155" s="25"/>
      <c r="O155" s="25"/>
      <c r="P155" s="25"/>
      <c r="Q155" s="25"/>
      <c r="R155" s="25"/>
      <c r="S155" s="25"/>
      <c r="T155" s="25"/>
      <c r="U155" s="25"/>
      <c r="V155" s="53">
        <v>0</v>
      </c>
      <c r="W155" s="25"/>
      <c r="X155" s="5"/>
    </row>
    <row r="156" spans="1:25" ht="15.6" x14ac:dyDescent="0.3">
      <c r="A156" s="24"/>
      <c r="B156" s="25" t="s">
        <v>272</v>
      </c>
      <c r="C156" s="25"/>
      <c r="D156" s="25"/>
      <c r="E156" s="25"/>
      <c r="F156" s="25"/>
      <c r="G156" s="25"/>
      <c r="H156" s="25"/>
      <c r="I156" s="25"/>
      <c r="J156" s="25"/>
      <c r="K156" s="25"/>
      <c r="L156" s="25"/>
      <c r="M156" s="25"/>
      <c r="N156" s="25"/>
      <c r="O156" s="25"/>
      <c r="P156" s="25"/>
      <c r="Q156" s="25"/>
      <c r="R156" s="25"/>
      <c r="S156" s="25"/>
      <c r="T156" s="25"/>
      <c r="U156" s="25"/>
      <c r="V156" s="53">
        <v>6301</v>
      </c>
      <c r="W156" s="25"/>
      <c r="X156" s="5"/>
    </row>
    <row r="157" spans="1:25" ht="15.6" x14ac:dyDescent="0.3">
      <c r="A157" s="24"/>
      <c r="B157" s="25"/>
      <c r="C157" s="25"/>
      <c r="D157" s="25"/>
      <c r="E157" s="25"/>
      <c r="F157" s="25"/>
      <c r="G157" s="25"/>
      <c r="H157" s="25"/>
      <c r="I157" s="25"/>
      <c r="J157" s="25"/>
      <c r="K157" s="25"/>
      <c r="L157" s="25"/>
      <c r="M157" s="25"/>
      <c r="N157" s="25"/>
      <c r="O157" s="25"/>
      <c r="P157" s="25"/>
      <c r="Q157" s="25"/>
      <c r="R157" s="25"/>
      <c r="S157" s="25"/>
      <c r="T157" s="25"/>
      <c r="U157" s="25"/>
      <c r="V157" s="53"/>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61"/>
      <c r="W158" s="25"/>
      <c r="X158" s="5"/>
    </row>
    <row r="159" spans="1:25" ht="15.6" x14ac:dyDescent="0.3">
      <c r="A159" s="6"/>
      <c r="B159" s="119" t="s">
        <v>24</v>
      </c>
      <c r="C159" s="8"/>
      <c r="D159" s="8"/>
      <c r="E159" s="8"/>
      <c r="F159" s="8"/>
      <c r="G159" s="8"/>
      <c r="H159" s="8"/>
      <c r="I159" s="8"/>
      <c r="J159" s="8"/>
      <c r="K159" s="8"/>
      <c r="L159" s="8"/>
      <c r="M159" s="8"/>
      <c r="N159" s="8"/>
      <c r="O159" s="8"/>
      <c r="P159" s="8"/>
      <c r="Q159" s="8"/>
      <c r="R159" s="8"/>
      <c r="S159" s="8"/>
      <c r="T159" s="8"/>
      <c r="U159" s="8"/>
      <c r="V159" s="52"/>
      <c r="W159" s="8"/>
      <c r="X159" s="5"/>
    </row>
    <row r="160" spans="1:25" ht="15.6" x14ac:dyDescent="0.3">
      <c r="A160" s="24"/>
      <c r="B160" s="25" t="s">
        <v>47</v>
      </c>
      <c r="C160" s="25"/>
      <c r="D160" s="25"/>
      <c r="E160" s="25"/>
      <c r="F160" s="25"/>
      <c r="G160" s="25"/>
      <c r="H160" s="25"/>
      <c r="I160" s="25"/>
      <c r="J160" s="25"/>
      <c r="K160" s="25"/>
      <c r="L160" s="25"/>
      <c r="M160" s="25"/>
      <c r="N160" s="25"/>
      <c r="O160" s="25"/>
      <c r="P160" s="25"/>
      <c r="Q160" s="25"/>
      <c r="R160" s="25"/>
      <c r="S160" s="25"/>
      <c r="T160" s="25"/>
      <c r="U160" s="25"/>
      <c r="V160" s="59" t="s">
        <v>121</v>
      </c>
      <c r="W160" s="25"/>
      <c r="X160" s="5"/>
    </row>
    <row r="161" spans="1:24" ht="15.6" x14ac:dyDescent="0.3">
      <c r="A161" s="24"/>
      <c r="B161" s="25" t="s">
        <v>48</v>
      </c>
      <c r="C161" s="163"/>
      <c r="D161" s="163"/>
      <c r="E161" s="163"/>
      <c r="F161" s="163"/>
      <c r="G161" s="163"/>
      <c r="H161" s="163"/>
      <c r="I161" s="163"/>
      <c r="J161" s="163"/>
      <c r="K161" s="163"/>
      <c r="L161" s="163"/>
      <c r="M161" s="163"/>
      <c r="N161" s="163"/>
      <c r="O161" s="163"/>
      <c r="P161" s="163"/>
      <c r="Q161" s="163"/>
      <c r="R161" s="163"/>
      <c r="S161" s="163"/>
      <c r="T161" s="163"/>
      <c r="U161" s="163"/>
      <c r="V161" s="59" t="s">
        <v>121</v>
      </c>
      <c r="W161" s="25"/>
      <c r="X161" s="5"/>
    </row>
    <row r="162" spans="1:24" ht="15.6" x14ac:dyDescent="0.3">
      <c r="A162" s="24"/>
      <c r="B162" s="25" t="s">
        <v>49</v>
      </c>
      <c r="C162" s="25"/>
      <c r="D162" s="25"/>
      <c r="E162" s="25"/>
      <c r="F162" s="25"/>
      <c r="G162" s="25"/>
      <c r="H162" s="25"/>
      <c r="I162" s="25"/>
      <c r="J162" s="25"/>
      <c r="K162" s="25"/>
      <c r="L162" s="25"/>
      <c r="M162" s="25"/>
      <c r="N162" s="25"/>
      <c r="O162" s="25"/>
      <c r="P162" s="25"/>
      <c r="Q162" s="25"/>
      <c r="R162" s="25"/>
      <c r="S162" s="25"/>
      <c r="T162" s="25"/>
      <c r="U162" s="25"/>
      <c r="V162" s="59" t="s">
        <v>121</v>
      </c>
      <c r="W162" s="25"/>
      <c r="X162" s="5"/>
    </row>
    <row r="163" spans="1:24" ht="15.6" x14ac:dyDescent="0.3">
      <c r="A163" s="24"/>
      <c r="B163" s="25" t="s">
        <v>50</v>
      </c>
      <c r="C163" s="25"/>
      <c r="D163" s="25"/>
      <c r="E163" s="25"/>
      <c r="F163" s="25"/>
      <c r="G163" s="25"/>
      <c r="H163" s="25"/>
      <c r="I163" s="25"/>
      <c r="J163" s="25"/>
      <c r="K163" s="25"/>
      <c r="L163" s="25"/>
      <c r="M163" s="25"/>
      <c r="N163" s="25"/>
      <c r="O163" s="25"/>
      <c r="P163" s="25"/>
      <c r="Q163" s="25"/>
      <c r="R163" s="25"/>
      <c r="S163" s="25"/>
      <c r="T163" s="25"/>
      <c r="U163" s="25"/>
      <c r="V163" s="59" t="s">
        <v>121</v>
      </c>
      <c r="W163" s="25"/>
      <c r="X163" s="5"/>
    </row>
    <row r="164" spans="1:24" ht="15.6" x14ac:dyDescent="0.3">
      <c r="A164" s="24"/>
      <c r="B164" s="25"/>
      <c r="C164" s="25"/>
      <c r="D164" s="25"/>
      <c r="E164" s="25"/>
      <c r="F164" s="25"/>
      <c r="G164" s="25"/>
      <c r="H164" s="25"/>
      <c r="I164" s="25"/>
      <c r="J164" s="25"/>
      <c r="K164" s="25"/>
      <c r="L164" s="25"/>
      <c r="M164" s="25"/>
      <c r="N164" s="25"/>
      <c r="O164" s="25"/>
      <c r="P164" s="25"/>
      <c r="Q164" s="25"/>
      <c r="R164" s="25"/>
      <c r="S164" s="25"/>
      <c r="T164" s="25"/>
      <c r="U164" s="25"/>
      <c r="V164" s="61"/>
      <c r="W164" s="25"/>
      <c r="X164" s="5"/>
    </row>
    <row r="165" spans="1:24" ht="15.6" x14ac:dyDescent="0.3">
      <c r="A165" s="6"/>
      <c r="B165" s="119" t="s">
        <v>51</v>
      </c>
      <c r="C165" s="8"/>
      <c r="D165" s="8"/>
      <c r="E165" s="8"/>
      <c r="F165" s="8"/>
      <c r="G165" s="8"/>
      <c r="H165" s="8"/>
      <c r="I165" s="8"/>
      <c r="J165" s="8"/>
      <c r="K165" s="8"/>
      <c r="L165" s="8"/>
      <c r="M165" s="8"/>
      <c r="N165" s="8"/>
      <c r="O165" s="8"/>
      <c r="P165" s="8"/>
      <c r="Q165" s="8"/>
      <c r="R165" s="8"/>
      <c r="S165" s="8"/>
      <c r="T165" s="8"/>
      <c r="U165" s="8"/>
      <c r="V165" s="63"/>
      <c r="W165" s="8"/>
      <c r="X165" s="5"/>
    </row>
    <row r="166" spans="1:24" ht="15.6" x14ac:dyDescent="0.3">
      <c r="A166" s="24"/>
      <c r="B166" s="25" t="s">
        <v>52</v>
      </c>
      <c r="C166" s="25"/>
      <c r="D166" s="25"/>
      <c r="E166" s="25"/>
      <c r="F166" s="25"/>
      <c r="G166" s="25"/>
      <c r="H166" s="25"/>
      <c r="I166" s="25"/>
      <c r="J166" s="25"/>
      <c r="K166" s="25"/>
      <c r="L166" s="25"/>
      <c r="M166" s="25"/>
      <c r="N166" s="25"/>
      <c r="O166" s="25"/>
      <c r="P166" s="25"/>
      <c r="Q166" s="25"/>
      <c r="R166" s="25"/>
      <c r="S166" s="25"/>
      <c r="T166" s="25"/>
      <c r="U166" s="25"/>
      <c r="V166" s="53">
        <v>0</v>
      </c>
      <c r="W166" s="25"/>
      <c r="X166" s="5"/>
    </row>
    <row r="167" spans="1:24" ht="15.6" x14ac:dyDescent="0.3">
      <c r="A167" s="24"/>
      <c r="B167" s="25" t="s">
        <v>53</v>
      </c>
      <c r="C167" s="25"/>
      <c r="D167" s="25"/>
      <c r="E167" s="25"/>
      <c r="F167" s="25"/>
      <c r="G167" s="25"/>
      <c r="H167" s="25"/>
      <c r="I167" s="25"/>
      <c r="J167" s="25"/>
      <c r="K167" s="25"/>
      <c r="L167" s="25"/>
      <c r="M167" s="25"/>
      <c r="N167" s="25"/>
      <c r="O167" s="25"/>
      <c r="P167" s="25"/>
      <c r="Q167" s="25"/>
      <c r="R167" s="25"/>
      <c r="S167" s="25"/>
      <c r="T167" s="25"/>
      <c r="U167" s="25"/>
      <c r="V167" s="53">
        <v>4</v>
      </c>
      <c r="W167" s="25"/>
      <c r="X167" s="5"/>
    </row>
    <row r="168" spans="1:24" ht="15.6" x14ac:dyDescent="0.3">
      <c r="A168" s="24"/>
      <c r="B168" s="25" t="s">
        <v>54</v>
      </c>
      <c r="C168" s="25"/>
      <c r="D168" s="25"/>
      <c r="E168" s="25"/>
      <c r="F168" s="25"/>
      <c r="G168" s="25"/>
      <c r="H168" s="25"/>
      <c r="I168" s="25"/>
      <c r="J168" s="25"/>
      <c r="K168" s="25"/>
      <c r="L168" s="25"/>
      <c r="M168" s="25"/>
      <c r="N168" s="25"/>
      <c r="O168" s="25"/>
      <c r="P168" s="25"/>
      <c r="Q168" s="25"/>
      <c r="R168" s="25"/>
      <c r="S168" s="25"/>
      <c r="T168" s="25"/>
      <c r="U168" s="25"/>
      <c r="V168" s="53">
        <f>V167+V166</f>
        <v>4</v>
      </c>
      <c r="W168" s="25"/>
      <c r="X168" s="5"/>
    </row>
    <row r="169" spans="1:24" ht="15.6" x14ac:dyDescent="0.3">
      <c r="A169" s="24"/>
      <c r="B169" s="391" t="s">
        <v>318</v>
      </c>
      <c r="C169" s="25"/>
      <c r="D169" s="25"/>
      <c r="E169" s="25"/>
      <c r="F169" s="25"/>
      <c r="G169" s="25"/>
      <c r="H169" s="25"/>
      <c r="I169" s="25"/>
      <c r="J169" s="25"/>
      <c r="K169" s="25"/>
      <c r="L169" s="25"/>
      <c r="M169" s="25"/>
      <c r="N169" s="25"/>
      <c r="O169" s="25"/>
      <c r="P169" s="25"/>
      <c r="Q169" s="25"/>
      <c r="R169" s="25"/>
      <c r="S169" s="25"/>
      <c r="T169" s="25"/>
      <c r="U169" s="25"/>
      <c r="V169" s="53">
        <f>V115</f>
        <v>-4</v>
      </c>
      <c r="W169" s="25"/>
      <c r="X169" s="5"/>
    </row>
    <row r="170" spans="1:24" ht="15.6" x14ac:dyDescent="0.3">
      <c r="A170" s="24"/>
      <c r="B170" s="25" t="s">
        <v>55</v>
      </c>
      <c r="C170" s="25"/>
      <c r="D170" s="25"/>
      <c r="E170" s="25"/>
      <c r="F170" s="25"/>
      <c r="G170" s="25"/>
      <c r="H170" s="25"/>
      <c r="I170" s="25"/>
      <c r="J170" s="25"/>
      <c r="K170" s="25"/>
      <c r="L170" s="25"/>
      <c r="M170" s="25"/>
      <c r="N170" s="25"/>
      <c r="O170" s="25"/>
      <c r="P170" s="25"/>
      <c r="Q170" s="25"/>
      <c r="R170" s="25"/>
      <c r="S170" s="25"/>
      <c r="T170" s="25"/>
      <c r="U170" s="25"/>
      <c r="V170" s="53">
        <f>V168+V169</f>
        <v>0</v>
      </c>
      <c r="W170" s="25"/>
      <c r="X170" s="5"/>
    </row>
    <row r="171" spans="1:24" ht="16.2" thickBot="1" x14ac:dyDescent="0.35">
      <c r="A171" s="24"/>
      <c r="B171" s="25"/>
      <c r="C171" s="25"/>
      <c r="D171" s="25"/>
      <c r="E171" s="25"/>
      <c r="F171" s="25"/>
      <c r="G171" s="25"/>
      <c r="H171" s="25"/>
      <c r="I171" s="25"/>
      <c r="J171" s="25"/>
      <c r="K171" s="25"/>
      <c r="L171" s="25"/>
      <c r="M171" s="25"/>
      <c r="N171" s="25"/>
      <c r="O171" s="25"/>
      <c r="P171" s="25"/>
      <c r="Q171" s="25"/>
      <c r="R171" s="25"/>
      <c r="S171" s="25"/>
      <c r="T171" s="25"/>
      <c r="U171" s="25"/>
      <c r="V171" s="61"/>
      <c r="W171" s="25"/>
      <c r="X171" s="5"/>
    </row>
    <row r="172" spans="1:24" ht="15.6" x14ac:dyDescent="0.3">
      <c r="A172" s="2"/>
      <c r="B172" s="4"/>
      <c r="C172" s="4"/>
      <c r="D172" s="4"/>
      <c r="E172" s="4"/>
      <c r="F172" s="4"/>
      <c r="G172" s="4"/>
      <c r="H172" s="4"/>
      <c r="I172" s="4"/>
      <c r="J172" s="4"/>
      <c r="K172" s="4"/>
      <c r="L172" s="4"/>
      <c r="M172" s="4"/>
      <c r="N172" s="4"/>
      <c r="O172" s="4"/>
      <c r="P172" s="4"/>
      <c r="Q172" s="4"/>
      <c r="R172" s="4"/>
      <c r="S172" s="4"/>
      <c r="T172" s="4"/>
      <c r="U172" s="4"/>
      <c r="V172" s="50"/>
      <c r="W172" s="4"/>
      <c r="X172" s="5"/>
    </row>
    <row r="173" spans="1:24" ht="15.6" x14ac:dyDescent="0.3">
      <c r="A173" s="6"/>
      <c r="B173" s="119" t="s">
        <v>56</v>
      </c>
      <c r="C173" s="8"/>
      <c r="D173" s="8"/>
      <c r="E173" s="8"/>
      <c r="F173" s="8"/>
      <c r="G173" s="8"/>
      <c r="H173" s="8"/>
      <c r="I173" s="8"/>
      <c r="J173" s="8"/>
      <c r="K173" s="8"/>
      <c r="L173" s="8"/>
      <c r="M173" s="8"/>
      <c r="N173" s="8"/>
      <c r="O173" s="8"/>
      <c r="P173" s="8"/>
      <c r="Q173" s="8"/>
      <c r="R173" s="8"/>
      <c r="S173" s="8"/>
      <c r="T173" s="8"/>
      <c r="U173" s="8"/>
      <c r="V173" s="52"/>
      <c r="W173" s="8"/>
      <c r="X173" s="5"/>
    </row>
    <row r="174" spans="1:24" ht="15.6" x14ac:dyDescent="0.3">
      <c r="A174" s="6"/>
      <c r="B174" s="21"/>
      <c r="C174" s="8"/>
      <c r="D174" s="8"/>
      <c r="E174" s="8"/>
      <c r="F174" s="8"/>
      <c r="G174" s="8"/>
      <c r="H174" s="8"/>
      <c r="I174" s="8"/>
      <c r="J174" s="8"/>
      <c r="K174" s="8"/>
      <c r="L174" s="8"/>
      <c r="M174" s="8"/>
      <c r="N174" s="8"/>
      <c r="O174" s="8"/>
      <c r="P174" s="8"/>
      <c r="Q174" s="8"/>
      <c r="R174" s="8"/>
      <c r="S174" s="8"/>
      <c r="T174" s="8"/>
      <c r="U174" s="8"/>
      <c r="V174" s="52"/>
      <c r="W174" s="8"/>
      <c r="X174" s="5"/>
    </row>
    <row r="175" spans="1:24" ht="15.6" x14ac:dyDescent="0.3">
      <c r="A175" s="24"/>
      <c r="B175" s="25" t="s">
        <v>57</v>
      </c>
      <c r="C175" s="25"/>
      <c r="D175" s="25"/>
      <c r="E175" s="25"/>
      <c r="F175" s="25"/>
      <c r="G175" s="25"/>
      <c r="H175" s="25"/>
      <c r="I175" s="25"/>
      <c r="J175" s="25"/>
      <c r="K175" s="25"/>
      <c r="L175" s="25"/>
      <c r="M175" s="25"/>
      <c r="N175" s="25"/>
      <c r="O175" s="25"/>
      <c r="P175" s="25"/>
      <c r="Q175" s="25"/>
      <c r="R175" s="25"/>
      <c r="S175" s="25"/>
      <c r="T175" s="25"/>
      <c r="U175" s="25"/>
      <c r="V175" s="53">
        <f>V72</f>
        <v>1238741</v>
      </c>
      <c r="W175" s="25"/>
      <c r="X175" s="5"/>
    </row>
    <row r="176" spans="1:24" ht="15.6" x14ac:dyDescent="0.3">
      <c r="A176" s="24"/>
      <c r="B176" s="25" t="s">
        <v>58</v>
      </c>
      <c r="C176" s="25"/>
      <c r="D176" s="25"/>
      <c r="E176" s="25"/>
      <c r="F176" s="25"/>
      <c r="G176" s="25"/>
      <c r="H176" s="25"/>
      <c r="I176" s="25"/>
      <c r="J176" s="25"/>
      <c r="K176" s="25"/>
      <c r="L176" s="25"/>
      <c r="M176" s="25"/>
      <c r="N176" s="25"/>
      <c r="O176" s="25"/>
      <c r="P176" s="25"/>
      <c r="Q176" s="25"/>
      <c r="R176" s="25"/>
      <c r="S176" s="25"/>
      <c r="T176" s="25"/>
      <c r="U176" s="25"/>
      <c r="V176" s="53">
        <f>V85</f>
        <v>1238741</v>
      </c>
      <c r="W176" s="25"/>
      <c r="X176" s="5"/>
    </row>
    <row r="177" spans="1:24" ht="16.2" thickBot="1" x14ac:dyDescent="0.35">
      <c r="A177" s="24"/>
      <c r="B177" s="25"/>
      <c r="C177" s="25"/>
      <c r="D177" s="25"/>
      <c r="E177" s="25"/>
      <c r="F177" s="25"/>
      <c r="G177" s="25"/>
      <c r="H177" s="25"/>
      <c r="I177" s="25"/>
      <c r="J177" s="25"/>
      <c r="K177" s="25"/>
      <c r="L177" s="25"/>
      <c r="M177" s="25"/>
      <c r="N177" s="25"/>
      <c r="O177" s="25"/>
      <c r="P177" s="25"/>
      <c r="Q177" s="25"/>
      <c r="R177" s="25"/>
      <c r="S177" s="25"/>
      <c r="T177" s="25"/>
      <c r="U177" s="25"/>
      <c r="V177" s="61"/>
      <c r="W177" s="25"/>
      <c r="X177" s="5"/>
    </row>
    <row r="178" spans="1:24" ht="15.6" x14ac:dyDescent="0.3">
      <c r="A178" s="2"/>
      <c r="B178" s="4"/>
      <c r="C178" s="4"/>
      <c r="D178" s="4"/>
      <c r="E178" s="4"/>
      <c r="F178" s="4"/>
      <c r="G178" s="4"/>
      <c r="H178" s="4"/>
      <c r="I178" s="4"/>
      <c r="J178" s="4"/>
      <c r="K178" s="4"/>
      <c r="L178" s="4"/>
      <c r="M178" s="4"/>
      <c r="N178" s="4"/>
      <c r="O178" s="4"/>
      <c r="P178" s="4"/>
      <c r="Q178" s="4"/>
      <c r="R178" s="4"/>
      <c r="S178" s="4"/>
      <c r="T178" s="4"/>
      <c r="U178" s="4"/>
      <c r="V178" s="50"/>
      <c r="W178" s="4"/>
      <c r="X178" s="5"/>
    </row>
    <row r="179" spans="1:24" ht="15.6" x14ac:dyDescent="0.3">
      <c r="A179" s="6"/>
      <c r="B179" s="119" t="s">
        <v>59</v>
      </c>
      <c r="C179" s="117"/>
      <c r="D179" s="117"/>
      <c r="E179" s="117"/>
      <c r="F179" s="117"/>
      <c r="G179" s="117"/>
      <c r="H179" s="120"/>
      <c r="I179" s="120"/>
      <c r="J179" s="120"/>
      <c r="K179" s="120"/>
      <c r="L179" s="120"/>
      <c r="M179" s="120"/>
      <c r="N179" s="120"/>
      <c r="O179" s="120"/>
      <c r="P179" s="120"/>
      <c r="Q179" s="120"/>
      <c r="R179" s="120"/>
      <c r="S179" s="120" t="s">
        <v>102</v>
      </c>
      <c r="T179" s="120" t="s">
        <v>179</v>
      </c>
      <c r="U179" s="111"/>
      <c r="V179" s="121" t="s">
        <v>117</v>
      </c>
      <c r="W179" s="10"/>
      <c r="X179" s="5"/>
    </row>
    <row r="180" spans="1:24" ht="15.6" x14ac:dyDescent="0.3">
      <c r="A180" s="24"/>
      <c r="B180" s="25" t="s">
        <v>60</v>
      </c>
      <c r="C180" s="25"/>
      <c r="D180" s="25"/>
      <c r="E180" s="25"/>
      <c r="F180" s="25"/>
      <c r="G180" s="25"/>
      <c r="H180" s="25"/>
      <c r="I180" s="25"/>
      <c r="J180" s="25"/>
      <c r="K180" s="25"/>
      <c r="L180" s="25"/>
      <c r="M180" s="25"/>
      <c r="N180" s="25"/>
      <c r="O180" s="25"/>
      <c r="P180" s="25"/>
      <c r="Q180" s="25"/>
      <c r="R180" s="25"/>
      <c r="S180" s="53">
        <f>+V34*0.16</f>
        <v>240030.4</v>
      </c>
      <c r="T180" s="40"/>
      <c r="U180" s="25"/>
      <c r="V180" s="53"/>
      <c r="W180" s="25"/>
      <c r="X180" s="5"/>
    </row>
    <row r="181" spans="1:24" ht="15.6" x14ac:dyDescent="0.3">
      <c r="A181" s="24"/>
      <c r="B181" s="25" t="s">
        <v>61</v>
      </c>
      <c r="C181" s="25"/>
      <c r="D181" s="25"/>
      <c r="E181" s="25"/>
      <c r="F181" s="25"/>
      <c r="G181" s="25"/>
      <c r="H181" s="25"/>
      <c r="I181" s="25"/>
      <c r="J181" s="25"/>
      <c r="K181" s="25"/>
      <c r="L181" s="25"/>
      <c r="M181" s="25"/>
      <c r="N181" s="25"/>
      <c r="O181" s="25"/>
      <c r="P181" s="25"/>
      <c r="Q181" s="25"/>
      <c r="R181" s="25"/>
      <c r="S181" s="53">
        <f>+'March 08'!S183</f>
        <v>31823</v>
      </c>
      <c r="T181" s="53">
        <f>+'March 08'!T183</f>
        <v>7622</v>
      </c>
      <c r="U181" s="25"/>
      <c r="V181" s="53">
        <f>S181+T181</f>
        <v>39445</v>
      </c>
      <c r="W181" s="25"/>
      <c r="X181" s="5"/>
    </row>
    <row r="182" spans="1:24" ht="15.6" x14ac:dyDescent="0.3">
      <c r="A182" s="24"/>
      <c r="B182" s="25" t="s">
        <v>62</v>
      </c>
      <c r="C182" s="25"/>
      <c r="D182" s="25"/>
      <c r="E182" s="25"/>
      <c r="F182" s="25"/>
      <c r="G182" s="25"/>
      <c r="H182" s="25"/>
      <c r="I182" s="25"/>
      <c r="J182" s="25"/>
      <c r="K182" s="25"/>
      <c r="L182" s="25"/>
      <c r="M182" s="25"/>
      <c r="N182" s="25"/>
      <c r="O182" s="25"/>
      <c r="P182" s="25"/>
      <c r="Q182" s="25"/>
      <c r="R182" s="25"/>
      <c r="S182" s="34">
        <v>4333</v>
      </c>
      <c r="T182" s="34">
        <v>95</v>
      </c>
      <c r="U182" s="25"/>
      <c r="V182" s="53">
        <f>S182+T182</f>
        <v>4428</v>
      </c>
      <c r="W182" s="25"/>
      <c r="X182" s="5"/>
    </row>
    <row r="183" spans="1:24" ht="15.6" x14ac:dyDescent="0.3">
      <c r="A183" s="24"/>
      <c r="B183" s="25" t="s">
        <v>63</v>
      </c>
      <c r="C183" s="25"/>
      <c r="D183" s="25"/>
      <c r="E183" s="25"/>
      <c r="F183" s="25"/>
      <c r="G183" s="25"/>
      <c r="H183" s="25"/>
      <c r="I183" s="25"/>
      <c r="J183" s="25"/>
      <c r="K183" s="25"/>
      <c r="L183" s="25"/>
      <c r="M183" s="25"/>
      <c r="N183" s="25"/>
      <c r="O183" s="25"/>
      <c r="P183" s="25"/>
      <c r="Q183" s="25"/>
      <c r="R183" s="25"/>
      <c r="S183" s="53">
        <f>S181+S182</f>
        <v>36156</v>
      </c>
      <c r="T183" s="53">
        <f>T182+T181</f>
        <v>7717</v>
      </c>
      <c r="U183" s="25"/>
      <c r="V183" s="53">
        <f>S183+T183</f>
        <v>43873</v>
      </c>
      <c r="W183" s="25"/>
      <c r="X183" s="5"/>
    </row>
    <row r="184" spans="1:24" ht="15.6" x14ac:dyDescent="0.3">
      <c r="A184" s="24"/>
      <c r="B184" s="25" t="s">
        <v>64</v>
      </c>
      <c r="C184" s="25"/>
      <c r="D184" s="25"/>
      <c r="E184" s="25"/>
      <c r="F184" s="25"/>
      <c r="G184" s="25"/>
      <c r="H184" s="25"/>
      <c r="I184" s="25"/>
      <c r="J184" s="25"/>
      <c r="K184" s="25"/>
      <c r="L184" s="25"/>
      <c r="M184" s="25"/>
      <c r="N184" s="25"/>
      <c r="O184" s="25"/>
      <c r="P184" s="25"/>
      <c r="Q184" s="25"/>
      <c r="R184" s="25"/>
      <c r="S184" s="53">
        <f>S180-S183-T183</f>
        <v>196157.4</v>
      </c>
      <c r="T184" s="40"/>
      <c r="U184" s="25"/>
      <c r="V184" s="53"/>
      <c r="W184" s="25"/>
      <c r="X184" s="5"/>
    </row>
    <row r="185" spans="1:24" ht="16.2" thickBot="1" x14ac:dyDescent="0.35">
      <c r="A185" s="24"/>
      <c r="B185" s="25"/>
      <c r="C185" s="25"/>
      <c r="D185" s="25"/>
      <c r="E185" s="25"/>
      <c r="F185" s="25"/>
      <c r="G185" s="25"/>
      <c r="H185" s="25"/>
      <c r="I185" s="25"/>
      <c r="J185" s="25"/>
      <c r="K185" s="25"/>
      <c r="L185" s="25"/>
      <c r="M185" s="25"/>
      <c r="N185" s="25"/>
      <c r="O185" s="25"/>
      <c r="P185" s="25"/>
      <c r="Q185" s="25"/>
      <c r="R185" s="25"/>
      <c r="S185" s="25"/>
      <c r="T185" s="25"/>
      <c r="U185" s="25"/>
      <c r="V185" s="61"/>
      <c r="W185" s="25"/>
      <c r="X185" s="5"/>
    </row>
    <row r="186" spans="1:24" ht="15.6" x14ac:dyDescent="0.3">
      <c r="A186" s="2"/>
      <c r="B186" s="4"/>
      <c r="C186" s="4"/>
      <c r="D186" s="4"/>
      <c r="E186" s="4"/>
      <c r="F186" s="4"/>
      <c r="G186" s="4"/>
      <c r="H186" s="4"/>
      <c r="I186" s="4"/>
      <c r="J186" s="4"/>
      <c r="K186" s="4"/>
      <c r="L186" s="4"/>
      <c r="M186" s="4"/>
      <c r="N186" s="4"/>
      <c r="O186" s="4"/>
      <c r="P186" s="4"/>
      <c r="Q186" s="4"/>
      <c r="R186" s="4"/>
      <c r="S186" s="4"/>
      <c r="T186" s="4"/>
      <c r="U186" s="4"/>
      <c r="V186" s="50"/>
      <c r="W186" s="4"/>
      <c r="X186" s="5"/>
    </row>
    <row r="187" spans="1:24" ht="15.6" x14ac:dyDescent="0.3">
      <c r="A187" s="6"/>
      <c r="B187" s="119" t="s">
        <v>65</v>
      </c>
      <c r="C187" s="8"/>
      <c r="D187" s="8"/>
      <c r="E187" s="8"/>
      <c r="F187" s="8"/>
      <c r="G187" s="8"/>
      <c r="H187" s="8"/>
      <c r="I187" s="8"/>
      <c r="J187" s="8"/>
      <c r="K187" s="8"/>
      <c r="L187" s="8"/>
      <c r="M187" s="8"/>
      <c r="N187" s="8"/>
      <c r="O187" s="8"/>
      <c r="P187" s="8"/>
      <c r="Q187" s="8"/>
      <c r="R187" s="8"/>
      <c r="S187" s="8"/>
      <c r="T187" s="8"/>
      <c r="U187" s="8"/>
      <c r="V187" s="65"/>
      <c r="W187" s="8"/>
      <c r="X187" s="5"/>
    </row>
    <row r="188" spans="1:24" ht="15.6" x14ac:dyDescent="0.3">
      <c r="A188" s="24"/>
      <c r="B188" s="25" t="s">
        <v>66</v>
      </c>
      <c r="C188" s="25"/>
      <c r="D188" s="25"/>
      <c r="E188" s="25"/>
      <c r="F188" s="25"/>
      <c r="G188" s="25"/>
      <c r="H188" s="25"/>
      <c r="I188" s="25"/>
      <c r="J188" s="25"/>
      <c r="K188" s="25"/>
      <c r="L188" s="25"/>
      <c r="M188" s="25"/>
      <c r="N188" s="25"/>
      <c r="O188" s="25"/>
      <c r="P188" s="25"/>
      <c r="Q188" s="25"/>
      <c r="R188" s="25"/>
      <c r="S188" s="25"/>
      <c r="T188" s="25"/>
      <c r="U188" s="25"/>
      <c r="V188" s="59">
        <f>(V101+V103+V104+V105+V106)/-(V107+V108)</f>
        <v>1.4179424554714959</v>
      </c>
      <c r="W188" s="25" t="s">
        <v>118</v>
      </c>
      <c r="X188" s="5"/>
    </row>
    <row r="189" spans="1:24" ht="15.6" x14ac:dyDescent="0.3">
      <c r="A189" s="24"/>
      <c r="B189" s="25" t="s">
        <v>67</v>
      </c>
      <c r="C189" s="25"/>
      <c r="D189" s="25"/>
      <c r="E189" s="25"/>
      <c r="F189" s="25"/>
      <c r="G189" s="25"/>
      <c r="H189" s="25"/>
      <c r="I189" s="25"/>
      <c r="J189" s="25"/>
      <c r="K189" s="25"/>
      <c r="L189" s="25"/>
      <c r="M189" s="25"/>
      <c r="N189" s="25"/>
      <c r="O189" s="25"/>
      <c r="P189" s="25"/>
      <c r="Q189" s="25"/>
      <c r="R189" s="25"/>
      <c r="S189" s="25"/>
      <c r="T189" s="25"/>
      <c r="U189" s="25"/>
      <c r="V189" s="66">
        <v>1.37</v>
      </c>
      <c r="W189" s="25" t="s">
        <v>118</v>
      </c>
      <c r="X189" s="5"/>
    </row>
    <row r="190" spans="1:24" ht="15.6" x14ac:dyDescent="0.3">
      <c r="A190" s="24"/>
      <c r="B190" s="25" t="s">
        <v>68</v>
      </c>
      <c r="C190" s="25"/>
      <c r="D190" s="25"/>
      <c r="E190" s="25"/>
      <c r="F190" s="25"/>
      <c r="G190" s="25"/>
      <c r="H190" s="25"/>
      <c r="I190" s="25"/>
      <c r="J190" s="25"/>
      <c r="K190" s="25"/>
      <c r="L190" s="25"/>
      <c r="M190" s="25"/>
      <c r="N190" s="25"/>
      <c r="O190" s="25"/>
      <c r="P190" s="25"/>
      <c r="Q190" s="25"/>
      <c r="R190" s="25"/>
      <c r="S190" s="25"/>
      <c r="T190" s="25"/>
      <c r="U190" s="25"/>
      <c r="V190" s="59">
        <f>(V101+V103+V104+V105+V106+V107+V108)/-(V110+V111)</f>
        <v>4.0814426992437465</v>
      </c>
      <c r="W190" s="25" t="s">
        <v>118</v>
      </c>
      <c r="X190" s="5"/>
    </row>
    <row r="191" spans="1:24" ht="15.6" x14ac:dyDescent="0.3">
      <c r="A191" s="24"/>
      <c r="B191" s="25" t="s">
        <v>69</v>
      </c>
      <c r="C191" s="25"/>
      <c r="D191" s="25"/>
      <c r="E191" s="25"/>
      <c r="F191" s="25"/>
      <c r="G191" s="25"/>
      <c r="H191" s="25"/>
      <c r="I191" s="25"/>
      <c r="J191" s="25"/>
      <c r="K191" s="25"/>
      <c r="L191" s="25"/>
      <c r="M191" s="25"/>
      <c r="N191" s="25"/>
      <c r="O191" s="25"/>
      <c r="P191" s="25"/>
      <c r="Q191" s="25"/>
      <c r="R191" s="25"/>
      <c r="S191" s="25"/>
      <c r="T191" s="25"/>
      <c r="U191" s="25"/>
      <c r="V191" s="66">
        <v>3.95</v>
      </c>
      <c r="W191" s="25" t="s">
        <v>118</v>
      </c>
      <c r="X191" s="5"/>
    </row>
    <row r="192" spans="1:24" ht="15.6" x14ac:dyDescent="0.3">
      <c r="A192" s="24"/>
      <c r="B192" s="25" t="s">
        <v>201</v>
      </c>
      <c r="C192" s="25"/>
      <c r="D192" s="25"/>
      <c r="E192" s="25"/>
      <c r="F192" s="25"/>
      <c r="G192" s="25"/>
      <c r="H192" s="25"/>
      <c r="I192" s="25"/>
      <c r="J192" s="25"/>
      <c r="K192" s="25"/>
      <c r="L192" s="25"/>
      <c r="M192" s="25"/>
      <c r="N192" s="25"/>
      <c r="O192" s="25"/>
      <c r="P192" s="25"/>
      <c r="Q192" s="25"/>
      <c r="R192" s="25"/>
      <c r="S192" s="25"/>
      <c r="T192" s="25"/>
      <c r="U192" s="25"/>
      <c r="V192" s="59">
        <f>(V101+V103+V104+V105+V106+V107+V108+V110+V111)/-(V112+V113)</f>
        <v>4.9690431519699816</v>
      </c>
      <c r="W192" s="25" t="s">
        <v>118</v>
      </c>
      <c r="X192" s="5"/>
    </row>
    <row r="193" spans="1:24" ht="15.6" x14ac:dyDescent="0.3">
      <c r="A193" s="24"/>
      <c r="B193" s="25" t="s">
        <v>202</v>
      </c>
      <c r="C193" s="25"/>
      <c r="D193" s="25"/>
      <c r="E193" s="25"/>
      <c r="F193" s="25"/>
      <c r="G193" s="25"/>
      <c r="H193" s="25"/>
      <c r="I193" s="25"/>
      <c r="J193" s="25"/>
      <c r="K193" s="25"/>
      <c r="L193" s="25"/>
      <c r="M193" s="25"/>
      <c r="N193" s="25"/>
      <c r="O193" s="25"/>
      <c r="P193" s="25"/>
      <c r="Q193" s="25"/>
      <c r="R193" s="25"/>
      <c r="S193" s="25"/>
      <c r="T193" s="25"/>
      <c r="U193" s="25"/>
      <c r="V193" s="66">
        <v>4.76</v>
      </c>
      <c r="W193" s="25" t="s">
        <v>118</v>
      </c>
      <c r="X193" s="5"/>
    </row>
    <row r="194" spans="1:24" ht="15.6" x14ac:dyDescent="0.3">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5"/>
    </row>
    <row r="195" spans="1:24" ht="15.6" x14ac:dyDescent="0.3">
      <c r="A195" s="24"/>
      <c r="B195" s="25"/>
      <c r="C195" s="25"/>
      <c r="D195" s="25"/>
      <c r="E195" s="25"/>
      <c r="F195" s="25"/>
      <c r="G195" s="25"/>
      <c r="H195" s="25"/>
      <c r="I195" s="25"/>
      <c r="J195" s="25"/>
      <c r="K195" s="25"/>
      <c r="L195" s="25"/>
      <c r="M195" s="25"/>
      <c r="N195" s="25"/>
      <c r="O195" s="25"/>
      <c r="P195" s="25"/>
      <c r="Q195" s="25"/>
      <c r="R195" s="25"/>
      <c r="S195" s="25"/>
      <c r="T195" s="25"/>
      <c r="U195" s="25"/>
      <c r="V195" s="25"/>
      <c r="W195" s="25"/>
      <c r="X195" s="5"/>
    </row>
    <row r="196" spans="1:24" ht="15.6" x14ac:dyDescent="0.3">
      <c r="A196" s="6"/>
      <c r="B196" s="8"/>
      <c r="C196" s="8"/>
      <c r="D196" s="8"/>
      <c r="E196" s="8"/>
      <c r="F196" s="8"/>
      <c r="G196" s="8"/>
      <c r="H196" s="8"/>
      <c r="I196" s="8"/>
      <c r="J196" s="8"/>
      <c r="K196" s="8"/>
      <c r="L196" s="8"/>
      <c r="M196" s="8"/>
      <c r="N196" s="8"/>
      <c r="O196" s="8"/>
      <c r="P196" s="8"/>
      <c r="Q196" s="8"/>
      <c r="R196" s="8"/>
      <c r="S196" s="8"/>
      <c r="T196" s="8"/>
      <c r="U196" s="8"/>
      <c r="V196" s="8"/>
      <c r="W196" s="8"/>
      <c r="X196" s="5"/>
    </row>
    <row r="197" spans="1:24" ht="18" thickBot="1" x14ac:dyDescent="0.35">
      <c r="A197" s="101"/>
      <c r="B197" s="102" t="str">
        <f>B138</f>
        <v>PM13 INVESTOR REPORT QUARTER ENDING JUNE 2008</v>
      </c>
      <c r="C197" s="165"/>
      <c r="D197" s="165"/>
      <c r="E197" s="165"/>
      <c r="F197" s="165"/>
      <c r="G197" s="165"/>
      <c r="H197" s="165"/>
      <c r="I197" s="165"/>
      <c r="J197" s="165"/>
      <c r="K197" s="165"/>
      <c r="L197" s="165"/>
      <c r="M197" s="165"/>
      <c r="N197" s="165"/>
      <c r="O197" s="165"/>
      <c r="P197" s="165"/>
      <c r="Q197" s="165"/>
      <c r="R197" s="165"/>
      <c r="S197" s="165"/>
      <c r="T197" s="165"/>
      <c r="U197" s="165"/>
      <c r="V197" s="165"/>
      <c r="W197" s="166"/>
      <c r="X197" s="5"/>
    </row>
    <row r="198" spans="1:24" ht="15.6" x14ac:dyDescent="0.3">
      <c r="A198" s="67"/>
      <c r="B198" s="60" t="s">
        <v>70</v>
      </c>
      <c r="C198" s="68"/>
      <c r="D198" s="68"/>
      <c r="E198" s="68"/>
      <c r="F198" s="68"/>
      <c r="G198" s="69"/>
      <c r="H198" s="69"/>
      <c r="I198" s="69"/>
      <c r="J198" s="69"/>
      <c r="K198" s="69"/>
      <c r="L198" s="69"/>
      <c r="M198" s="69"/>
      <c r="N198" s="69"/>
      <c r="O198" s="69"/>
      <c r="P198" s="69"/>
      <c r="Q198" s="69"/>
      <c r="R198" s="69"/>
      <c r="S198" s="69"/>
      <c r="T198" s="70">
        <v>39629</v>
      </c>
      <c r="U198" s="4"/>
      <c r="V198" s="4"/>
      <c r="W198" s="4"/>
      <c r="X198" s="5"/>
    </row>
    <row r="199" spans="1:24" ht="15.6" x14ac:dyDescent="0.3">
      <c r="A199" s="71"/>
      <c r="B199" s="72"/>
      <c r="C199" s="73"/>
      <c r="D199" s="73"/>
      <c r="E199" s="73"/>
      <c r="F199" s="73"/>
      <c r="G199" s="74"/>
      <c r="H199" s="74"/>
      <c r="I199" s="74"/>
      <c r="J199" s="74"/>
      <c r="K199" s="74"/>
      <c r="L199" s="74"/>
      <c r="M199" s="74"/>
      <c r="N199" s="74"/>
      <c r="O199" s="74"/>
      <c r="P199" s="74"/>
      <c r="Q199" s="74"/>
      <c r="R199" s="74"/>
      <c r="S199" s="74"/>
      <c r="T199" s="74"/>
      <c r="U199" s="8"/>
      <c r="V199" s="8"/>
      <c r="W199" s="8"/>
      <c r="X199" s="5"/>
    </row>
    <row r="200" spans="1:24" ht="15.6" x14ac:dyDescent="0.3">
      <c r="A200" s="75"/>
      <c r="B200" s="76" t="s">
        <v>71</v>
      </c>
      <c r="C200" s="77"/>
      <c r="D200" s="77"/>
      <c r="E200" s="77"/>
      <c r="F200" s="77"/>
      <c r="G200" s="64"/>
      <c r="H200" s="64"/>
      <c r="I200" s="64"/>
      <c r="J200" s="64"/>
      <c r="K200" s="64"/>
      <c r="L200" s="64"/>
      <c r="M200" s="64"/>
      <c r="N200" s="64"/>
      <c r="O200" s="64"/>
      <c r="P200" s="64"/>
      <c r="Q200" s="64"/>
      <c r="R200" s="64"/>
      <c r="S200" s="64"/>
      <c r="T200" s="78">
        <v>5.4539999999999998E-2</v>
      </c>
      <c r="U200" s="25"/>
      <c r="V200" s="25"/>
      <c r="W200" s="25"/>
      <c r="X200" s="5"/>
    </row>
    <row r="201" spans="1:24" ht="15.6" x14ac:dyDescent="0.3">
      <c r="A201" s="75"/>
      <c r="B201" s="76" t="s">
        <v>154</v>
      </c>
      <c r="C201" s="77"/>
      <c r="D201" s="77"/>
      <c r="E201" s="77"/>
      <c r="F201" s="77"/>
      <c r="G201" s="64"/>
      <c r="H201" s="64"/>
      <c r="I201" s="64"/>
      <c r="J201" s="64"/>
      <c r="K201" s="64"/>
      <c r="L201" s="64"/>
      <c r="M201" s="64"/>
      <c r="N201" s="64"/>
      <c r="O201" s="64"/>
      <c r="P201" s="64"/>
      <c r="Q201" s="64"/>
      <c r="R201" s="64"/>
      <c r="S201" s="64"/>
      <c r="T201" s="39">
        <f>'Dec 06'!T199</f>
        <v>5.238600504269459E-2</v>
      </c>
      <c r="U201" s="25"/>
      <c r="V201" s="25"/>
      <c r="W201" s="25"/>
      <c r="X201" s="5"/>
    </row>
    <row r="202" spans="1:24" ht="15.6" x14ac:dyDescent="0.3">
      <c r="A202" s="75"/>
      <c r="B202" s="76" t="s">
        <v>72</v>
      </c>
      <c r="C202" s="77"/>
      <c r="D202" s="77"/>
      <c r="E202" s="77"/>
      <c r="F202" s="77"/>
      <c r="G202" s="64"/>
      <c r="H202" s="64"/>
      <c r="I202" s="64"/>
      <c r="J202" s="64"/>
      <c r="K202" s="64"/>
      <c r="L202" s="64"/>
      <c r="M202" s="64"/>
      <c r="N202" s="64"/>
      <c r="O202" s="64"/>
      <c r="P202" s="64"/>
      <c r="Q202" s="64"/>
      <c r="R202" s="64"/>
      <c r="S202" s="64"/>
      <c r="T202" s="78">
        <f>+T200-T201</f>
        <v>2.1539949573054079E-3</v>
      </c>
      <c r="U202" s="25"/>
      <c r="V202" s="25"/>
      <c r="W202" s="25"/>
      <c r="X202" s="5"/>
    </row>
    <row r="203" spans="1:24" ht="15.6" x14ac:dyDescent="0.3">
      <c r="A203" s="75"/>
      <c r="B203" s="76" t="s">
        <v>73</v>
      </c>
      <c r="C203" s="77"/>
      <c r="D203" s="77"/>
      <c r="E203" s="77"/>
      <c r="F203" s="77"/>
      <c r="G203" s="64"/>
      <c r="H203" s="64"/>
      <c r="I203" s="64"/>
      <c r="J203" s="64"/>
      <c r="K203" s="64"/>
      <c r="L203" s="64"/>
      <c r="M203" s="64"/>
      <c r="N203" s="64"/>
      <c r="O203" s="64"/>
      <c r="P203" s="64"/>
      <c r="Q203" s="64"/>
      <c r="R203" s="64"/>
      <c r="S203" s="64"/>
      <c r="T203" s="78">
        <v>5.8340000000000003E-2</v>
      </c>
      <c r="U203" s="25"/>
      <c r="V203" s="25"/>
      <c r="W203" s="25"/>
      <c r="X203" s="5"/>
    </row>
    <row r="204" spans="1:24" ht="15.6" x14ac:dyDescent="0.3">
      <c r="A204" s="75"/>
      <c r="B204" s="76" t="s">
        <v>222</v>
      </c>
      <c r="C204" s="77"/>
      <c r="D204" s="77"/>
      <c r="E204" s="77"/>
      <c r="F204" s="77"/>
      <c r="G204" s="64"/>
      <c r="H204" s="64"/>
      <c r="I204" s="64"/>
      <c r="J204" s="64"/>
      <c r="K204" s="64"/>
      <c r="L204" s="64"/>
      <c r="M204" s="64"/>
      <c r="N204" s="64"/>
      <c r="O204" s="64"/>
      <c r="P204" s="64"/>
      <c r="Q204" s="64"/>
      <c r="R204" s="64"/>
      <c r="S204" s="64"/>
      <c r="T204" s="78">
        <f>V43</f>
        <v>6.0334768322408881E-2</v>
      </c>
      <c r="U204" s="25"/>
      <c r="V204" s="25"/>
      <c r="W204" s="25"/>
      <c r="X204" s="5"/>
    </row>
    <row r="205" spans="1:24" ht="15.6" x14ac:dyDescent="0.3">
      <c r="A205" s="75"/>
      <c r="B205" s="76" t="s">
        <v>74</v>
      </c>
      <c r="C205" s="77"/>
      <c r="D205" s="77"/>
      <c r="E205" s="77"/>
      <c r="F205" s="77"/>
      <c r="G205" s="64"/>
      <c r="H205" s="64"/>
      <c r="I205" s="64"/>
      <c r="J205" s="64"/>
      <c r="K205" s="64"/>
      <c r="L205" s="64"/>
      <c r="M205" s="64"/>
      <c r="N205" s="64"/>
      <c r="O205" s="64"/>
      <c r="P205" s="64"/>
      <c r="Q205" s="64"/>
      <c r="R205" s="64"/>
      <c r="S205" s="64"/>
      <c r="T205" s="78">
        <f>T203-T204</f>
        <v>-1.9947683224088783E-3</v>
      </c>
      <c r="U205" s="25"/>
      <c r="V205" s="25"/>
      <c r="W205" s="25"/>
      <c r="X205" s="5"/>
    </row>
    <row r="206" spans="1:24" ht="15.6" x14ac:dyDescent="0.3">
      <c r="A206" s="75"/>
      <c r="B206" s="76" t="s">
        <v>274</v>
      </c>
      <c r="C206" s="77"/>
      <c r="D206" s="77"/>
      <c r="E206" s="77"/>
      <c r="F206" s="77"/>
      <c r="G206" s="64"/>
      <c r="H206" s="64"/>
      <c r="I206" s="64"/>
      <c r="J206" s="64"/>
      <c r="K206" s="64"/>
      <c r="L206" s="64"/>
      <c r="M206" s="64"/>
      <c r="N206" s="64"/>
      <c r="O206" s="64"/>
      <c r="P206" s="64"/>
      <c r="Q206" s="64"/>
      <c r="R206" s="64"/>
      <c r="S206" s="64"/>
      <c r="T206" s="78">
        <f>+V101/N72</f>
        <v>1.872529067086405E-2</v>
      </c>
      <c r="U206" s="25"/>
      <c r="V206" s="25"/>
      <c r="W206" s="25"/>
      <c r="X206" s="5"/>
    </row>
    <row r="207" spans="1:24" ht="15.6" x14ac:dyDescent="0.3">
      <c r="A207" s="75"/>
      <c r="B207" s="76" t="s">
        <v>211</v>
      </c>
      <c r="C207" s="77"/>
      <c r="D207" s="77"/>
      <c r="E207" s="77"/>
      <c r="F207" s="77"/>
      <c r="G207" s="64"/>
      <c r="H207" s="64"/>
      <c r="I207" s="64"/>
      <c r="J207" s="64"/>
      <c r="K207" s="64"/>
      <c r="L207" s="64"/>
      <c r="M207" s="64"/>
      <c r="N207" s="64"/>
      <c r="O207" s="64"/>
      <c r="P207" s="64"/>
      <c r="Q207" s="64"/>
      <c r="R207" s="64"/>
      <c r="S207" s="64"/>
      <c r="T207" s="129">
        <v>50771</v>
      </c>
      <c r="U207" s="25"/>
      <c r="V207" s="25"/>
      <c r="W207" s="25"/>
      <c r="X207" s="5"/>
    </row>
    <row r="208" spans="1:24" ht="15.6" x14ac:dyDescent="0.3">
      <c r="A208" s="75"/>
      <c r="B208" s="76" t="s">
        <v>212</v>
      </c>
      <c r="C208" s="77"/>
      <c r="D208" s="77"/>
      <c r="E208" s="77"/>
      <c r="F208" s="77"/>
      <c r="G208" s="64"/>
      <c r="H208" s="64"/>
      <c r="I208" s="64"/>
      <c r="J208" s="64"/>
      <c r="K208" s="64"/>
      <c r="L208" s="64"/>
      <c r="M208" s="64"/>
      <c r="N208" s="64"/>
      <c r="O208" s="64"/>
      <c r="P208" s="64"/>
      <c r="Q208" s="64"/>
      <c r="R208" s="64"/>
      <c r="S208" s="64"/>
      <c r="T208" s="129">
        <v>50771</v>
      </c>
      <c r="U208" s="25"/>
      <c r="V208" s="25"/>
      <c r="W208" s="25"/>
      <c r="X208" s="5"/>
    </row>
    <row r="209" spans="1:24" ht="15.6" x14ac:dyDescent="0.3">
      <c r="A209" s="75"/>
      <c r="B209" s="76" t="s">
        <v>213</v>
      </c>
      <c r="C209" s="77"/>
      <c r="D209" s="77"/>
      <c r="E209" s="77"/>
      <c r="F209" s="77"/>
      <c r="G209" s="64"/>
      <c r="H209" s="64"/>
      <c r="I209" s="64"/>
      <c r="J209" s="64"/>
      <c r="K209" s="64"/>
      <c r="L209" s="64"/>
      <c r="M209" s="64"/>
      <c r="N209" s="64"/>
      <c r="O209" s="64"/>
      <c r="P209" s="64"/>
      <c r="Q209" s="64"/>
      <c r="R209" s="64"/>
      <c r="S209" s="64"/>
      <c r="T209" s="129">
        <v>50771</v>
      </c>
      <c r="U209" s="25"/>
      <c r="V209" s="25"/>
      <c r="W209" s="25"/>
      <c r="X209" s="5"/>
    </row>
    <row r="210" spans="1:24" ht="15.6" x14ac:dyDescent="0.3">
      <c r="A210" s="75"/>
      <c r="B210" s="76" t="s">
        <v>75</v>
      </c>
      <c r="C210" s="77"/>
      <c r="D210" s="77"/>
      <c r="E210" s="77"/>
      <c r="F210" s="77"/>
      <c r="G210" s="64"/>
      <c r="H210" s="64"/>
      <c r="I210" s="64"/>
      <c r="J210" s="64"/>
      <c r="K210" s="64"/>
      <c r="L210" s="64"/>
      <c r="M210" s="64"/>
      <c r="N210" s="64"/>
      <c r="O210" s="64"/>
      <c r="P210" s="64"/>
      <c r="Q210" s="64"/>
      <c r="R210" s="64"/>
      <c r="S210" s="64"/>
      <c r="T210" s="133">
        <v>20.66</v>
      </c>
      <c r="U210" s="25" t="s">
        <v>113</v>
      </c>
      <c r="V210" s="25"/>
      <c r="W210" s="25"/>
      <c r="X210" s="5"/>
    </row>
    <row r="211" spans="1:24" ht="15.6" x14ac:dyDescent="0.3">
      <c r="A211" s="75"/>
      <c r="B211" s="76" t="s">
        <v>76</v>
      </c>
      <c r="C211" s="77"/>
      <c r="D211" s="77"/>
      <c r="E211" s="77"/>
      <c r="F211" s="77"/>
      <c r="G211" s="64"/>
      <c r="H211" s="64"/>
      <c r="I211" s="64"/>
      <c r="J211" s="64"/>
      <c r="K211" s="64"/>
      <c r="L211" s="64"/>
      <c r="M211" s="64"/>
      <c r="N211" s="64"/>
      <c r="O211" s="64"/>
      <c r="P211" s="64"/>
      <c r="Q211" s="64"/>
      <c r="R211" s="64"/>
      <c r="S211" s="64"/>
      <c r="T211" s="133">
        <v>19.25</v>
      </c>
      <c r="U211" s="25" t="s">
        <v>113</v>
      </c>
      <c r="V211" s="25"/>
      <c r="W211" s="25"/>
      <c r="X211" s="5"/>
    </row>
    <row r="212" spans="1:24" ht="15.6" x14ac:dyDescent="0.3">
      <c r="A212" s="75"/>
      <c r="B212" s="76" t="s">
        <v>77</v>
      </c>
      <c r="C212" s="77"/>
      <c r="D212" s="77"/>
      <c r="E212" s="77"/>
      <c r="F212" s="77"/>
      <c r="G212" s="64"/>
      <c r="H212" s="64"/>
      <c r="I212" s="64"/>
      <c r="J212" s="64"/>
      <c r="K212" s="64"/>
      <c r="L212" s="64"/>
      <c r="M212" s="64"/>
      <c r="N212" s="64"/>
      <c r="O212" s="64"/>
      <c r="P212" s="64"/>
      <c r="Q212" s="64"/>
      <c r="R212" s="64"/>
      <c r="S212" s="64"/>
      <c r="T212" s="78">
        <f>+P69/N69</f>
        <v>5.2657386513855667E-2</v>
      </c>
      <c r="U212" s="25"/>
      <c r="V212" s="25"/>
      <c r="W212" s="25"/>
      <c r="X212" s="5"/>
    </row>
    <row r="213" spans="1:24" ht="15.6" x14ac:dyDescent="0.3">
      <c r="A213" s="75"/>
      <c r="B213" s="76" t="s">
        <v>78</v>
      </c>
      <c r="C213" s="77"/>
      <c r="D213" s="77"/>
      <c r="E213" s="77"/>
      <c r="F213" s="77"/>
      <c r="G213" s="64"/>
      <c r="H213" s="64"/>
      <c r="I213" s="64"/>
      <c r="J213" s="64"/>
      <c r="K213" s="64"/>
      <c r="L213" s="64"/>
      <c r="M213" s="64"/>
      <c r="N213" s="64"/>
      <c r="O213" s="64"/>
      <c r="P213" s="64"/>
      <c r="Q213" s="64"/>
      <c r="R213" s="64"/>
      <c r="S213" s="64"/>
      <c r="T213" s="78">
        <v>0.12970000000000001</v>
      </c>
      <c r="U213" s="25"/>
      <c r="V213" s="25"/>
      <c r="W213" s="25"/>
      <c r="X213" s="5"/>
    </row>
    <row r="214" spans="1:24" ht="15.6" x14ac:dyDescent="0.3">
      <c r="A214" s="75"/>
      <c r="B214" s="76"/>
      <c r="C214" s="76"/>
      <c r="D214" s="76"/>
      <c r="E214" s="76"/>
      <c r="F214" s="76"/>
      <c r="G214" s="25"/>
      <c r="H214" s="25"/>
      <c r="I214" s="25"/>
      <c r="J214" s="25"/>
      <c r="K214" s="25"/>
      <c r="L214" s="25"/>
      <c r="M214" s="25"/>
      <c r="N214" s="25"/>
      <c r="O214" s="25"/>
      <c r="P214" s="25"/>
      <c r="Q214" s="25"/>
      <c r="R214" s="25"/>
      <c r="S214" s="25"/>
      <c r="T214" s="61"/>
      <c r="U214" s="25"/>
      <c r="V214" s="79"/>
      <c r="W214" s="25"/>
      <c r="X214" s="5"/>
    </row>
    <row r="215" spans="1:24" ht="15.6" x14ac:dyDescent="0.3">
      <c r="A215" s="80"/>
      <c r="B215" s="14" t="s">
        <v>79</v>
      </c>
      <c r="C215" s="81"/>
      <c r="D215" s="81"/>
      <c r="E215" s="81"/>
      <c r="F215" s="82"/>
      <c r="G215" s="81"/>
      <c r="H215" s="17"/>
      <c r="I215" s="17"/>
      <c r="J215" s="17"/>
      <c r="K215" s="17"/>
      <c r="L215" s="17"/>
      <c r="M215" s="17"/>
      <c r="N215" s="17"/>
      <c r="O215" s="17"/>
      <c r="P215" s="17"/>
      <c r="Q215" s="17"/>
      <c r="R215" s="17"/>
      <c r="S215" s="17" t="s">
        <v>103</v>
      </c>
      <c r="T215" s="83" t="s">
        <v>110</v>
      </c>
      <c r="U215" s="8"/>
      <c r="V215" s="8"/>
      <c r="W215" s="8"/>
      <c r="X215" s="5"/>
    </row>
    <row r="216" spans="1:24" ht="15.6" x14ac:dyDescent="0.3">
      <c r="A216" s="84"/>
      <c r="B216" s="76" t="s">
        <v>80</v>
      </c>
      <c r="C216" s="54"/>
      <c r="D216" s="54"/>
      <c r="E216" s="54"/>
      <c r="F216" s="25"/>
      <c r="G216" s="25"/>
      <c r="H216" s="30"/>
      <c r="I216" s="30"/>
      <c r="J216" s="30"/>
      <c r="K216" s="30"/>
      <c r="L216" s="30"/>
      <c r="M216" s="30"/>
      <c r="N216" s="30"/>
      <c r="O216" s="30"/>
      <c r="P216" s="30"/>
      <c r="Q216" s="30"/>
      <c r="R216" s="30"/>
      <c r="S216" s="30">
        <v>0</v>
      </c>
      <c r="T216" s="85">
        <v>0</v>
      </c>
      <c r="U216" s="25"/>
      <c r="V216" s="79"/>
      <c r="W216" s="86"/>
      <c r="X216" s="5"/>
    </row>
    <row r="217" spans="1:24" ht="15.6" x14ac:dyDescent="0.3">
      <c r="A217" s="84"/>
      <c r="B217" s="76" t="s">
        <v>148</v>
      </c>
      <c r="C217" s="54"/>
      <c r="D217" s="54"/>
      <c r="E217" s="54"/>
      <c r="F217" s="25"/>
      <c r="G217" s="25"/>
      <c r="H217" s="30"/>
      <c r="I217" s="30"/>
      <c r="J217" s="30"/>
      <c r="K217" s="30"/>
      <c r="L217" s="30"/>
      <c r="M217" s="30"/>
      <c r="N217" s="30"/>
      <c r="O217" s="30"/>
      <c r="P217" s="30"/>
      <c r="Q217" s="30"/>
      <c r="R217" s="30"/>
      <c r="S217" s="152">
        <f>+R257</f>
        <v>48</v>
      </c>
      <c r="T217" s="85">
        <f>+T257</f>
        <v>6515</v>
      </c>
      <c r="U217" s="25"/>
      <c r="V217" s="79"/>
      <c r="W217" s="86"/>
      <c r="X217" s="5"/>
    </row>
    <row r="218" spans="1:24" ht="15.6" x14ac:dyDescent="0.3">
      <c r="A218" s="84"/>
      <c r="B218" s="76" t="s">
        <v>81</v>
      </c>
      <c r="C218" s="54"/>
      <c r="D218" s="54"/>
      <c r="E218" s="54"/>
      <c r="F218" s="25"/>
      <c r="G218" s="25"/>
      <c r="H218" s="30"/>
      <c r="I218" s="30"/>
      <c r="J218" s="30"/>
      <c r="K218" s="30"/>
      <c r="L218" s="30"/>
      <c r="M218" s="30"/>
      <c r="N218" s="30"/>
      <c r="O218" s="30"/>
      <c r="P218" s="30"/>
      <c r="Q218" s="30"/>
      <c r="R218" s="30"/>
      <c r="S218" s="30">
        <v>0</v>
      </c>
      <c r="T218" s="85">
        <v>0</v>
      </c>
      <c r="U218" s="25"/>
      <c r="V218" s="79"/>
      <c r="W218" s="86"/>
      <c r="X218" s="5"/>
    </row>
    <row r="219" spans="1:24" ht="15.6" x14ac:dyDescent="0.3">
      <c r="A219" s="84"/>
      <c r="B219" s="122" t="s">
        <v>82</v>
      </c>
      <c r="C219" s="54"/>
      <c r="D219" s="54"/>
      <c r="E219" s="54"/>
      <c r="F219" s="25"/>
      <c r="G219" s="25"/>
      <c r="H219" s="25"/>
      <c r="I219" s="25"/>
      <c r="J219" s="25"/>
      <c r="K219" s="25"/>
      <c r="L219" s="25"/>
      <c r="M219" s="25"/>
      <c r="N219" s="25"/>
      <c r="O219" s="25"/>
      <c r="P219" s="25"/>
      <c r="Q219" s="25"/>
      <c r="R219" s="25"/>
      <c r="S219" s="25"/>
      <c r="T219" s="85">
        <v>0</v>
      </c>
      <c r="U219" s="25"/>
      <c r="V219" s="79"/>
      <c r="W219" s="86"/>
      <c r="X219" s="5"/>
    </row>
    <row r="220" spans="1:24" ht="15.6" x14ac:dyDescent="0.3">
      <c r="A220" s="84"/>
      <c r="B220" s="122" t="s">
        <v>275</v>
      </c>
      <c r="C220" s="54"/>
      <c r="D220" s="54"/>
      <c r="E220" s="54"/>
      <c r="F220" s="25"/>
      <c r="G220" s="25"/>
      <c r="H220" s="25"/>
      <c r="I220" s="25"/>
      <c r="J220" s="25"/>
      <c r="K220" s="25"/>
      <c r="L220" s="25"/>
      <c r="M220" s="25"/>
      <c r="N220" s="25"/>
      <c r="O220" s="25"/>
      <c r="P220" s="25"/>
      <c r="Q220" s="25"/>
      <c r="R220" s="25"/>
      <c r="S220" s="25"/>
      <c r="T220" s="85">
        <f>+N82</f>
        <v>0</v>
      </c>
      <c r="U220" s="25"/>
      <c r="V220" s="79"/>
      <c r="W220" s="86"/>
      <c r="X220" s="5"/>
    </row>
    <row r="221" spans="1:24" ht="15.6" x14ac:dyDescent="0.3">
      <c r="A221" s="87"/>
      <c r="B221" s="122" t="s">
        <v>83</v>
      </c>
      <c r="C221" s="76"/>
      <c r="D221" s="76"/>
      <c r="E221" s="76"/>
      <c r="F221" s="76"/>
      <c r="G221" s="25"/>
      <c r="H221" s="25"/>
      <c r="I221" s="25"/>
      <c r="J221" s="25"/>
      <c r="K221" s="25"/>
      <c r="L221" s="25"/>
      <c r="M221" s="25"/>
      <c r="N221" s="25"/>
      <c r="O221" s="25"/>
      <c r="P221" s="25"/>
      <c r="Q221" s="25"/>
      <c r="R221" s="25"/>
      <c r="S221" s="25"/>
      <c r="T221" s="85"/>
      <c r="U221" s="25"/>
      <c r="V221" s="79"/>
      <c r="W221" s="88"/>
      <c r="X221" s="5"/>
    </row>
    <row r="222" spans="1:24" ht="15.6" x14ac:dyDescent="0.3">
      <c r="A222" s="87"/>
      <c r="B222" s="131" t="s">
        <v>84</v>
      </c>
      <c r="C222" s="76"/>
      <c r="D222" s="76"/>
      <c r="E222" s="76"/>
      <c r="F222" s="76"/>
      <c r="G222" s="25"/>
      <c r="H222" s="25"/>
      <c r="I222" s="25"/>
      <c r="J222" s="25"/>
      <c r="K222" s="25"/>
      <c r="L222" s="25"/>
      <c r="M222" s="25"/>
      <c r="N222" s="25"/>
      <c r="O222" s="25"/>
      <c r="P222" s="25"/>
      <c r="Q222" s="25"/>
      <c r="R222" s="25"/>
      <c r="S222" s="30"/>
      <c r="T222" s="85">
        <f>V167</f>
        <v>4</v>
      </c>
      <c r="U222" s="25"/>
      <c r="V222" s="79"/>
      <c r="W222" s="88"/>
      <c r="X222" s="5"/>
    </row>
    <row r="223" spans="1:24" ht="15.6" x14ac:dyDescent="0.3">
      <c r="A223" s="84"/>
      <c r="B223" s="76" t="s">
        <v>85</v>
      </c>
      <c r="C223" s="54"/>
      <c r="D223" s="54"/>
      <c r="E223" s="54"/>
      <c r="F223" s="54"/>
      <c r="G223" s="25"/>
      <c r="H223" s="25"/>
      <c r="I223" s="25"/>
      <c r="J223" s="25"/>
      <c r="K223" s="25"/>
      <c r="L223" s="25"/>
      <c r="M223" s="25"/>
      <c r="N223" s="25"/>
      <c r="O223" s="25"/>
      <c r="P223" s="25"/>
      <c r="Q223" s="25"/>
      <c r="R223" s="25"/>
      <c r="S223" s="30"/>
      <c r="T223" s="85">
        <f>'March 08'!T223+T222</f>
        <v>5</v>
      </c>
      <c r="U223" s="25"/>
      <c r="V223" s="79"/>
      <c r="W223" s="88"/>
      <c r="X223" s="5"/>
    </row>
    <row r="224" spans="1:24" ht="15.6" x14ac:dyDescent="0.3">
      <c r="A224" s="87"/>
      <c r="B224" s="122" t="s">
        <v>297</v>
      </c>
      <c r="C224" s="76"/>
      <c r="D224" s="76"/>
      <c r="E224" s="76"/>
      <c r="F224" s="76"/>
      <c r="G224" s="25"/>
      <c r="H224" s="25"/>
      <c r="I224" s="25"/>
      <c r="J224" s="25"/>
      <c r="K224" s="25"/>
      <c r="L224" s="25"/>
      <c r="M224" s="25"/>
      <c r="N224" s="25"/>
      <c r="O224" s="25"/>
      <c r="P224" s="25"/>
      <c r="Q224" s="25"/>
      <c r="R224" s="25"/>
      <c r="S224" s="30"/>
      <c r="T224" s="85"/>
      <c r="U224" s="25"/>
      <c r="V224" s="79"/>
      <c r="W224" s="88"/>
      <c r="X224" s="5"/>
    </row>
    <row r="225" spans="1:25" ht="15.6" x14ac:dyDescent="0.3">
      <c r="A225" s="87"/>
      <c r="B225" s="76" t="s">
        <v>295</v>
      </c>
      <c r="C225" s="76"/>
      <c r="D225" s="76"/>
      <c r="E225" s="76"/>
      <c r="F225" s="76"/>
      <c r="G225" s="25"/>
      <c r="H225" s="25"/>
      <c r="I225" s="25"/>
      <c r="J225" s="25"/>
      <c r="K225" s="25"/>
      <c r="L225" s="25"/>
      <c r="M225" s="25"/>
      <c r="N225" s="25"/>
      <c r="O225" s="25"/>
      <c r="P225" s="25"/>
      <c r="Q225" s="25"/>
      <c r="R225" s="25"/>
      <c r="S225" s="30">
        <v>0</v>
      </c>
      <c r="T225" s="85">
        <v>0</v>
      </c>
      <c r="U225" s="25"/>
      <c r="V225" s="79"/>
      <c r="W225" s="88"/>
      <c r="X225" s="5"/>
    </row>
    <row r="226" spans="1:25" ht="15.6" x14ac:dyDescent="0.3">
      <c r="A226" s="84"/>
      <c r="B226" s="76" t="s">
        <v>87</v>
      </c>
      <c r="C226" s="89"/>
      <c r="D226" s="89"/>
      <c r="E226" s="89"/>
      <c r="F226" s="90"/>
      <c r="G226" s="25"/>
      <c r="H226" s="25"/>
      <c r="I226" s="25"/>
      <c r="J226" s="25"/>
      <c r="K226" s="25"/>
      <c r="L226" s="25"/>
      <c r="M226" s="25"/>
      <c r="N226" s="25"/>
      <c r="O226" s="25"/>
      <c r="P226" s="25"/>
      <c r="Q226" s="25"/>
      <c r="R226" s="25"/>
      <c r="S226" s="25"/>
      <c r="T226" s="62">
        <v>0</v>
      </c>
      <c r="U226" s="25"/>
      <c r="V226" s="79"/>
      <c r="W226" s="88"/>
      <c r="X226" s="5"/>
    </row>
    <row r="227" spans="1:25" ht="15.6" x14ac:dyDescent="0.3">
      <c r="A227" s="84"/>
      <c r="B227" s="76" t="s">
        <v>88</v>
      </c>
      <c r="C227" s="89"/>
      <c r="D227" s="89"/>
      <c r="E227" s="89"/>
      <c r="F227" s="90"/>
      <c r="G227" s="25"/>
      <c r="H227" s="25"/>
      <c r="I227" s="25"/>
      <c r="J227" s="25"/>
      <c r="K227" s="25"/>
      <c r="L227" s="25"/>
      <c r="M227" s="25"/>
      <c r="N227" s="25"/>
      <c r="O227" s="25"/>
      <c r="P227" s="25"/>
      <c r="Q227" s="25"/>
      <c r="R227" s="25"/>
      <c r="S227" s="25"/>
      <c r="T227" s="62">
        <v>0</v>
      </c>
      <c r="U227" s="25"/>
      <c r="V227" s="79"/>
      <c r="W227" s="88"/>
      <c r="X227" s="5"/>
    </row>
    <row r="228" spans="1:25" ht="15.6" x14ac:dyDescent="0.3">
      <c r="A228" s="84"/>
      <c r="B228" s="122" t="s">
        <v>220</v>
      </c>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5.6" x14ac:dyDescent="0.3">
      <c r="A229" s="84"/>
      <c r="B229" s="76" t="s">
        <v>295</v>
      </c>
      <c r="C229" s="89"/>
      <c r="D229" s="89"/>
      <c r="E229" s="89"/>
      <c r="F229" s="90"/>
      <c r="G229" s="25"/>
      <c r="H229" s="25"/>
      <c r="I229" s="25"/>
      <c r="J229" s="25"/>
      <c r="K229" s="25"/>
      <c r="L229" s="25"/>
      <c r="M229" s="25"/>
      <c r="N229" s="25"/>
      <c r="O229" s="25"/>
      <c r="P229" s="25"/>
      <c r="Q229" s="25"/>
      <c r="R229" s="25"/>
      <c r="S229" s="30">
        <v>0</v>
      </c>
      <c r="T229" s="85">
        <v>0</v>
      </c>
      <c r="U229" s="25"/>
      <c r="V229" s="79"/>
      <c r="W229" s="88"/>
      <c r="X229" s="5"/>
    </row>
    <row r="230" spans="1:25" ht="15.6" x14ac:dyDescent="0.3">
      <c r="A230" s="84"/>
      <c r="B230" s="76" t="s">
        <v>221</v>
      </c>
      <c r="C230" s="89"/>
      <c r="D230" s="89"/>
      <c r="E230" s="89"/>
      <c r="F230" s="90"/>
      <c r="G230" s="25"/>
      <c r="H230" s="25"/>
      <c r="I230" s="25"/>
      <c r="J230" s="25"/>
      <c r="K230" s="25"/>
      <c r="L230" s="25"/>
      <c r="M230" s="25"/>
      <c r="N230" s="25"/>
      <c r="O230" s="25"/>
      <c r="P230" s="25"/>
      <c r="Q230" s="25"/>
      <c r="R230" s="25"/>
      <c r="S230" s="25"/>
      <c r="T230" s="62">
        <v>0</v>
      </c>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7.399999999999999" x14ac:dyDescent="0.3">
      <c r="A233" s="84"/>
      <c r="B233" s="149" t="s">
        <v>171</v>
      </c>
      <c r="C233" s="89"/>
      <c r="D233" s="89"/>
      <c r="E233" s="89"/>
      <c r="F233" s="90"/>
      <c r="G233" s="25"/>
      <c r="H233" s="25"/>
      <c r="I233" s="25"/>
      <c r="J233" s="25"/>
      <c r="K233" s="25"/>
      <c r="L233" s="25"/>
      <c r="M233" s="25"/>
      <c r="N233" s="25"/>
      <c r="O233" s="25"/>
      <c r="P233" s="150" t="s">
        <v>170</v>
      </c>
      <c r="Q233" s="25"/>
      <c r="R233" s="25"/>
      <c r="S233" s="25"/>
      <c r="T233" s="91"/>
      <c r="U233" s="25"/>
      <c r="V233" s="79"/>
      <c r="W233" s="88"/>
      <c r="X233" s="5"/>
    </row>
    <row r="234" spans="1:25" ht="15.6" x14ac:dyDescent="0.3">
      <c r="A234" s="84"/>
      <c r="B234" s="76"/>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5" ht="15.6" x14ac:dyDescent="0.3">
      <c r="A235" s="6"/>
      <c r="B235" s="14" t="s">
        <v>165</v>
      </c>
      <c r="C235" s="81"/>
      <c r="D235" s="81"/>
      <c r="E235" s="81"/>
      <c r="F235" s="82"/>
      <c r="G235" s="81"/>
      <c r="H235" s="17"/>
      <c r="I235" s="17"/>
      <c r="J235" s="17"/>
      <c r="K235" s="17"/>
      <c r="L235" s="17"/>
      <c r="M235" s="17"/>
      <c r="N235" s="17"/>
      <c r="O235" s="17"/>
      <c r="P235" s="17"/>
      <c r="Q235" s="17"/>
      <c r="R235" s="83" t="s">
        <v>103</v>
      </c>
      <c r="S235" s="17" t="s">
        <v>104</v>
      </c>
      <c r="T235" s="83" t="s">
        <v>111</v>
      </c>
      <c r="U235" s="17" t="s">
        <v>104</v>
      </c>
      <c r="V235" s="8"/>
      <c r="W235" s="92"/>
      <c r="X235" s="5"/>
    </row>
    <row r="236" spans="1:25" ht="15.6" x14ac:dyDescent="0.3">
      <c r="A236" s="24"/>
      <c r="B236" s="54" t="s">
        <v>89</v>
      </c>
      <c r="C236" s="93"/>
      <c r="D236" s="93"/>
      <c r="E236" s="93"/>
      <c r="F236" s="25"/>
      <c r="G236" s="93"/>
      <c r="H236" s="93"/>
      <c r="I236" s="93"/>
      <c r="J236" s="93"/>
      <c r="K236" s="93"/>
      <c r="L236" s="93"/>
      <c r="M236" s="93"/>
      <c r="N236" s="93"/>
      <c r="O236" s="93"/>
      <c r="P236" s="93"/>
      <c r="Q236" s="93"/>
      <c r="R236" s="54">
        <v>9490</v>
      </c>
      <c r="S236" s="94">
        <f t="shared" ref="S236:S243" si="1">R236/$R$245</f>
        <v>0.98291040911444849</v>
      </c>
      <c r="T236" s="53">
        <v>1212392</v>
      </c>
      <c r="U236" s="132">
        <f t="shared" ref="U236:U243" si="2">T236/$T$245</f>
        <v>0.98390392671474225</v>
      </c>
      <c r="V236" s="79"/>
      <c r="W236" s="88"/>
      <c r="X236" s="5"/>
    </row>
    <row r="237" spans="1:25" ht="15.6" x14ac:dyDescent="0.3">
      <c r="A237" s="24"/>
      <c r="B237" s="54" t="s">
        <v>90</v>
      </c>
      <c r="C237" s="93"/>
      <c r="D237" s="93"/>
      <c r="E237" s="93"/>
      <c r="F237" s="25"/>
      <c r="G237" s="94"/>
      <c r="H237" s="93"/>
      <c r="I237" s="93"/>
      <c r="J237" s="93"/>
      <c r="K237" s="93"/>
      <c r="L237" s="93"/>
      <c r="M237" s="93"/>
      <c r="N237" s="93"/>
      <c r="O237" s="93"/>
      <c r="P237" s="93"/>
      <c r="Q237" s="93"/>
      <c r="R237" s="54">
        <v>92</v>
      </c>
      <c r="S237" s="94">
        <f t="shared" si="1"/>
        <v>9.5287415846711555E-3</v>
      </c>
      <c r="T237" s="53">
        <v>14163</v>
      </c>
      <c r="U237" s="132">
        <f t="shared" si="2"/>
        <v>1.1493833111783066E-2</v>
      </c>
      <c r="V237" s="79"/>
      <c r="W237" s="88"/>
      <c r="X237" s="5"/>
      <c r="Y237" s="109"/>
    </row>
    <row r="238" spans="1:25" ht="15.6" x14ac:dyDescent="0.3">
      <c r="A238" s="24"/>
      <c r="B238" s="54" t="s">
        <v>91</v>
      </c>
      <c r="C238" s="93"/>
      <c r="D238" s="93"/>
      <c r="E238" s="93"/>
      <c r="F238" s="25"/>
      <c r="G238" s="94"/>
      <c r="H238" s="93"/>
      <c r="I238" s="93"/>
      <c r="J238" s="93"/>
      <c r="K238" s="93"/>
      <c r="L238" s="93"/>
      <c r="M238" s="93"/>
      <c r="N238" s="93"/>
      <c r="O238" s="93"/>
      <c r="P238" s="93"/>
      <c r="Q238" s="93"/>
      <c r="R238" s="54">
        <v>72</v>
      </c>
      <c r="S238" s="94">
        <f t="shared" si="1"/>
        <v>7.4572760227861216E-3</v>
      </c>
      <c r="T238" s="53">
        <v>5509</v>
      </c>
      <c r="U238" s="132">
        <f t="shared" si="2"/>
        <v>4.4707707839308697E-3</v>
      </c>
      <c r="V238" s="79"/>
      <c r="W238" s="88"/>
      <c r="X238" s="5"/>
    </row>
    <row r="239" spans="1:25" ht="15.6" x14ac:dyDescent="0.3">
      <c r="A239" s="24"/>
      <c r="B239" s="54" t="s">
        <v>159</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c r="Y239" s="109"/>
    </row>
    <row r="240" spans="1:25" ht="15.6" x14ac:dyDescent="0.3">
      <c r="A240" s="24"/>
      <c r="B240" s="54" t="s">
        <v>160</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row>
    <row r="241" spans="1:25" ht="15.6" x14ac:dyDescent="0.3">
      <c r="A241" s="24"/>
      <c r="B241" s="54" t="s">
        <v>161</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c r="Y241" s="109"/>
    </row>
    <row r="242" spans="1:25" ht="15.6" x14ac:dyDescent="0.3">
      <c r="A242" s="24"/>
      <c r="B242" s="54" t="s">
        <v>162</v>
      </c>
      <c r="C242" s="93"/>
      <c r="D242" s="93"/>
      <c r="E242" s="93"/>
      <c r="F242" s="25"/>
      <c r="G242" s="94"/>
      <c r="H242" s="93"/>
      <c r="I242" s="93"/>
      <c r="J242" s="93"/>
      <c r="K242" s="93"/>
      <c r="L242" s="93"/>
      <c r="M242" s="93"/>
      <c r="N242" s="93"/>
      <c r="O242" s="93"/>
      <c r="P242" s="93"/>
      <c r="Q242" s="93"/>
      <c r="R242" s="54">
        <v>1</v>
      </c>
      <c r="S242" s="94">
        <f t="shared" si="1"/>
        <v>1.0357327809425168E-4</v>
      </c>
      <c r="T242" s="53">
        <v>162</v>
      </c>
      <c r="U242" s="132">
        <f t="shared" si="2"/>
        <v>1.3146938954380121E-4</v>
      </c>
      <c r="V242" s="79"/>
      <c r="W242" s="88"/>
      <c r="X242" s="5"/>
    </row>
    <row r="243" spans="1:25" ht="15.6" x14ac:dyDescent="0.3">
      <c r="A243" s="24"/>
      <c r="B243" s="54" t="s">
        <v>163</v>
      </c>
      <c r="C243" s="93"/>
      <c r="D243" s="93"/>
      <c r="E243" s="93"/>
      <c r="F243" s="25"/>
      <c r="G243" s="94"/>
      <c r="H243" s="93"/>
      <c r="I243" s="93"/>
      <c r="J243" s="93"/>
      <c r="K243" s="93"/>
      <c r="L243" s="93"/>
      <c r="M243" s="93"/>
      <c r="N243" s="93"/>
      <c r="O243" s="93"/>
      <c r="P243" s="93"/>
      <c r="Q243" s="93"/>
      <c r="R243" s="54">
        <v>0</v>
      </c>
      <c r="S243" s="94">
        <f t="shared" si="1"/>
        <v>0</v>
      </c>
      <c r="T243" s="53">
        <v>0</v>
      </c>
      <c r="U243" s="132">
        <f t="shared" si="2"/>
        <v>0</v>
      </c>
      <c r="V243" s="79"/>
      <c r="W243" s="88"/>
      <c r="X243" s="5"/>
      <c r="Y243" s="109"/>
    </row>
    <row r="244" spans="1:25" ht="15.6" x14ac:dyDescent="0.3">
      <c r="A244" s="24"/>
      <c r="B244" s="54"/>
      <c r="C244" s="93"/>
      <c r="D244" s="93"/>
      <c r="E244" s="93"/>
      <c r="F244" s="25"/>
      <c r="G244" s="94"/>
      <c r="H244" s="93"/>
      <c r="I244" s="93"/>
      <c r="J244" s="93"/>
      <c r="K244" s="93"/>
      <c r="L244" s="93"/>
      <c r="M244" s="93"/>
      <c r="N244" s="93"/>
      <c r="O244" s="93"/>
      <c r="P244" s="93"/>
      <c r="Q244" s="93"/>
      <c r="R244" s="54"/>
      <c r="S244" s="94"/>
      <c r="T244" s="53"/>
      <c r="U244" s="132"/>
      <c r="V244" s="79"/>
      <c r="W244" s="88"/>
      <c r="X244" s="5"/>
    </row>
    <row r="245" spans="1:25" ht="15.6" x14ac:dyDescent="0.3">
      <c r="A245" s="24"/>
      <c r="B245" s="25" t="s">
        <v>117</v>
      </c>
      <c r="C245" s="25"/>
      <c r="D245" s="25"/>
      <c r="E245" s="25"/>
      <c r="F245" s="25"/>
      <c r="G245" s="25"/>
      <c r="H245" s="95"/>
      <c r="I245" s="95"/>
      <c r="J245" s="95"/>
      <c r="K245" s="95"/>
      <c r="L245" s="95"/>
      <c r="M245" s="95"/>
      <c r="N245" s="95"/>
      <c r="O245" s="95"/>
      <c r="P245" s="95"/>
      <c r="Q245" s="95"/>
      <c r="R245" s="34">
        <f>SUM(R236:R244)</f>
        <v>9655</v>
      </c>
      <c r="S245" s="132">
        <f>SUM(S236:S244)</f>
        <v>1</v>
      </c>
      <c r="T245" s="53">
        <f>SUM(T236:T244)</f>
        <v>1232226</v>
      </c>
      <c r="U245" s="132">
        <f>SUM(U236:U244)</f>
        <v>1</v>
      </c>
      <c r="V245" s="25"/>
      <c r="W245" s="25"/>
      <c r="X245" s="5"/>
    </row>
    <row r="246" spans="1:25" ht="15.6" x14ac:dyDescent="0.3">
      <c r="A246" s="24"/>
      <c r="B246" s="25"/>
      <c r="C246" s="25"/>
      <c r="D246" s="25"/>
      <c r="E246" s="25"/>
      <c r="F246" s="25"/>
      <c r="G246" s="25"/>
      <c r="H246" s="95"/>
      <c r="I246" s="95"/>
      <c r="J246" s="95"/>
      <c r="K246" s="95"/>
      <c r="L246" s="95"/>
      <c r="M246" s="95"/>
      <c r="N246" s="95"/>
      <c r="O246" s="95"/>
      <c r="P246" s="95"/>
      <c r="Q246" s="95"/>
      <c r="R246" s="34"/>
      <c r="S246" s="132"/>
      <c r="T246" s="53"/>
      <c r="U246" s="132"/>
      <c r="V246" s="25"/>
      <c r="W246" s="25"/>
      <c r="X246" s="5"/>
    </row>
    <row r="247" spans="1:25" ht="15.6" x14ac:dyDescent="0.3">
      <c r="A247" s="141"/>
      <c r="B247" s="14" t="s">
        <v>279</v>
      </c>
      <c r="C247" s="81"/>
      <c r="D247" s="81"/>
      <c r="E247" s="81"/>
      <c r="F247" s="82"/>
      <c r="G247" s="81"/>
      <c r="H247" s="17"/>
      <c r="I247" s="17"/>
      <c r="J247" s="17"/>
      <c r="K247" s="17"/>
      <c r="L247" s="17"/>
      <c r="M247" s="17"/>
      <c r="N247" s="17"/>
      <c r="O247" s="17"/>
      <c r="P247" s="17"/>
      <c r="Q247" s="17"/>
      <c r="R247" s="83" t="s">
        <v>103</v>
      </c>
      <c r="S247" s="17" t="s">
        <v>104</v>
      </c>
      <c r="T247" s="83" t="s">
        <v>111</v>
      </c>
      <c r="U247" s="17" t="s">
        <v>104</v>
      </c>
      <c r="V247" s="139"/>
      <c r="W247" s="140"/>
      <c r="X247" s="5"/>
    </row>
    <row r="248" spans="1:25" ht="15.6" x14ac:dyDescent="0.3">
      <c r="A248" s="24"/>
      <c r="B248" s="54" t="s">
        <v>89</v>
      </c>
      <c r="C248" s="93"/>
      <c r="D248" s="93"/>
      <c r="E248" s="93"/>
      <c r="F248" s="25"/>
      <c r="G248" s="93"/>
      <c r="H248" s="93"/>
      <c r="I248" s="93"/>
      <c r="J248" s="93"/>
      <c r="K248" s="93"/>
      <c r="L248" s="93"/>
      <c r="M248" s="93"/>
      <c r="N248" s="93"/>
      <c r="O248" s="93"/>
      <c r="P248" s="93"/>
      <c r="Q248" s="93"/>
      <c r="R248" s="54">
        <v>5</v>
      </c>
      <c r="S248" s="94">
        <f t="shared" ref="S248:S255" si="3">R248/$R$257</f>
        <v>0.10416666666666667</v>
      </c>
      <c r="T248" s="53">
        <v>776</v>
      </c>
      <c r="U248" s="132">
        <f t="shared" ref="U248:U255" si="4">T248/$T$257</f>
        <v>0.11910974673829625</v>
      </c>
      <c r="V248" s="25"/>
      <c r="W248" s="25"/>
      <c r="X248" s="5"/>
    </row>
    <row r="249" spans="1:25" ht="15.6" x14ac:dyDescent="0.3">
      <c r="A249" s="24"/>
      <c r="B249" s="54" t="s">
        <v>90</v>
      </c>
      <c r="C249" s="93"/>
      <c r="D249" s="93"/>
      <c r="E249" s="93"/>
      <c r="F249" s="25"/>
      <c r="G249" s="94"/>
      <c r="H249" s="93"/>
      <c r="I249" s="93"/>
      <c r="J249" s="93"/>
      <c r="K249" s="93"/>
      <c r="L249" s="93"/>
      <c r="M249" s="93"/>
      <c r="N249" s="93"/>
      <c r="O249" s="93"/>
      <c r="P249" s="93"/>
      <c r="Q249" s="93"/>
      <c r="R249" s="54">
        <v>15</v>
      </c>
      <c r="S249" s="94">
        <f t="shared" si="3"/>
        <v>0.3125</v>
      </c>
      <c r="T249" s="53">
        <v>2487</v>
      </c>
      <c r="U249" s="132">
        <f t="shared" si="4"/>
        <v>0.38173445894090563</v>
      </c>
      <c r="V249" s="25"/>
      <c r="W249" s="25"/>
      <c r="X249" s="5"/>
    </row>
    <row r="250" spans="1:25" ht="15.6" x14ac:dyDescent="0.3">
      <c r="A250" s="24"/>
      <c r="B250" s="54" t="s">
        <v>91</v>
      </c>
      <c r="C250" s="93"/>
      <c r="D250" s="93"/>
      <c r="E250" s="93"/>
      <c r="F250" s="25"/>
      <c r="G250" s="94"/>
      <c r="H250" s="93"/>
      <c r="I250" s="93"/>
      <c r="J250" s="93"/>
      <c r="K250" s="93"/>
      <c r="L250" s="93"/>
      <c r="M250" s="93"/>
      <c r="N250" s="93"/>
      <c r="O250" s="93"/>
      <c r="P250" s="93"/>
      <c r="Q250" s="93"/>
      <c r="R250" s="54">
        <v>6</v>
      </c>
      <c r="S250" s="94">
        <f t="shared" si="3"/>
        <v>0.125</v>
      </c>
      <c r="T250" s="53">
        <v>799</v>
      </c>
      <c r="U250" s="132">
        <f t="shared" si="4"/>
        <v>0.12264006139677668</v>
      </c>
      <c r="V250" s="25"/>
      <c r="W250" s="25"/>
      <c r="X250" s="5"/>
    </row>
    <row r="251" spans="1:25" ht="15.6" x14ac:dyDescent="0.3">
      <c r="A251" s="24"/>
      <c r="B251" s="54" t="s">
        <v>159</v>
      </c>
      <c r="C251" s="93"/>
      <c r="D251" s="93"/>
      <c r="E251" s="93"/>
      <c r="F251" s="25"/>
      <c r="G251" s="94"/>
      <c r="H251" s="93"/>
      <c r="I251" s="93"/>
      <c r="J251" s="93"/>
      <c r="K251" s="93"/>
      <c r="L251" s="93"/>
      <c r="M251" s="93"/>
      <c r="N251" s="93"/>
      <c r="O251" s="93"/>
      <c r="P251" s="93"/>
      <c r="Q251" s="93"/>
      <c r="R251" s="54">
        <v>4</v>
      </c>
      <c r="S251" s="94">
        <f t="shared" si="3"/>
        <v>8.3333333333333329E-2</v>
      </c>
      <c r="T251" s="53">
        <v>311</v>
      </c>
      <c r="U251" s="132">
        <f t="shared" si="4"/>
        <v>4.7735993860322332E-2</v>
      </c>
      <c r="V251" s="25"/>
      <c r="W251" s="25"/>
      <c r="X251" s="5"/>
    </row>
    <row r="252" spans="1:25" ht="15.6" x14ac:dyDescent="0.3">
      <c r="A252" s="24"/>
      <c r="B252" s="54" t="s">
        <v>160</v>
      </c>
      <c r="C252" s="93"/>
      <c r="D252" s="93"/>
      <c r="E252" s="93"/>
      <c r="F252" s="25"/>
      <c r="G252" s="94"/>
      <c r="H252" s="93"/>
      <c r="I252" s="93"/>
      <c r="J252" s="93"/>
      <c r="K252" s="93"/>
      <c r="L252" s="93"/>
      <c r="M252" s="93"/>
      <c r="N252" s="93"/>
      <c r="O252" s="93"/>
      <c r="P252" s="93"/>
      <c r="Q252" s="93"/>
      <c r="R252" s="54">
        <v>2</v>
      </c>
      <c r="S252" s="94">
        <f t="shared" si="3"/>
        <v>4.1666666666666664E-2</v>
      </c>
      <c r="T252" s="53">
        <v>303</v>
      </c>
      <c r="U252" s="132">
        <f t="shared" si="4"/>
        <v>4.6508058326937836E-2</v>
      </c>
      <c r="V252" s="25"/>
      <c r="W252" s="25"/>
      <c r="X252" s="5"/>
    </row>
    <row r="253" spans="1:25" ht="15.6" x14ac:dyDescent="0.3">
      <c r="A253" s="24"/>
      <c r="B253" s="54" t="s">
        <v>161</v>
      </c>
      <c r="C253" s="93"/>
      <c r="D253" s="93"/>
      <c r="E253" s="93"/>
      <c r="F253" s="25"/>
      <c r="G253" s="94"/>
      <c r="H253" s="93"/>
      <c r="I253" s="93"/>
      <c r="J253" s="93"/>
      <c r="K253" s="93"/>
      <c r="L253" s="93"/>
      <c r="M253" s="93"/>
      <c r="N253" s="93"/>
      <c r="O253" s="93"/>
      <c r="P253" s="93"/>
      <c r="Q253" s="93"/>
      <c r="R253" s="54">
        <v>4</v>
      </c>
      <c r="S253" s="94">
        <f t="shared" si="3"/>
        <v>8.3333333333333329E-2</v>
      </c>
      <c r="T253" s="53">
        <v>255</v>
      </c>
      <c r="U253" s="132">
        <f t="shared" si="4"/>
        <v>3.9140445126630855E-2</v>
      </c>
      <c r="V253" s="25"/>
      <c r="W253" s="25"/>
      <c r="X253" s="5"/>
    </row>
    <row r="254" spans="1:25" ht="15.6" x14ac:dyDescent="0.3">
      <c r="A254" s="24"/>
      <c r="B254" s="54" t="s">
        <v>162</v>
      </c>
      <c r="C254" s="93"/>
      <c r="D254" s="93"/>
      <c r="E254" s="93"/>
      <c r="F254" s="25"/>
      <c r="G254" s="94"/>
      <c r="H254" s="93"/>
      <c r="I254" s="93"/>
      <c r="J254" s="93"/>
      <c r="K254" s="93"/>
      <c r="L254" s="93"/>
      <c r="M254" s="93"/>
      <c r="N254" s="93"/>
      <c r="O254" s="93"/>
      <c r="P254" s="93"/>
      <c r="Q254" s="93"/>
      <c r="R254" s="54">
        <v>12</v>
      </c>
      <c r="S254" s="94">
        <f t="shared" si="3"/>
        <v>0.25</v>
      </c>
      <c r="T254" s="53">
        <v>1584</v>
      </c>
      <c r="U254" s="132">
        <f t="shared" si="4"/>
        <v>0.24313123561013048</v>
      </c>
      <c r="V254" s="25"/>
      <c r="W254" s="25"/>
      <c r="X254" s="5"/>
    </row>
    <row r="255" spans="1:25" ht="15.6" x14ac:dyDescent="0.3">
      <c r="A255" s="24"/>
      <c r="B255" s="54" t="s">
        <v>163</v>
      </c>
      <c r="C255" s="93"/>
      <c r="D255" s="93"/>
      <c r="E255" s="93"/>
      <c r="F255" s="25"/>
      <c r="G255" s="94"/>
      <c r="H255" s="93"/>
      <c r="I255" s="93"/>
      <c r="J255" s="93"/>
      <c r="K255" s="93"/>
      <c r="L255" s="93"/>
      <c r="M255" s="93"/>
      <c r="N255" s="93"/>
      <c r="O255" s="93"/>
      <c r="P255" s="93"/>
      <c r="Q255" s="93"/>
      <c r="R255" s="54">
        <v>0</v>
      </c>
      <c r="S255" s="94">
        <f t="shared" si="3"/>
        <v>0</v>
      </c>
      <c r="T255" s="53">
        <v>0</v>
      </c>
      <c r="U255" s="132">
        <f t="shared" si="4"/>
        <v>0</v>
      </c>
      <c r="V255" s="25"/>
      <c r="W255" s="25"/>
      <c r="X255" s="5"/>
    </row>
    <row r="256" spans="1:25" ht="15.6" x14ac:dyDescent="0.3">
      <c r="A256" s="24"/>
      <c r="B256" s="54"/>
      <c r="C256" s="93"/>
      <c r="D256" s="93"/>
      <c r="E256" s="93"/>
      <c r="F256" s="25"/>
      <c r="G256" s="94"/>
      <c r="H256" s="93"/>
      <c r="I256" s="93"/>
      <c r="J256" s="93"/>
      <c r="K256" s="93"/>
      <c r="L256" s="93"/>
      <c r="M256" s="93"/>
      <c r="N256" s="93"/>
      <c r="O256" s="93"/>
      <c r="P256" s="93"/>
      <c r="Q256" s="93"/>
      <c r="R256" s="54"/>
      <c r="S256" s="94"/>
      <c r="T256" s="53"/>
      <c r="U256" s="132"/>
      <c r="V256" s="25"/>
      <c r="W256" s="25"/>
      <c r="X256" s="5"/>
    </row>
    <row r="257" spans="1:24" ht="15.6" x14ac:dyDescent="0.3">
      <c r="A257" s="24"/>
      <c r="B257" s="25" t="s">
        <v>117</v>
      </c>
      <c r="C257" s="25"/>
      <c r="D257" s="25"/>
      <c r="E257" s="25"/>
      <c r="F257" s="25"/>
      <c r="G257" s="25"/>
      <c r="H257" s="95"/>
      <c r="I257" s="95"/>
      <c r="J257" s="95"/>
      <c r="K257" s="95"/>
      <c r="L257" s="95"/>
      <c r="M257" s="95"/>
      <c r="N257" s="95"/>
      <c r="O257" s="95"/>
      <c r="P257" s="95"/>
      <c r="Q257" s="95"/>
      <c r="R257" s="34">
        <f>SUM(R248:R256)</f>
        <v>48</v>
      </c>
      <c r="S257" s="132">
        <f>SUM(S248:S256)</f>
        <v>1</v>
      </c>
      <c r="T257" s="53">
        <f>SUM(T248:T256)</f>
        <v>6515</v>
      </c>
      <c r="U257" s="132">
        <f>SUM(U248:U256)</f>
        <v>1</v>
      </c>
      <c r="V257" s="25"/>
      <c r="W257" s="25"/>
      <c r="X257" s="5"/>
    </row>
    <row r="258" spans="1:24" ht="15.6" x14ac:dyDescent="0.3">
      <c r="A258" s="24"/>
      <c r="B258" s="25"/>
      <c r="C258" s="25"/>
      <c r="D258" s="25"/>
      <c r="E258" s="25"/>
      <c r="F258" s="25"/>
      <c r="G258" s="25"/>
      <c r="H258" s="95"/>
      <c r="I258" s="95"/>
      <c r="J258" s="95"/>
      <c r="K258" s="95"/>
      <c r="L258" s="95"/>
      <c r="M258" s="95"/>
      <c r="N258" s="95"/>
      <c r="O258" s="95"/>
      <c r="P258" s="95"/>
      <c r="Q258" s="95"/>
      <c r="R258" s="34"/>
      <c r="S258" s="132"/>
      <c r="T258" s="53"/>
      <c r="U258" s="132"/>
      <c r="V258" s="25"/>
      <c r="W258" s="25"/>
      <c r="X258" s="5"/>
    </row>
    <row r="259" spans="1:24" ht="15.6" x14ac:dyDescent="0.3">
      <c r="A259" s="141"/>
      <c r="B259" s="14" t="s">
        <v>166</v>
      </c>
      <c r="C259" s="139"/>
      <c r="D259" s="139"/>
      <c r="E259" s="139"/>
      <c r="F259" s="139"/>
      <c r="G259" s="139"/>
      <c r="H259" s="145"/>
      <c r="I259" s="145"/>
      <c r="J259" s="145"/>
      <c r="K259" s="145"/>
      <c r="L259" s="145"/>
      <c r="M259" s="145"/>
      <c r="N259" s="145"/>
      <c r="O259" s="145"/>
      <c r="P259" s="145"/>
      <c r="Q259" s="145"/>
      <c r="R259" s="83" t="s">
        <v>103</v>
      </c>
      <c r="S259" s="17" t="s">
        <v>104</v>
      </c>
      <c r="T259" s="83" t="s">
        <v>111</v>
      </c>
      <c r="U259" s="17" t="s">
        <v>104</v>
      </c>
      <c r="V259" s="139"/>
      <c r="W259" s="140"/>
      <c r="X259" s="5"/>
    </row>
    <row r="260" spans="1:24" ht="15.6" x14ac:dyDescent="0.3">
      <c r="A260" s="24"/>
      <c r="B260" s="54" t="s">
        <v>89</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90</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91</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159</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160</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t="s">
        <v>161</v>
      </c>
      <c r="C265" s="25"/>
      <c r="D265" s="25"/>
      <c r="E265" s="25"/>
      <c r="F265" s="25"/>
      <c r="G265" s="25"/>
      <c r="H265" s="95"/>
      <c r="I265" s="95"/>
      <c r="J265" s="95"/>
      <c r="K265" s="95"/>
      <c r="L265" s="95"/>
      <c r="M265" s="95"/>
      <c r="N265" s="95"/>
      <c r="O265" s="95"/>
      <c r="P265" s="95"/>
      <c r="Q265" s="95"/>
      <c r="R265" s="54">
        <v>0</v>
      </c>
      <c r="S265" s="94">
        <v>0</v>
      </c>
      <c r="T265" s="53">
        <v>0</v>
      </c>
      <c r="U265" s="132">
        <v>0</v>
      </c>
      <c r="V265" s="25"/>
      <c r="W265" s="25"/>
      <c r="X265" s="5"/>
    </row>
    <row r="266" spans="1:24" ht="15.6" x14ac:dyDescent="0.3">
      <c r="A266" s="24"/>
      <c r="B266" s="54" t="s">
        <v>162</v>
      </c>
      <c r="C266" s="25"/>
      <c r="D266" s="25"/>
      <c r="E266" s="25"/>
      <c r="F266" s="25"/>
      <c r="G266" s="25"/>
      <c r="H266" s="95"/>
      <c r="I266" s="95"/>
      <c r="J266" s="95"/>
      <c r="K266" s="95"/>
      <c r="L266" s="95"/>
      <c r="M266" s="95"/>
      <c r="N266" s="95"/>
      <c r="O266" s="95"/>
      <c r="P266" s="95"/>
      <c r="Q266" s="95"/>
      <c r="R266" s="54">
        <v>0</v>
      </c>
      <c r="S266" s="94">
        <v>0</v>
      </c>
      <c r="T266" s="53">
        <v>0</v>
      </c>
      <c r="U266" s="132">
        <v>0</v>
      </c>
      <c r="V266" s="25"/>
      <c r="W266" s="25"/>
      <c r="X266" s="5"/>
    </row>
    <row r="267" spans="1:24" ht="15.6" x14ac:dyDescent="0.3">
      <c r="A267" s="24"/>
      <c r="B267" s="54" t="s">
        <v>163</v>
      </c>
      <c r="C267" s="25"/>
      <c r="D267" s="25"/>
      <c r="E267" s="25"/>
      <c r="F267" s="25"/>
      <c r="G267" s="25"/>
      <c r="H267" s="95"/>
      <c r="I267" s="95"/>
      <c r="J267" s="95"/>
      <c r="K267" s="95"/>
      <c r="L267" s="95"/>
      <c r="M267" s="95"/>
      <c r="N267" s="95"/>
      <c r="O267" s="95"/>
      <c r="P267" s="95"/>
      <c r="Q267" s="95"/>
      <c r="R267" s="54">
        <v>0</v>
      </c>
      <c r="S267" s="94">
        <v>0</v>
      </c>
      <c r="T267" s="53">
        <v>0</v>
      </c>
      <c r="U267" s="132">
        <v>0</v>
      </c>
      <c r="V267" s="25"/>
      <c r="W267" s="25"/>
      <c r="X267" s="5"/>
    </row>
    <row r="268" spans="1:24" ht="15.6" x14ac:dyDescent="0.3">
      <c r="A268" s="24"/>
      <c r="B268" s="54"/>
      <c r="C268" s="25"/>
      <c r="D268" s="25"/>
      <c r="E268" s="25"/>
      <c r="F268" s="25"/>
      <c r="G268" s="25"/>
      <c r="H268" s="95"/>
      <c r="I268" s="95"/>
      <c r="J268" s="95"/>
      <c r="K268" s="95"/>
      <c r="L268" s="95"/>
      <c r="M268" s="95"/>
      <c r="N268" s="95"/>
      <c r="O268" s="95"/>
      <c r="P268" s="95"/>
      <c r="Q268" s="95"/>
      <c r="R268" s="54"/>
      <c r="S268" s="94"/>
      <c r="T268" s="53"/>
      <c r="U268" s="132"/>
      <c r="V268" s="25"/>
      <c r="W268" s="25"/>
      <c r="X268" s="5"/>
    </row>
    <row r="269" spans="1:24" ht="15.6" x14ac:dyDescent="0.3">
      <c r="A269" s="24"/>
      <c r="B269" s="25" t="s">
        <v>117</v>
      </c>
      <c r="C269" s="25"/>
      <c r="D269" s="25"/>
      <c r="E269" s="25"/>
      <c r="F269" s="25"/>
      <c r="G269" s="25"/>
      <c r="H269" s="95"/>
      <c r="I269" s="95"/>
      <c r="J269" s="95"/>
      <c r="K269" s="95"/>
      <c r="L269" s="95"/>
      <c r="M269" s="95"/>
      <c r="N269" s="95"/>
      <c r="O269" s="95"/>
      <c r="P269" s="95"/>
      <c r="Q269" s="95"/>
      <c r="R269" s="34">
        <f>SUM(R260:R267)</f>
        <v>0</v>
      </c>
      <c r="S269" s="94">
        <f>SUM(S260:S267)</f>
        <v>0</v>
      </c>
      <c r="T269" s="53">
        <f>SUM(T260:T267)</f>
        <v>0</v>
      </c>
      <c r="U269" s="132">
        <f>SUM(U260:U267)</f>
        <v>0</v>
      </c>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34"/>
      <c r="S270" s="132"/>
      <c r="T270" s="53"/>
      <c r="U270" s="132"/>
      <c r="V270" s="25"/>
      <c r="W270" s="25"/>
      <c r="X270" s="5"/>
    </row>
    <row r="271" spans="1:24" ht="15.6" x14ac:dyDescent="0.3">
      <c r="A271" s="24"/>
      <c r="B271" s="142" t="s">
        <v>167</v>
      </c>
      <c r="C271" s="25"/>
      <c r="D271" s="25"/>
      <c r="E271" s="25"/>
      <c r="F271" s="25"/>
      <c r="G271" s="25"/>
      <c r="H271" s="95"/>
      <c r="I271" s="95"/>
      <c r="J271" s="95"/>
      <c r="K271" s="95"/>
      <c r="L271" s="95"/>
      <c r="M271" s="95"/>
      <c r="N271" s="95"/>
      <c r="O271" s="95"/>
      <c r="P271" s="95"/>
      <c r="Q271" s="95"/>
      <c r="R271" s="161">
        <f>R269+R257+R245</f>
        <v>9703</v>
      </c>
      <c r="S271" s="143"/>
      <c r="T271" s="144">
        <f>+T269+T257+T245</f>
        <v>1238741</v>
      </c>
      <c r="U271" s="143"/>
      <c r="V271" s="25"/>
      <c r="W271" s="25"/>
      <c r="X271" s="5"/>
    </row>
    <row r="272" spans="1:24" ht="15.6" x14ac:dyDescent="0.3">
      <c r="A272" s="24"/>
      <c r="B272" s="25"/>
      <c r="C272" s="25"/>
      <c r="D272" s="25"/>
      <c r="E272" s="25"/>
      <c r="F272" s="25"/>
      <c r="G272" s="25"/>
      <c r="H272" s="95"/>
      <c r="I272" s="95"/>
      <c r="J272" s="95"/>
      <c r="K272" s="95"/>
      <c r="L272" s="95"/>
      <c r="M272" s="95"/>
      <c r="N272" s="95"/>
      <c r="O272" s="95"/>
      <c r="P272" s="95"/>
      <c r="Q272" s="95"/>
      <c r="R272" s="95"/>
      <c r="S272" s="95"/>
      <c r="T272" s="53"/>
      <c r="U272" s="95"/>
      <c r="V272" s="25"/>
      <c r="W272" s="25"/>
      <c r="X272" s="5"/>
    </row>
    <row r="273" spans="1:24" ht="15.6" x14ac:dyDescent="0.3">
      <c r="A273" s="6"/>
      <c r="B273" s="8"/>
      <c r="C273" s="8"/>
      <c r="D273" s="8"/>
      <c r="E273" s="8"/>
      <c r="F273" s="8"/>
      <c r="G273" s="8"/>
      <c r="H273" s="96"/>
      <c r="I273" s="96"/>
      <c r="J273" s="96"/>
      <c r="K273" s="96"/>
      <c r="L273" s="96"/>
      <c r="M273" s="96"/>
      <c r="N273" s="96"/>
      <c r="O273" s="96"/>
      <c r="P273" s="96"/>
      <c r="Q273" s="96"/>
      <c r="R273" s="96"/>
      <c r="S273" s="96"/>
      <c r="T273" s="97"/>
      <c r="U273" s="96"/>
      <c r="V273" s="8"/>
      <c r="W273" s="8"/>
      <c r="X273" s="5"/>
    </row>
    <row r="274" spans="1:24" ht="15.6" x14ac:dyDescent="0.3">
      <c r="A274" s="167"/>
      <c r="B274" s="14" t="s">
        <v>92</v>
      </c>
      <c r="C274" s="15"/>
      <c r="D274" s="15"/>
      <c r="E274" s="15"/>
      <c r="F274" s="17" t="s">
        <v>98</v>
      </c>
      <c r="G274" s="15"/>
      <c r="H274" s="14" t="s">
        <v>100</v>
      </c>
      <c r="I274" s="14"/>
      <c r="J274" s="14"/>
      <c r="K274" s="162"/>
      <c r="L274" s="162"/>
      <c r="M274" s="162"/>
      <c r="N274" s="162"/>
      <c r="O274" s="162"/>
      <c r="P274" s="162"/>
      <c r="Q274" s="162"/>
      <c r="R274" s="162"/>
      <c r="S274" s="162"/>
      <c r="T274" s="162"/>
      <c r="U274" s="162"/>
      <c r="V274" s="162"/>
      <c r="W274" s="162"/>
      <c r="X274" s="5"/>
    </row>
    <row r="275" spans="1:24" ht="15.6" x14ac:dyDescent="0.3">
      <c r="A275" s="167"/>
      <c r="B275" s="13" t="s">
        <v>93</v>
      </c>
      <c r="C275" s="8"/>
      <c r="D275" s="8"/>
      <c r="E275" s="8"/>
      <c r="F275" s="130" t="s">
        <v>151</v>
      </c>
      <c r="G275" s="8"/>
      <c r="H275" s="13" t="s">
        <v>155</v>
      </c>
      <c r="I275" s="13"/>
      <c r="J275" s="13"/>
      <c r="K275" s="162"/>
      <c r="L275" s="162"/>
      <c r="M275" s="162"/>
      <c r="N275" s="162"/>
      <c r="O275" s="162"/>
      <c r="P275" s="162"/>
      <c r="Q275" s="162"/>
      <c r="R275" s="162"/>
      <c r="S275" s="162"/>
      <c r="T275" s="162"/>
      <c r="U275" s="162"/>
      <c r="V275" s="162"/>
      <c r="W275" s="162"/>
      <c r="X275" s="5"/>
    </row>
    <row r="276" spans="1:24" ht="15.6" x14ac:dyDescent="0.3">
      <c r="A276" s="167"/>
      <c r="B276" s="13" t="s">
        <v>281</v>
      </c>
      <c r="C276" s="13"/>
      <c r="D276" s="13"/>
      <c r="E276" s="13"/>
      <c r="F276" s="130" t="s">
        <v>282</v>
      </c>
      <c r="G276" s="13"/>
      <c r="H276" s="13" t="s">
        <v>283</v>
      </c>
      <c r="I276" s="162"/>
      <c r="J276" s="13"/>
      <c r="K276" s="162"/>
      <c r="L276" s="162"/>
      <c r="M276" s="162"/>
      <c r="N276" s="162"/>
      <c r="O276" s="162"/>
      <c r="P276" s="162"/>
      <c r="Q276" s="162"/>
      <c r="R276" s="162"/>
      <c r="S276" s="162"/>
      <c r="T276" s="162"/>
      <c r="U276" s="162"/>
      <c r="V276" s="162"/>
      <c r="W276" s="162"/>
      <c r="X276" s="5"/>
    </row>
    <row r="277" spans="1:24" ht="15.6" x14ac:dyDescent="0.3">
      <c r="A277" s="167"/>
      <c r="B277" s="13" t="s">
        <v>94</v>
      </c>
      <c r="C277" s="13"/>
      <c r="D277" s="13"/>
      <c r="E277" s="13"/>
      <c r="F277" s="130" t="s">
        <v>150</v>
      </c>
      <c r="G277" s="13"/>
      <c r="H277" s="13" t="s">
        <v>156</v>
      </c>
      <c r="I277" s="13"/>
      <c r="J277" s="13"/>
      <c r="K277" s="162"/>
      <c r="L277" s="162"/>
      <c r="M277" s="162"/>
      <c r="N277" s="162"/>
      <c r="O277" s="162"/>
      <c r="P277" s="162"/>
      <c r="Q277" s="162"/>
      <c r="R277" s="162"/>
      <c r="S277" s="162"/>
      <c r="T277" s="162"/>
      <c r="U277" s="162"/>
      <c r="V277" s="162"/>
      <c r="W277" s="162"/>
      <c r="X277" s="5"/>
    </row>
    <row r="278" spans="1:24" ht="15.6" x14ac:dyDescent="0.3">
      <c r="A278" s="167"/>
      <c r="B278" s="13"/>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ht="15.6" x14ac:dyDescent="0.3">
      <c r="A279" s="167"/>
      <c r="B279" s="13"/>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ht="18" thickBot="1" x14ac:dyDescent="0.35">
      <c r="A280" s="167"/>
      <c r="B280" s="49" t="str">
        <f>B197</f>
        <v>PM13 INVESTOR REPORT QUARTER ENDING JUNE 2008</v>
      </c>
      <c r="C280" s="13"/>
      <c r="D280" s="13"/>
      <c r="E280" s="13"/>
      <c r="F280" s="13"/>
      <c r="G280" s="99"/>
      <c r="H280" s="162"/>
      <c r="I280" s="162"/>
      <c r="J280" s="162"/>
      <c r="K280" s="162"/>
      <c r="L280" s="162"/>
      <c r="M280" s="162"/>
      <c r="N280" s="162"/>
      <c r="O280" s="162"/>
      <c r="P280" s="162"/>
      <c r="Q280" s="162"/>
      <c r="R280" s="162"/>
      <c r="S280" s="162"/>
      <c r="T280" s="162"/>
      <c r="U280" s="162"/>
      <c r="V280" s="162"/>
      <c r="W280" s="162"/>
      <c r="X280" s="5"/>
    </row>
    <row r="281" spans="1:24" x14ac:dyDescent="0.25">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row>
  </sheetData>
  <phoneticPr fontId="0" type="noConversion"/>
  <hyperlinks>
    <hyperlink ref="P233" r:id="rId1" xr:uid="{00000000-0004-0000-0600-000000000000}"/>
    <hyperlink ref="I9" r:id="rId2" xr:uid="{00000000-0004-0000-06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8" max="14" man="1"/>
    <brk id="197" max="14"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D2926"/>
  </sheetPr>
  <dimension ref="A1:Z28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238</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239</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140</v>
      </c>
      <c r="C5" s="8"/>
      <c r="D5" s="8"/>
      <c r="E5" s="8"/>
      <c r="F5" s="8"/>
      <c r="G5" s="8"/>
      <c r="H5" s="8"/>
      <c r="I5" s="8"/>
      <c r="J5" s="8"/>
      <c r="K5" s="8"/>
      <c r="L5" s="8"/>
      <c r="M5" s="8"/>
      <c r="N5" s="8"/>
      <c r="O5" s="8"/>
      <c r="P5" s="8"/>
      <c r="Q5" s="8"/>
      <c r="R5" s="8"/>
      <c r="S5" s="8"/>
      <c r="T5" s="8"/>
      <c r="U5" s="8"/>
      <c r="V5" s="8"/>
      <c r="W5" s="8"/>
      <c r="X5" s="5"/>
    </row>
    <row r="6" spans="1:24" ht="15.6" x14ac:dyDescent="0.3">
      <c r="A6" s="6"/>
      <c r="B6" s="11" t="s">
        <v>142</v>
      </c>
      <c r="C6" s="8"/>
      <c r="D6" s="8"/>
      <c r="E6" s="8"/>
      <c r="F6" s="8"/>
      <c r="G6" s="8"/>
      <c r="H6" s="8"/>
      <c r="I6" s="8"/>
      <c r="J6" s="8"/>
      <c r="K6" s="8"/>
      <c r="L6" s="8"/>
      <c r="M6" s="8"/>
      <c r="N6" s="8"/>
      <c r="O6" s="8"/>
      <c r="P6" s="8"/>
      <c r="Q6" s="8"/>
      <c r="R6" s="8"/>
      <c r="S6" s="8"/>
      <c r="T6" s="8"/>
      <c r="U6" s="8"/>
      <c r="V6" s="8"/>
      <c r="W6" s="8"/>
      <c r="X6" s="5"/>
    </row>
    <row r="7" spans="1:24" ht="15.6" x14ac:dyDescent="0.3">
      <c r="A7" s="6"/>
      <c r="B7" s="11" t="s">
        <v>141</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169</v>
      </c>
      <c r="C9" s="8"/>
      <c r="D9" s="8"/>
      <c r="E9" s="8"/>
      <c r="F9" s="8"/>
      <c r="G9" s="8"/>
      <c r="H9" s="8"/>
      <c r="I9" s="148" t="s">
        <v>170</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240</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105</v>
      </c>
      <c r="S15" s="137">
        <v>0.57609999999999995</v>
      </c>
      <c r="T15" s="17" t="s">
        <v>143</v>
      </c>
      <c r="U15" s="137">
        <v>0.4239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105</v>
      </c>
      <c r="S16" s="137">
        <v>0.5968</v>
      </c>
      <c r="T16" s="17" t="s">
        <v>143</v>
      </c>
      <c r="U16" s="137">
        <v>0.4032</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39016</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39743</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106</v>
      </c>
      <c r="U20" s="8"/>
      <c r="V20" s="16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180</v>
      </c>
      <c r="E22" s="112"/>
      <c r="F22" s="112" t="s">
        <v>181</v>
      </c>
      <c r="G22" s="112"/>
      <c r="H22" s="112" t="s">
        <v>182</v>
      </c>
      <c r="I22" s="112"/>
      <c r="J22" s="112" t="s">
        <v>223</v>
      </c>
      <c r="K22" s="112"/>
      <c r="L22" s="112" t="s">
        <v>183</v>
      </c>
      <c r="M22" s="112"/>
      <c r="N22" s="112" t="s">
        <v>184</v>
      </c>
      <c r="O22" s="112"/>
      <c r="P22" s="112" t="s">
        <v>224</v>
      </c>
      <c r="Q22" s="112"/>
      <c r="R22" s="112" t="s">
        <v>185</v>
      </c>
      <c r="S22" s="113"/>
      <c r="T22" s="23"/>
      <c r="U22" s="162"/>
      <c r="V22" s="162"/>
      <c r="W22" s="8"/>
      <c r="X22" s="5"/>
    </row>
    <row r="23" spans="1:24" ht="15.6" x14ac:dyDescent="0.3">
      <c r="A23" s="24"/>
      <c r="B23" s="25" t="s">
        <v>7</v>
      </c>
      <c r="C23" s="26"/>
      <c r="D23" s="26" t="s">
        <v>216</v>
      </c>
      <c r="E23" s="26"/>
      <c r="F23" s="26" t="s">
        <v>144</v>
      </c>
      <c r="G23" s="26"/>
      <c r="H23" s="26" t="s">
        <v>144</v>
      </c>
      <c r="I23" s="26"/>
      <c r="J23" s="26" t="s">
        <v>144</v>
      </c>
      <c r="K23" s="26"/>
      <c r="L23" s="26" t="s">
        <v>186</v>
      </c>
      <c r="M23" s="26"/>
      <c r="N23" s="26" t="s">
        <v>186</v>
      </c>
      <c r="O23" s="26"/>
      <c r="P23" s="26" t="s">
        <v>145</v>
      </c>
      <c r="Q23" s="26"/>
      <c r="R23" s="26" t="s">
        <v>145</v>
      </c>
      <c r="S23" s="26"/>
      <c r="T23" s="26"/>
      <c r="U23" s="163"/>
      <c r="V23" s="163"/>
      <c r="W23" s="25"/>
      <c r="X23" s="5"/>
    </row>
    <row r="24" spans="1:24" ht="15.6" x14ac:dyDescent="0.3">
      <c r="A24" s="24"/>
      <c r="B24" s="25" t="s">
        <v>8</v>
      </c>
      <c r="C24" s="26"/>
      <c r="D24" s="26" t="s">
        <v>217</v>
      </c>
      <c r="E24" s="26"/>
      <c r="F24" s="26" t="s">
        <v>146</v>
      </c>
      <c r="G24" s="26"/>
      <c r="H24" s="26" t="s">
        <v>146</v>
      </c>
      <c r="I24" s="26"/>
      <c r="J24" s="26" t="s">
        <v>146</v>
      </c>
      <c r="K24" s="26"/>
      <c r="L24" s="26" t="s">
        <v>168</v>
      </c>
      <c r="M24" s="26"/>
      <c r="N24" s="26" t="s">
        <v>168</v>
      </c>
      <c r="O24" s="26"/>
      <c r="P24" s="26" t="s">
        <v>147</v>
      </c>
      <c r="Q24" s="26"/>
      <c r="R24" s="26" t="s">
        <v>147</v>
      </c>
      <c r="S24" s="26"/>
      <c r="T24" s="26"/>
      <c r="U24" s="163"/>
      <c r="V24" s="163"/>
      <c r="W24" s="25"/>
      <c r="X24" s="5"/>
    </row>
    <row r="25" spans="1:24" ht="15.6" x14ac:dyDescent="0.3">
      <c r="A25" s="28"/>
      <c r="B25" s="131" t="s">
        <v>193</v>
      </c>
      <c r="C25" s="123"/>
      <c r="D25" s="26" t="s">
        <v>218</v>
      </c>
      <c r="E25" s="26"/>
      <c r="F25" s="26" t="s">
        <v>146</v>
      </c>
      <c r="G25" s="26"/>
      <c r="H25" s="26" t="s">
        <v>146</v>
      </c>
      <c r="I25" s="26"/>
      <c r="J25" s="26" t="s">
        <v>146</v>
      </c>
      <c r="K25" s="26"/>
      <c r="L25" s="26" t="s">
        <v>168</v>
      </c>
      <c r="M25" s="26"/>
      <c r="N25" s="26" t="s">
        <v>168</v>
      </c>
      <c r="O25" s="26"/>
      <c r="P25" s="26" t="s">
        <v>147</v>
      </c>
      <c r="Q25" s="26"/>
      <c r="R25" s="26" t="s">
        <v>147</v>
      </c>
      <c r="S25" s="123"/>
      <c r="T25" s="26"/>
      <c r="U25" s="163"/>
      <c r="V25" s="163"/>
      <c r="W25" s="25"/>
      <c r="X25" s="5"/>
    </row>
    <row r="26" spans="1:24" ht="15.6" x14ac:dyDescent="0.3">
      <c r="A26" s="28"/>
      <c r="B26" s="29" t="s">
        <v>9</v>
      </c>
      <c r="C26" s="123"/>
      <c r="D26" s="123" t="s">
        <v>216</v>
      </c>
      <c r="E26" s="123"/>
      <c r="F26" s="123" t="s">
        <v>144</v>
      </c>
      <c r="G26" s="123"/>
      <c r="H26" s="123" t="s">
        <v>144</v>
      </c>
      <c r="I26" s="123"/>
      <c r="J26" s="123" t="s">
        <v>144</v>
      </c>
      <c r="K26" s="123"/>
      <c r="L26" s="123" t="s">
        <v>186</v>
      </c>
      <c r="M26" s="123"/>
      <c r="N26" s="123" t="s">
        <v>186</v>
      </c>
      <c r="O26" s="123"/>
      <c r="P26" s="123" t="s">
        <v>145</v>
      </c>
      <c r="Q26" s="123"/>
      <c r="R26" s="123" t="s">
        <v>145</v>
      </c>
      <c r="S26" s="123"/>
      <c r="T26" s="26"/>
      <c r="U26" s="163"/>
      <c r="V26" s="163"/>
      <c r="W26" s="25"/>
      <c r="X26" s="5"/>
    </row>
    <row r="27" spans="1:24" ht="15.6" x14ac:dyDescent="0.3">
      <c r="A27" s="24"/>
      <c r="B27" s="29" t="s">
        <v>194</v>
      </c>
      <c r="C27" s="26"/>
      <c r="D27" s="123" t="s">
        <v>217</v>
      </c>
      <c r="E27" s="123"/>
      <c r="F27" s="123" t="s">
        <v>146</v>
      </c>
      <c r="G27" s="123"/>
      <c r="H27" s="123" t="s">
        <v>146</v>
      </c>
      <c r="I27" s="123"/>
      <c r="J27" s="123" t="s">
        <v>146</v>
      </c>
      <c r="K27" s="123"/>
      <c r="L27" s="123" t="s">
        <v>168</v>
      </c>
      <c r="M27" s="123"/>
      <c r="N27" s="123" t="s">
        <v>168</v>
      </c>
      <c r="O27" s="123"/>
      <c r="P27" s="123" t="s">
        <v>147</v>
      </c>
      <c r="Q27" s="123"/>
      <c r="R27" s="123" t="s">
        <v>147</v>
      </c>
      <c r="S27" s="26"/>
      <c r="T27" s="30"/>
      <c r="U27" s="163"/>
      <c r="V27" s="163"/>
      <c r="W27" s="25"/>
      <c r="X27" s="5"/>
    </row>
    <row r="28" spans="1:24" ht="15.6" x14ac:dyDescent="0.3">
      <c r="A28" s="24"/>
      <c r="B28" s="153" t="s">
        <v>195</v>
      </c>
      <c r="C28" s="26"/>
      <c r="D28" s="123" t="s">
        <v>218</v>
      </c>
      <c r="E28" s="123"/>
      <c r="F28" s="123" t="s">
        <v>146</v>
      </c>
      <c r="G28" s="123"/>
      <c r="H28" s="123" t="s">
        <v>146</v>
      </c>
      <c r="I28" s="123"/>
      <c r="J28" s="123" t="s">
        <v>146</v>
      </c>
      <c r="K28" s="123"/>
      <c r="L28" s="123" t="s">
        <v>168</v>
      </c>
      <c r="M28" s="123"/>
      <c r="N28" s="123" t="s">
        <v>168</v>
      </c>
      <c r="O28" s="123"/>
      <c r="P28" s="123" t="s">
        <v>147</v>
      </c>
      <c r="Q28" s="123"/>
      <c r="R28" s="123" t="s">
        <v>147</v>
      </c>
      <c r="S28" s="26"/>
      <c r="T28" s="30"/>
      <c r="U28" s="163"/>
      <c r="V28" s="163"/>
      <c r="W28" s="25"/>
      <c r="X28" s="5"/>
    </row>
    <row r="29" spans="1:24" ht="15.6" x14ac:dyDescent="0.3">
      <c r="A29" s="24"/>
      <c r="B29" s="25" t="s">
        <v>10</v>
      </c>
      <c r="C29" s="32"/>
      <c r="D29" s="26" t="s">
        <v>348</v>
      </c>
      <c r="E29" s="26"/>
      <c r="F29" s="30" t="s">
        <v>242</v>
      </c>
      <c r="G29" s="26"/>
      <c r="H29" s="26" t="s">
        <v>243</v>
      </c>
      <c r="I29" s="26"/>
      <c r="J29" s="26" t="s">
        <v>245</v>
      </c>
      <c r="K29" s="26"/>
      <c r="L29" s="26" t="s">
        <v>246</v>
      </c>
      <c r="M29" s="26"/>
      <c r="N29" s="26" t="s">
        <v>247</v>
      </c>
      <c r="O29" s="26"/>
      <c r="P29" s="26" t="s">
        <v>248</v>
      </c>
      <c r="Q29" s="26"/>
      <c r="R29" s="26" t="s">
        <v>249</v>
      </c>
      <c r="S29" s="31"/>
      <c r="T29" s="31"/>
      <c r="U29" s="164"/>
      <c r="V29" s="31"/>
      <c r="W29" s="34"/>
      <c r="X29" s="5"/>
    </row>
    <row r="30" spans="1:24" ht="15.6" x14ac:dyDescent="0.3">
      <c r="A30" s="24"/>
      <c r="B30" s="25" t="s">
        <v>10</v>
      </c>
      <c r="C30" s="32"/>
      <c r="D30" s="26" t="s">
        <v>241</v>
      </c>
      <c r="E30" s="26"/>
      <c r="F30" s="30" t="s">
        <v>121</v>
      </c>
      <c r="G30" s="26"/>
      <c r="H30" s="26" t="s">
        <v>121</v>
      </c>
      <c r="I30" s="26"/>
      <c r="J30" s="26" t="s">
        <v>244</v>
      </c>
      <c r="K30" s="26"/>
      <c r="L30" s="26" t="s">
        <v>121</v>
      </c>
      <c r="M30" s="26"/>
      <c r="N30" s="26" t="s">
        <v>121</v>
      </c>
      <c r="O30" s="26"/>
      <c r="P30" s="26" t="s">
        <v>121</v>
      </c>
      <c r="Q30" s="26"/>
      <c r="R30" s="26" t="s">
        <v>121</v>
      </c>
      <c r="S30" s="31"/>
      <c r="T30" s="31"/>
      <c r="U30" s="164"/>
      <c r="V30" s="31"/>
      <c r="W30" s="34"/>
      <c r="X30" s="5"/>
    </row>
    <row r="31" spans="1:24" ht="15.6" x14ac:dyDescent="0.3">
      <c r="A31" s="28"/>
      <c r="B31" s="25" t="s">
        <v>136</v>
      </c>
      <c r="C31" s="36"/>
      <c r="D31" s="146">
        <v>1500000</v>
      </c>
      <c r="E31" s="32"/>
      <c r="F31" s="31">
        <v>125000</v>
      </c>
      <c r="G31" s="31"/>
      <c r="H31" s="124">
        <v>315000</v>
      </c>
      <c r="I31" s="124"/>
      <c r="J31" s="146">
        <v>350000</v>
      </c>
      <c r="K31" s="31"/>
      <c r="L31" s="31">
        <v>56000</v>
      </c>
      <c r="M31" s="31"/>
      <c r="N31" s="124">
        <v>84000</v>
      </c>
      <c r="O31" s="31"/>
      <c r="P31" s="31">
        <v>13000</v>
      </c>
      <c r="Q31" s="31"/>
      <c r="R31" s="124">
        <v>81000</v>
      </c>
      <c r="S31" s="35"/>
      <c r="T31" s="35"/>
      <c r="U31" s="37"/>
      <c r="V31" s="35"/>
      <c r="W31" s="34"/>
      <c r="X31" s="5"/>
    </row>
    <row r="32" spans="1:24" ht="15.6" x14ac:dyDescent="0.3">
      <c r="A32" s="24"/>
      <c r="B32" s="25" t="s">
        <v>135</v>
      </c>
      <c r="C32" s="32"/>
      <c r="D32" s="146">
        <f>D31*D38</f>
        <v>1203000</v>
      </c>
      <c r="E32" s="32"/>
      <c r="F32" s="31">
        <f>F31*F38</f>
        <v>100250.075</v>
      </c>
      <c r="G32" s="31"/>
      <c r="H32" s="124">
        <f>H31*H38</f>
        <v>252630.18899999998</v>
      </c>
      <c r="I32" s="124"/>
      <c r="J32" s="146">
        <f>J31*J38</f>
        <v>280700</v>
      </c>
      <c r="K32" s="31"/>
      <c r="L32" s="31">
        <f>L31*L38</f>
        <v>56000</v>
      </c>
      <c r="M32" s="31"/>
      <c r="N32" s="124">
        <f>N31*N38</f>
        <v>84000</v>
      </c>
      <c r="O32" s="31"/>
      <c r="P32" s="31">
        <f>P31*P38</f>
        <v>13000</v>
      </c>
      <c r="Q32" s="31"/>
      <c r="R32" s="124">
        <f>R31*R38</f>
        <v>81000</v>
      </c>
      <c r="S32" s="31"/>
      <c r="T32" s="31"/>
      <c r="U32" s="164"/>
      <c r="V32" s="31"/>
      <c r="W32" s="34"/>
      <c r="X32" s="5"/>
    </row>
    <row r="33" spans="1:24" ht="15.6" x14ac:dyDescent="0.3">
      <c r="A33" s="24"/>
      <c r="B33" s="29" t="s">
        <v>137</v>
      </c>
      <c r="C33" s="32"/>
      <c r="D33" s="151">
        <f>D37*D31</f>
        <v>1148391.75</v>
      </c>
      <c r="E33" s="36"/>
      <c r="F33" s="35">
        <f>F37*F31</f>
        <v>95699.400000000009</v>
      </c>
      <c r="G33" s="35"/>
      <c r="H33" s="125">
        <f>H31*H37</f>
        <v>241162.48800000001</v>
      </c>
      <c r="I33" s="125"/>
      <c r="J33" s="151">
        <f>J37*J31</f>
        <v>267958.07500000001</v>
      </c>
      <c r="K33" s="35"/>
      <c r="L33" s="35">
        <f>L31*L37</f>
        <v>56000</v>
      </c>
      <c r="M33" s="35"/>
      <c r="N33" s="125">
        <f>N31*N37</f>
        <v>84000</v>
      </c>
      <c r="O33" s="35"/>
      <c r="P33" s="35">
        <f>P31*P37</f>
        <v>13000</v>
      </c>
      <c r="Q33" s="35"/>
      <c r="R33" s="125">
        <f>R31*R37</f>
        <v>81000</v>
      </c>
      <c r="S33" s="31"/>
      <c r="T33" s="31"/>
      <c r="U33" s="164"/>
      <c r="V33" s="31"/>
      <c r="W33" s="34"/>
      <c r="X33" s="5"/>
    </row>
    <row r="34" spans="1:24" ht="15.6" x14ac:dyDescent="0.3">
      <c r="A34" s="28"/>
      <c r="B34" s="25" t="s">
        <v>298</v>
      </c>
      <c r="C34" s="36"/>
      <c r="D34" s="31">
        <v>797872</v>
      </c>
      <c r="E34" s="32"/>
      <c r="F34" s="31">
        <v>125000</v>
      </c>
      <c r="G34" s="31"/>
      <c r="H34" s="31">
        <v>211409</v>
      </c>
      <c r="I34" s="31"/>
      <c r="J34" s="31">
        <v>186170</v>
      </c>
      <c r="K34" s="31"/>
      <c r="L34" s="31">
        <v>56000</v>
      </c>
      <c r="M34" s="31"/>
      <c r="N34" s="31">
        <v>56376</v>
      </c>
      <c r="O34" s="31"/>
      <c r="P34" s="31">
        <v>13000</v>
      </c>
      <c r="Q34" s="31"/>
      <c r="R34" s="31">
        <v>54363</v>
      </c>
      <c r="S34" s="35"/>
      <c r="T34" s="35"/>
      <c r="U34" s="37"/>
      <c r="V34" s="154">
        <f>SUM(C34:R34)</f>
        <v>1500190</v>
      </c>
      <c r="W34" s="34"/>
      <c r="X34" s="5"/>
    </row>
    <row r="35" spans="1:24" ht="15.6" x14ac:dyDescent="0.3">
      <c r="A35" s="28"/>
      <c r="B35" s="25" t="s">
        <v>299</v>
      </c>
      <c r="C35" s="126"/>
      <c r="D35" s="31">
        <f>D34*D38</f>
        <v>639893.34400000004</v>
      </c>
      <c r="E35" s="32"/>
      <c r="F35" s="31">
        <f>F34*F38</f>
        <v>100250.075</v>
      </c>
      <c r="G35" s="31"/>
      <c r="H35" s="31">
        <f>H34*H38</f>
        <v>169550.14484539998</v>
      </c>
      <c r="I35" s="31"/>
      <c r="J35" s="31">
        <f>J34*J38</f>
        <v>149308.34</v>
      </c>
      <c r="K35" s="31"/>
      <c r="L35" s="31">
        <f>L34*L38</f>
        <v>56000</v>
      </c>
      <c r="M35" s="31"/>
      <c r="N35" s="31">
        <f>N34*N38</f>
        <v>56376</v>
      </c>
      <c r="O35" s="31"/>
      <c r="P35" s="31">
        <f>P34*P38</f>
        <v>13000</v>
      </c>
      <c r="Q35" s="31"/>
      <c r="R35" s="31">
        <f>R34*R38</f>
        <v>54363</v>
      </c>
      <c r="S35" s="31"/>
      <c r="T35" s="31"/>
      <c r="U35" s="164"/>
      <c r="V35" s="154">
        <f>SUM(C35:R35)</f>
        <v>1238740.9038454001</v>
      </c>
      <c r="W35" s="34"/>
      <c r="X35" s="5"/>
    </row>
    <row r="36" spans="1:24" ht="15.6" x14ac:dyDescent="0.3">
      <c r="A36" s="28"/>
      <c r="B36" s="29" t="s">
        <v>304</v>
      </c>
      <c r="C36" s="126"/>
      <c r="D36" s="35">
        <f>D34*D37</f>
        <v>610846.414904</v>
      </c>
      <c r="E36" s="36"/>
      <c r="F36" s="35">
        <f>F34*F37</f>
        <v>95699.400000000009</v>
      </c>
      <c r="G36" s="35"/>
      <c r="H36" s="35">
        <f>H34*H37</f>
        <v>161853.71563680001</v>
      </c>
      <c r="I36" s="35"/>
      <c r="J36" s="35">
        <f>J34*J37</f>
        <v>142530.728065</v>
      </c>
      <c r="K36" s="35"/>
      <c r="L36" s="35">
        <v>56000</v>
      </c>
      <c r="M36" s="35"/>
      <c r="N36" s="35">
        <v>56376</v>
      </c>
      <c r="O36" s="35"/>
      <c r="P36" s="35">
        <v>13000</v>
      </c>
      <c r="Q36" s="35"/>
      <c r="R36" s="35">
        <v>54363</v>
      </c>
      <c r="S36" s="128"/>
      <c r="T36" s="128"/>
      <c r="U36" s="164"/>
      <c r="V36" s="155">
        <f>SUM(C36:R36)</f>
        <v>1190669.2586058001</v>
      </c>
      <c r="W36" s="34"/>
      <c r="X36" s="5"/>
    </row>
    <row r="37" spans="1:24" ht="15.6" x14ac:dyDescent="0.3">
      <c r="A37" s="24"/>
      <c r="B37" s="122" t="s">
        <v>133</v>
      </c>
      <c r="C37" s="25"/>
      <c r="D37" s="168">
        <v>0.76559449999999996</v>
      </c>
      <c r="E37" s="136"/>
      <c r="F37" s="168">
        <v>0.76559520000000003</v>
      </c>
      <c r="G37" s="135"/>
      <c r="H37" s="168">
        <v>0.76559520000000003</v>
      </c>
      <c r="I37" s="135"/>
      <c r="J37" s="168">
        <v>0.76559449999999996</v>
      </c>
      <c r="K37" s="135"/>
      <c r="L37" s="168">
        <v>1</v>
      </c>
      <c r="M37" s="135"/>
      <c r="N37" s="168">
        <v>1</v>
      </c>
      <c r="O37" s="135"/>
      <c r="P37" s="168">
        <v>1</v>
      </c>
      <c r="Q37" s="135"/>
      <c r="R37" s="168">
        <v>1</v>
      </c>
      <c r="S37" s="30"/>
      <c r="T37" s="30"/>
      <c r="U37" s="163"/>
      <c r="V37" s="163"/>
      <c r="W37" s="25"/>
      <c r="X37" s="5"/>
    </row>
    <row r="38" spans="1:24" ht="15.6" x14ac:dyDescent="0.3">
      <c r="A38" s="24"/>
      <c r="B38" s="122" t="s">
        <v>134</v>
      </c>
      <c r="C38" s="25"/>
      <c r="D38" s="168">
        <v>0.80200000000000005</v>
      </c>
      <c r="E38" s="136"/>
      <c r="F38" s="168">
        <v>0.80200059999999995</v>
      </c>
      <c r="G38" s="135"/>
      <c r="H38" s="168">
        <v>0.80200059999999995</v>
      </c>
      <c r="I38" s="135"/>
      <c r="J38" s="168">
        <v>0.80200000000000005</v>
      </c>
      <c r="K38" s="135"/>
      <c r="L38" s="135">
        <v>1</v>
      </c>
      <c r="M38" s="135"/>
      <c r="N38" s="135">
        <v>1</v>
      </c>
      <c r="O38" s="135"/>
      <c r="P38" s="135">
        <v>1</v>
      </c>
      <c r="Q38" s="135"/>
      <c r="R38" s="135">
        <v>1</v>
      </c>
      <c r="S38" s="39"/>
      <c r="T38" s="38"/>
      <c r="U38" s="163"/>
      <c r="V38" s="39"/>
      <c r="W38" s="25"/>
      <c r="X38" s="5"/>
    </row>
    <row r="39" spans="1:24" ht="15.6" x14ac:dyDescent="0.3">
      <c r="A39" s="24"/>
      <c r="B39" s="25" t="s">
        <v>11</v>
      </c>
      <c r="C39" s="25"/>
      <c r="D39" s="30" t="s">
        <v>225</v>
      </c>
      <c r="E39" s="25"/>
      <c r="F39" s="30" t="s">
        <v>225</v>
      </c>
      <c r="G39" s="30"/>
      <c r="H39" s="30" t="s">
        <v>225</v>
      </c>
      <c r="I39" s="30"/>
      <c r="J39" s="30" t="s">
        <v>251</v>
      </c>
      <c r="K39" s="30"/>
      <c r="L39" s="30" t="s">
        <v>252</v>
      </c>
      <c r="M39" s="30"/>
      <c r="N39" s="30" t="s">
        <v>253</v>
      </c>
      <c r="O39" s="30"/>
      <c r="P39" s="30" t="s">
        <v>254</v>
      </c>
      <c r="Q39" s="30"/>
      <c r="R39" s="30" t="s">
        <v>255</v>
      </c>
      <c r="S39" s="39"/>
      <c r="T39" s="38"/>
      <c r="U39" s="163"/>
      <c r="V39" s="163"/>
      <c r="W39" s="25"/>
      <c r="X39" s="5"/>
    </row>
    <row r="40" spans="1:24" ht="15.6" x14ac:dyDescent="0.3">
      <c r="A40" s="24"/>
      <c r="B40" s="25" t="s">
        <v>12</v>
      </c>
      <c r="C40" s="25"/>
      <c r="D40" s="38">
        <v>2.6075000000000001E-2</v>
      </c>
      <c r="E40" s="25"/>
      <c r="F40" s="38">
        <v>5.9393799999999997E-2</v>
      </c>
      <c r="G40" s="39"/>
      <c r="H40" s="38">
        <v>5.083E-2</v>
      </c>
      <c r="I40" s="38"/>
      <c r="J40" s="38">
        <v>2.88063E-2</v>
      </c>
      <c r="K40" s="39"/>
      <c r="L40" s="38">
        <v>6.0193799999999999E-2</v>
      </c>
      <c r="M40" s="39"/>
      <c r="N40" s="38">
        <v>5.1529999999999999E-2</v>
      </c>
      <c r="O40" s="39"/>
      <c r="P40" s="38">
        <v>6.21938E-2</v>
      </c>
      <c r="Q40" s="39"/>
      <c r="R40" s="38">
        <v>5.3530000000000001E-2</v>
      </c>
      <c r="S40" s="39"/>
      <c r="T40" s="38"/>
      <c r="U40" s="163"/>
      <c r="V40" s="30"/>
      <c r="W40" s="25"/>
      <c r="X40" s="5"/>
    </row>
    <row r="41" spans="1:24" ht="15.6" x14ac:dyDescent="0.3">
      <c r="A41" s="24"/>
      <c r="B41" s="25" t="s">
        <v>13</v>
      </c>
      <c r="C41" s="25"/>
      <c r="D41" s="38">
        <v>2.4812500000000001E-2</v>
      </c>
      <c r="E41" s="25"/>
      <c r="F41" s="38">
        <v>6.04938E-2</v>
      </c>
      <c r="G41" s="39"/>
      <c r="H41" s="38">
        <v>4.8669999999999998E-2</v>
      </c>
      <c r="I41" s="38"/>
      <c r="J41" s="38">
        <v>2.8031299999999999E-2</v>
      </c>
      <c r="K41" s="39"/>
      <c r="L41" s="38">
        <v>6.1293800000000002E-2</v>
      </c>
      <c r="M41" s="39"/>
      <c r="N41" s="38">
        <v>4.9369999999999997E-2</v>
      </c>
      <c r="O41" s="39"/>
      <c r="P41" s="38">
        <v>6.3293799999999997E-2</v>
      </c>
      <c r="Q41" s="39"/>
      <c r="R41" s="38">
        <v>5.1369999999999999E-2</v>
      </c>
      <c r="S41" s="39"/>
      <c r="T41" s="38"/>
      <c r="U41" s="163"/>
      <c r="V41" s="39" t="s">
        <v>196</v>
      </c>
      <c r="W41" s="25"/>
      <c r="X41" s="5"/>
    </row>
    <row r="42" spans="1:24" ht="15.6" x14ac:dyDescent="0.3">
      <c r="A42" s="24"/>
      <c r="B42" s="25" t="s">
        <v>300</v>
      </c>
      <c r="C42" s="25"/>
      <c r="D42" s="30" t="s">
        <v>292</v>
      </c>
      <c r="E42" s="25"/>
      <c r="F42" s="30" t="s">
        <v>225</v>
      </c>
      <c r="G42" s="30"/>
      <c r="H42" s="30" t="s">
        <v>263</v>
      </c>
      <c r="I42" s="30"/>
      <c r="J42" s="30" t="s">
        <v>262</v>
      </c>
      <c r="K42" s="30"/>
      <c r="L42" s="30" t="s">
        <v>252</v>
      </c>
      <c r="M42" s="30"/>
      <c r="N42" s="30" t="s">
        <v>264</v>
      </c>
      <c r="O42" s="30"/>
      <c r="P42" s="30" t="s">
        <v>254</v>
      </c>
      <c r="Q42" s="30"/>
      <c r="R42" s="30" t="s">
        <v>260</v>
      </c>
      <c r="S42" s="39"/>
      <c r="T42" s="38"/>
      <c r="U42" s="163"/>
      <c r="V42" s="163"/>
      <c r="W42" s="25"/>
      <c r="X42" s="5"/>
    </row>
    <row r="43" spans="1:24" ht="15.6" x14ac:dyDescent="0.3">
      <c r="A43" s="24"/>
      <c r="B43" s="25" t="s">
        <v>301</v>
      </c>
      <c r="C43" s="110"/>
      <c r="D43" s="38">
        <v>5.9733000000000001E-2</v>
      </c>
      <c r="E43" s="38"/>
      <c r="F43" s="38">
        <f>+F40</f>
        <v>5.9393799999999997E-2</v>
      </c>
      <c r="G43" s="38"/>
      <c r="H43" s="38">
        <v>5.9515800000000001E-2</v>
      </c>
      <c r="I43" s="38"/>
      <c r="J43" s="38">
        <v>5.9433800000000002E-2</v>
      </c>
      <c r="K43" s="38"/>
      <c r="L43" s="38">
        <f>+L40</f>
        <v>6.0193799999999999E-2</v>
      </c>
      <c r="M43" s="38"/>
      <c r="N43" s="38">
        <v>6.0283799999999998E-2</v>
      </c>
      <c r="O43" s="38"/>
      <c r="P43" s="38">
        <f>+P40</f>
        <v>6.21938E-2</v>
      </c>
      <c r="Q43" s="39"/>
      <c r="R43" s="38">
        <v>6.2393799999999999E-2</v>
      </c>
      <c r="S43" s="30"/>
      <c r="T43" s="30"/>
      <c r="U43" s="163"/>
      <c r="V43" s="39">
        <f>SUMPRODUCT(D43:R43,D35:R35)/V35</f>
        <v>5.9828251556322466E-2</v>
      </c>
      <c r="W43" s="25"/>
      <c r="X43" s="5"/>
    </row>
    <row r="44" spans="1:24" ht="15.6" x14ac:dyDescent="0.3">
      <c r="A44" s="24"/>
      <c r="B44" s="25" t="s">
        <v>302</v>
      </c>
      <c r="C44" s="110"/>
      <c r="D44" s="38">
        <v>5.9712099999999997E-2</v>
      </c>
      <c r="E44" s="38"/>
      <c r="F44" s="38">
        <f>+F41</f>
        <v>6.04938E-2</v>
      </c>
      <c r="G44" s="38"/>
      <c r="H44" s="38">
        <v>6.0615799999999997E-2</v>
      </c>
      <c r="I44" s="38"/>
      <c r="J44" s="38">
        <v>6.0533799999999999E-2</v>
      </c>
      <c r="K44" s="38"/>
      <c r="L44" s="38">
        <f>+L41</f>
        <v>6.1293800000000002E-2</v>
      </c>
      <c r="M44" s="38"/>
      <c r="N44" s="38">
        <v>6.1383800000000002E-2</v>
      </c>
      <c r="O44" s="38"/>
      <c r="P44" s="38">
        <f>+P41</f>
        <v>6.3293799999999997E-2</v>
      </c>
      <c r="Q44" s="39"/>
      <c r="R44" s="38">
        <v>6.3493800000000003E-2</v>
      </c>
      <c r="S44" s="30"/>
      <c r="T44" s="30"/>
      <c r="U44" s="163"/>
      <c r="V44" s="163"/>
      <c r="W44" s="25"/>
      <c r="X44" s="5"/>
    </row>
    <row r="45" spans="1:24" ht="15.6" x14ac:dyDescent="0.3">
      <c r="A45" s="24"/>
      <c r="B45" s="25" t="s">
        <v>14</v>
      </c>
      <c r="C45" s="25"/>
      <c r="D45" s="110">
        <v>40466</v>
      </c>
      <c r="E45" s="110"/>
      <c r="F45" s="110">
        <v>40466</v>
      </c>
      <c r="G45" s="110"/>
      <c r="H45" s="110">
        <v>40466</v>
      </c>
      <c r="I45" s="110"/>
      <c r="J45" s="110">
        <v>40466</v>
      </c>
      <c r="K45" s="110"/>
      <c r="L45" s="110">
        <v>40466</v>
      </c>
      <c r="M45" s="110"/>
      <c r="N45" s="110">
        <v>40466</v>
      </c>
      <c r="O45" s="110"/>
      <c r="P45" s="110">
        <v>40466</v>
      </c>
      <c r="Q45" s="110"/>
      <c r="R45" s="110">
        <v>40466</v>
      </c>
      <c r="S45" s="30"/>
      <c r="T45" s="30"/>
      <c r="U45" s="163"/>
      <c r="V45" s="163"/>
      <c r="W45" s="25"/>
      <c r="X45" s="5"/>
    </row>
    <row r="46" spans="1:24" ht="15.6" x14ac:dyDescent="0.3">
      <c r="A46" s="24"/>
      <c r="B46" s="25" t="s">
        <v>15</v>
      </c>
      <c r="C46" s="25"/>
      <c r="D46" s="110" t="s">
        <v>121</v>
      </c>
      <c r="E46" s="110"/>
      <c r="F46" s="110">
        <v>40831</v>
      </c>
      <c r="G46" s="110"/>
      <c r="H46" s="110">
        <v>40831</v>
      </c>
      <c r="I46" s="110"/>
      <c r="J46" s="110">
        <v>40831</v>
      </c>
      <c r="K46" s="30"/>
      <c r="L46" s="110">
        <v>40831</v>
      </c>
      <c r="M46" s="30"/>
      <c r="N46" s="110">
        <v>40831</v>
      </c>
      <c r="O46" s="30"/>
      <c r="P46" s="110">
        <v>40831</v>
      </c>
      <c r="Q46" s="30"/>
      <c r="R46" s="110">
        <v>40831</v>
      </c>
      <c r="S46" s="30"/>
      <c r="T46" s="30"/>
      <c r="U46" s="163"/>
      <c r="V46" s="163"/>
      <c r="W46" s="25"/>
      <c r="X46" s="5"/>
    </row>
    <row r="47" spans="1:24" ht="15.6" x14ac:dyDescent="0.3">
      <c r="A47" s="24"/>
      <c r="B47" s="25" t="s">
        <v>122</v>
      </c>
      <c r="C47" s="25"/>
      <c r="D47" s="160" t="s">
        <v>121</v>
      </c>
      <c r="E47" s="25"/>
      <c r="F47" s="30" t="s">
        <v>226</v>
      </c>
      <c r="G47" s="30"/>
      <c r="H47" s="30" t="s">
        <v>226</v>
      </c>
      <c r="I47" s="30"/>
      <c r="J47" s="30" t="s">
        <v>256</v>
      </c>
      <c r="K47" s="30"/>
      <c r="L47" s="30" t="s">
        <v>254</v>
      </c>
      <c r="M47" s="30"/>
      <c r="N47" s="30" t="s">
        <v>257</v>
      </c>
      <c r="O47" s="30"/>
      <c r="P47" s="30" t="s">
        <v>258</v>
      </c>
      <c r="Q47" s="30"/>
      <c r="R47" s="30" t="s">
        <v>259</v>
      </c>
      <c r="S47" s="40"/>
      <c r="T47" s="40"/>
      <c r="U47" s="40"/>
      <c r="V47" s="40"/>
      <c r="W47" s="25"/>
      <c r="X47" s="5"/>
    </row>
    <row r="48" spans="1:24" ht="15.6" x14ac:dyDescent="0.3">
      <c r="A48" s="24"/>
      <c r="B48" s="25" t="s">
        <v>303</v>
      </c>
      <c r="C48" s="25"/>
      <c r="D48" s="30" t="s">
        <v>203</v>
      </c>
      <c r="E48" s="25"/>
      <c r="F48" s="30" t="s">
        <v>226</v>
      </c>
      <c r="G48" s="30"/>
      <c r="H48" s="30" t="s">
        <v>227</v>
      </c>
      <c r="I48" s="30"/>
      <c r="J48" s="30" t="s">
        <v>237</v>
      </c>
      <c r="K48" s="30"/>
      <c r="L48" s="30" t="s">
        <v>254</v>
      </c>
      <c r="M48" s="30"/>
      <c r="N48" s="30" t="s">
        <v>260</v>
      </c>
      <c r="O48" s="30"/>
      <c r="P48" s="30" t="s">
        <v>258</v>
      </c>
      <c r="Q48" s="30"/>
      <c r="R48" s="30" t="s">
        <v>261</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196</v>
      </c>
      <c r="W49" s="25"/>
      <c r="X49" s="5"/>
    </row>
    <row r="50" spans="1:25" ht="15.6" x14ac:dyDescent="0.3">
      <c r="A50" s="24"/>
      <c r="B50" s="25" t="s">
        <v>172</v>
      </c>
      <c r="C50" s="25"/>
      <c r="D50" s="30"/>
      <c r="E50" s="25"/>
      <c r="F50" s="30"/>
      <c r="G50" s="30"/>
      <c r="H50" s="30"/>
      <c r="I50" s="30"/>
      <c r="J50" s="30"/>
      <c r="K50" s="30"/>
      <c r="L50" s="30"/>
      <c r="M50" s="30"/>
      <c r="N50" s="30"/>
      <c r="O50" s="30"/>
      <c r="P50" s="30"/>
      <c r="Q50" s="30"/>
      <c r="R50" s="30"/>
      <c r="S50" s="25"/>
      <c r="T50" s="25"/>
      <c r="U50" s="25"/>
      <c r="V50" s="39">
        <f>SUM(L34:R34)/SUM(D34:J34)</f>
        <v>0.13611940162868597</v>
      </c>
      <c r="W50" s="25"/>
      <c r="X50" s="5"/>
    </row>
    <row r="51" spans="1:25" ht="15.6" x14ac:dyDescent="0.3">
      <c r="A51" s="24"/>
      <c r="B51" s="25" t="s">
        <v>173</v>
      </c>
      <c r="C51" s="25"/>
      <c r="D51" s="25"/>
      <c r="E51" s="25"/>
      <c r="F51" s="41"/>
      <c r="G51" s="25"/>
      <c r="H51" s="25"/>
      <c r="I51" s="25"/>
      <c r="J51" s="25"/>
      <c r="K51" s="25"/>
      <c r="L51" s="25"/>
      <c r="M51" s="25"/>
      <c r="N51" s="25"/>
      <c r="O51" s="25"/>
      <c r="P51" s="25"/>
      <c r="Q51" s="25"/>
      <c r="R51" s="25"/>
      <c r="S51" s="25"/>
      <c r="T51" s="25"/>
      <c r="U51" s="25"/>
      <c r="V51" s="39">
        <f>SUM(L36:R36)/SUM(D36:J36)</f>
        <v>0.17779564759282473</v>
      </c>
      <c r="W51" s="25"/>
      <c r="X51" s="5"/>
    </row>
    <row r="52" spans="1:25" ht="15.6" x14ac:dyDescent="0.3">
      <c r="A52" s="24"/>
      <c r="B52" s="25" t="s">
        <v>174</v>
      </c>
      <c r="C52" s="25"/>
      <c r="D52" s="25"/>
      <c r="E52" s="25"/>
      <c r="F52" s="25"/>
      <c r="G52" s="25"/>
      <c r="H52" s="25"/>
      <c r="I52" s="25"/>
      <c r="J52" s="25"/>
      <c r="K52" s="25"/>
      <c r="L52" s="25"/>
      <c r="M52" s="25"/>
      <c r="N52" s="25"/>
      <c r="O52" s="25"/>
      <c r="P52" s="25"/>
      <c r="Q52" s="25"/>
      <c r="R52" s="25"/>
      <c r="S52" s="25"/>
      <c r="T52" s="30" t="s">
        <v>107</v>
      </c>
      <c r="U52" s="30" t="s">
        <v>112</v>
      </c>
      <c r="V52" s="31">
        <f>+V34/2-SUM(L34:R34)</f>
        <v>570356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205</v>
      </c>
      <c r="C54" s="25"/>
      <c r="D54" s="25"/>
      <c r="E54" s="25"/>
      <c r="F54" s="25"/>
      <c r="G54" s="25"/>
      <c r="H54" s="25"/>
      <c r="I54" s="25"/>
      <c r="J54" s="25"/>
      <c r="K54" s="25"/>
      <c r="L54" s="25"/>
      <c r="M54" s="25"/>
      <c r="N54" s="25"/>
      <c r="O54" s="25"/>
      <c r="P54" s="25"/>
      <c r="Q54" s="25"/>
      <c r="R54" s="25"/>
      <c r="S54" s="25"/>
      <c r="T54" s="25"/>
      <c r="U54" s="25"/>
      <c r="V54" s="156" t="s">
        <v>206</v>
      </c>
      <c r="W54" s="25"/>
      <c r="X54" s="5"/>
    </row>
    <row r="55" spans="1:25" ht="15.6" x14ac:dyDescent="0.3">
      <c r="A55" s="24"/>
      <c r="B55" s="25" t="s">
        <v>236</v>
      </c>
      <c r="C55" s="25"/>
      <c r="D55" s="25"/>
      <c r="E55" s="25"/>
      <c r="F55" s="25"/>
      <c r="G55" s="25"/>
      <c r="H55" s="25"/>
      <c r="I55" s="25"/>
      <c r="J55" s="25"/>
      <c r="K55" s="25"/>
      <c r="L55" s="25"/>
      <c r="M55" s="25"/>
      <c r="N55" s="25"/>
      <c r="O55" s="25"/>
      <c r="P55" s="25"/>
      <c r="Q55" s="25"/>
      <c r="R55" s="25"/>
      <c r="S55" s="25"/>
      <c r="T55" s="30"/>
      <c r="U55" s="30"/>
      <c r="V55" s="157" t="s">
        <v>114</v>
      </c>
      <c r="W55" s="25"/>
      <c r="X55" s="5"/>
    </row>
    <row r="56" spans="1:25" ht="15.6" x14ac:dyDescent="0.3">
      <c r="A56" s="24"/>
      <c r="B56" s="29" t="s">
        <v>204</v>
      </c>
      <c r="C56" s="29"/>
      <c r="D56" s="29"/>
      <c r="E56" s="29"/>
      <c r="F56" s="29"/>
      <c r="G56" s="29"/>
      <c r="H56" s="29"/>
      <c r="I56" s="29"/>
      <c r="J56" s="29"/>
      <c r="K56" s="29"/>
      <c r="L56" s="29"/>
      <c r="M56" s="29"/>
      <c r="N56" s="29"/>
      <c r="O56" s="29"/>
      <c r="P56" s="29"/>
      <c r="Q56" s="29"/>
      <c r="R56" s="29"/>
      <c r="S56" s="29"/>
      <c r="T56" s="43"/>
      <c r="U56" s="43"/>
      <c r="V56" s="44">
        <v>39736</v>
      </c>
      <c r="W56" s="25"/>
      <c r="X56" s="5"/>
    </row>
    <row r="57" spans="1:25" ht="15.6" x14ac:dyDescent="0.3">
      <c r="A57" s="24"/>
      <c r="B57" s="25" t="s">
        <v>124</v>
      </c>
      <c r="C57" s="25"/>
      <c r="D57" s="25"/>
      <c r="E57" s="25"/>
      <c r="F57" s="25"/>
      <c r="G57" s="25"/>
      <c r="H57" s="58"/>
      <c r="I57" s="58"/>
      <c r="J57" s="58"/>
      <c r="K57" s="58"/>
      <c r="L57" s="58"/>
      <c r="M57" s="58"/>
      <c r="N57" s="58"/>
      <c r="O57" s="58"/>
      <c r="P57" s="58"/>
      <c r="Q57" s="58"/>
      <c r="R57" s="25">
        <f>+V57-T57+1</f>
        <v>91</v>
      </c>
      <c r="S57" s="58"/>
      <c r="T57" s="45">
        <v>39553</v>
      </c>
      <c r="U57" s="46"/>
      <c r="V57" s="45">
        <v>39643</v>
      </c>
      <c r="W57" s="25"/>
      <c r="X57" s="5"/>
    </row>
    <row r="58" spans="1:25" ht="15.6" x14ac:dyDescent="0.3">
      <c r="A58" s="24"/>
      <c r="B58" s="25" t="s">
        <v>125</v>
      </c>
      <c r="C58" s="25"/>
      <c r="D58" s="25"/>
      <c r="E58" s="25"/>
      <c r="F58" s="25"/>
      <c r="G58" s="25"/>
      <c r="H58" s="25"/>
      <c r="I58" s="25"/>
      <c r="J58" s="25"/>
      <c r="K58" s="25"/>
      <c r="L58" s="25"/>
      <c r="M58" s="25"/>
      <c r="N58" s="25"/>
      <c r="O58" s="25"/>
      <c r="P58" s="25"/>
      <c r="Q58" s="25"/>
      <c r="R58" s="25">
        <f>+V58-T58+1</f>
        <v>92</v>
      </c>
      <c r="S58" s="25"/>
      <c r="T58" s="45">
        <v>39644</v>
      </c>
      <c r="U58" s="46"/>
      <c r="V58" s="45">
        <v>39735</v>
      </c>
      <c r="W58" s="25"/>
      <c r="X58" s="5"/>
    </row>
    <row r="59" spans="1:25" ht="15.6" x14ac:dyDescent="0.3">
      <c r="A59" s="24"/>
      <c r="B59" s="25" t="s">
        <v>235</v>
      </c>
      <c r="C59" s="25"/>
      <c r="D59" s="25"/>
      <c r="E59" s="25"/>
      <c r="F59" s="25"/>
      <c r="G59" s="25"/>
      <c r="H59" s="25"/>
      <c r="I59" s="25"/>
      <c r="J59" s="25"/>
      <c r="K59" s="25"/>
      <c r="L59" s="25"/>
      <c r="M59" s="25"/>
      <c r="N59" s="25"/>
      <c r="O59" s="25"/>
      <c r="P59" s="25"/>
      <c r="Q59" s="25"/>
      <c r="R59" s="25"/>
      <c r="S59" s="25"/>
      <c r="T59" s="45"/>
      <c r="U59" s="46"/>
      <c r="V59" s="45" t="s">
        <v>123</v>
      </c>
      <c r="W59" s="25"/>
      <c r="X59" s="5"/>
    </row>
    <row r="60" spans="1:25" ht="15.6" x14ac:dyDescent="0.3">
      <c r="A60" s="24"/>
      <c r="B60" s="25" t="s">
        <v>234</v>
      </c>
      <c r="C60" s="25"/>
      <c r="D60" s="25"/>
      <c r="E60" s="25"/>
      <c r="F60" s="25"/>
      <c r="G60" s="25"/>
      <c r="H60" s="25"/>
      <c r="I60" s="25"/>
      <c r="J60" s="25"/>
      <c r="K60" s="25"/>
      <c r="L60" s="25"/>
      <c r="M60" s="25"/>
      <c r="N60" s="25"/>
      <c r="O60" s="25"/>
      <c r="P60" s="25"/>
      <c r="Q60" s="25"/>
      <c r="R60" s="25"/>
      <c r="S60" s="25"/>
      <c r="T60" s="45"/>
      <c r="U60" s="46"/>
      <c r="V60" s="45" t="s">
        <v>157</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39722</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291</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95</v>
      </c>
      <c r="M68" s="115"/>
      <c r="N68" s="115" t="s">
        <v>97</v>
      </c>
      <c r="O68" s="115"/>
      <c r="P68" s="115" t="s">
        <v>99</v>
      </c>
      <c r="Q68" s="115"/>
      <c r="R68" s="115" t="s">
        <v>101</v>
      </c>
      <c r="S68" s="115"/>
      <c r="T68" s="115" t="s">
        <v>108</v>
      </c>
      <c r="U68" s="115"/>
      <c r="V68" s="116" t="s">
        <v>115</v>
      </c>
      <c r="W68" s="117"/>
      <c r="X68" s="5"/>
    </row>
    <row r="69" spans="1:24" ht="15.6" x14ac:dyDescent="0.3">
      <c r="A69" s="24"/>
      <c r="B69" s="25" t="s">
        <v>19</v>
      </c>
      <c r="C69" s="34"/>
      <c r="D69" s="34"/>
      <c r="E69" s="34"/>
      <c r="F69" s="34"/>
      <c r="G69" s="34"/>
      <c r="H69" s="34"/>
      <c r="I69" s="34"/>
      <c r="J69" s="34"/>
      <c r="K69" s="34"/>
      <c r="L69" s="34">
        <f>1085286</f>
        <v>1085286</v>
      </c>
      <c r="M69" s="34"/>
      <c r="N69" s="53">
        <v>1238741</v>
      </c>
      <c r="O69" s="34"/>
      <c r="P69" s="34">
        <f>48072+2787+1919</f>
        <v>52778</v>
      </c>
      <c r="Q69" s="34"/>
      <c r="R69" s="34">
        <f>2787+1919</f>
        <v>4706</v>
      </c>
      <c r="S69" s="34"/>
      <c r="T69" s="34">
        <v>0</v>
      </c>
      <c r="U69" s="34"/>
      <c r="V69" s="53">
        <f>+N69-P69+R69-T69</f>
        <v>1190669</v>
      </c>
      <c r="W69" s="25"/>
      <c r="X69" s="5"/>
    </row>
    <row r="70" spans="1:24" ht="15.6" x14ac:dyDescent="0.3">
      <c r="A70" s="24"/>
      <c r="B70" s="25" t="s">
        <v>20</v>
      </c>
      <c r="C70" s="34"/>
      <c r="D70" s="34"/>
      <c r="E70" s="34"/>
      <c r="F70" s="34"/>
      <c r="G70" s="34"/>
      <c r="H70" s="34"/>
      <c r="I70" s="34"/>
      <c r="J70" s="34"/>
      <c r="K70" s="34"/>
      <c r="L70" s="34">
        <v>35</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1085321</v>
      </c>
      <c r="M72" s="34"/>
      <c r="N72" s="54">
        <f>N69+N70</f>
        <v>1238741</v>
      </c>
      <c r="O72" s="34"/>
      <c r="P72" s="34">
        <f>SUM(P69:P71)</f>
        <v>52778</v>
      </c>
      <c r="Q72" s="34"/>
      <c r="R72" s="34">
        <f>SUM(R69:R71)</f>
        <v>4706</v>
      </c>
      <c r="S72" s="34"/>
      <c r="T72" s="34">
        <f>SUM(T69:T71)</f>
        <v>0</v>
      </c>
      <c r="U72" s="34"/>
      <c r="V72" s="54">
        <f>SUM(V69:V71)</f>
        <v>1190669</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120</v>
      </c>
      <c r="C82" s="34"/>
      <c r="D82" s="34"/>
      <c r="E82" s="34"/>
      <c r="F82" s="34"/>
      <c r="G82" s="34"/>
      <c r="H82" s="34"/>
      <c r="I82" s="34"/>
      <c r="J82" s="34"/>
      <c r="K82" s="34"/>
      <c r="L82" s="34">
        <f>414862+7</f>
        <v>414869</v>
      </c>
      <c r="M82" s="34"/>
      <c r="N82" s="34">
        <v>0</v>
      </c>
      <c r="O82" s="34"/>
      <c r="P82" s="34">
        <v>0</v>
      </c>
      <c r="Q82" s="34"/>
      <c r="R82" s="34"/>
      <c r="S82" s="34"/>
      <c r="T82" s="34"/>
      <c r="U82" s="34"/>
      <c r="V82" s="54">
        <f>SUM(N82:R82)</f>
        <v>0</v>
      </c>
      <c r="W82" s="25"/>
      <c r="X82" s="5"/>
    </row>
    <row r="83" spans="1:24" ht="15.6" x14ac:dyDescent="0.3">
      <c r="A83" s="24"/>
      <c r="B83" s="25" t="s">
        <v>149</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1500190</v>
      </c>
      <c r="M85" s="34"/>
      <c r="N85" s="54">
        <f>SUM(N72:N84)</f>
        <v>1238741</v>
      </c>
      <c r="O85" s="34"/>
      <c r="P85" s="34"/>
      <c r="Q85" s="34"/>
      <c r="R85" s="34"/>
      <c r="S85" s="34"/>
      <c r="T85" s="54"/>
      <c r="U85" s="34"/>
      <c r="V85" s="54">
        <f>SUM(V72:V84)</f>
        <v>1190669</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96</v>
      </c>
      <c r="M88" s="17"/>
      <c r="N88" s="158">
        <f>+T198</f>
        <v>39721</v>
      </c>
      <c r="O88" s="17"/>
      <c r="P88" s="17"/>
      <c r="Q88" s="17"/>
      <c r="R88" s="17"/>
      <c r="S88" s="17"/>
      <c r="T88" s="17" t="s">
        <v>109</v>
      </c>
      <c r="U88" s="17"/>
      <c r="V88" s="17" t="s">
        <v>116</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v>52778</v>
      </c>
      <c r="U90" s="25"/>
      <c r="V90" s="53"/>
      <c r="W90" s="25"/>
      <c r="X90" s="5"/>
    </row>
    <row r="91" spans="1:24" ht="15.6" x14ac:dyDescent="0.3">
      <c r="A91" s="24"/>
      <c r="B91" s="25" t="s">
        <v>219</v>
      </c>
      <c r="C91" s="25"/>
      <c r="D91" s="25"/>
      <c r="E91" s="25"/>
      <c r="F91" s="25"/>
      <c r="G91" s="25"/>
      <c r="H91" s="40"/>
      <c r="I91" s="40"/>
      <c r="J91" s="40"/>
      <c r="K91" s="57"/>
      <c r="L91" s="40"/>
      <c r="M91" s="25"/>
      <c r="N91" s="127"/>
      <c r="O91" s="25"/>
      <c r="P91" s="25"/>
      <c r="Q91" s="25"/>
      <c r="R91" s="25"/>
      <c r="S91" s="25"/>
      <c r="T91" s="34"/>
      <c r="U91" s="25"/>
      <c r="V91" s="53">
        <f>12733+8359-2244-2350+134+115</f>
        <v>16747</v>
      </c>
      <c r="W91" s="25"/>
      <c r="X91" s="5"/>
    </row>
    <row r="92" spans="1:24" ht="15.6" x14ac:dyDescent="0.3">
      <c r="A92" s="24"/>
      <c r="B92" s="25" t="s">
        <v>214</v>
      </c>
      <c r="C92" s="25"/>
      <c r="D92" s="25"/>
      <c r="E92" s="25"/>
      <c r="F92" s="25"/>
      <c r="G92" s="25"/>
      <c r="H92" s="40"/>
      <c r="I92" s="40"/>
      <c r="J92" s="40"/>
      <c r="K92" s="57"/>
      <c r="L92" s="40"/>
      <c r="M92" s="25"/>
      <c r="N92" s="127"/>
      <c r="O92" s="25"/>
      <c r="P92" s="25"/>
      <c r="Q92" s="25"/>
      <c r="R92" s="25"/>
      <c r="S92" s="25"/>
      <c r="T92" s="34"/>
      <c r="U92" s="25"/>
      <c r="V92" s="53">
        <f>222+247</f>
        <v>469</v>
      </c>
      <c r="W92" s="25"/>
      <c r="X92" s="5"/>
    </row>
    <row r="93" spans="1:24" ht="15.6" x14ac:dyDescent="0.3">
      <c r="A93" s="24"/>
      <c r="B93" s="25" t="s">
        <v>215</v>
      </c>
      <c r="C93" s="25"/>
      <c r="D93" s="25"/>
      <c r="E93" s="25"/>
      <c r="F93" s="25"/>
      <c r="G93" s="25"/>
      <c r="H93" s="40"/>
      <c r="I93" s="40"/>
      <c r="J93" s="40"/>
      <c r="K93" s="57"/>
      <c r="L93" s="40"/>
      <c r="M93" s="25"/>
      <c r="N93" s="127"/>
      <c r="O93" s="25"/>
      <c r="P93" s="25"/>
      <c r="Q93" s="25"/>
      <c r="R93" s="25"/>
      <c r="S93" s="25"/>
      <c r="T93" s="34"/>
      <c r="U93" s="25"/>
      <c r="V93" s="53">
        <v>898</v>
      </c>
      <c r="W93" s="25"/>
      <c r="X93" s="5"/>
    </row>
    <row r="94" spans="1:24" ht="15.6" x14ac:dyDescent="0.3">
      <c r="A94" s="24"/>
      <c r="B94" s="25" t="s">
        <v>277</v>
      </c>
      <c r="C94" s="25"/>
      <c r="D94" s="25"/>
      <c r="E94" s="25"/>
      <c r="F94" s="25"/>
      <c r="G94" s="25"/>
      <c r="H94" s="40"/>
      <c r="I94" s="40"/>
      <c r="J94" s="40"/>
      <c r="K94" s="57"/>
      <c r="L94" s="40"/>
      <c r="M94" s="25"/>
      <c r="N94" s="127"/>
      <c r="O94" s="25"/>
      <c r="P94" s="25"/>
      <c r="Q94" s="25"/>
      <c r="R94" s="25"/>
      <c r="S94" s="25"/>
      <c r="T94" s="34"/>
      <c r="U94" s="25"/>
      <c r="V94" s="53">
        <f>18+779</f>
        <v>797</v>
      </c>
      <c r="W94" s="25"/>
      <c r="X94" s="5"/>
    </row>
    <row r="95" spans="1:24" ht="15.6" x14ac:dyDescent="0.3">
      <c r="A95" s="24"/>
      <c r="B95" s="25" t="s">
        <v>138</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265</v>
      </c>
      <c r="C96" s="25"/>
      <c r="D96" s="25"/>
      <c r="E96" s="25"/>
      <c r="F96" s="25"/>
      <c r="G96" s="25"/>
      <c r="H96" s="25"/>
      <c r="I96" s="25"/>
      <c r="J96" s="25"/>
      <c r="K96" s="25"/>
      <c r="L96" s="25"/>
      <c r="M96" s="25"/>
      <c r="N96" s="25"/>
      <c r="O96" s="25"/>
      <c r="P96" s="25"/>
      <c r="Q96" s="25"/>
      <c r="R96" s="25"/>
      <c r="S96" s="25"/>
      <c r="T96" s="34"/>
      <c r="U96" s="25"/>
      <c r="V96" s="53">
        <v>2856</v>
      </c>
      <c r="W96" s="25"/>
      <c r="X96" s="5"/>
    </row>
    <row r="97" spans="1:26" ht="15.6" x14ac:dyDescent="0.3">
      <c r="A97" s="24"/>
      <c r="B97" s="25" t="s">
        <v>30</v>
      </c>
      <c r="C97" s="25"/>
      <c r="D97" s="25"/>
      <c r="E97" s="25"/>
      <c r="F97" s="25"/>
      <c r="G97" s="25"/>
      <c r="H97" s="25"/>
      <c r="I97" s="25"/>
      <c r="J97" s="25"/>
      <c r="K97" s="25"/>
      <c r="L97" s="25"/>
      <c r="M97" s="25"/>
      <c r="N97" s="25"/>
      <c r="O97" s="25"/>
      <c r="P97" s="25"/>
      <c r="Q97" s="25"/>
      <c r="R97" s="25"/>
      <c r="S97" s="25"/>
      <c r="T97" s="34">
        <f>SUM(T89:T96)</f>
        <v>52778</v>
      </c>
      <c r="U97" s="25"/>
      <c r="V97" s="54">
        <f>SUM(V89:V96)</f>
        <v>21767</v>
      </c>
      <c r="W97" s="25"/>
      <c r="X97" s="5"/>
    </row>
    <row r="98" spans="1:26" ht="15.6" x14ac:dyDescent="0.3">
      <c r="A98" s="24"/>
      <c r="B98" s="25" t="s">
        <v>164</v>
      </c>
      <c r="C98" s="25"/>
      <c r="D98" s="25"/>
      <c r="E98" s="25"/>
      <c r="F98" s="25"/>
      <c r="G98" s="25"/>
      <c r="H98" s="25"/>
      <c r="I98" s="25"/>
      <c r="J98" s="25"/>
      <c r="K98" s="25"/>
      <c r="L98" s="25"/>
      <c r="M98" s="25"/>
      <c r="N98" s="25"/>
      <c r="O98" s="25"/>
      <c r="P98" s="25"/>
      <c r="Q98" s="25"/>
      <c r="R98" s="25"/>
      <c r="S98" s="25"/>
      <c r="T98" s="34">
        <f>-V98</f>
        <v>-1045</v>
      </c>
      <c r="U98" s="25"/>
      <c r="V98" s="54">
        <v>1045</v>
      </c>
      <c r="W98" s="25"/>
      <c r="X98" s="5"/>
    </row>
    <row r="99" spans="1:26"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6" ht="15.6" x14ac:dyDescent="0.3">
      <c r="A100" s="24"/>
      <c r="B100" s="25" t="s">
        <v>288</v>
      </c>
      <c r="C100" s="25"/>
      <c r="D100" s="25"/>
      <c r="E100" s="25"/>
      <c r="F100" s="25"/>
      <c r="G100" s="25"/>
      <c r="H100" s="25"/>
      <c r="I100" s="25"/>
      <c r="J100" s="25"/>
      <c r="K100" s="25"/>
      <c r="L100" s="25"/>
      <c r="M100" s="25"/>
      <c r="N100" s="25"/>
      <c r="O100" s="25"/>
      <c r="P100" s="25"/>
      <c r="Q100" s="25"/>
      <c r="R100" s="25"/>
      <c r="S100" s="25"/>
      <c r="T100" s="34"/>
      <c r="U100" s="25"/>
      <c r="V100" s="53">
        <v>-58</v>
      </c>
      <c r="W100" s="25"/>
      <c r="X100" s="5"/>
    </row>
    <row r="101" spans="1:26"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51733</v>
      </c>
      <c r="U101" s="25"/>
      <c r="V101" s="54">
        <f>V97+V99+V98+V100</f>
        <v>22754</v>
      </c>
      <c r="W101" s="25"/>
      <c r="X101" s="5"/>
    </row>
    <row r="102" spans="1:26"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6"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6" ht="15.6" x14ac:dyDescent="0.3">
      <c r="A104" s="24">
        <f>+A103+1</f>
        <v>2</v>
      </c>
      <c r="B104" s="25" t="s">
        <v>231</v>
      </c>
      <c r="C104" s="25"/>
      <c r="D104" s="25"/>
      <c r="E104" s="25"/>
      <c r="F104" s="25"/>
      <c r="G104" s="25"/>
      <c r="H104" s="25"/>
      <c r="I104" s="25"/>
      <c r="J104" s="25"/>
      <c r="K104" s="25"/>
      <c r="L104" s="25"/>
      <c r="M104" s="25"/>
      <c r="N104" s="25"/>
      <c r="O104" s="25"/>
      <c r="P104" s="25"/>
      <c r="Q104" s="25"/>
      <c r="R104" s="25"/>
      <c r="S104" s="25"/>
      <c r="T104" s="25"/>
      <c r="U104" s="25"/>
      <c r="V104" s="53">
        <f>-2</f>
        <v>-2</v>
      </c>
      <c r="W104" s="25"/>
      <c r="X104" s="5"/>
    </row>
    <row r="105" spans="1:26" ht="15.6" x14ac:dyDescent="0.3">
      <c r="A105" s="24">
        <f>+A104+1</f>
        <v>3</v>
      </c>
      <c r="B105" s="25" t="s">
        <v>207</v>
      </c>
      <c r="C105" s="25"/>
      <c r="D105" s="25"/>
      <c r="E105" s="25"/>
      <c r="F105" s="25"/>
      <c r="G105" s="25"/>
      <c r="H105" s="25"/>
      <c r="I105" s="25"/>
      <c r="J105" s="25"/>
      <c r="K105" s="25"/>
      <c r="L105" s="25"/>
      <c r="M105" s="25"/>
      <c r="N105" s="25"/>
      <c r="O105" s="25"/>
      <c r="P105" s="25"/>
      <c r="Q105" s="25"/>
      <c r="R105" s="25"/>
      <c r="S105" s="25"/>
      <c r="T105" s="25"/>
      <c r="U105" s="25"/>
      <c r="V105" s="53">
        <f>-469-119-15</f>
        <v>-603</v>
      </c>
      <c r="W105" s="25"/>
      <c r="X105" s="5"/>
    </row>
    <row r="106" spans="1:26" ht="15.6" x14ac:dyDescent="0.3">
      <c r="A106" s="24" t="s">
        <v>130</v>
      </c>
      <c r="B106" s="25" t="s">
        <v>119</v>
      </c>
      <c r="C106" s="25"/>
      <c r="D106" s="25"/>
      <c r="E106" s="25"/>
      <c r="F106" s="25"/>
      <c r="G106" s="25"/>
      <c r="H106" s="25"/>
      <c r="I106" s="25"/>
      <c r="J106" s="25"/>
      <c r="K106" s="25"/>
      <c r="L106" s="25"/>
      <c r="M106" s="25"/>
      <c r="N106" s="25"/>
      <c r="O106" s="25"/>
      <c r="P106" s="25"/>
      <c r="Q106" s="25"/>
      <c r="R106" s="25"/>
      <c r="S106" s="25"/>
      <c r="T106" s="25"/>
      <c r="U106" s="25"/>
      <c r="V106" s="53">
        <v>0</v>
      </c>
      <c r="W106" s="25"/>
      <c r="X106" s="5"/>
    </row>
    <row r="107" spans="1:26" ht="15.6" x14ac:dyDescent="0.3">
      <c r="A107" s="24" t="s">
        <v>131</v>
      </c>
      <c r="B107" s="25" t="s">
        <v>228</v>
      </c>
      <c r="C107" s="25"/>
      <c r="D107" s="25"/>
      <c r="E107" s="25"/>
      <c r="F107" s="25"/>
      <c r="G107" s="25"/>
      <c r="H107" s="25"/>
      <c r="I107" s="25"/>
      <c r="J107" s="25"/>
      <c r="K107" s="25"/>
      <c r="L107" s="25"/>
      <c r="M107" s="25"/>
      <c r="N107" s="25"/>
      <c r="O107" s="25"/>
      <c r="P107" s="25"/>
      <c r="Q107" s="25"/>
      <c r="R107" s="25"/>
      <c r="S107" s="25"/>
      <c r="T107" s="25"/>
      <c r="U107" s="25"/>
      <c r="V107" s="53">
        <f>-15915+1501</f>
        <v>-14414</v>
      </c>
      <c r="W107" s="25"/>
      <c r="X107" s="5"/>
      <c r="Y107" s="109"/>
      <c r="Z107" s="109"/>
    </row>
    <row r="108" spans="1:26" ht="15.6" x14ac:dyDescent="0.3">
      <c r="A108" s="24" t="s">
        <v>153</v>
      </c>
      <c r="B108" s="25" t="s">
        <v>187</v>
      </c>
      <c r="C108" s="25"/>
      <c r="D108" s="25"/>
      <c r="E108" s="25"/>
      <c r="F108" s="25"/>
      <c r="G108" s="25"/>
      <c r="H108" s="25"/>
      <c r="I108" s="25"/>
      <c r="J108" s="25"/>
      <c r="K108" s="25"/>
      <c r="L108" s="25"/>
      <c r="M108" s="25"/>
      <c r="N108" s="25"/>
      <c r="O108" s="25"/>
      <c r="P108" s="25"/>
      <c r="Q108" s="25"/>
      <c r="R108" s="25"/>
      <c r="S108" s="25"/>
      <c r="T108" s="25"/>
      <c r="U108" s="25"/>
      <c r="V108" s="53">
        <v>-1501</v>
      </c>
      <c r="W108" s="25"/>
      <c r="X108" s="5"/>
      <c r="Y108" s="109"/>
    </row>
    <row r="109" spans="1:26" ht="15.6" x14ac:dyDescent="0.3">
      <c r="A109" s="24" t="s">
        <v>266</v>
      </c>
      <c r="B109" s="25" t="s">
        <v>269</v>
      </c>
      <c r="C109" s="25"/>
      <c r="D109" s="25"/>
      <c r="E109" s="25"/>
      <c r="F109" s="25"/>
      <c r="G109" s="25"/>
      <c r="H109" s="25"/>
      <c r="I109" s="25"/>
      <c r="J109" s="25"/>
      <c r="K109" s="25"/>
      <c r="L109" s="25"/>
      <c r="M109" s="25"/>
      <c r="N109" s="25"/>
      <c r="O109" s="25"/>
      <c r="P109" s="25"/>
      <c r="Q109" s="25"/>
      <c r="R109" s="25"/>
      <c r="S109" s="25"/>
      <c r="T109" s="25"/>
      <c r="U109" s="25"/>
      <c r="V109" s="53">
        <v>-2</v>
      </c>
      <c r="W109" s="25"/>
      <c r="X109" s="5"/>
    </row>
    <row r="110" spans="1:26" ht="15.6" x14ac:dyDescent="0.3">
      <c r="A110" s="24" t="s">
        <v>208</v>
      </c>
      <c r="B110" s="25" t="s">
        <v>188</v>
      </c>
      <c r="C110" s="25"/>
      <c r="D110" s="25"/>
      <c r="E110" s="25"/>
      <c r="F110" s="25"/>
      <c r="G110" s="25"/>
      <c r="H110" s="25"/>
      <c r="I110" s="25"/>
      <c r="J110" s="25"/>
      <c r="K110" s="25"/>
      <c r="L110" s="25"/>
      <c r="M110" s="25"/>
      <c r="N110" s="25"/>
      <c r="O110" s="25"/>
      <c r="P110" s="25"/>
      <c r="Q110" s="25"/>
      <c r="R110" s="25"/>
      <c r="S110" s="25"/>
      <c r="T110" s="25"/>
      <c r="U110" s="25"/>
      <c r="V110" s="53">
        <v>-857</v>
      </c>
      <c r="W110" s="25"/>
      <c r="X110" s="5"/>
      <c r="Y110" s="109"/>
    </row>
    <row r="111" spans="1:26" ht="15.6" x14ac:dyDescent="0.3">
      <c r="A111" s="24" t="s">
        <v>209</v>
      </c>
      <c r="B111" s="25" t="s">
        <v>189</v>
      </c>
      <c r="C111" s="25"/>
      <c r="D111" s="25"/>
      <c r="E111" s="25"/>
      <c r="F111" s="25"/>
      <c r="G111" s="25"/>
      <c r="H111" s="25"/>
      <c r="I111" s="25"/>
      <c r="J111" s="25"/>
      <c r="K111" s="25"/>
      <c r="L111" s="25"/>
      <c r="M111" s="25"/>
      <c r="N111" s="25"/>
      <c r="O111" s="25"/>
      <c r="P111" s="25"/>
      <c r="Q111" s="25"/>
      <c r="R111" s="25"/>
      <c r="S111" s="25"/>
      <c r="T111" s="25"/>
      <c r="U111" s="25"/>
      <c r="V111" s="53">
        <f>-1707+857</f>
        <v>-850</v>
      </c>
      <c r="W111" s="25"/>
      <c r="X111" s="5"/>
      <c r="Y111" s="109"/>
    </row>
    <row r="112" spans="1:26" ht="15.6" x14ac:dyDescent="0.3">
      <c r="A112" s="24" t="s">
        <v>210</v>
      </c>
      <c r="B112" s="25" t="s">
        <v>199</v>
      </c>
      <c r="C112" s="25"/>
      <c r="D112" s="25"/>
      <c r="E112" s="25"/>
      <c r="F112" s="25"/>
      <c r="G112" s="25"/>
      <c r="H112" s="25"/>
      <c r="I112" s="25"/>
      <c r="J112" s="25"/>
      <c r="K112" s="25"/>
      <c r="L112" s="25"/>
      <c r="M112" s="25"/>
      <c r="N112" s="25"/>
      <c r="O112" s="25"/>
      <c r="P112" s="25"/>
      <c r="Q112" s="25"/>
      <c r="R112" s="25"/>
      <c r="S112" s="25"/>
      <c r="T112" s="25"/>
      <c r="U112" s="25"/>
      <c r="V112" s="53">
        <v>-855</v>
      </c>
      <c r="W112" s="25"/>
      <c r="X112" s="5"/>
      <c r="Y112" s="109"/>
    </row>
    <row r="113" spans="1:25" ht="15.6" x14ac:dyDescent="0.3">
      <c r="A113" s="24" t="s">
        <v>230</v>
      </c>
      <c r="B113" s="25" t="s">
        <v>229</v>
      </c>
      <c r="C113" s="25"/>
      <c r="D113" s="25"/>
      <c r="E113" s="25"/>
      <c r="F113" s="25"/>
      <c r="G113" s="25"/>
      <c r="H113" s="25"/>
      <c r="I113" s="25"/>
      <c r="J113" s="25"/>
      <c r="K113" s="25"/>
      <c r="L113" s="25"/>
      <c r="M113" s="25"/>
      <c r="N113" s="25"/>
      <c r="O113" s="25"/>
      <c r="P113" s="25"/>
      <c r="Q113" s="25"/>
      <c r="R113" s="25"/>
      <c r="S113" s="25"/>
      <c r="T113" s="25"/>
      <c r="U113" s="25"/>
      <c r="V113" s="53">
        <f>-1059+855</f>
        <v>-204</v>
      </c>
      <c r="W113" s="25"/>
      <c r="X113" s="5"/>
      <c r="Y113" s="109"/>
    </row>
    <row r="114" spans="1:25" ht="15.6" x14ac:dyDescent="0.3">
      <c r="A114" s="24">
        <v>7</v>
      </c>
      <c r="B114" s="25" t="s">
        <v>35</v>
      </c>
      <c r="C114" s="25"/>
      <c r="D114" s="25"/>
      <c r="E114" s="25"/>
      <c r="F114" s="25"/>
      <c r="G114" s="25"/>
      <c r="H114" s="25"/>
      <c r="I114" s="25"/>
      <c r="J114" s="25"/>
      <c r="K114" s="25"/>
      <c r="L114" s="25"/>
      <c r="M114" s="25"/>
      <c r="N114" s="25"/>
      <c r="O114" s="25"/>
      <c r="P114" s="25"/>
      <c r="Q114" s="25"/>
      <c r="R114" s="25"/>
      <c r="S114" s="25"/>
      <c r="T114" s="25"/>
      <c r="U114" s="25"/>
      <c r="V114" s="53">
        <v>-10</v>
      </c>
      <c r="W114" s="25"/>
      <c r="X114" s="5"/>
    </row>
    <row r="115" spans="1:25" ht="15.6" x14ac:dyDescent="0.3">
      <c r="A115" s="24">
        <f t="shared" ref="A115:A121" si="0">+A114+1</f>
        <v>8</v>
      </c>
      <c r="B115" s="25" t="s">
        <v>45</v>
      </c>
      <c r="C115" s="25"/>
      <c r="D115" s="25"/>
      <c r="E115" s="25"/>
      <c r="F115" s="25"/>
      <c r="G115" s="25"/>
      <c r="H115" s="25"/>
      <c r="I115" s="25"/>
      <c r="J115" s="25"/>
      <c r="K115" s="25"/>
      <c r="L115" s="25"/>
      <c r="M115" s="25"/>
      <c r="N115" s="25"/>
      <c r="O115" s="25"/>
      <c r="P115" s="25"/>
      <c r="Q115" s="25"/>
      <c r="R115" s="25"/>
      <c r="S115" s="25"/>
      <c r="T115" s="34">
        <f>-V115</f>
        <v>0</v>
      </c>
      <c r="U115" s="25"/>
      <c r="V115" s="53">
        <v>0</v>
      </c>
      <c r="W115" s="25"/>
      <c r="X115" s="5"/>
    </row>
    <row r="116" spans="1:25" ht="15.6" x14ac:dyDescent="0.3">
      <c r="A116" s="24">
        <f t="shared" si="0"/>
        <v>9</v>
      </c>
      <c r="B116" s="25" t="s">
        <v>128</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5" ht="15.6" x14ac:dyDescent="0.3">
      <c r="A117" s="24">
        <f t="shared" si="0"/>
        <v>10</v>
      </c>
      <c r="B117" s="25" t="s">
        <v>271</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11</v>
      </c>
      <c r="B118" s="25" t="s">
        <v>36</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12</v>
      </c>
      <c r="B119" s="25" t="s">
        <v>270</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13</v>
      </c>
      <c r="B120" s="25" t="s">
        <v>152</v>
      </c>
      <c r="C120" s="25"/>
      <c r="D120" s="25"/>
      <c r="E120" s="25"/>
      <c r="F120" s="25"/>
      <c r="G120" s="25"/>
      <c r="H120" s="25"/>
      <c r="I120" s="25"/>
      <c r="J120" s="25"/>
      <c r="K120" s="25"/>
      <c r="L120" s="25"/>
      <c r="M120" s="25"/>
      <c r="N120" s="25"/>
      <c r="O120" s="25"/>
      <c r="P120" s="25"/>
      <c r="Q120" s="25"/>
      <c r="R120" s="25"/>
      <c r="S120" s="25"/>
      <c r="T120" s="25"/>
      <c r="U120" s="25"/>
      <c r="V120" s="53">
        <v>-468</v>
      </c>
      <c r="W120" s="25"/>
      <c r="X120" s="5"/>
    </row>
    <row r="121" spans="1:25" ht="15.6" x14ac:dyDescent="0.3">
      <c r="A121" s="24">
        <f t="shared" si="0"/>
        <v>14</v>
      </c>
      <c r="B121" s="25" t="s">
        <v>129</v>
      </c>
      <c r="C121" s="25"/>
      <c r="D121" s="25"/>
      <c r="E121" s="25"/>
      <c r="F121" s="25"/>
      <c r="G121" s="25"/>
      <c r="H121" s="25"/>
      <c r="I121" s="25"/>
      <c r="J121" s="25"/>
      <c r="K121" s="25"/>
      <c r="L121" s="25"/>
      <c r="M121" s="25"/>
      <c r="N121" s="25"/>
      <c r="O121" s="25"/>
      <c r="P121" s="25"/>
      <c r="Q121" s="25"/>
      <c r="R121" s="25"/>
      <c r="S121" s="25"/>
      <c r="T121" s="25"/>
      <c r="U121" s="25"/>
      <c r="V121" s="53">
        <f>-V101-SUM(V103:V120)</f>
        <v>-2988</v>
      </c>
      <c r="W121" s="25"/>
      <c r="X121" s="5"/>
    </row>
    <row r="122" spans="1:25" ht="15.6" x14ac:dyDescent="0.3">
      <c r="A122" s="24"/>
      <c r="B122" s="118" t="s">
        <v>37</v>
      </c>
      <c r="C122" s="25"/>
      <c r="D122" s="25"/>
      <c r="E122" s="25"/>
      <c r="F122" s="25"/>
      <c r="G122" s="25"/>
      <c r="H122" s="25"/>
      <c r="I122" s="25"/>
      <c r="J122" s="25"/>
      <c r="K122" s="25"/>
      <c r="L122" s="25"/>
      <c r="M122" s="25"/>
      <c r="N122" s="25"/>
      <c r="O122" s="25"/>
      <c r="P122" s="25"/>
      <c r="Q122" s="25"/>
      <c r="R122" s="25"/>
      <c r="S122" s="25"/>
      <c r="T122" s="25"/>
      <c r="U122" s="25"/>
      <c r="V122" s="59"/>
      <c r="W122" s="25"/>
      <c r="X122" s="5"/>
    </row>
    <row r="123" spans="1:25" ht="15.6" x14ac:dyDescent="0.3">
      <c r="A123" s="24"/>
      <c r="B123" s="25" t="s">
        <v>176</v>
      </c>
      <c r="C123" s="25"/>
      <c r="D123" s="25"/>
      <c r="E123" s="25"/>
      <c r="F123" s="25"/>
      <c r="G123" s="25"/>
      <c r="H123" s="25"/>
      <c r="I123" s="25"/>
      <c r="J123" s="25"/>
      <c r="K123" s="25"/>
      <c r="L123" s="25"/>
      <c r="M123" s="25"/>
      <c r="N123" s="25"/>
      <c r="O123" s="25"/>
      <c r="P123" s="25"/>
      <c r="Q123" s="25"/>
      <c r="R123" s="25"/>
      <c r="S123" s="25"/>
      <c r="T123" s="34">
        <f>-T182</f>
        <v>-435</v>
      </c>
      <c r="U123" s="34"/>
      <c r="V123" s="53"/>
      <c r="W123" s="25"/>
      <c r="X123" s="5"/>
    </row>
    <row r="124" spans="1:25" ht="15.6" x14ac:dyDescent="0.3">
      <c r="A124" s="24"/>
      <c r="B124" s="25" t="s">
        <v>177</v>
      </c>
      <c r="C124" s="25"/>
      <c r="D124" s="25"/>
      <c r="E124" s="25"/>
      <c r="F124" s="25"/>
      <c r="G124" s="25"/>
      <c r="H124" s="25"/>
      <c r="I124" s="25"/>
      <c r="J124" s="25"/>
      <c r="K124" s="25"/>
      <c r="L124" s="25"/>
      <c r="M124" s="25"/>
      <c r="N124" s="25"/>
      <c r="O124" s="25"/>
      <c r="P124" s="25"/>
      <c r="Q124" s="25"/>
      <c r="R124" s="25"/>
      <c r="S124" s="25"/>
      <c r="T124" s="34">
        <v>-569</v>
      </c>
      <c r="U124" s="34"/>
      <c r="V124" s="53"/>
      <c r="W124" s="25"/>
      <c r="X124" s="5"/>
    </row>
    <row r="125" spans="1:25" ht="15.6" x14ac:dyDescent="0.3">
      <c r="A125" s="24"/>
      <c r="B125" s="25" t="s">
        <v>38</v>
      </c>
      <c r="C125" s="25"/>
      <c r="D125" s="25"/>
      <c r="E125" s="25"/>
      <c r="F125" s="25"/>
      <c r="G125" s="25"/>
      <c r="H125" s="25"/>
      <c r="I125" s="25"/>
      <c r="J125" s="25"/>
      <c r="K125" s="25"/>
      <c r="L125" s="25"/>
      <c r="M125" s="25"/>
      <c r="N125" s="25"/>
      <c r="O125" s="25"/>
      <c r="P125" s="25"/>
      <c r="Q125" s="25"/>
      <c r="R125" s="25"/>
      <c r="S125" s="25"/>
      <c r="T125" s="34">
        <f>-S182</f>
        <v>-2657</v>
      </c>
      <c r="U125" s="34"/>
      <c r="V125" s="53"/>
      <c r="W125" s="25"/>
      <c r="X125" s="5"/>
    </row>
    <row r="126" spans="1:25" ht="15.6" x14ac:dyDescent="0.3">
      <c r="A126" s="24"/>
      <c r="B126" s="25" t="s">
        <v>200</v>
      </c>
      <c r="C126" s="25"/>
      <c r="D126" s="25"/>
      <c r="E126" s="25"/>
      <c r="F126" s="25"/>
      <c r="G126" s="25"/>
      <c r="H126" s="25"/>
      <c r="I126" s="25"/>
      <c r="J126" s="25"/>
      <c r="K126" s="25"/>
      <c r="L126" s="25"/>
      <c r="M126" s="25"/>
      <c r="N126" s="25"/>
      <c r="O126" s="25"/>
      <c r="P126" s="25"/>
      <c r="Q126" s="25"/>
      <c r="R126" s="25"/>
      <c r="S126" s="25"/>
      <c r="T126" s="34">
        <v>-29047</v>
      </c>
      <c r="U126" s="34"/>
      <c r="V126" s="53"/>
      <c r="W126" s="25"/>
      <c r="X126" s="5"/>
    </row>
    <row r="127" spans="1:25" ht="15.6" x14ac:dyDescent="0.3">
      <c r="A127" s="24"/>
      <c r="B127" s="25" t="s">
        <v>198</v>
      </c>
      <c r="C127" s="25"/>
      <c r="D127" s="25"/>
      <c r="E127" s="25"/>
      <c r="F127" s="25"/>
      <c r="G127" s="25"/>
      <c r="H127" s="25"/>
      <c r="I127" s="25"/>
      <c r="J127" s="25"/>
      <c r="K127" s="25"/>
      <c r="L127" s="25"/>
      <c r="M127" s="25"/>
      <c r="N127" s="25"/>
      <c r="O127" s="25"/>
      <c r="P127" s="25"/>
      <c r="Q127" s="25"/>
      <c r="R127" s="25"/>
      <c r="S127" s="25"/>
      <c r="T127" s="34">
        <v>-4551</v>
      </c>
      <c r="U127" s="34"/>
      <c r="V127" s="53"/>
      <c r="W127" s="25"/>
      <c r="X127" s="5"/>
    </row>
    <row r="128" spans="1:25" ht="15.6" x14ac:dyDescent="0.3">
      <c r="A128" s="24"/>
      <c r="B128" s="25" t="s">
        <v>197</v>
      </c>
      <c r="C128" s="25"/>
      <c r="D128" s="25"/>
      <c r="E128" s="25"/>
      <c r="F128" s="25"/>
      <c r="G128" s="25"/>
      <c r="H128" s="25"/>
      <c r="I128" s="25"/>
      <c r="J128" s="25"/>
      <c r="K128" s="25"/>
      <c r="L128" s="25"/>
      <c r="M128" s="25"/>
      <c r="N128" s="25"/>
      <c r="O128" s="25"/>
      <c r="P128" s="25"/>
      <c r="Q128" s="25"/>
      <c r="R128" s="25"/>
      <c r="S128" s="25"/>
      <c r="T128" s="34">
        <v>-7696</v>
      </c>
      <c r="U128" s="34"/>
      <c r="V128" s="53"/>
      <c r="W128" s="25"/>
      <c r="X128" s="5"/>
    </row>
    <row r="129" spans="1:24" ht="15.6" x14ac:dyDescent="0.3">
      <c r="A129" s="24"/>
      <c r="B129" s="25" t="s">
        <v>232</v>
      </c>
      <c r="C129" s="25"/>
      <c r="D129" s="25"/>
      <c r="E129" s="25"/>
      <c r="F129" s="25"/>
      <c r="G129" s="25"/>
      <c r="H129" s="25"/>
      <c r="I129" s="25"/>
      <c r="J129" s="25"/>
      <c r="K129" s="25"/>
      <c r="L129" s="25"/>
      <c r="M129" s="25"/>
      <c r="N129" s="25"/>
      <c r="O129" s="25"/>
      <c r="P129" s="25"/>
      <c r="Q129" s="25"/>
      <c r="R129" s="25"/>
      <c r="S129" s="25"/>
      <c r="T129" s="34">
        <v>-6778</v>
      </c>
      <c r="U129" s="34"/>
      <c r="V129" s="53"/>
      <c r="W129" s="25"/>
      <c r="X129" s="5"/>
    </row>
    <row r="130" spans="1:24" ht="15.6" x14ac:dyDescent="0.3">
      <c r="A130" s="24"/>
      <c r="B130" s="25" t="s">
        <v>192</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191</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233</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190</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39</v>
      </c>
      <c r="C134" s="25"/>
      <c r="D134" s="25"/>
      <c r="E134" s="25"/>
      <c r="F134" s="25"/>
      <c r="G134" s="25"/>
      <c r="H134" s="25"/>
      <c r="I134" s="25"/>
      <c r="J134" s="25"/>
      <c r="K134" s="25"/>
      <c r="L134" s="25"/>
      <c r="M134" s="25"/>
      <c r="N134" s="25"/>
      <c r="O134" s="25"/>
      <c r="P134" s="25"/>
      <c r="Q134" s="25"/>
      <c r="R134" s="25"/>
      <c r="S134" s="25"/>
      <c r="T134" s="34">
        <f>SUM(T123:T133)</f>
        <v>-51733</v>
      </c>
      <c r="U134" s="34"/>
      <c r="V134" s="34">
        <f>SUM(V102:V131)</f>
        <v>-22754</v>
      </c>
      <c r="W134" s="25"/>
      <c r="X134" s="5"/>
    </row>
    <row r="135" spans="1:24" ht="15.6" x14ac:dyDescent="0.3">
      <c r="A135" s="24"/>
      <c r="B135" s="25" t="s">
        <v>40</v>
      </c>
      <c r="C135" s="25"/>
      <c r="D135" s="25"/>
      <c r="E135" s="25"/>
      <c r="F135" s="25"/>
      <c r="G135" s="25"/>
      <c r="H135" s="25"/>
      <c r="I135" s="25"/>
      <c r="J135" s="25"/>
      <c r="K135" s="25"/>
      <c r="L135" s="25"/>
      <c r="M135" s="25"/>
      <c r="N135" s="25"/>
      <c r="O135" s="25"/>
      <c r="P135" s="25"/>
      <c r="Q135" s="25"/>
      <c r="R135" s="25"/>
      <c r="S135" s="25"/>
      <c r="T135" s="34">
        <f>T101+T134+T115</f>
        <v>0</v>
      </c>
      <c r="U135" s="34"/>
      <c r="V135" s="34">
        <f>V101+V134</f>
        <v>0</v>
      </c>
      <c r="W135" s="25"/>
      <c r="X135" s="5"/>
    </row>
    <row r="136" spans="1:24" ht="15.6" x14ac:dyDescent="0.3">
      <c r="A136" s="24"/>
      <c r="B136" s="25"/>
      <c r="C136" s="25"/>
      <c r="D136" s="25"/>
      <c r="E136" s="25"/>
      <c r="F136" s="25"/>
      <c r="G136" s="25"/>
      <c r="H136" s="25"/>
      <c r="I136" s="25"/>
      <c r="J136" s="25"/>
      <c r="K136" s="25"/>
      <c r="L136" s="25"/>
      <c r="M136" s="25"/>
      <c r="N136" s="25"/>
      <c r="O136" s="25"/>
      <c r="P136" s="25"/>
      <c r="Q136" s="25"/>
      <c r="R136" s="25"/>
      <c r="S136" s="25"/>
      <c r="T136" s="34"/>
      <c r="U136" s="34"/>
      <c r="V136" s="34"/>
      <c r="W136" s="25"/>
      <c r="X136" s="5"/>
    </row>
    <row r="137" spans="1:24" ht="15.6" x14ac:dyDescent="0.3">
      <c r="A137" s="6"/>
      <c r="B137" s="8"/>
      <c r="C137" s="8"/>
      <c r="D137" s="8"/>
      <c r="E137" s="8"/>
      <c r="F137" s="8"/>
      <c r="G137" s="8"/>
      <c r="H137" s="8"/>
      <c r="I137" s="8"/>
      <c r="J137" s="8"/>
      <c r="K137" s="8"/>
      <c r="L137" s="8"/>
      <c r="M137" s="8"/>
      <c r="N137" s="8"/>
      <c r="O137" s="8"/>
      <c r="P137" s="8"/>
      <c r="Q137" s="8"/>
      <c r="R137" s="8"/>
      <c r="S137" s="8"/>
      <c r="T137" s="8"/>
      <c r="U137" s="8"/>
      <c r="V137" s="52"/>
      <c r="W137" s="8"/>
      <c r="X137" s="5"/>
    </row>
    <row r="138" spans="1:24" ht="18" thickBot="1" x14ac:dyDescent="0.35">
      <c r="A138" s="101"/>
      <c r="B138" s="102" t="str">
        <f>B64</f>
        <v>PM13 INVESTOR REPORT QUARTER ENDING SEPTEMBER 2008</v>
      </c>
      <c r="C138" s="103"/>
      <c r="D138" s="103"/>
      <c r="E138" s="103"/>
      <c r="F138" s="103"/>
      <c r="G138" s="103"/>
      <c r="H138" s="103"/>
      <c r="I138" s="103"/>
      <c r="J138" s="103"/>
      <c r="K138" s="103"/>
      <c r="L138" s="103"/>
      <c r="M138" s="103"/>
      <c r="N138" s="103"/>
      <c r="O138" s="103"/>
      <c r="P138" s="103"/>
      <c r="Q138" s="103"/>
      <c r="R138" s="103"/>
      <c r="S138" s="103"/>
      <c r="T138" s="103"/>
      <c r="U138" s="103"/>
      <c r="V138" s="106"/>
      <c r="W138" s="105"/>
      <c r="X138" s="5"/>
    </row>
    <row r="139" spans="1:24" ht="15.6" x14ac:dyDescent="0.3">
      <c r="A139" s="2"/>
      <c r="B139" s="60" t="s">
        <v>41</v>
      </c>
      <c r="C139" s="4"/>
      <c r="D139" s="4"/>
      <c r="E139" s="4"/>
      <c r="F139" s="4"/>
      <c r="G139" s="4"/>
      <c r="H139" s="4"/>
      <c r="I139" s="4"/>
      <c r="J139" s="4"/>
      <c r="K139" s="4"/>
      <c r="L139" s="4"/>
      <c r="M139" s="4"/>
      <c r="N139" s="4"/>
      <c r="O139" s="4"/>
      <c r="P139" s="4"/>
      <c r="Q139" s="4"/>
      <c r="R139" s="4"/>
      <c r="S139" s="4"/>
      <c r="T139" s="4"/>
      <c r="U139" s="4"/>
      <c r="V139" s="50"/>
      <c r="W139" s="4"/>
      <c r="X139" s="5"/>
    </row>
    <row r="140" spans="1:24" ht="15.6" x14ac:dyDescent="0.3">
      <c r="A140" s="6"/>
      <c r="B140" s="21"/>
      <c r="C140" s="8"/>
      <c r="D140" s="8"/>
      <c r="E140" s="8"/>
      <c r="F140" s="8"/>
      <c r="G140" s="8"/>
      <c r="H140" s="8"/>
      <c r="I140" s="8"/>
      <c r="J140" s="8"/>
      <c r="K140" s="8"/>
      <c r="L140" s="8"/>
      <c r="M140" s="8"/>
      <c r="N140" s="8"/>
      <c r="O140" s="8"/>
      <c r="P140" s="8"/>
      <c r="Q140" s="8"/>
      <c r="R140" s="8"/>
      <c r="S140" s="8"/>
      <c r="T140" s="8"/>
      <c r="U140" s="8"/>
      <c r="V140" s="52"/>
      <c r="W140" s="8"/>
      <c r="X140" s="5"/>
    </row>
    <row r="141" spans="1:24" ht="15.6" x14ac:dyDescent="0.3">
      <c r="A141" s="6"/>
      <c r="B141" s="119" t="s">
        <v>42</v>
      </c>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24"/>
      <c r="B142" s="25" t="s">
        <v>43</v>
      </c>
      <c r="C142" s="25"/>
      <c r="D142" s="25"/>
      <c r="E142" s="25"/>
      <c r="F142" s="25"/>
      <c r="G142" s="25"/>
      <c r="H142" s="25"/>
      <c r="I142" s="25"/>
      <c r="J142" s="25"/>
      <c r="K142" s="25"/>
      <c r="L142" s="25"/>
      <c r="M142" s="25"/>
      <c r="N142" s="25"/>
      <c r="O142" s="25"/>
      <c r="P142" s="25"/>
      <c r="Q142" s="25"/>
      <c r="R142" s="25"/>
      <c r="S142" s="25"/>
      <c r="T142" s="25"/>
      <c r="U142" s="25"/>
      <c r="V142" s="53">
        <f>+V34*0.019</f>
        <v>28503.61</v>
      </c>
      <c r="W142" s="25"/>
      <c r="X142" s="5"/>
    </row>
    <row r="143" spans="1:24" ht="15.6" x14ac:dyDescent="0.3">
      <c r="A143" s="24"/>
      <c r="B143" s="25" t="s">
        <v>44</v>
      </c>
      <c r="C143" s="25"/>
      <c r="D143" s="25"/>
      <c r="E143" s="25"/>
      <c r="F143" s="25"/>
      <c r="G143" s="25"/>
      <c r="H143" s="25"/>
      <c r="I143" s="25"/>
      <c r="J143" s="25"/>
      <c r="K143" s="25"/>
      <c r="L143" s="25"/>
      <c r="M143" s="25"/>
      <c r="N143" s="25"/>
      <c r="O143" s="25"/>
      <c r="P143" s="25"/>
      <c r="Q143" s="25"/>
      <c r="R143" s="25"/>
      <c r="S143" s="25"/>
      <c r="T143" s="25"/>
      <c r="U143" s="25"/>
      <c r="V143" s="53">
        <v>28504</v>
      </c>
      <c r="W143" s="25"/>
      <c r="X143" s="5"/>
    </row>
    <row r="144" spans="1:24" ht="15.6" x14ac:dyDescent="0.3">
      <c r="A144" s="24"/>
      <c r="B144" s="25" t="s">
        <v>139</v>
      </c>
      <c r="C144" s="25"/>
      <c r="D144" s="25"/>
      <c r="E144" s="25"/>
      <c r="F144" s="25"/>
      <c r="G144" s="25"/>
      <c r="H144" s="25"/>
      <c r="I144" s="25"/>
      <c r="J144" s="25"/>
      <c r="K144" s="25"/>
      <c r="L144" s="25"/>
      <c r="M144" s="25"/>
      <c r="N144" s="25"/>
      <c r="O144" s="25"/>
      <c r="P144" s="25"/>
      <c r="Q144" s="25"/>
      <c r="R144" s="25"/>
      <c r="S144" s="25"/>
      <c r="T144" s="25"/>
      <c r="U144" s="25"/>
      <c r="V144" s="53"/>
      <c r="W144" s="25"/>
      <c r="X144" s="5"/>
    </row>
    <row r="145" spans="1:25" ht="15.6" x14ac:dyDescent="0.3">
      <c r="A145" s="24"/>
      <c r="B145" s="25" t="s">
        <v>126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127</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178</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45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132</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267</v>
      </c>
      <c r="C150" s="25"/>
      <c r="D150" s="25"/>
      <c r="E150" s="25"/>
      <c r="F150" s="25"/>
      <c r="G150" s="25"/>
      <c r="H150" s="25"/>
      <c r="I150" s="25"/>
      <c r="J150" s="25"/>
      <c r="K150" s="25"/>
      <c r="L150" s="25"/>
      <c r="M150" s="25"/>
      <c r="N150" s="25"/>
      <c r="O150" s="25"/>
      <c r="P150" s="25"/>
      <c r="Q150" s="25"/>
      <c r="R150" s="25"/>
      <c r="S150" s="25"/>
      <c r="T150" s="25"/>
      <c r="U150" s="25"/>
      <c r="V150" s="53">
        <v>0</v>
      </c>
      <c r="W150" s="25"/>
      <c r="X150" s="5"/>
      <c r="Y150" s="109"/>
    </row>
    <row r="151" spans="1:25" ht="15.6" x14ac:dyDescent="0.3">
      <c r="A151" s="24"/>
      <c r="B151" s="25" t="s">
        <v>46</v>
      </c>
      <c r="C151" s="25"/>
      <c r="D151" s="25"/>
      <c r="E151" s="25"/>
      <c r="F151" s="25"/>
      <c r="G151" s="25"/>
      <c r="H151" s="25"/>
      <c r="I151" s="25"/>
      <c r="J151" s="25"/>
      <c r="K151" s="25"/>
      <c r="L151" s="25"/>
      <c r="M151" s="25"/>
      <c r="N151" s="25"/>
      <c r="O151" s="25"/>
      <c r="P151" s="25"/>
      <c r="Q151" s="25"/>
      <c r="R151" s="25"/>
      <c r="S151" s="25"/>
      <c r="T151" s="25"/>
      <c r="U151" s="25"/>
      <c r="V151" s="53">
        <f>SUM(V143:V150)</f>
        <v>28504</v>
      </c>
      <c r="W151" s="25"/>
      <c r="X151" s="5"/>
    </row>
    <row r="152" spans="1:25" ht="15.6" x14ac:dyDescent="0.3">
      <c r="A152" s="24"/>
      <c r="B152" s="25"/>
      <c r="C152" s="25"/>
      <c r="D152" s="25"/>
      <c r="E152" s="25"/>
      <c r="F152" s="25"/>
      <c r="G152" s="25"/>
      <c r="H152" s="25"/>
      <c r="I152" s="25"/>
      <c r="J152" s="25"/>
      <c r="K152" s="25"/>
      <c r="L152" s="25"/>
      <c r="M152" s="25"/>
      <c r="N152" s="25"/>
      <c r="O152" s="25"/>
      <c r="P152" s="25"/>
      <c r="Q152" s="25"/>
      <c r="R152" s="25"/>
      <c r="S152" s="25"/>
      <c r="T152" s="25"/>
      <c r="U152" s="25"/>
      <c r="V152" s="53"/>
      <c r="W152" s="25"/>
      <c r="X152" s="5"/>
    </row>
    <row r="153" spans="1:25" ht="15.6" x14ac:dyDescent="0.3">
      <c r="A153" s="24"/>
      <c r="B153" s="138" t="s">
        <v>268</v>
      </c>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25" t="s">
        <v>158</v>
      </c>
      <c r="C154" s="25"/>
      <c r="D154" s="25"/>
      <c r="E154" s="25"/>
      <c r="F154" s="25"/>
      <c r="G154" s="25"/>
      <c r="H154" s="25"/>
      <c r="I154" s="25"/>
      <c r="J154" s="25"/>
      <c r="K154" s="25"/>
      <c r="L154" s="25"/>
      <c r="M154" s="25"/>
      <c r="N154" s="25"/>
      <c r="O154" s="25"/>
      <c r="P154" s="25"/>
      <c r="Q154" s="25"/>
      <c r="R154" s="25"/>
      <c r="S154" s="25"/>
      <c r="T154" s="25"/>
      <c r="U154" s="25"/>
      <c r="V154" s="53">
        <v>15000</v>
      </c>
      <c r="W154" s="25"/>
      <c r="X154" s="5"/>
    </row>
    <row r="155" spans="1:25" ht="15.6" x14ac:dyDescent="0.3">
      <c r="A155" s="24"/>
      <c r="B155" s="25" t="s">
        <v>175</v>
      </c>
      <c r="C155" s="25"/>
      <c r="D155" s="25"/>
      <c r="E155" s="25"/>
      <c r="F155" s="25"/>
      <c r="G155" s="25"/>
      <c r="H155" s="25"/>
      <c r="I155" s="25"/>
      <c r="J155" s="25"/>
      <c r="K155" s="25"/>
      <c r="L155" s="25"/>
      <c r="M155" s="25"/>
      <c r="N155" s="25"/>
      <c r="O155" s="25"/>
      <c r="P155" s="25"/>
      <c r="Q155" s="25"/>
      <c r="R155" s="25"/>
      <c r="S155" s="25"/>
      <c r="T155" s="25"/>
      <c r="U155" s="25"/>
      <c r="V155" s="53">
        <v>0</v>
      </c>
      <c r="W155" s="25"/>
      <c r="X155" s="5"/>
    </row>
    <row r="156" spans="1:25" ht="15.6" x14ac:dyDescent="0.3">
      <c r="A156" s="24"/>
      <c r="B156" s="25" t="s">
        <v>272</v>
      </c>
      <c r="C156" s="25"/>
      <c r="D156" s="25"/>
      <c r="E156" s="25"/>
      <c r="F156" s="25"/>
      <c r="G156" s="25"/>
      <c r="H156" s="25"/>
      <c r="I156" s="25"/>
      <c r="J156" s="25"/>
      <c r="K156" s="25"/>
      <c r="L156" s="25"/>
      <c r="M156" s="25"/>
      <c r="N156" s="25"/>
      <c r="O156" s="25"/>
      <c r="P156" s="25"/>
      <c r="Q156" s="25"/>
      <c r="R156" s="25"/>
      <c r="S156" s="25"/>
      <c r="T156" s="25"/>
      <c r="U156" s="25"/>
      <c r="V156" s="53">
        <v>6000</v>
      </c>
      <c r="W156" s="25"/>
      <c r="X156" s="5"/>
    </row>
    <row r="157" spans="1:25" ht="15.6" x14ac:dyDescent="0.3">
      <c r="A157" s="24"/>
      <c r="B157" s="25"/>
      <c r="C157" s="25"/>
      <c r="D157" s="25"/>
      <c r="E157" s="25"/>
      <c r="F157" s="25"/>
      <c r="G157" s="25"/>
      <c r="H157" s="25"/>
      <c r="I157" s="25"/>
      <c r="J157" s="25"/>
      <c r="K157" s="25"/>
      <c r="L157" s="25"/>
      <c r="M157" s="25"/>
      <c r="N157" s="25"/>
      <c r="O157" s="25"/>
      <c r="P157" s="25"/>
      <c r="Q157" s="25"/>
      <c r="R157" s="25"/>
      <c r="S157" s="25"/>
      <c r="T157" s="25"/>
      <c r="U157" s="25"/>
      <c r="V157" s="53"/>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61"/>
      <c r="W158" s="25"/>
      <c r="X158" s="5"/>
    </row>
    <row r="159" spans="1:25" ht="15.6" x14ac:dyDescent="0.3">
      <c r="A159" s="6"/>
      <c r="B159" s="119" t="s">
        <v>24</v>
      </c>
      <c r="C159" s="8"/>
      <c r="D159" s="8"/>
      <c r="E159" s="8"/>
      <c r="F159" s="8"/>
      <c r="G159" s="8"/>
      <c r="H159" s="8"/>
      <c r="I159" s="8"/>
      <c r="J159" s="8"/>
      <c r="K159" s="8"/>
      <c r="L159" s="8"/>
      <c r="M159" s="8"/>
      <c r="N159" s="8"/>
      <c r="O159" s="8"/>
      <c r="P159" s="8"/>
      <c r="Q159" s="8"/>
      <c r="R159" s="8"/>
      <c r="S159" s="8"/>
      <c r="T159" s="8"/>
      <c r="U159" s="8"/>
      <c r="V159" s="52"/>
      <c r="W159" s="8"/>
      <c r="X159" s="5"/>
    </row>
    <row r="160" spans="1:25" ht="15.6" x14ac:dyDescent="0.3">
      <c r="A160" s="24"/>
      <c r="B160" s="25" t="s">
        <v>47</v>
      </c>
      <c r="C160" s="25"/>
      <c r="D160" s="25"/>
      <c r="E160" s="25"/>
      <c r="F160" s="25"/>
      <c r="G160" s="25"/>
      <c r="H160" s="25"/>
      <c r="I160" s="25"/>
      <c r="J160" s="25"/>
      <c r="K160" s="25"/>
      <c r="L160" s="25"/>
      <c r="M160" s="25"/>
      <c r="N160" s="25"/>
      <c r="O160" s="25"/>
      <c r="P160" s="25"/>
      <c r="Q160" s="25"/>
      <c r="R160" s="25"/>
      <c r="S160" s="25"/>
      <c r="T160" s="25"/>
      <c r="U160" s="25"/>
      <c r="V160" s="59" t="s">
        <v>121</v>
      </c>
      <c r="W160" s="25"/>
      <c r="X160" s="5"/>
    </row>
    <row r="161" spans="1:24" ht="15.6" x14ac:dyDescent="0.3">
      <c r="A161" s="24"/>
      <c r="B161" s="25" t="s">
        <v>48</v>
      </c>
      <c r="C161" s="163"/>
      <c r="D161" s="163"/>
      <c r="E161" s="163"/>
      <c r="F161" s="163"/>
      <c r="G161" s="163"/>
      <c r="H161" s="163"/>
      <c r="I161" s="163"/>
      <c r="J161" s="163"/>
      <c r="K161" s="163"/>
      <c r="L161" s="163"/>
      <c r="M161" s="163"/>
      <c r="N161" s="163"/>
      <c r="O161" s="163"/>
      <c r="P161" s="163"/>
      <c r="Q161" s="163"/>
      <c r="R161" s="163"/>
      <c r="S161" s="163"/>
      <c r="T161" s="163"/>
      <c r="U161" s="163"/>
      <c r="V161" s="59" t="s">
        <v>121</v>
      </c>
      <c r="W161" s="25"/>
      <c r="X161" s="5"/>
    </row>
    <row r="162" spans="1:24" ht="15.6" x14ac:dyDescent="0.3">
      <c r="A162" s="24"/>
      <c r="B162" s="25" t="s">
        <v>49</v>
      </c>
      <c r="C162" s="25"/>
      <c r="D162" s="25"/>
      <c r="E162" s="25"/>
      <c r="F162" s="25"/>
      <c r="G162" s="25"/>
      <c r="H162" s="25"/>
      <c r="I162" s="25"/>
      <c r="J162" s="25"/>
      <c r="K162" s="25"/>
      <c r="L162" s="25"/>
      <c r="M162" s="25"/>
      <c r="N162" s="25"/>
      <c r="O162" s="25"/>
      <c r="P162" s="25"/>
      <c r="Q162" s="25"/>
      <c r="R162" s="25"/>
      <c r="S162" s="25"/>
      <c r="T162" s="25"/>
      <c r="U162" s="25"/>
      <c r="V162" s="59" t="s">
        <v>121</v>
      </c>
      <c r="W162" s="25"/>
      <c r="X162" s="5"/>
    </row>
    <row r="163" spans="1:24" ht="15.6" x14ac:dyDescent="0.3">
      <c r="A163" s="24"/>
      <c r="B163" s="25" t="s">
        <v>50</v>
      </c>
      <c r="C163" s="25"/>
      <c r="D163" s="25"/>
      <c r="E163" s="25"/>
      <c r="F163" s="25"/>
      <c r="G163" s="25"/>
      <c r="H163" s="25"/>
      <c r="I163" s="25"/>
      <c r="J163" s="25"/>
      <c r="K163" s="25"/>
      <c r="L163" s="25"/>
      <c r="M163" s="25"/>
      <c r="N163" s="25"/>
      <c r="O163" s="25"/>
      <c r="P163" s="25"/>
      <c r="Q163" s="25"/>
      <c r="R163" s="25"/>
      <c r="S163" s="25"/>
      <c r="T163" s="25"/>
      <c r="U163" s="25"/>
      <c r="V163" s="59" t="s">
        <v>121</v>
      </c>
      <c r="W163" s="25"/>
      <c r="X163" s="5"/>
    </row>
    <row r="164" spans="1:24" ht="15.6" x14ac:dyDescent="0.3">
      <c r="A164" s="24"/>
      <c r="B164" s="25"/>
      <c r="C164" s="25"/>
      <c r="D164" s="25"/>
      <c r="E164" s="25"/>
      <c r="F164" s="25"/>
      <c r="G164" s="25"/>
      <c r="H164" s="25"/>
      <c r="I164" s="25"/>
      <c r="J164" s="25"/>
      <c r="K164" s="25"/>
      <c r="L164" s="25"/>
      <c r="M164" s="25"/>
      <c r="N164" s="25"/>
      <c r="O164" s="25"/>
      <c r="P164" s="25"/>
      <c r="Q164" s="25"/>
      <c r="R164" s="25"/>
      <c r="S164" s="25"/>
      <c r="T164" s="25"/>
      <c r="U164" s="25"/>
      <c r="V164" s="61"/>
      <c r="W164" s="25"/>
      <c r="X164" s="5"/>
    </row>
    <row r="165" spans="1:24" ht="15.6" x14ac:dyDescent="0.3">
      <c r="A165" s="6"/>
      <c r="B165" s="119" t="s">
        <v>51</v>
      </c>
      <c r="C165" s="8"/>
      <c r="D165" s="8"/>
      <c r="E165" s="8"/>
      <c r="F165" s="8"/>
      <c r="G165" s="8"/>
      <c r="H165" s="8"/>
      <c r="I165" s="8"/>
      <c r="J165" s="8"/>
      <c r="K165" s="8"/>
      <c r="L165" s="8"/>
      <c r="M165" s="8"/>
      <c r="N165" s="8"/>
      <c r="O165" s="8"/>
      <c r="P165" s="8"/>
      <c r="Q165" s="8"/>
      <c r="R165" s="8"/>
      <c r="S165" s="8"/>
      <c r="T165" s="8"/>
      <c r="U165" s="8"/>
      <c r="V165" s="63"/>
      <c r="W165" s="8"/>
      <c r="X165" s="5"/>
    </row>
    <row r="166" spans="1:24" ht="15.6" x14ac:dyDescent="0.3">
      <c r="A166" s="24"/>
      <c r="B166" s="25" t="s">
        <v>52</v>
      </c>
      <c r="C166" s="25"/>
      <c r="D166" s="25"/>
      <c r="E166" s="25"/>
      <c r="F166" s="25"/>
      <c r="G166" s="25"/>
      <c r="H166" s="25"/>
      <c r="I166" s="25"/>
      <c r="J166" s="25"/>
      <c r="K166" s="25"/>
      <c r="L166" s="25"/>
      <c r="M166" s="25"/>
      <c r="N166" s="25"/>
      <c r="O166" s="25"/>
      <c r="P166" s="25"/>
      <c r="Q166" s="25"/>
      <c r="R166" s="25"/>
      <c r="S166" s="25"/>
      <c r="T166" s="25"/>
      <c r="U166" s="25"/>
      <c r="V166" s="53">
        <v>0</v>
      </c>
      <c r="W166" s="25"/>
      <c r="X166" s="5"/>
    </row>
    <row r="167" spans="1:24" ht="15.6" x14ac:dyDescent="0.3">
      <c r="A167" s="24"/>
      <c r="B167" s="25" t="s">
        <v>53</v>
      </c>
      <c r="C167" s="25"/>
      <c r="D167" s="25"/>
      <c r="E167" s="25"/>
      <c r="F167" s="25"/>
      <c r="G167" s="25"/>
      <c r="H167" s="25"/>
      <c r="I167" s="25"/>
      <c r="J167" s="25"/>
      <c r="K167" s="25"/>
      <c r="L167" s="25"/>
      <c r="M167" s="25"/>
      <c r="N167" s="25"/>
      <c r="O167" s="25"/>
      <c r="P167" s="25"/>
      <c r="Q167" s="25"/>
      <c r="R167" s="25"/>
      <c r="S167" s="25"/>
      <c r="T167" s="25"/>
      <c r="U167" s="25"/>
      <c r="V167" s="53">
        <v>0</v>
      </c>
      <c r="W167" s="25"/>
      <c r="X167" s="5"/>
    </row>
    <row r="168" spans="1:24" ht="15.6" x14ac:dyDescent="0.3">
      <c r="A168" s="24"/>
      <c r="B168" s="25" t="s">
        <v>54</v>
      </c>
      <c r="C168" s="25"/>
      <c r="D168" s="25"/>
      <c r="E168" s="25"/>
      <c r="F168" s="25"/>
      <c r="G168" s="25"/>
      <c r="H168" s="25"/>
      <c r="I168" s="25"/>
      <c r="J168" s="25"/>
      <c r="K168" s="25"/>
      <c r="L168" s="25"/>
      <c r="M168" s="25"/>
      <c r="N168" s="25"/>
      <c r="O168" s="25"/>
      <c r="P168" s="25"/>
      <c r="Q168" s="25"/>
      <c r="R168" s="25"/>
      <c r="S168" s="25"/>
      <c r="T168" s="25"/>
      <c r="U168" s="25"/>
      <c r="V168" s="53">
        <f>V167+V166</f>
        <v>0</v>
      </c>
      <c r="W168" s="25"/>
      <c r="X168" s="5"/>
    </row>
    <row r="169" spans="1:24" ht="15.6" x14ac:dyDescent="0.3">
      <c r="A169" s="24"/>
      <c r="B169" s="391" t="s">
        <v>318</v>
      </c>
      <c r="C169" s="25"/>
      <c r="D169" s="25"/>
      <c r="E169" s="25"/>
      <c r="F169" s="25"/>
      <c r="G169" s="25"/>
      <c r="H169" s="25"/>
      <c r="I169" s="25"/>
      <c r="J169" s="25"/>
      <c r="K169" s="25"/>
      <c r="L169" s="25"/>
      <c r="M169" s="25"/>
      <c r="N169" s="25"/>
      <c r="O169" s="25"/>
      <c r="P169" s="25"/>
      <c r="Q169" s="25"/>
      <c r="R169" s="25"/>
      <c r="S169" s="25"/>
      <c r="T169" s="25"/>
      <c r="U169" s="25"/>
      <c r="V169" s="53">
        <f>V115</f>
        <v>0</v>
      </c>
      <c r="W169" s="25"/>
      <c r="X169" s="5"/>
    </row>
    <row r="170" spans="1:24" ht="15.6" x14ac:dyDescent="0.3">
      <c r="A170" s="24"/>
      <c r="B170" s="25" t="s">
        <v>55</v>
      </c>
      <c r="C170" s="25"/>
      <c r="D170" s="25"/>
      <c r="E170" s="25"/>
      <c r="F170" s="25"/>
      <c r="G170" s="25"/>
      <c r="H170" s="25"/>
      <c r="I170" s="25"/>
      <c r="J170" s="25"/>
      <c r="K170" s="25"/>
      <c r="L170" s="25"/>
      <c r="M170" s="25"/>
      <c r="N170" s="25"/>
      <c r="O170" s="25"/>
      <c r="P170" s="25"/>
      <c r="Q170" s="25"/>
      <c r="R170" s="25"/>
      <c r="S170" s="25"/>
      <c r="T170" s="25"/>
      <c r="U170" s="25"/>
      <c r="V170" s="53">
        <f>V168+V169</f>
        <v>0</v>
      </c>
      <c r="W170" s="25"/>
      <c r="X170" s="5"/>
    </row>
    <row r="171" spans="1:24" ht="16.2" thickBot="1" x14ac:dyDescent="0.35">
      <c r="A171" s="24"/>
      <c r="B171" s="25"/>
      <c r="C171" s="25"/>
      <c r="D171" s="25"/>
      <c r="E171" s="25"/>
      <c r="F171" s="25"/>
      <c r="G171" s="25"/>
      <c r="H171" s="25"/>
      <c r="I171" s="25"/>
      <c r="J171" s="25"/>
      <c r="K171" s="25"/>
      <c r="L171" s="25"/>
      <c r="M171" s="25"/>
      <c r="N171" s="25"/>
      <c r="O171" s="25"/>
      <c r="P171" s="25"/>
      <c r="Q171" s="25"/>
      <c r="R171" s="25"/>
      <c r="S171" s="25"/>
      <c r="T171" s="25"/>
      <c r="U171" s="25"/>
      <c r="V171" s="61"/>
      <c r="W171" s="25"/>
      <c r="X171" s="5"/>
    </row>
    <row r="172" spans="1:24" ht="15.6" x14ac:dyDescent="0.3">
      <c r="A172" s="2"/>
      <c r="B172" s="4"/>
      <c r="C172" s="4"/>
      <c r="D172" s="4"/>
      <c r="E172" s="4"/>
      <c r="F172" s="4"/>
      <c r="G172" s="4"/>
      <c r="H172" s="4"/>
      <c r="I172" s="4"/>
      <c r="J172" s="4"/>
      <c r="K172" s="4"/>
      <c r="L172" s="4"/>
      <c r="M172" s="4"/>
      <c r="N172" s="4"/>
      <c r="O172" s="4"/>
      <c r="P172" s="4"/>
      <c r="Q172" s="4"/>
      <c r="R172" s="4"/>
      <c r="S172" s="4"/>
      <c r="T172" s="4"/>
      <c r="U172" s="4"/>
      <c r="V172" s="50"/>
      <c r="W172" s="4"/>
      <c r="X172" s="5"/>
    </row>
    <row r="173" spans="1:24" ht="15.6" x14ac:dyDescent="0.3">
      <c r="A173" s="6"/>
      <c r="B173" s="119" t="s">
        <v>56</v>
      </c>
      <c r="C173" s="8"/>
      <c r="D173" s="8"/>
      <c r="E173" s="8"/>
      <c r="F173" s="8"/>
      <c r="G173" s="8"/>
      <c r="H173" s="8"/>
      <c r="I173" s="8"/>
      <c r="J173" s="8"/>
      <c r="K173" s="8"/>
      <c r="L173" s="8"/>
      <c r="M173" s="8"/>
      <c r="N173" s="8"/>
      <c r="O173" s="8"/>
      <c r="P173" s="8"/>
      <c r="Q173" s="8"/>
      <c r="R173" s="8"/>
      <c r="S173" s="8"/>
      <c r="T173" s="8"/>
      <c r="U173" s="8"/>
      <c r="V173" s="52"/>
      <c r="W173" s="8"/>
      <c r="X173" s="5"/>
    </row>
    <row r="174" spans="1:24" ht="15.6" x14ac:dyDescent="0.3">
      <c r="A174" s="6"/>
      <c r="B174" s="21"/>
      <c r="C174" s="8"/>
      <c r="D174" s="8"/>
      <c r="E174" s="8"/>
      <c r="F174" s="8"/>
      <c r="G174" s="8"/>
      <c r="H174" s="8"/>
      <c r="I174" s="8"/>
      <c r="J174" s="8"/>
      <c r="K174" s="8"/>
      <c r="L174" s="8"/>
      <c r="M174" s="8"/>
      <c r="N174" s="8"/>
      <c r="O174" s="8"/>
      <c r="P174" s="8"/>
      <c r="Q174" s="8"/>
      <c r="R174" s="8"/>
      <c r="S174" s="8"/>
      <c r="T174" s="8"/>
      <c r="U174" s="8"/>
      <c r="V174" s="52"/>
      <c r="W174" s="8"/>
      <c r="X174" s="5"/>
    </row>
    <row r="175" spans="1:24" ht="15.6" x14ac:dyDescent="0.3">
      <c r="A175" s="24"/>
      <c r="B175" s="25" t="s">
        <v>57</v>
      </c>
      <c r="C175" s="25"/>
      <c r="D175" s="25"/>
      <c r="E175" s="25"/>
      <c r="F175" s="25"/>
      <c r="G175" s="25"/>
      <c r="H175" s="25"/>
      <c r="I175" s="25"/>
      <c r="J175" s="25"/>
      <c r="K175" s="25"/>
      <c r="L175" s="25"/>
      <c r="M175" s="25"/>
      <c r="N175" s="25"/>
      <c r="O175" s="25"/>
      <c r="P175" s="25"/>
      <c r="Q175" s="25"/>
      <c r="R175" s="25"/>
      <c r="S175" s="25"/>
      <c r="T175" s="25"/>
      <c r="U175" s="25"/>
      <c r="V175" s="53">
        <f>V72</f>
        <v>1190669</v>
      </c>
      <c r="W175" s="25"/>
      <c r="X175" s="5"/>
    </row>
    <row r="176" spans="1:24" ht="15.6" x14ac:dyDescent="0.3">
      <c r="A176" s="24"/>
      <c r="B176" s="25" t="s">
        <v>58</v>
      </c>
      <c r="C176" s="25"/>
      <c r="D176" s="25"/>
      <c r="E176" s="25"/>
      <c r="F176" s="25"/>
      <c r="G176" s="25"/>
      <c r="H176" s="25"/>
      <c r="I176" s="25"/>
      <c r="J176" s="25"/>
      <c r="K176" s="25"/>
      <c r="L176" s="25"/>
      <c r="M176" s="25"/>
      <c r="N176" s="25"/>
      <c r="O176" s="25"/>
      <c r="P176" s="25"/>
      <c r="Q176" s="25"/>
      <c r="R176" s="25"/>
      <c r="S176" s="25"/>
      <c r="T176" s="25"/>
      <c r="U176" s="25"/>
      <c r="V176" s="53">
        <f>V85</f>
        <v>1190669</v>
      </c>
      <c r="W176" s="25"/>
      <c r="X176" s="5"/>
    </row>
    <row r="177" spans="1:24" ht="16.2" thickBot="1" x14ac:dyDescent="0.35">
      <c r="A177" s="24"/>
      <c r="B177" s="25"/>
      <c r="C177" s="25"/>
      <c r="D177" s="25"/>
      <c r="E177" s="25"/>
      <c r="F177" s="25"/>
      <c r="G177" s="25"/>
      <c r="H177" s="25"/>
      <c r="I177" s="25"/>
      <c r="J177" s="25"/>
      <c r="K177" s="25"/>
      <c r="L177" s="25"/>
      <c r="M177" s="25"/>
      <c r="N177" s="25"/>
      <c r="O177" s="25"/>
      <c r="P177" s="25"/>
      <c r="Q177" s="25"/>
      <c r="R177" s="25"/>
      <c r="S177" s="25"/>
      <c r="T177" s="25"/>
      <c r="U177" s="25"/>
      <c r="V177" s="61"/>
      <c r="W177" s="25"/>
      <c r="X177" s="5"/>
    </row>
    <row r="178" spans="1:24" ht="15.6" x14ac:dyDescent="0.3">
      <c r="A178" s="2"/>
      <c r="B178" s="4"/>
      <c r="C178" s="4"/>
      <c r="D178" s="4"/>
      <c r="E178" s="4"/>
      <c r="F178" s="4"/>
      <c r="G178" s="4"/>
      <c r="H178" s="4"/>
      <c r="I178" s="4"/>
      <c r="J178" s="4"/>
      <c r="K178" s="4"/>
      <c r="L178" s="4"/>
      <c r="M178" s="4"/>
      <c r="N178" s="4"/>
      <c r="O178" s="4"/>
      <c r="P178" s="4"/>
      <c r="Q178" s="4"/>
      <c r="R178" s="4"/>
      <c r="S178" s="4"/>
      <c r="T178" s="4"/>
      <c r="U178" s="4"/>
      <c r="V178" s="50"/>
      <c r="W178" s="4"/>
      <c r="X178" s="5"/>
    </row>
    <row r="179" spans="1:24" ht="15.6" x14ac:dyDescent="0.3">
      <c r="A179" s="6"/>
      <c r="B179" s="119" t="s">
        <v>59</v>
      </c>
      <c r="C179" s="117"/>
      <c r="D179" s="117"/>
      <c r="E179" s="117"/>
      <c r="F179" s="117"/>
      <c r="G179" s="117"/>
      <c r="H179" s="120"/>
      <c r="I179" s="120"/>
      <c r="J179" s="120"/>
      <c r="K179" s="120"/>
      <c r="L179" s="120"/>
      <c r="M179" s="120"/>
      <c r="N179" s="120"/>
      <c r="O179" s="120"/>
      <c r="P179" s="120"/>
      <c r="Q179" s="120"/>
      <c r="R179" s="120"/>
      <c r="S179" s="120" t="s">
        <v>102</v>
      </c>
      <c r="T179" s="120" t="s">
        <v>179</v>
      </c>
      <c r="U179" s="111"/>
      <c r="V179" s="121" t="s">
        <v>117</v>
      </c>
      <c r="W179" s="10"/>
      <c r="X179" s="5"/>
    </row>
    <row r="180" spans="1:24" ht="15.6" x14ac:dyDescent="0.3">
      <c r="A180" s="24"/>
      <c r="B180" s="25" t="s">
        <v>60</v>
      </c>
      <c r="C180" s="25"/>
      <c r="D180" s="25"/>
      <c r="E180" s="25"/>
      <c r="F180" s="25"/>
      <c r="G180" s="25"/>
      <c r="H180" s="25"/>
      <c r="I180" s="25"/>
      <c r="J180" s="25"/>
      <c r="K180" s="25"/>
      <c r="L180" s="25"/>
      <c r="M180" s="25"/>
      <c r="N180" s="25"/>
      <c r="O180" s="25"/>
      <c r="P180" s="25"/>
      <c r="Q180" s="25"/>
      <c r="R180" s="25"/>
      <c r="S180" s="53">
        <f>+V34*0.16</f>
        <v>240030.4</v>
      </c>
      <c r="T180" s="40"/>
      <c r="U180" s="25"/>
      <c r="V180" s="53"/>
      <c r="W180" s="25"/>
      <c r="X180" s="5"/>
    </row>
    <row r="181" spans="1:24" ht="15.6" x14ac:dyDescent="0.3">
      <c r="A181" s="24"/>
      <c r="B181" s="25" t="s">
        <v>61</v>
      </c>
      <c r="C181" s="25"/>
      <c r="D181" s="25"/>
      <c r="E181" s="25"/>
      <c r="F181" s="25"/>
      <c r="G181" s="25"/>
      <c r="H181" s="25"/>
      <c r="I181" s="25"/>
      <c r="J181" s="25"/>
      <c r="K181" s="25"/>
      <c r="L181" s="25"/>
      <c r="M181" s="25"/>
      <c r="N181" s="25"/>
      <c r="O181" s="25"/>
      <c r="P181" s="25"/>
      <c r="Q181" s="25"/>
      <c r="R181" s="25"/>
      <c r="S181" s="53">
        <f>+'June 08'!S183</f>
        <v>36156</v>
      </c>
      <c r="T181" s="53">
        <f>+'June 08'!T183</f>
        <v>7717</v>
      </c>
      <c r="U181" s="25"/>
      <c r="V181" s="53">
        <f>S181+T181</f>
        <v>43873</v>
      </c>
      <c r="W181" s="25"/>
      <c r="X181" s="5"/>
    </row>
    <row r="182" spans="1:24" ht="15.6" x14ac:dyDescent="0.3">
      <c r="A182" s="24"/>
      <c r="B182" s="25" t="s">
        <v>62</v>
      </c>
      <c r="C182" s="25"/>
      <c r="D182" s="25"/>
      <c r="E182" s="25"/>
      <c r="F182" s="25"/>
      <c r="G182" s="25"/>
      <c r="H182" s="25"/>
      <c r="I182" s="25"/>
      <c r="J182" s="25"/>
      <c r="K182" s="25"/>
      <c r="L182" s="25"/>
      <c r="M182" s="25"/>
      <c r="N182" s="25"/>
      <c r="O182" s="25"/>
      <c r="P182" s="25"/>
      <c r="Q182" s="25"/>
      <c r="R182" s="25"/>
      <c r="S182" s="34">
        <f>2353+304</f>
        <v>2657</v>
      </c>
      <c r="T182" s="34">
        <v>435</v>
      </c>
      <c r="U182" s="25"/>
      <c r="V182" s="53">
        <f>S182+T182</f>
        <v>3092</v>
      </c>
      <c r="W182" s="25"/>
      <c r="X182" s="5"/>
    </row>
    <row r="183" spans="1:24" ht="15.6" x14ac:dyDescent="0.3">
      <c r="A183" s="24"/>
      <c r="B183" s="25" t="s">
        <v>63</v>
      </c>
      <c r="C183" s="25"/>
      <c r="D183" s="25"/>
      <c r="E183" s="25"/>
      <c r="F183" s="25"/>
      <c r="G183" s="25"/>
      <c r="H183" s="25"/>
      <c r="I183" s="25"/>
      <c r="J183" s="25"/>
      <c r="K183" s="25"/>
      <c r="L183" s="25"/>
      <c r="M183" s="25"/>
      <c r="N183" s="25"/>
      <c r="O183" s="25"/>
      <c r="P183" s="25"/>
      <c r="Q183" s="25"/>
      <c r="R183" s="25"/>
      <c r="S183" s="53">
        <f>S181+S182</f>
        <v>38813</v>
      </c>
      <c r="T183" s="53">
        <f>T182+T181</f>
        <v>8152</v>
      </c>
      <c r="U183" s="25"/>
      <c r="V183" s="53">
        <f>S183+T183</f>
        <v>46965</v>
      </c>
      <c r="W183" s="25"/>
      <c r="X183" s="5"/>
    </row>
    <row r="184" spans="1:24" ht="15.6" x14ac:dyDescent="0.3">
      <c r="A184" s="24"/>
      <c r="B184" s="25" t="s">
        <v>64</v>
      </c>
      <c r="C184" s="25"/>
      <c r="D184" s="25"/>
      <c r="E184" s="25"/>
      <c r="F184" s="25"/>
      <c r="G184" s="25"/>
      <c r="H184" s="25"/>
      <c r="I184" s="25"/>
      <c r="J184" s="25"/>
      <c r="K184" s="25"/>
      <c r="L184" s="25"/>
      <c r="M184" s="25"/>
      <c r="N184" s="25"/>
      <c r="O184" s="25"/>
      <c r="P184" s="25"/>
      <c r="Q184" s="25"/>
      <c r="R184" s="25"/>
      <c r="S184" s="53">
        <f>S180-S183-T183</f>
        <v>193065.4</v>
      </c>
      <c r="T184" s="40"/>
      <c r="U184" s="25"/>
      <c r="V184" s="53"/>
      <c r="W184" s="25"/>
      <c r="X184" s="5"/>
    </row>
    <row r="185" spans="1:24" ht="16.2" thickBot="1" x14ac:dyDescent="0.35">
      <c r="A185" s="24"/>
      <c r="B185" s="25"/>
      <c r="C185" s="25"/>
      <c r="D185" s="25"/>
      <c r="E185" s="25"/>
      <c r="F185" s="25"/>
      <c r="G185" s="25"/>
      <c r="H185" s="25"/>
      <c r="I185" s="25"/>
      <c r="J185" s="25"/>
      <c r="K185" s="25"/>
      <c r="L185" s="25"/>
      <c r="M185" s="25"/>
      <c r="N185" s="25"/>
      <c r="O185" s="25"/>
      <c r="P185" s="25"/>
      <c r="Q185" s="25"/>
      <c r="R185" s="25"/>
      <c r="S185" s="25"/>
      <c r="T185" s="25"/>
      <c r="U185" s="25"/>
      <c r="V185" s="61"/>
      <c r="W185" s="25"/>
      <c r="X185" s="5"/>
    </row>
    <row r="186" spans="1:24" ht="15.6" x14ac:dyDescent="0.3">
      <c r="A186" s="2"/>
      <c r="B186" s="4"/>
      <c r="C186" s="4"/>
      <c r="D186" s="4"/>
      <c r="E186" s="4"/>
      <c r="F186" s="4"/>
      <c r="G186" s="4"/>
      <c r="H186" s="4"/>
      <c r="I186" s="4"/>
      <c r="J186" s="4"/>
      <c r="K186" s="4"/>
      <c r="L186" s="4"/>
      <c r="M186" s="4"/>
      <c r="N186" s="4"/>
      <c r="O186" s="4"/>
      <c r="P186" s="4"/>
      <c r="Q186" s="4"/>
      <c r="R186" s="4"/>
      <c r="S186" s="4"/>
      <c r="T186" s="4"/>
      <c r="U186" s="4"/>
      <c r="V186" s="50"/>
      <c r="W186" s="4"/>
      <c r="X186" s="5"/>
    </row>
    <row r="187" spans="1:24" ht="15.6" x14ac:dyDescent="0.3">
      <c r="A187" s="6"/>
      <c r="B187" s="119" t="s">
        <v>65</v>
      </c>
      <c r="C187" s="8"/>
      <c r="D187" s="8"/>
      <c r="E187" s="8"/>
      <c r="F187" s="8"/>
      <c r="G187" s="8"/>
      <c r="H187" s="8"/>
      <c r="I187" s="8"/>
      <c r="J187" s="8"/>
      <c r="K187" s="8"/>
      <c r="L187" s="8"/>
      <c r="M187" s="8"/>
      <c r="N187" s="8"/>
      <c r="O187" s="8"/>
      <c r="P187" s="8"/>
      <c r="Q187" s="8"/>
      <c r="R187" s="8"/>
      <c r="S187" s="8"/>
      <c r="T187" s="8"/>
      <c r="U187" s="8"/>
      <c r="V187" s="65"/>
      <c r="W187" s="8"/>
      <c r="X187" s="5"/>
    </row>
    <row r="188" spans="1:24" ht="15.6" x14ac:dyDescent="0.3">
      <c r="A188" s="24"/>
      <c r="B188" s="25" t="s">
        <v>66</v>
      </c>
      <c r="C188" s="25"/>
      <c r="D188" s="25"/>
      <c r="E188" s="25"/>
      <c r="F188" s="25"/>
      <c r="G188" s="25"/>
      <c r="H188" s="25"/>
      <c r="I188" s="25"/>
      <c r="J188" s="25"/>
      <c r="K188" s="25"/>
      <c r="L188" s="25"/>
      <c r="M188" s="25"/>
      <c r="N188" s="25"/>
      <c r="O188" s="25"/>
      <c r="P188" s="25"/>
      <c r="Q188" s="25"/>
      <c r="R188" s="25"/>
      <c r="S188" s="25"/>
      <c r="T188" s="25"/>
      <c r="U188" s="25"/>
      <c r="V188" s="59">
        <f>(V101+V103+V104+V105+V106)/-(V107+V108)</f>
        <v>1.3917059377945336</v>
      </c>
      <c r="W188" s="25" t="s">
        <v>118</v>
      </c>
      <c r="X188" s="5"/>
    </row>
    <row r="189" spans="1:24" ht="15.6" x14ac:dyDescent="0.3">
      <c r="A189" s="24"/>
      <c r="B189" s="25" t="s">
        <v>67</v>
      </c>
      <c r="C189" s="25"/>
      <c r="D189" s="25"/>
      <c r="E189" s="25"/>
      <c r="F189" s="25"/>
      <c r="G189" s="25"/>
      <c r="H189" s="25"/>
      <c r="I189" s="25"/>
      <c r="J189" s="25"/>
      <c r="K189" s="25"/>
      <c r="L189" s="25"/>
      <c r="M189" s="25"/>
      <c r="N189" s="25"/>
      <c r="O189" s="25"/>
      <c r="P189" s="25"/>
      <c r="Q189" s="25"/>
      <c r="R189" s="25"/>
      <c r="S189" s="25"/>
      <c r="T189" s="25"/>
      <c r="U189" s="25"/>
      <c r="V189" s="66">
        <v>1.37</v>
      </c>
      <c r="W189" s="25" t="s">
        <v>118</v>
      </c>
      <c r="X189" s="5"/>
    </row>
    <row r="190" spans="1:24" ht="15.6" x14ac:dyDescent="0.3">
      <c r="A190" s="24"/>
      <c r="B190" s="25" t="s">
        <v>68</v>
      </c>
      <c r="C190" s="25"/>
      <c r="D190" s="25"/>
      <c r="E190" s="25"/>
      <c r="F190" s="25"/>
      <c r="G190" s="25"/>
      <c r="H190" s="25"/>
      <c r="I190" s="25"/>
      <c r="J190" s="25"/>
      <c r="K190" s="25"/>
      <c r="L190" s="25"/>
      <c r="M190" s="25"/>
      <c r="N190" s="25"/>
      <c r="O190" s="25"/>
      <c r="P190" s="25"/>
      <c r="Q190" s="25"/>
      <c r="R190" s="25"/>
      <c r="S190" s="25"/>
      <c r="T190" s="25"/>
      <c r="U190" s="25"/>
      <c r="V190" s="59">
        <f>(V101+V103+V104+V105+V106+V107+V108)/-(V110+V111)</f>
        <v>3.6520210896309315</v>
      </c>
      <c r="W190" s="25" t="s">
        <v>118</v>
      </c>
      <c r="X190" s="5"/>
    </row>
    <row r="191" spans="1:24" ht="15.6" x14ac:dyDescent="0.3">
      <c r="A191" s="24"/>
      <c r="B191" s="25" t="s">
        <v>69</v>
      </c>
      <c r="C191" s="25"/>
      <c r="D191" s="25"/>
      <c r="E191" s="25"/>
      <c r="F191" s="25"/>
      <c r="G191" s="25"/>
      <c r="H191" s="25"/>
      <c r="I191" s="25"/>
      <c r="J191" s="25"/>
      <c r="K191" s="25"/>
      <c r="L191" s="25"/>
      <c r="M191" s="25"/>
      <c r="N191" s="25"/>
      <c r="O191" s="25"/>
      <c r="P191" s="25"/>
      <c r="Q191" s="25"/>
      <c r="R191" s="25"/>
      <c r="S191" s="25"/>
      <c r="T191" s="25"/>
      <c r="U191" s="25"/>
      <c r="V191" s="66">
        <v>3.91</v>
      </c>
      <c r="W191" s="25" t="s">
        <v>118</v>
      </c>
      <c r="X191" s="5"/>
    </row>
    <row r="192" spans="1:24" ht="15.6" x14ac:dyDescent="0.3">
      <c r="A192" s="24"/>
      <c r="B192" s="25" t="s">
        <v>201</v>
      </c>
      <c r="C192" s="25"/>
      <c r="D192" s="25"/>
      <c r="E192" s="25"/>
      <c r="F192" s="25"/>
      <c r="G192" s="25"/>
      <c r="H192" s="25"/>
      <c r="I192" s="25"/>
      <c r="J192" s="25"/>
      <c r="K192" s="25"/>
      <c r="L192" s="25"/>
      <c r="M192" s="25"/>
      <c r="N192" s="25"/>
      <c r="O192" s="25"/>
      <c r="P192" s="25"/>
      <c r="Q192" s="25"/>
      <c r="R192" s="25"/>
      <c r="S192" s="25"/>
      <c r="T192" s="25"/>
      <c r="U192" s="25"/>
      <c r="V192" s="59">
        <f>(V101+V103+V104+V105+V106+V107+V108+V110+V111)/-(V112+V113)</f>
        <v>4.2747875354107645</v>
      </c>
      <c r="W192" s="25" t="s">
        <v>118</v>
      </c>
      <c r="X192" s="5"/>
    </row>
    <row r="193" spans="1:24" ht="15.6" x14ac:dyDescent="0.3">
      <c r="A193" s="24"/>
      <c r="B193" s="25" t="s">
        <v>202</v>
      </c>
      <c r="C193" s="25"/>
      <c r="D193" s="25"/>
      <c r="E193" s="25"/>
      <c r="F193" s="25"/>
      <c r="G193" s="25"/>
      <c r="H193" s="25"/>
      <c r="I193" s="25"/>
      <c r="J193" s="25"/>
      <c r="K193" s="25"/>
      <c r="L193" s="25"/>
      <c r="M193" s="25"/>
      <c r="N193" s="25"/>
      <c r="O193" s="25"/>
      <c r="P193" s="25"/>
      <c r="Q193" s="25"/>
      <c r="R193" s="25"/>
      <c r="S193" s="25"/>
      <c r="T193" s="25"/>
      <c r="U193" s="25"/>
      <c r="V193" s="66">
        <v>4.6900000000000004</v>
      </c>
      <c r="W193" s="25" t="s">
        <v>118</v>
      </c>
      <c r="X193" s="5"/>
    </row>
    <row r="194" spans="1:24" ht="15.6" x14ac:dyDescent="0.3">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5"/>
    </row>
    <row r="195" spans="1:24" ht="15.6" x14ac:dyDescent="0.3">
      <c r="A195" s="24"/>
      <c r="B195" s="25"/>
      <c r="C195" s="25"/>
      <c r="D195" s="25"/>
      <c r="E195" s="25"/>
      <c r="F195" s="25"/>
      <c r="G195" s="25"/>
      <c r="H195" s="25"/>
      <c r="I195" s="25"/>
      <c r="J195" s="25"/>
      <c r="K195" s="25"/>
      <c r="L195" s="25"/>
      <c r="M195" s="25"/>
      <c r="N195" s="25"/>
      <c r="O195" s="25"/>
      <c r="P195" s="25"/>
      <c r="Q195" s="25"/>
      <c r="R195" s="25"/>
      <c r="S195" s="25"/>
      <c r="T195" s="25"/>
      <c r="U195" s="25"/>
      <c r="V195" s="25"/>
      <c r="W195" s="25"/>
      <c r="X195" s="5"/>
    </row>
    <row r="196" spans="1:24" ht="15.6" x14ac:dyDescent="0.3">
      <c r="A196" s="6"/>
      <c r="B196" s="8"/>
      <c r="C196" s="8"/>
      <c r="D196" s="8"/>
      <c r="E196" s="8"/>
      <c r="F196" s="8"/>
      <c r="G196" s="8"/>
      <c r="H196" s="8"/>
      <c r="I196" s="8"/>
      <c r="J196" s="8"/>
      <c r="K196" s="8"/>
      <c r="L196" s="8"/>
      <c r="M196" s="8"/>
      <c r="N196" s="8"/>
      <c r="O196" s="8"/>
      <c r="P196" s="8"/>
      <c r="Q196" s="8"/>
      <c r="R196" s="8"/>
      <c r="S196" s="8"/>
      <c r="T196" s="8"/>
      <c r="U196" s="8"/>
      <c r="V196" s="8"/>
      <c r="W196" s="8"/>
      <c r="X196" s="5"/>
    </row>
    <row r="197" spans="1:24" ht="18" thickBot="1" x14ac:dyDescent="0.35">
      <c r="A197" s="101"/>
      <c r="B197" s="102" t="str">
        <f>B138</f>
        <v>PM13 INVESTOR REPORT QUARTER ENDING SEPTEMBER 2008</v>
      </c>
      <c r="C197" s="165"/>
      <c r="D197" s="165"/>
      <c r="E197" s="165"/>
      <c r="F197" s="165"/>
      <c r="G197" s="165"/>
      <c r="H197" s="165"/>
      <c r="I197" s="165"/>
      <c r="J197" s="165"/>
      <c r="K197" s="165"/>
      <c r="L197" s="165"/>
      <c r="M197" s="165"/>
      <c r="N197" s="165"/>
      <c r="O197" s="165"/>
      <c r="P197" s="165"/>
      <c r="Q197" s="165"/>
      <c r="R197" s="165"/>
      <c r="S197" s="165"/>
      <c r="T197" s="165"/>
      <c r="U197" s="165"/>
      <c r="V197" s="165"/>
      <c r="W197" s="166"/>
      <c r="X197" s="5"/>
    </row>
    <row r="198" spans="1:24" ht="15.6" x14ac:dyDescent="0.3">
      <c r="A198" s="67"/>
      <c r="B198" s="60" t="s">
        <v>70</v>
      </c>
      <c r="C198" s="68"/>
      <c r="D198" s="68"/>
      <c r="E198" s="68"/>
      <c r="F198" s="68"/>
      <c r="G198" s="69"/>
      <c r="H198" s="69"/>
      <c r="I198" s="69"/>
      <c r="J198" s="69"/>
      <c r="K198" s="69"/>
      <c r="L198" s="69"/>
      <c r="M198" s="69"/>
      <c r="N198" s="69"/>
      <c r="O198" s="69"/>
      <c r="P198" s="69"/>
      <c r="Q198" s="69"/>
      <c r="R198" s="69"/>
      <c r="S198" s="69"/>
      <c r="T198" s="70">
        <v>39721</v>
      </c>
      <c r="U198" s="4"/>
      <c r="V198" s="4"/>
      <c r="W198" s="4"/>
      <c r="X198" s="5"/>
    </row>
    <row r="199" spans="1:24" ht="15.6" x14ac:dyDescent="0.3">
      <c r="A199" s="71"/>
      <c r="B199" s="72"/>
      <c r="C199" s="73"/>
      <c r="D199" s="73"/>
      <c r="E199" s="73"/>
      <c r="F199" s="73"/>
      <c r="G199" s="74"/>
      <c r="H199" s="74"/>
      <c r="I199" s="74"/>
      <c r="J199" s="74"/>
      <c r="K199" s="74"/>
      <c r="L199" s="74"/>
      <c r="M199" s="74"/>
      <c r="N199" s="74"/>
      <c r="O199" s="74"/>
      <c r="P199" s="74"/>
      <c r="Q199" s="74"/>
      <c r="R199" s="74"/>
      <c r="S199" s="74"/>
      <c r="T199" s="74"/>
      <c r="U199" s="8"/>
      <c r="V199" s="8"/>
      <c r="W199" s="8"/>
      <c r="X199" s="5"/>
    </row>
    <row r="200" spans="1:24" ht="15.6" x14ac:dyDescent="0.3">
      <c r="A200" s="75"/>
      <c r="B200" s="76" t="s">
        <v>71</v>
      </c>
      <c r="C200" s="77"/>
      <c r="D200" s="77"/>
      <c r="E200" s="77"/>
      <c r="F200" s="77"/>
      <c r="G200" s="64"/>
      <c r="H200" s="64"/>
      <c r="I200" s="64"/>
      <c r="J200" s="64"/>
      <c r="K200" s="64"/>
      <c r="L200" s="64"/>
      <c r="M200" s="64"/>
      <c r="N200" s="64"/>
      <c r="O200" s="64"/>
      <c r="P200" s="64"/>
      <c r="Q200" s="64"/>
      <c r="R200" s="64"/>
      <c r="S200" s="64"/>
      <c r="T200" s="78">
        <v>5.4539999999999998E-2</v>
      </c>
      <c r="U200" s="25"/>
      <c r="V200" s="25"/>
      <c r="W200" s="25"/>
      <c r="X200" s="5"/>
    </row>
    <row r="201" spans="1:24" ht="15.6" x14ac:dyDescent="0.3">
      <c r="A201" s="75"/>
      <c r="B201" s="76" t="s">
        <v>154</v>
      </c>
      <c r="C201" s="77"/>
      <c r="D201" s="77"/>
      <c r="E201" s="77"/>
      <c r="F201" s="77"/>
      <c r="G201" s="64"/>
      <c r="H201" s="64"/>
      <c r="I201" s="64"/>
      <c r="J201" s="64"/>
      <c r="K201" s="64"/>
      <c r="L201" s="64"/>
      <c r="M201" s="64"/>
      <c r="N201" s="64"/>
      <c r="O201" s="64"/>
      <c r="P201" s="64"/>
      <c r="Q201" s="64"/>
      <c r="R201" s="64"/>
      <c r="S201" s="64"/>
      <c r="T201" s="39">
        <f>'Dec 06'!T199</f>
        <v>5.238600504269459E-2</v>
      </c>
      <c r="U201" s="25"/>
      <c r="V201" s="25"/>
      <c r="W201" s="25"/>
      <c r="X201" s="5"/>
    </row>
    <row r="202" spans="1:24" ht="15.6" x14ac:dyDescent="0.3">
      <c r="A202" s="75"/>
      <c r="B202" s="76" t="s">
        <v>72</v>
      </c>
      <c r="C202" s="77"/>
      <c r="D202" s="77"/>
      <c r="E202" s="77"/>
      <c r="F202" s="77"/>
      <c r="G202" s="64"/>
      <c r="H202" s="64"/>
      <c r="I202" s="64"/>
      <c r="J202" s="64"/>
      <c r="K202" s="64"/>
      <c r="L202" s="64"/>
      <c r="M202" s="64"/>
      <c r="N202" s="64"/>
      <c r="O202" s="64"/>
      <c r="P202" s="64"/>
      <c r="Q202" s="64"/>
      <c r="R202" s="64"/>
      <c r="S202" s="64"/>
      <c r="T202" s="78">
        <f>+T200-T201</f>
        <v>2.1539949573054079E-3</v>
      </c>
      <c r="U202" s="25"/>
      <c r="V202" s="25"/>
      <c r="W202" s="25"/>
      <c r="X202" s="5"/>
    </row>
    <row r="203" spans="1:24" ht="15.6" x14ac:dyDescent="0.3">
      <c r="A203" s="75"/>
      <c r="B203" s="76" t="s">
        <v>73</v>
      </c>
      <c r="C203" s="77"/>
      <c r="D203" s="77"/>
      <c r="E203" s="77"/>
      <c r="F203" s="77"/>
      <c r="G203" s="64"/>
      <c r="H203" s="64"/>
      <c r="I203" s="64"/>
      <c r="J203" s="64"/>
      <c r="K203" s="64"/>
      <c r="L203" s="64"/>
      <c r="M203" s="64"/>
      <c r="N203" s="64"/>
      <c r="O203" s="64"/>
      <c r="P203" s="64"/>
      <c r="Q203" s="64"/>
      <c r="R203" s="64"/>
      <c r="S203" s="64"/>
      <c r="T203" s="78">
        <v>6.053E-2</v>
      </c>
      <c r="U203" s="25"/>
      <c r="V203" s="25"/>
      <c r="W203" s="25"/>
      <c r="X203" s="5"/>
    </row>
    <row r="204" spans="1:24" ht="15.6" x14ac:dyDescent="0.3">
      <c r="A204" s="75"/>
      <c r="B204" s="76" t="s">
        <v>222</v>
      </c>
      <c r="C204" s="77"/>
      <c r="D204" s="77"/>
      <c r="E204" s="77"/>
      <c r="F204" s="77"/>
      <c r="G204" s="64"/>
      <c r="H204" s="64"/>
      <c r="I204" s="64"/>
      <c r="J204" s="64"/>
      <c r="K204" s="64"/>
      <c r="L204" s="64"/>
      <c r="M204" s="64"/>
      <c r="N204" s="64"/>
      <c r="O204" s="64"/>
      <c r="P204" s="64"/>
      <c r="Q204" s="64"/>
      <c r="R204" s="64"/>
      <c r="S204" s="64"/>
      <c r="T204" s="78">
        <f>V43</f>
        <v>5.9828251556322466E-2</v>
      </c>
      <c r="U204" s="25"/>
      <c r="V204" s="25"/>
      <c r="W204" s="25"/>
      <c r="X204" s="5"/>
    </row>
    <row r="205" spans="1:24" ht="15.6" x14ac:dyDescent="0.3">
      <c r="A205" s="75"/>
      <c r="B205" s="76" t="s">
        <v>74</v>
      </c>
      <c r="C205" s="77"/>
      <c r="D205" s="77"/>
      <c r="E205" s="77"/>
      <c r="F205" s="77"/>
      <c r="G205" s="64"/>
      <c r="H205" s="64"/>
      <c r="I205" s="64"/>
      <c r="J205" s="64"/>
      <c r="K205" s="64"/>
      <c r="L205" s="64"/>
      <c r="M205" s="64"/>
      <c r="N205" s="64"/>
      <c r="O205" s="64"/>
      <c r="P205" s="64"/>
      <c r="Q205" s="64"/>
      <c r="R205" s="64"/>
      <c r="S205" s="64"/>
      <c r="T205" s="78">
        <f>T203-T204</f>
        <v>7.0174844367753425E-4</v>
      </c>
      <c r="U205" s="25"/>
      <c r="V205" s="25"/>
      <c r="W205" s="25"/>
      <c r="X205" s="5"/>
    </row>
    <row r="206" spans="1:24" ht="15.6" x14ac:dyDescent="0.3">
      <c r="A206" s="75"/>
      <c r="B206" s="76" t="s">
        <v>274</v>
      </c>
      <c r="C206" s="77"/>
      <c r="D206" s="77"/>
      <c r="E206" s="77"/>
      <c r="F206" s="77"/>
      <c r="G206" s="64"/>
      <c r="H206" s="64"/>
      <c r="I206" s="64"/>
      <c r="J206" s="64"/>
      <c r="K206" s="64"/>
      <c r="L206" s="64"/>
      <c r="M206" s="64"/>
      <c r="N206" s="64"/>
      <c r="O206" s="64"/>
      <c r="P206" s="64"/>
      <c r="Q206" s="64"/>
      <c r="R206" s="64"/>
      <c r="S206" s="64"/>
      <c r="T206" s="78">
        <f>+V101/N72</f>
        <v>1.8368650105227809E-2</v>
      </c>
      <c r="U206" s="25"/>
      <c r="V206" s="25"/>
      <c r="W206" s="25"/>
      <c r="X206" s="5"/>
    </row>
    <row r="207" spans="1:24" ht="15.6" x14ac:dyDescent="0.3">
      <c r="A207" s="75"/>
      <c r="B207" s="76" t="s">
        <v>211</v>
      </c>
      <c r="C207" s="77"/>
      <c r="D207" s="77"/>
      <c r="E207" s="77"/>
      <c r="F207" s="77"/>
      <c r="G207" s="64"/>
      <c r="H207" s="64"/>
      <c r="I207" s="64"/>
      <c r="J207" s="64"/>
      <c r="K207" s="64"/>
      <c r="L207" s="64"/>
      <c r="M207" s="64"/>
      <c r="N207" s="64"/>
      <c r="O207" s="64"/>
      <c r="P207" s="64"/>
      <c r="Q207" s="64"/>
      <c r="R207" s="64"/>
      <c r="S207" s="64"/>
      <c r="T207" s="129">
        <v>50771</v>
      </c>
      <c r="U207" s="25"/>
      <c r="V207" s="25"/>
      <c r="W207" s="25"/>
      <c r="X207" s="5"/>
    </row>
    <row r="208" spans="1:24" ht="15.6" x14ac:dyDescent="0.3">
      <c r="A208" s="75"/>
      <c r="B208" s="76" t="s">
        <v>212</v>
      </c>
      <c r="C208" s="77"/>
      <c r="D208" s="77"/>
      <c r="E208" s="77"/>
      <c r="F208" s="77"/>
      <c r="G208" s="64"/>
      <c r="H208" s="64"/>
      <c r="I208" s="64"/>
      <c r="J208" s="64"/>
      <c r="K208" s="64"/>
      <c r="L208" s="64"/>
      <c r="M208" s="64"/>
      <c r="N208" s="64"/>
      <c r="O208" s="64"/>
      <c r="P208" s="64"/>
      <c r="Q208" s="64"/>
      <c r="R208" s="64"/>
      <c r="S208" s="64"/>
      <c r="T208" s="129">
        <v>50771</v>
      </c>
      <c r="U208" s="25"/>
      <c r="V208" s="25"/>
      <c r="W208" s="25"/>
      <c r="X208" s="5"/>
    </row>
    <row r="209" spans="1:24" ht="15.6" x14ac:dyDescent="0.3">
      <c r="A209" s="75"/>
      <c r="B209" s="76" t="s">
        <v>213</v>
      </c>
      <c r="C209" s="77"/>
      <c r="D209" s="77"/>
      <c r="E209" s="77"/>
      <c r="F209" s="77"/>
      <c r="G209" s="64"/>
      <c r="H209" s="64"/>
      <c r="I209" s="64"/>
      <c r="J209" s="64"/>
      <c r="K209" s="64"/>
      <c r="L209" s="64"/>
      <c r="M209" s="64"/>
      <c r="N209" s="64"/>
      <c r="O209" s="64"/>
      <c r="P209" s="64"/>
      <c r="Q209" s="64"/>
      <c r="R209" s="64"/>
      <c r="S209" s="64"/>
      <c r="T209" s="129">
        <v>50771</v>
      </c>
      <c r="U209" s="25"/>
      <c r="V209" s="25"/>
      <c r="W209" s="25"/>
      <c r="X209" s="5"/>
    </row>
    <row r="210" spans="1:24" ht="15.6" x14ac:dyDescent="0.3">
      <c r="A210" s="75"/>
      <c r="B210" s="76" t="s">
        <v>75</v>
      </c>
      <c r="C210" s="77"/>
      <c r="D210" s="77"/>
      <c r="E210" s="77"/>
      <c r="F210" s="77"/>
      <c r="G210" s="64"/>
      <c r="H210" s="64"/>
      <c r="I210" s="64"/>
      <c r="J210" s="64"/>
      <c r="K210" s="64"/>
      <c r="L210" s="64"/>
      <c r="M210" s="64"/>
      <c r="N210" s="64"/>
      <c r="O210" s="64"/>
      <c r="P210" s="64"/>
      <c r="Q210" s="64"/>
      <c r="R210" s="64"/>
      <c r="S210" s="64"/>
      <c r="T210" s="133">
        <v>20.66</v>
      </c>
      <c r="U210" s="25" t="s">
        <v>113</v>
      </c>
      <c r="V210" s="25"/>
      <c r="W210" s="25"/>
      <c r="X210" s="5"/>
    </row>
    <row r="211" spans="1:24" ht="15.6" x14ac:dyDescent="0.3">
      <c r="A211" s="75"/>
      <c r="B211" s="76" t="s">
        <v>76</v>
      </c>
      <c r="C211" s="77"/>
      <c r="D211" s="77"/>
      <c r="E211" s="77"/>
      <c r="F211" s="77"/>
      <c r="G211" s="64"/>
      <c r="H211" s="64"/>
      <c r="I211" s="64"/>
      <c r="J211" s="64"/>
      <c r="K211" s="64"/>
      <c r="L211" s="64"/>
      <c r="M211" s="64"/>
      <c r="N211" s="64"/>
      <c r="O211" s="64"/>
      <c r="P211" s="64"/>
      <c r="Q211" s="64"/>
      <c r="R211" s="64"/>
      <c r="S211" s="64"/>
      <c r="T211" s="133">
        <v>19</v>
      </c>
      <c r="U211" s="25" t="s">
        <v>113</v>
      </c>
      <c r="V211" s="25"/>
      <c r="W211" s="25"/>
      <c r="X211" s="5"/>
    </row>
    <row r="212" spans="1:24" ht="15.6" x14ac:dyDescent="0.3">
      <c r="A212" s="75"/>
      <c r="B212" s="76" t="s">
        <v>77</v>
      </c>
      <c r="C212" s="77"/>
      <c r="D212" s="77"/>
      <c r="E212" s="77"/>
      <c r="F212" s="77"/>
      <c r="G212" s="64"/>
      <c r="H212" s="64"/>
      <c r="I212" s="64"/>
      <c r="J212" s="64"/>
      <c r="K212" s="64"/>
      <c r="L212" s="64"/>
      <c r="M212" s="64"/>
      <c r="N212" s="64"/>
      <c r="O212" s="64"/>
      <c r="P212" s="64"/>
      <c r="Q212" s="64"/>
      <c r="R212" s="64"/>
      <c r="S212" s="64"/>
      <c r="T212" s="78">
        <f>+P69/N69</f>
        <v>4.2606162224387505E-2</v>
      </c>
      <c r="U212" s="25"/>
      <c r="V212" s="25"/>
      <c r="W212" s="25"/>
      <c r="X212" s="5"/>
    </row>
    <row r="213" spans="1:24" ht="15.6" x14ac:dyDescent="0.3">
      <c r="A213" s="75"/>
      <c r="B213" s="76" t="s">
        <v>78</v>
      </c>
      <c r="C213" s="77"/>
      <c r="D213" s="77"/>
      <c r="E213" s="77"/>
      <c r="F213" s="77"/>
      <c r="G213" s="64"/>
      <c r="H213" s="64"/>
      <c r="I213" s="64"/>
      <c r="J213" s="64"/>
      <c r="K213" s="64"/>
      <c r="L213" s="64"/>
      <c r="M213" s="64"/>
      <c r="N213" s="64"/>
      <c r="O213" s="64"/>
      <c r="P213" s="64"/>
      <c r="Q213" s="64"/>
      <c r="R213" s="64"/>
      <c r="S213" s="64"/>
      <c r="T213" s="78">
        <v>0.1336</v>
      </c>
      <c r="U213" s="25"/>
      <c r="V213" s="25"/>
      <c r="W213" s="25"/>
      <c r="X213" s="5"/>
    </row>
    <row r="214" spans="1:24" ht="15.6" x14ac:dyDescent="0.3">
      <c r="A214" s="75"/>
      <c r="B214" s="76"/>
      <c r="C214" s="76"/>
      <c r="D214" s="76"/>
      <c r="E214" s="76"/>
      <c r="F214" s="76"/>
      <c r="G214" s="25"/>
      <c r="H214" s="25"/>
      <c r="I214" s="25"/>
      <c r="J214" s="25"/>
      <c r="K214" s="25"/>
      <c r="L214" s="25"/>
      <c r="M214" s="25"/>
      <c r="N214" s="25"/>
      <c r="O214" s="25"/>
      <c r="P214" s="25"/>
      <c r="Q214" s="25"/>
      <c r="R214" s="25"/>
      <c r="S214" s="25"/>
      <c r="T214" s="61"/>
      <c r="U214" s="25"/>
      <c r="V214" s="79"/>
      <c r="W214" s="25"/>
      <c r="X214" s="5"/>
    </row>
    <row r="215" spans="1:24" ht="15.6" x14ac:dyDescent="0.3">
      <c r="A215" s="80"/>
      <c r="B215" s="14" t="s">
        <v>79</v>
      </c>
      <c r="C215" s="81"/>
      <c r="D215" s="81"/>
      <c r="E215" s="81"/>
      <c r="F215" s="82"/>
      <c r="G215" s="81"/>
      <c r="H215" s="17"/>
      <c r="I215" s="17"/>
      <c r="J215" s="17"/>
      <c r="K215" s="17"/>
      <c r="L215" s="17"/>
      <c r="M215" s="17"/>
      <c r="N215" s="17"/>
      <c r="O215" s="17"/>
      <c r="P215" s="17"/>
      <c r="Q215" s="17"/>
      <c r="R215" s="17"/>
      <c r="S215" s="17" t="s">
        <v>103</v>
      </c>
      <c r="T215" s="83" t="s">
        <v>110</v>
      </c>
      <c r="U215" s="8"/>
      <c r="V215" s="8"/>
      <c r="W215" s="8"/>
      <c r="X215" s="5"/>
    </row>
    <row r="216" spans="1:24" ht="15.6" x14ac:dyDescent="0.3">
      <c r="A216" s="84"/>
      <c r="B216" s="76" t="s">
        <v>80</v>
      </c>
      <c r="C216" s="54"/>
      <c r="D216" s="54"/>
      <c r="E216" s="54"/>
      <c r="F216" s="25"/>
      <c r="G216" s="25"/>
      <c r="H216" s="30"/>
      <c r="I216" s="30"/>
      <c r="J216" s="30"/>
      <c r="K216" s="30"/>
      <c r="L216" s="30"/>
      <c r="M216" s="30"/>
      <c r="N216" s="30"/>
      <c r="O216" s="30"/>
      <c r="P216" s="30"/>
      <c r="Q216" s="30"/>
      <c r="R216" s="30"/>
      <c r="S216" s="30">
        <v>0</v>
      </c>
      <c r="T216" s="85">
        <v>0</v>
      </c>
      <c r="U216" s="25"/>
      <c r="V216" s="79"/>
      <c r="W216" s="86"/>
      <c r="X216" s="5"/>
    </row>
    <row r="217" spans="1:24" ht="15.6" x14ac:dyDescent="0.3">
      <c r="A217" s="84"/>
      <c r="B217" s="76" t="s">
        <v>148</v>
      </c>
      <c r="C217" s="54"/>
      <c r="D217" s="54"/>
      <c r="E217" s="54"/>
      <c r="F217" s="25"/>
      <c r="G217" s="25"/>
      <c r="H217" s="30"/>
      <c r="I217" s="30"/>
      <c r="J217" s="30"/>
      <c r="K217" s="30"/>
      <c r="L217" s="30"/>
      <c r="M217" s="30"/>
      <c r="N217" s="30"/>
      <c r="O217" s="30"/>
      <c r="P217" s="30"/>
      <c r="Q217" s="30"/>
      <c r="R217" s="30"/>
      <c r="S217" s="152">
        <f>+R257</f>
        <v>109</v>
      </c>
      <c r="T217" s="85">
        <f>+T257</f>
        <v>18693</v>
      </c>
      <c r="U217" s="25"/>
      <c r="V217" s="79"/>
      <c r="W217" s="86"/>
      <c r="X217" s="5"/>
    </row>
    <row r="218" spans="1:24" ht="15.6" x14ac:dyDescent="0.3">
      <c r="A218" s="84"/>
      <c r="B218" s="76" t="s">
        <v>81</v>
      </c>
      <c r="C218" s="54"/>
      <c r="D218" s="54"/>
      <c r="E218" s="54"/>
      <c r="F218" s="25"/>
      <c r="G218" s="25"/>
      <c r="H218" s="30"/>
      <c r="I218" s="30"/>
      <c r="J218" s="30"/>
      <c r="K218" s="30"/>
      <c r="L218" s="30"/>
      <c r="M218" s="30"/>
      <c r="N218" s="30"/>
      <c r="O218" s="30"/>
      <c r="P218" s="30"/>
      <c r="Q218" s="30"/>
      <c r="R218" s="30"/>
      <c r="S218" s="30">
        <v>0</v>
      </c>
      <c r="T218" s="85">
        <v>0</v>
      </c>
      <c r="U218" s="25"/>
      <c r="V218" s="79"/>
      <c r="W218" s="86"/>
      <c r="X218" s="5"/>
    </row>
    <row r="219" spans="1:24" ht="15.6" x14ac:dyDescent="0.3">
      <c r="A219" s="84"/>
      <c r="B219" s="122" t="s">
        <v>82</v>
      </c>
      <c r="C219" s="54"/>
      <c r="D219" s="54"/>
      <c r="E219" s="54"/>
      <c r="F219" s="25"/>
      <c r="G219" s="25"/>
      <c r="H219" s="25"/>
      <c r="I219" s="25"/>
      <c r="J219" s="25"/>
      <c r="K219" s="25"/>
      <c r="L219" s="25"/>
      <c r="M219" s="25"/>
      <c r="N219" s="25"/>
      <c r="O219" s="25"/>
      <c r="P219" s="25"/>
      <c r="Q219" s="25"/>
      <c r="R219" s="25"/>
      <c r="S219" s="25"/>
      <c r="T219" s="85">
        <v>0</v>
      </c>
      <c r="U219" s="25"/>
      <c r="V219" s="79"/>
      <c r="W219" s="86"/>
      <c r="X219" s="5"/>
    </row>
    <row r="220" spans="1:24" ht="15.6" x14ac:dyDescent="0.3">
      <c r="A220" s="84"/>
      <c r="B220" s="122" t="s">
        <v>275</v>
      </c>
      <c r="C220" s="54"/>
      <c r="D220" s="54"/>
      <c r="E220" s="54"/>
      <c r="F220" s="25"/>
      <c r="G220" s="25"/>
      <c r="H220" s="25"/>
      <c r="I220" s="25"/>
      <c r="J220" s="25"/>
      <c r="K220" s="25"/>
      <c r="L220" s="25"/>
      <c r="M220" s="25"/>
      <c r="N220" s="25"/>
      <c r="O220" s="25"/>
      <c r="P220" s="25"/>
      <c r="Q220" s="25"/>
      <c r="R220" s="25"/>
      <c r="S220" s="25"/>
      <c r="T220" s="85">
        <f>+N82</f>
        <v>0</v>
      </c>
      <c r="U220" s="25"/>
      <c r="V220" s="79"/>
      <c r="W220" s="86"/>
      <c r="X220" s="5"/>
    </row>
    <row r="221" spans="1:24" ht="15.6" x14ac:dyDescent="0.3">
      <c r="A221" s="87"/>
      <c r="B221" s="122" t="s">
        <v>83</v>
      </c>
      <c r="C221" s="76"/>
      <c r="D221" s="76"/>
      <c r="E221" s="76"/>
      <c r="F221" s="76"/>
      <c r="G221" s="25"/>
      <c r="H221" s="25"/>
      <c r="I221" s="25"/>
      <c r="J221" s="25"/>
      <c r="K221" s="25"/>
      <c r="L221" s="25"/>
      <c r="M221" s="25"/>
      <c r="N221" s="25"/>
      <c r="O221" s="25"/>
      <c r="P221" s="25"/>
      <c r="Q221" s="25"/>
      <c r="R221" s="25"/>
      <c r="S221" s="25"/>
      <c r="T221" s="85"/>
      <c r="U221" s="25"/>
      <c r="V221" s="79"/>
      <c r="W221" s="88"/>
      <c r="X221" s="5"/>
    </row>
    <row r="222" spans="1:24" ht="15.6" x14ac:dyDescent="0.3">
      <c r="A222" s="87"/>
      <c r="B222" s="131" t="s">
        <v>84</v>
      </c>
      <c r="C222" s="76"/>
      <c r="D222" s="76"/>
      <c r="E222" s="76"/>
      <c r="F222" s="76"/>
      <c r="G222" s="25"/>
      <c r="H222" s="25"/>
      <c r="I222" s="25"/>
      <c r="J222" s="25"/>
      <c r="K222" s="25"/>
      <c r="L222" s="25"/>
      <c r="M222" s="25"/>
      <c r="N222" s="25"/>
      <c r="O222" s="25"/>
      <c r="P222" s="25"/>
      <c r="Q222" s="25"/>
      <c r="R222" s="25"/>
      <c r="S222" s="30"/>
      <c r="T222" s="85">
        <f>V167</f>
        <v>0</v>
      </c>
      <c r="U222" s="25"/>
      <c r="V222" s="79"/>
      <c r="W222" s="88"/>
      <c r="X222" s="5"/>
    </row>
    <row r="223" spans="1:24" ht="15.6" x14ac:dyDescent="0.3">
      <c r="A223" s="84"/>
      <c r="B223" s="76" t="s">
        <v>85</v>
      </c>
      <c r="C223" s="54"/>
      <c r="D223" s="54"/>
      <c r="E223" s="54"/>
      <c r="F223" s="54"/>
      <c r="G223" s="25"/>
      <c r="H223" s="25"/>
      <c r="I223" s="25"/>
      <c r="J223" s="25"/>
      <c r="K223" s="25"/>
      <c r="L223" s="25"/>
      <c r="M223" s="25"/>
      <c r="N223" s="25"/>
      <c r="O223" s="25"/>
      <c r="P223" s="25"/>
      <c r="Q223" s="25"/>
      <c r="R223" s="25"/>
      <c r="S223" s="30"/>
      <c r="T223" s="85">
        <f>'June 08'!T223+T222</f>
        <v>5</v>
      </c>
      <c r="U223" s="25"/>
      <c r="V223" s="79"/>
      <c r="W223" s="88"/>
      <c r="X223" s="5"/>
    </row>
    <row r="224" spans="1:24" ht="15.6" x14ac:dyDescent="0.3">
      <c r="A224" s="87"/>
      <c r="B224" s="122" t="s">
        <v>297</v>
      </c>
      <c r="C224" s="76"/>
      <c r="D224" s="76"/>
      <c r="E224" s="76"/>
      <c r="F224" s="76"/>
      <c r="G224" s="25"/>
      <c r="H224" s="25"/>
      <c r="I224" s="25"/>
      <c r="J224" s="25"/>
      <c r="K224" s="25"/>
      <c r="L224" s="25"/>
      <c r="M224" s="25"/>
      <c r="N224" s="25"/>
      <c r="O224" s="25"/>
      <c r="P224" s="25"/>
      <c r="Q224" s="25"/>
      <c r="R224" s="25"/>
      <c r="S224" s="30"/>
      <c r="T224" s="85"/>
      <c r="U224" s="25"/>
      <c r="V224" s="79"/>
      <c r="W224" s="88"/>
      <c r="X224" s="5"/>
    </row>
    <row r="225" spans="1:25" ht="15.6" x14ac:dyDescent="0.3">
      <c r="A225" s="87"/>
      <c r="B225" s="76" t="s">
        <v>295</v>
      </c>
      <c r="C225" s="76"/>
      <c r="D225" s="76"/>
      <c r="E225" s="76"/>
      <c r="F225" s="76"/>
      <c r="G225" s="25"/>
      <c r="H225" s="25"/>
      <c r="I225" s="25"/>
      <c r="J225" s="25"/>
      <c r="K225" s="25"/>
      <c r="L225" s="25"/>
      <c r="M225" s="25"/>
      <c r="N225" s="25"/>
      <c r="O225" s="25"/>
      <c r="P225" s="25"/>
      <c r="Q225" s="25"/>
      <c r="R225" s="25"/>
      <c r="S225" s="30">
        <v>0</v>
      </c>
      <c r="T225" s="85">
        <v>0</v>
      </c>
      <c r="U225" s="25"/>
      <c r="V225" s="79"/>
      <c r="W225" s="88"/>
      <c r="X225" s="5"/>
    </row>
    <row r="226" spans="1:25" ht="15.6" x14ac:dyDescent="0.3">
      <c r="A226" s="84"/>
      <c r="B226" s="76" t="s">
        <v>87</v>
      </c>
      <c r="C226" s="89"/>
      <c r="D226" s="89"/>
      <c r="E226" s="89"/>
      <c r="F226" s="90"/>
      <c r="G226" s="25"/>
      <c r="H226" s="25"/>
      <c r="I226" s="25"/>
      <c r="J226" s="25"/>
      <c r="K226" s="25"/>
      <c r="L226" s="25"/>
      <c r="M226" s="25"/>
      <c r="N226" s="25"/>
      <c r="O226" s="25"/>
      <c r="P226" s="25"/>
      <c r="Q226" s="25"/>
      <c r="R226" s="25"/>
      <c r="S226" s="25"/>
      <c r="T226" s="62">
        <v>0</v>
      </c>
      <c r="U226" s="25"/>
      <c r="V226" s="79"/>
      <c r="W226" s="88"/>
      <c r="X226" s="5"/>
    </row>
    <row r="227" spans="1:25" ht="15.6" x14ac:dyDescent="0.3">
      <c r="A227" s="84"/>
      <c r="B227" s="76" t="s">
        <v>88</v>
      </c>
      <c r="C227" s="89"/>
      <c r="D227" s="89"/>
      <c r="E227" s="89"/>
      <c r="F227" s="90"/>
      <c r="G227" s="25"/>
      <c r="H227" s="25"/>
      <c r="I227" s="25"/>
      <c r="J227" s="25"/>
      <c r="K227" s="25"/>
      <c r="L227" s="25"/>
      <c r="M227" s="25"/>
      <c r="N227" s="25"/>
      <c r="O227" s="25"/>
      <c r="P227" s="25"/>
      <c r="Q227" s="25"/>
      <c r="R227" s="25"/>
      <c r="S227" s="25"/>
      <c r="T227" s="62">
        <v>0</v>
      </c>
      <c r="U227" s="25"/>
      <c r="V227" s="79"/>
      <c r="W227" s="88"/>
      <c r="X227" s="5"/>
    </row>
    <row r="228" spans="1:25" ht="15.6" x14ac:dyDescent="0.3">
      <c r="A228" s="84"/>
      <c r="B228" s="122" t="s">
        <v>220</v>
      </c>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5.6" x14ac:dyDescent="0.3">
      <c r="A229" s="84"/>
      <c r="B229" s="76" t="s">
        <v>295</v>
      </c>
      <c r="C229" s="89"/>
      <c r="D229" s="89"/>
      <c r="E229" s="89"/>
      <c r="F229" s="90"/>
      <c r="G229" s="25"/>
      <c r="H229" s="25"/>
      <c r="I229" s="25"/>
      <c r="J229" s="25"/>
      <c r="K229" s="25"/>
      <c r="L229" s="25"/>
      <c r="M229" s="25"/>
      <c r="N229" s="25"/>
      <c r="O229" s="25"/>
      <c r="P229" s="25"/>
      <c r="Q229" s="25"/>
      <c r="R229" s="25"/>
      <c r="S229" s="30">
        <v>1</v>
      </c>
      <c r="T229" s="85">
        <v>169</v>
      </c>
      <c r="U229" s="25"/>
      <c r="V229" s="79"/>
      <c r="W229" s="88"/>
      <c r="X229" s="5"/>
    </row>
    <row r="230" spans="1:25" ht="15.6" x14ac:dyDescent="0.3">
      <c r="A230" s="84"/>
      <c r="B230" s="76" t="s">
        <v>221</v>
      </c>
      <c r="C230" s="89"/>
      <c r="D230" s="89"/>
      <c r="E230" s="89"/>
      <c r="F230" s="90"/>
      <c r="G230" s="25"/>
      <c r="H230" s="25"/>
      <c r="I230" s="25"/>
      <c r="J230" s="25"/>
      <c r="K230" s="25"/>
      <c r="L230" s="25"/>
      <c r="M230" s="25"/>
      <c r="N230" s="25"/>
      <c r="O230" s="25"/>
      <c r="P230" s="25"/>
      <c r="Q230" s="25"/>
      <c r="R230" s="25"/>
      <c r="S230" s="25"/>
      <c r="T230" s="62">
        <v>1.04</v>
      </c>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7.399999999999999" x14ac:dyDescent="0.3">
      <c r="A233" s="84"/>
      <c r="B233" s="149" t="s">
        <v>171</v>
      </c>
      <c r="C233" s="89"/>
      <c r="D233" s="89"/>
      <c r="E233" s="89"/>
      <c r="F233" s="90"/>
      <c r="G233" s="25"/>
      <c r="H233" s="25"/>
      <c r="I233" s="25"/>
      <c r="J233" s="25"/>
      <c r="K233" s="25"/>
      <c r="L233" s="25"/>
      <c r="M233" s="25"/>
      <c r="N233" s="25"/>
      <c r="O233" s="25"/>
      <c r="P233" s="150" t="s">
        <v>170</v>
      </c>
      <c r="Q233" s="25"/>
      <c r="R233" s="25"/>
      <c r="S233" s="25"/>
      <c r="T233" s="91"/>
      <c r="U233" s="25"/>
      <c r="V233" s="79"/>
      <c r="W233" s="88"/>
      <c r="X233" s="5"/>
    </row>
    <row r="234" spans="1:25" ht="15.6" x14ac:dyDescent="0.3">
      <c r="A234" s="84"/>
      <c r="B234" s="76"/>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5" ht="15.6" x14ac:dyDescent="0.3">
      <c r="A235" s="6"/>
      <c r="B235" s="14" t="s">
        <v>165</v>
      </c>
      <c r="C235" s="81"/>
      <c r="D235" s="81"/>
      <c r="E235" s="81"/>
      <c r="F235" s="82"/>
      <c r="G235" s="81"/>
      <c r="H235" s="17"/>
      <c r="I235" s="17"/>
      <c r="J235" s="17"/>
      <c r="K235" s="17"/>
      <c r="L235" s="17"/>
      <c r="M235" s="17"/>
      <c r="N235" s="17"/>
      <c r="O235" s="17"/>
      <c r="P235" s="17"/>
      <c r="Q235" s="17"/>
      <c r="R235" s="83" t="s">
        <v>103</v>
      </c>
      <c r="S235" s="17" t="s">
        <v>104</v>
      </c>
      <c r="T235" s="83" t="s">
        <v>111</v>
      </c>
      <c r="U235" s="17" t="s">
        <v>104</v>
      </c>
      <c r="V235" s="8"/>
      <c r="W235" s="92"/>
      <c r="X235" s="5"/>
    </row>
    <row r="236" spans="1:25" ht="15.6" x14ac:dyDescent="0.3">
      <c r="A236" s="24"/>
      <c r="B236" s="54" t="s">
        <v>89</v>
      </c>
      <c r="C236" s="93"/>
      <c r="D236" s="93"/>
      <c r="E236" s="93"/>
      <c r="F236" s="25"/>
      <c r="G236" s="93"/>
      <c r="H236" s="93"/>
      <c r="I236" s="93"/>
      <c r="J236" s="93"/>
      <c r="K236" s="93"/>
      <c r="L236" s="93"/>
      <c r="M236" s="93"/>
      <c r="N236" s="93"/>
      <c r="O236" s="93"/>
      <c r="P236" s="93"/>
      <c r="Q236" s="93"/>
      <c r="R236" s="54">
        <v>9036</v>
      </c>
      <c r="S236" s="94">
        <f t="shared" ref="S236:S243" si="1">R236/$R$245</f>
        <v>0.98206716661232474</v>
      </c>
      <c r="T236" s="53">
        <v>1154990</v>
      </c>
      <c r="U236" s="132">
        <f t="shared" ref="U236:U243" si="2">T236/$T$245</f>
        <v>0.98550652914394155</v>
      </c>
      <c r="V236" s="79"/>
      <c r="W236" s="88"/>
      <c r="X236" s="5"/>
    </row>
    <row r="237" spans="1:25" ht="15.6" x14ac:dyDescent="0.3">
      <c r="A237" s="24"/>
      <c r="B237" s="54" t="s">
        <v>90</v>
      </c>
      <c r="C237" s="93"/>
      <c r="D237" s="93"/>
      <c r="E237" s="93"/>
      <c r="F237" s="25"/>
      <c r="G237" s="94"/>
      <c r="H237" s="93"/>
      <c r="I237" s="93"/>
      <c r="J237" s="93"/>
      <c r="K237" s="93"/>
      <c r="L237" s="93"/>
      <c r="M237" s="93"/>
      <c r="N237" s="93"/>
      <c r="O237" s="93"/>
      <c r="P237" s="93"/>
      <c r="Q237" s="93"/>
      <c r="R237" s="54">
        <v>102</v>
      </c>
      <c r="S237" s="94">
        <f t="shared" si="1"/>
        <v>1.1085751548744702E-2</v>
      </c>
      <c r="T237" s="53">
        <v>9775</v>
      </c>
      <c r="U237" s="132">
        <f t="shared" si="2"/>
        <v>8.3406144835730424E-3</v>
      </c>
      <c r="V237" s="79"/>
      <c r="W237" s="88"/>
      <c r="X237" s="5"/>
      <c r="Y237" s="109"/>
    </row>
    <row r="238" spans="1:25" ht="15.6" x14ac:dyDescent="0.3">
      <c r="A238" s="24"/>
      <c r="B238" s="54" t="s">
        <v>91</v>
      </c>
      <c r="C238" s="93"/>
      <c r="D238" s="93"/>
      <c r="E238" s="93"/>
      <c r="F238" s="25"/>
      <c r="G238" s="94"/>
      <c r="H238" s="93"/>
      <c r="I238" s="93"/>
      <c r="J238" s="93"/>
      <c r="K238" s="93"/>
      <c r="L238" s="93"/>
      <c r="M238" s="93"/>
      <c r="N238" s="93"/>
      <c r="O238" s="93"/>
      <c r="P238" s="93"/>
      <c r="Q238" s="93"/>
      <c r="R238" s="54">
        <v>55</v>
      </c>
      <c r="S238" s="94">
        <f t="shared" si="1"/>
        <v>5.9776111292250845E-3</v>
      </c>
      <c r="T238" s="53">
        <v>6340</v>
      </c>
      <c r="U238" s="132">
        <f t="shared" si="2"/>
        <v>5.4096670921588838E-3</v>
      </c>
      <c r="V238" s="79"/>
      <c r="W238" s="88"/>
      <c r="X238" s="5"/>
    </row>
    <row r="239" spans="1:25" ht="15.6" x14ac:dyDescent="0.3">
      <c r="A239" s="24"/>
      <c r="B239" s="54" t="s">
        <v>159</v>
      </c>
      <c r="C239" s="93"/>
      <c r="D239" s="93"/>
      <c r="E239" s="93"/>
      <c r="F239" s="25"/>
      <c r="G239" s="94"/>
      <c r="H239" s="93"/>
      <c r="I239" s="93"/>
      <c r="J239" s="93"/>
      <c r="K239" s="93"/>
      <c r="L239" s="93"/>
      <c r="M239" s="93"/>
      <c r="N239" s="93"/>
      <c r="O239" s="93"/>
      <c r="P239" s="93"/>
      <c r="Q239" s="93"/>
      <c r="R239" s="54">
        <v>1</v>
      </c>
      <c r="S239" s="94">
        <f t="shared" si="1"/>
        <v>1.0868383871318335E-4</v>
      </c>
      <c r="T239" s="53">
        <v>56</v>
      </c>
      <c r="U239" s="132">
        <f t="shared" si="2"/>
        <v>4.7782548448091085E-5</v>
      </c>
      <c r="V239" s="79"/>
      <c r="W239" s="88"/>
      <c r="X239" s="5"/>
      <c r="Y239" s="109"/>
    </row>
    <row r="240" spans="1:25" ht="15.6" x14ac:dyDescent="0.3">
      <c r="A240" s="24"/>
      <c r="B240" s="54" t="s">
        <v>160</v>
      </c>
      <c r="C240" s="93"/>
      <c r="D240" s="93"/>
      <c r="E240" s="93"/>
      <c r="F240" s="25"/>
      <c r="G240" s="94"/>
      <c r="H240" s="93"/>
      <c r="I240" s="93"/>
      <c r="J240" s="93"/>
      <c r="K240" s="93"/>
      <c r="L240" s="93"/>
      <c r="M240" s="93"/>
      <c r="N240" s="93"/>
      <c r="O240" s="93"/>
      <c r="P240" s="93"/>
      <c r="Q240" s="93"/>
      <c r="R240" s="54">
        <v>6</v>
      </c>
      <c r="S240" s="94">
        <f t="shared" si="1"/>
        <v>6.5210303227910009E-4</v>
      </c>
      <c r="T240" s="53">
        <v>653</v>
      </c>
      <c r="U240" s="132">
        <f t="shared" si="2"/>
        <v>5.5717864529649069E-4</v>
      </c>
      <c r="V240" s="79"/>
      <c r="W240" s="88"/>
      <c r="X240" s="5"/>
    </row>
    <row r="241" spans="1:25" ht="15.6" x14ac:dyDescent="0.3">
      <c r="A241" s="24"/>
      <c r="B241" s="54" t="s">
        <v>161</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c r="Y241" s="109"/>
    </row>
    <row r="242" spans="1:25" ht="15.6" x14ac:dyDescent="0.3">
      <c r="A242" s="24"/>
      <c r="B242" s="54" t="s">
        <v>162</v>
      </c>
      <c r="C242" s="93"/>
      <c r="D242" s="93"/>
      <c r="E242" s="93"/>
      <c r="F242" s="25"/>
      <c r="G242" s="94"/>
      <c r="H242" s="93"/>
      <c r="I242" s="93"/>
      <c r="J242" s="93"/>
      <c r="K242" s="93"/>
      <c r="L242" s="93"/>
      <c r="M242" s="93"/>
      <c r="N242" s="93"/>
      <c r="O242" s="93"/>
      <c r="P242" s="93"/>
      <c r="Q242" s="93"/>
      <c r="R242" s="54">
        <v>1</v>
      </c>
      <c r="S242" s="94">
        <f t="shared" si="1"/>
        <v>1.0868383871318335E-4</v>
      </c>
      <c r="T242" s="53">
        <v>162</v>
      </c>
      <c r="U242" s="132">
        <f t="shared" si="2"/>
        <v>1.3822808658197779E-4</v>
      </c>
      <c r="V242" s="79"/>
      <c r="W242" s="88"/>
      <c r="X242" s="5"/>
    </row>
    <row r="243" spans="1:25" ht="15.6" x14ac:dyDescent="0.3">
      <c r="A243" s="24"/>
      <c r="B243" s="54" t="s">
        <v>163</v>
      </c>
      <c r="C243" s="93"/>
      <c r="D243" s="93"/>
      <c r="E243" s="93"/>
      <c r="F243" s="25"/>
      <c r="G243" s="94"/>
      <c r="H243" s="93"/>
      <c r="I243" s="93"/>
      <c r="J243" s="93"/>
      <c r="K243" s="93"/>
      <c r="L243" s="93"/>
      <c r="M243" s="93"/>
      <c r="N243" s="93"/>
      <c r="O243" s="93"/>
      <c r="P243" s="93"/>
      <c r="Q243" s="93"/>
      <c r="R243" s="54">
        <v>0</v>
      </c>
      <c r="S243" s="94">
        <f t="shared" si="1"/>
        <v>0</v>
      </c>
      <c r="T243" s="53">
        <v>0</v>
      </c>
      <c r="U243" s="132">
        <f t="shared" si="2"/>
        <v>0</v>
      </c>
      <c r="V243" s="79"/>
      <c r="W243" s="88"/>
      <c r="X243" s="5"/>
      <c r="Y243" s="109"/>
    </row>
    <row r="244" spans="1:25" ht="15.6" x14ac:dyDescent="0.3">
      <c r="A244" s="24"/>
      <c r="B244" s="54"/>
      <c r="C244" s="93"/>
      <c r="D244" s="93"/>
      <c r="E244" s="93"/>
      <c r="F244" s="25"/>
      <c r="G244" s="94"/>
      <c r="H244" s="93"/>
      <c r="I244" s="93"/>
      <c r="J244" s="93"/>
      <c r="K244" s="93"/>
      <c r="L244" s="93"/>
      <c r="M244" s="93"/>
      <c r="N244" s="93"/>
      <c r="O244" s="93"/>
      <c r="P244" s="93"/>
      <c r="Q244" s="93"/>
      <c r="R244" s="54"/>
      <c r="S244" s="94"/>
      <c r="T244" s="53"/>
      <c r="U244" s="132"/>
      <c r="V244" s="79"/>
      <c r="W244" s="88"/>
      <c r="X244" s="5"/>
    </row>
    <row r="245" spans="1:25" ht="15.6" x14ac:dyDescent="0.3">
      <c r="A245" s="24"/>
      <c r="B245" s="25" t="s">
        <v>117</v>
      </c>
      <c r="C245" s="25"/>
      <c r="D245" s="25"/>
      <c r="E245" s="25"/>
      <c r="F245" s="25"/>
      <c r="G245" s="25"/>
      <c r="H245" s="95"/>
      <c r="I245" s="95"/>
      <c r="J245" s="95"/>
      <c r="K245" s="95"/>
      <c r="L245" s="95"/>
      <c r="M245" s="95"/>
      <c r="N245" s="95"/>
      <c r="O245" s="95"/>
      <c r="P245" s="95"/>
      <c r="Q245" s="95"/>
      <c r="R245" s="34">
        <f>SUM(R236:R244)</f>
        <v>9201</v>
      </c>
      <c r="S245" s="132">
        <f>SUM(S236:S244)</f>
        <v>1</v>
      </c>
      <c r="T245" s="53">
        <f>SUM(T236:T244)</f>
        <v>1171976</v>
      </c>
      <c r="U245" s="132">
        <f>SUM(U236:U244)</f>
        <v>0.99999999999999989</v>
      </c>
      <c r="V245" s="25"/>
      <c r="W245" s="25"/>
      <c r="X245" s="5"/>
    </row>
    <row r="246" spans="1:25" ht="15.6" x14ac:dyDescent="0.3">
      <c r="A246" s="24"/>
      <c r="B246" s="25"/>
      <c r="C246" s="25"/>
      <c r="D246" s="25"/>
      <c r="E246" s="25"/>
      <c r="F246" s="25"/>
      <c r="G246" s="25"/>
      <c r="H246" s="95"/>
      <c r="I246" s="95"/>
      <c r="J246" s="95"/>
      <c r="K246" s="95"/>
      <c r="L246" s="95"/>
      <c r="M246" s="95"/>
      <c r="N246" s="95"/>
      <c r="O246" s="95"/>
      <c r="P246" s="95"/>
      <c r="Q246" s="95"/>
      <c r="R246" s="34"/>
      <c r="S246" s="132"/>
      <c r="T246" s="53"/>
      <c r="U246" s="132"/>
      <c r="V246" s="25"/>
      <c r="W246" s="25"/>
      <c r="X246" s="5"/>
    </row>
    <row r="247" spans="1:25" ht="15.6" x14ac:dyDescent="0.3">
      <c r="A247" s="141"/>
      <c r="B247" s="14" t="s">
        <v>279</v>
      </c>
      <c r="C247" s="81"/>
      <c r="D247" s="81"/>
      <c r="E247" s="81"/>
      <c r="F247" s="82"/>
      <c r="G247" s="81"/>
      <c r="H247" s="17"/>
      <c r="I247" s="17"/>
      <c r="J247" s="17"/>
      <c r="K247" s="17"/>
      <c r="L247" s="17"/>
      <c r="M247" s="17"/>
      <c r="N247" s="17"/>
      <c r="O247" s="17"/>
      <c r="P247" s="17"/>
      <c r="Q247" s="17"/>
      <c r="R247" s="83" t="s">
        <v>103</v>
      </c>
      <c r="S247" s="17" t="s">
        <v>104</v>
      </c>
      <c r="T247" s="83" t="s">
        <v>111</v>
      </c>
      <c r="U247" s="17" t="s">
        <v>104</v>
      </c>
      <c r="V247" s="139"/>
      <c r="W247" s="140"/>
      <c r="X247" s="5"/>
    </row>
    <row r="248" spans="1:25" ht="15.6" x14ac:dyDescent="0.3">
      <c r="A248" s="24"/>
      <c r="B248" s="54" t="s">
        <v>89</v>
      </c>
      <c r="C248" s="93"/>
      <c r="D248" s="93"/>
      <c r="E248" s="93"/>
      <c r="F248" s="25"/>
      <c r="G248" s="93"/>
      <c r="H248" s="93"/>
      <c r="I248" s="93"/>
      <c r="J248" s="93"/>
      <c r="K248" s="93"/>
      <c r="L248" s="93"/>
      <c r="M248" s="93"/>
      <c r="N248" s="93"/>
      <c r="O248" s="93"/>
      <c r="P248" s="93"/>
      <c r="Q248" s="93"/>
      <c r="R248" s="54">
        <v>51</v>
      </c>
      <c r="S248" s="94">
        <f t="shared" ref="S248:S255" si="3">R248/$R$257</f>
        <v>0.46788990825688076</v>
      </c>
      <c r="T248" s="53">
        <v>11028</v>
      </c>
      <c r="U248" s="132">
        <f t="shared" ref="U248:U255" si="4">T248/$T$257</f>
        <v>0.58995345851388226</v>
      </c>
      <c r="V248" s="25"/>
      <c r="W248" s="25"/>
      <c r="X248" s="5"/>
    </row>
    <row r="249" spans="1:25" ht="15.6" x14ac:dyDescent="0.3">
      <c r="A249" s="24"/>
      <c r="B249" s="54" t="s">
        <v>90</v>
      </c>
      <c r="C249" s="93"/>
      <c r="D249" s="93"/>
      <c r="E249" s="93"/>
      <c r="F249" s="25"/>
      <c r="G249" s="94"/>
      <c r="H249" s="93"/>
      <c r="I249" s="93"/>
      <c r="J249" s="93"/>
      <c r="K249" s="93"/>
      <c r="L249" s="93"/>
      <c r="M249" s="93"/>
      <c r="N249" s="93"/>
      <c r="O249" s="93"/>
      <c r="P249" s="93"/>
      <c r="Q249" s="93"/>
      <c r="R249" s="54">
        <v>20</v>
      </c>
      <c r="S249" s="94">
        <f t="shared" si="3"/>
        <v>0.1834862385321101</v>
      </c>
      <c r="T249" s="53">
        <v>3192</v>
      </c>
      <c r="U249" s="132">
        <f t="shared" si="4"/>
        <v>0.1707591076873696</v>
      </c>
      <c r="V249" s="25"/>
      <c r="W249" s="25"/>
      <c r="X249" s="5"/>
    </row>
    <row r="250" spans="1:25" ht="15.6" x14ac:dyDescent="0.3">
      <c r="A250" s="24"/>
      <c r="B250" s="54" t="s">
        <v>91</v>
      </c>
      <c r="C250" s="93"/>
      <c r="D250" s="93"/>
      <c r="E250" s="93"/>
      <c r="F250" s="25"/>
      <c r="G250" s="94"/>
      <c r="H250" s="93"/>
      <c r="I250" s="93"/>
      <c r="J250" s="93"/>
      <c r="K250" s="93"/>
      <c r="L250" s="93"/>
      <c r="M250" s="93"/>
      <c r="N250" s="93"/>
      <c r="O250" s="93"/>
      <c r="P250" s="93"/>
      <c r="Q250" s="93"/>
      <c r="R250" s="54">
        <v>4</v>
      </c>
      <c r="S250" s="94">
        <f t="shared" si="3"/>
        <v>3.669724770642202E-2</v>
      </c>
      <c r="T250" s="53">
        <v>321</v>
      </c>
      <c r="U250" s="132">
        <f t="shared" si="4"/>
        <v>1.7172203498635852E-2</v>
      </c>
      <c r="V250" s="25"/>
      <c r="W250" s="25"/>
      <c r="X250" s="5"/>
    </row>
    <row r="251" spans="1:25" ht="15.6" x14ac:dyDescent="0.3">
      <c r="A251" s="24"/>
      <c r="B251" s="54" t="s">
        <v>159</v>
      </c>
      <c r="C251" s="93"/>
      <c r="D251" s="93"/>
      <c r="E251" s="93"/>
      <c r="F251" s="25"/>
      <c r="G251" s="94"/>
      <c r="H251" s="93"/>
      <c r="I251" s="93"/>
      <c r="J251" s="93"/>
      <c r="K251" s="93"/>
      <c r="L251" s="93"/>
      <c r="M251" s="93"/>
      <c r="N251" s="93"/>
      <c r="O251" s="93"/>
      <c r="P251" s="93"/>
      <c r="Q251" s="93"/>
      <c r="R251" s="54">
        <v>7</v>
      </c>
      <c r="S251" s="94">
        <f t="shared" si="3"/>
        <v>6.4220183486238536E-2</v>
      </c>
      <c r="T251" s="53">
        <v>848</v>
      </c>
      <c r="U251" s="132">
        <f t="shared" si="4"/>
        <v>4.5364574974589421E-2</v>
      </c>
      <c r="V251" s="25"/>
      <c r="W251" s="25"/>
      <c r="X251" s="5"/>
    </row>
    <row r="252" spans="1:25" ht="15.6" x14ac:dyDescent="0.3">
      <c r="A252" s="24"/>
      <c r="B252" s="54" t="s">
        <v>160</v>
      </c>
      <c r="C252" s="93"/>
      <c r="D252" s="93"/>
      <c r="E252" s="93"/>
      <c r="F252" s="25"/>
      <c r="G252" s="94"/>
      <c r="H252" s="93"/>
      <c r="I252" s="93"/>
      <c r="J252" s="93"/>
      <c r="K252" s="93"/>
      <c r="L252" s="93"/>
      <c r="M252" s="93"/>
      <c r="N252" s="93"/>
      <c r="O252" s="93"/>
      <c r="P252" s="93"/>
      <c r="Q252" s="93"/>
      <c r="R252" s="54">
        <v>2</v>
      </c>
      <c r="S252" s="94">
        <f t="shared" si="3"/>
        <v>1.834862385321101E-2</v>
      </c>
      <c r="T252" s="53">
        <v>194</v>
      </c>
      <c r="U252" s="132">
        <f t="shared" si="4"/>
        <v>1.0378216444658429E-2</v>
      </c>
      <c r="V252" s="25"/>
      <c r="W252" s="25"/>
      <c r="X252" s="5"/>
    </row>
    <row r="253" spans="1:25" ht="15.6" x14ac:dyDescent="0.3">
      <c r="A253" s="24"/>
      <c r="B253" s="54" t="s">
        <v>161</v>
      </c>
      <c r="C253" s="93"/>
      <c r="D253" s="93"/>
      <c r="E253" s="93"/>
      <c r="F253" s="25"/>
      <c r="G253" s="94"/>
      <c r="H253" s="93"/>
      <c r="I253" s="93"/>
      <c r="J253" s="93"/>
      <c r="K253" s="93"/>
      <c r="L253" s="93"/>
      <c r="M253" s="93"/>
      <c r="N253" s="93"/>
      <c r="O253" s="93"/>
      <c r="P253" s="93"/>
      <c r="Q253" s="93"/>
      <c r="R253" s="54">
        <v>5</v>
      </c>
      <c r="S253" s="94">
        <f t="shared" si="3"/>
        <v>4.5871559633027525E-2</v>
      </c>
      <c r="T253" s="53">
        <v>788</v>
      </c>
      <c r="U253" s="132">
        <f t="shared" si="4"/>
        <v>4.2154817311292996E-2</v>
      </c>
      <c r="V253" s="25"/>
      <c r="W253" s="25"/>
      <c r="X253" s="5"/>
    </row>
    <row r="254" spans="1:25" ht="15.6" x14ac:dyDescent="0.3">
      <c r="A254" s="24"/>
      <c r="B254" s="54" t="s">
        <v>162</v>
      </c>
      <c r="C254" s="93"/>
      <c r="D254" s="93"/>
      <c r="E254" s="93"/>
      <c r="F254" s="25"/>
      <c r="G254" s="94"/>
      <c r="H254" s="93"/>
      <c r="I254" s="93"/>
      <c r="J254" s="93"/>
      <c r="K254" s="93"/>
      <c r="L254" s="93"/>
      <c r="M254" s="93"/>
      <c r="N254" s="93"/>
      <c r="O254" s="93"/>
      <c r="P254" s="93"/>
      <c r="Q254" s="93"/>
      <c r="R254" s="54">
        <v>17</v>
      </c>
      <c r="S254" s="94">
        <f t="shared" si="3"/>
        <v>0.15596330275229359</v>
      </c>
      <c r="T254" s="53">
        <v>1968</v>
      </c>
      <c r="U254" s="132">
        <f t="shared" si="4"/>
        <v>0.10528005135612262</v>
      </c>
      <c r="V254" s="25"/>
      <c r="W254" s="25"/>
      <c r="X254" s="5"/>
    </row>
    <row r="255" spans="1:25" ht="15.6" x14ac:dyDescent="0.3">
      <c r="A255" s="24"/>
      <c r="B255" s="54" t="s">
        <v>163</v>
      </c>
      <c r="C255" s="93"/>
      <c r="D255" s="93"/>
      <c r="E255" s="93"/>
      <c r="F255" s="25"/>
      <c r="G255" s="94"/>
      <c r="H255" s="93"/>
      <c r="I255" s="93"/>
      <c r="J255" s="93"/>
      <c r="K255" s="93"/>
      <c r="L255" s="93"/>
      <c r="M255" s="93"/>
      <c r="N255" s="93"/>
      <c r="O255" s="93"/>
      <c r="P255" s="93"/>
      <c r="Q255" s="93"/>
      <c r="R255" s="54">
        <v>3</v>
      </c>
      <c r="S255" s="94">
        <f t="shared" si="3"/>
        <v>2.7522935779816515E-2</v>
      </c>
      <c r="T255" s="53">
        <v>354</v>
      </c>
      <c r="U255" s="132">
        <f t="shared" si="4"/>
        <v>1.8937570213448884E-2</v>
      </c>
      <c r="V255" s="25"/>
      <c r="W255" s="25"/>
      <c r="X255" s="5"/>
    </row>
    <row r="256" spans="1:25" ht="15.6" x14ac:dyDescent="0.3">
      <c r="A256" s="24"/>
      <c r="B256" s="54"/>
      <c r="C256" s="93"/>
      <c r="D256" s="93"/>
      <c r="E256" s="93"/>
      <c r="F256" s="25"/>
      <c r="G256" s="94"/>
      <c r="H256" s="93"/>
      <c r="I256" s="93"/>
      <c r="J256" s="93"/>
      <c r="K256" s="93"/>
      <c r="L256" s="93"/>
      <c r="M256" s="93"/>
      <c r="N256" s="93"/>
      <c r="O256" s="93"/>
      <c r="P256" s="93"/>
      <c r="Q256" s="93"/>
      <c r="R256" s="54"/>
      <c r="S256" s="94"/>
      <c r="T256" s="53"/>
      <c r="U256" s="132"/>
      <c r="V256" s="25"/>
      <c r="W256" s="25"/>
      <c r="X256" s="5"/>
    </row>
    <row r="257" spans="1:24" ht="15.6" x14ac:dyDescent="0.3">
      <c r="A257" s="24"/>
      <c r="B257" s="25" t="s">
        <v>117</v>
      </c>
      <c r="C257" s="25"/>
      <c r="D257" s="25"/>
      <c r="E257" s="25"/>
      <c r="F257" s="25"/>
      <c r="G257" s="25"/>
      <c r="H257" s="95"/>
      <c r="I257" s="95"/>
      <c r="J257" s="95"/>
      <c r="K257" s="95"/>
      <c r="L257" s="95"/>
      <c r="M257" s="95"/>
      <c r="N257" s="95"/>
      <c r="O257" s="95"/>
      <c r="P257" s="95"/>
      <c r="Q257" s="95"/>
      <c r="R257" s="34">
        <f>SUM(R248:R256)</f>
        <v>109</v>
      </c>
      <c r="S257" s="132">
        <f>SUM(S248:S256)</f>
        <v>1.0000000000000002</v>
      </c>
      <c r="T257" s="53">
        <f>SUM(T248:T256)</f>
        <v>18693</v>
      </c>
      <c r="U257" s="132">
        <f>SUM(U248:U256)</f>
        <v>1</v>
      </c>
      <c r="V257" s="25"/>
      <c r="W257" s="25"/>
      <c r="X257" s="5"/>
    </row>
    <row r="258" spans="1:24" ht="15.6" x14ac:dyDescent="0.3">
      <c r="A258" s="24"/>
      <c r="B258" s="25"/>
      <c r="C258" s="25"/>
      <c r="D258" s="25"/>
      <c r="E258" s="25"/>
      <c r="F258" s="25"/>
      <c r="G258" s="25"/>
      <c r="H258" s="95"/>
      <c r="I258" s="95"/>
      <c r="J258" s="95"/>
      <c r="K258" s="95"/>
      <c r="L258" s="95"/>
      <c r="M258" s="95"/>
      <c r="N258" s="95"/>
      <c r="O258" s="95"/>
      <c r="P258" s="95"/>
      <c r="Q258" s="95"/>
      <c r="R258" s="34"/>
      <c r="S258" s="132"/>
      <c r="T258" s="53"/>
      <c r="U258" s="132"/>
      <c r="V258" s="25"/>
      <c r="W258" s="25"/>
      <c r="X258" s="5"/>
    </row>
    <row r="259" spans="1:24" ht="15.6" x14ac:dyDescent="0.3">
      <c r="A259" s="141"/>
      <c r="B259" s="14" t="s">
        <v>166</v>
      </c>
      <c r="C259" s="139"/>
      <c r="D259" s="139"/>
      <c r="E259" s="139"/>
      <c r="F259" s="139"/>
      <c r="G259" s="139"/>
      <c r="H259" s="145"/>
      <c r="I259" s="145"/>
      <c r="J259" s="145"/>
      <c r="K259" s="145"/>
      <c r="L259" s="145"/>
      <c r="M259" s="145"/>
      <c r="N259" s="145"/>
      <c r="O259" s="145"/>
      <c r="P259" s="145"/>
      <c r="Q259" s="145"/>
      <c r="R259" s="83" t="s">
        <v>103</v>
      </c>
      <c r="S259" s="17" t="s">
        <v>104</v>
      </c>
      <c r="T259" s="83" t="s">
        <v>111</v>
      </c>
      <c r="U259" s="17" t="s">
        <v>104</v>
      </c>
      <c r="V259" s="139"/>
      <c r="W259" s="140"/>
      <c r="X259" s="5"/>
    </row>
    <row r="260" spans="1:24" ht="15.6" x14ac:dyDescent="0.3">
      <c r="A260" s="24"/>
      <c r="B260" s="54" t="s">
        <v>89</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90</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91</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159</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160</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t="s">
        <v>161</v>
      </c>
      <c r="C265" s="25"/>
      <c r="D265" s="25"/>
      <c r="E265" s="25"/>
      <c r="F265" s="25"/>
      <c r="G265" s="25"/>
      <c r="H265" s="95"/>
      <c r="I265" s="95"/>
      <c r="J265" s="95"/>
      <c r="K265" s="95"/>
      <c r="L265" s="95"/>
      <c r="M265" s="95"/>
      <c r="N265" s="95"/>
      <c r="O265" s="95"/>
      <c r="P265" s="95"/>
      <c r="Q265" s="95"/>
      <c r="R265" s="54">
        <v>0</v>
      </c>
      <c r="S265" s="94">
        <v>0</v>
      </c>
      <c r="T265" s="53">
        <v>0</v>
      </c>
      <c r="U265" s="132">
        <v>0</v>
      </c>
      <c r="V265" s="25"/>
      <c r="W265" s="25"/>
      <c r="X265" s="5"/>
    </row>
    <row r="266" spans="1:24" ht="15.6" x14ac:dyDescent="0.3">
      <c r="A266" s="24"/>
      <c r="B266" s="54" t="s">
        <v>162</v>
      </c>
      <c r="C266" s="25"/>
      <c r="D266" s="25"/>
      <c r="E266" s="25"/>
      <c r="F266" s="25"/>
      <c r="G266" s="25"/>
      <c r="H266" s="95"/>
      <c r="I266" s="95"/>
      <c r="J266" s="95"/>
      <c r="K266" s="95"/>
      <c r="L266" s="95"/>
      <c r="M266" s="95"/>
      <c r="N266" s="95"/>
      <c r="O266" s="95"/>
      <c r="P266" s="95"/>
      <c r="Q266" s="95"/>
      <c r="R266" s="54">
        <v>0</v>
      </c>
      <c r="S266" s="94">
        <v>0</v>
      </c>
      <c r="T266" s="53">
        <v>0</v>
      </c>
      <c r="U266" s="132">
        <v>0</v>
      </c>
      <c r="V266" s="25"/>
      <c r="W266" s="25"/>
      <c r="X266" s="5"/>
    </row>
    <row r="267" spans="1:24" ht="15.6" x14ac:dyDescent="0.3">
      <c r="A267" s="24"/>
      <c r="B267" s="54" t="s">
        <v>163</v>
      </c>
      <c r="C267" s="25"/>
      <c r="D267" s="25"/>
      <c r="E267" s="25"/>
      <c r="F267" s="25"/>
      <c r="G267" s="25"/>
      <c r="H267" s="95"/>
      <c r="I267" s="95"/>
      <c r="J267" s="95"/>
      <c r="K267" s="95"/>
      <c r="L267" s="95"/>
      <c r="M267" s="95"/>
      <c r="N267" s="95"/>
      <c r="O267" s="95"/>
      <c r="P267" s="95"/>
      <c r="Q267" s="95"/>
      <c r="R267" s="54">
        <v>0</v>
      </c>
      <c r="S267" s="94">
        <v>0</v>
      </c>
      <c r="T267" s="53">
        <v>0</v>
      </c>
      <c r="U267" s="132">
        <v>0</v>
      </c>
      <c r="V267" s="25"/>
      <c r="W267" s="25"/>
      <c r="X267" s="5"/>
    </row>
    <row r="268" spans="1:24" ht="15.6" x14ac:dyDescent="0.3">
      <c r="A268" s="24"/>
      <c r="B268" s="54"/>
      <c r="C268" s="25"/>
      <c r="D268" s="25"/>
      <c r="E268" s="25"/>
      <c r="F268" s="25"/>
      <c r="G268" s="25"/>
      <c r="H268" s="95"/>
      <c r="I268" s="95"/>
      <c r="J268" s="95"/>
      <c r="K268" s="95"/>
      <c r="L268" s="95"/>
      <c r="M268" s="95"/>
      <c r="N268" s="95"/>
      <c r="O268" s="95"/>
      <c r="P268" s="95"/>
      <c r="Q268" s="95"/>
      <c r="R268" s="54"/>
      <c r="S268" s="94"/>
      <c r="T268" s="53"/>
      <c r="U268" s="132"/>
      <c r="V268" s="25"/>
      <c r="W268" s="25"/>
      <c r="X268" s="5"/>
    </row>
    <row r="269" spans="1:24" ht="15.6" x14ac:dyDescent="0.3">
      <c r="A269" s="24"/>
      <c r="B269" s="25" t="s">
        <v>117</v>
      </c>
      <c r="C269" s="25"/>
      <c r="D269" s="25"/>
      <c r="E269" s="25"/>
      <c r="F269" s="25"/>
      <c r="G269" s="25"/>
      <c r="H269" s="95"/>
      <c r="I269" s="95"/>
      <c r="J269" s="95"/>
      <c r="K269" s="95"/>
      <c r="L269" s="95"/>
      <c r="M269" s="95"/>
      <c r="N269" s="95"/>
      <c r="O269" s="95"/>
      <c r="P269" s="95"/>
      <c r="Q269" s="95"/>
      <c r="R269" s="34">
        <f>SUM(R260:R267)</f>
        <v>0</v>
      </c>
      <c r="S269" s="94">
        <f>SUM(S260:S267)</f>
        <v>0</v>
      </c>
      <c r="T269" s="53">
        <f>SUM(T260:T267)</f>
        <v>0</v>
      </c>
      <c r="U269" s="132">
        <f>SUM(U260:U267)</f>
        <v>0</v>
      </c>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34"/>
      <c r="S270" s="132"/>
      <c r="T270" s="53"/>
      <c r="U270" s="132"/>
      <c r="V270" s="25"/>
      <c r="W270" s="25"/>
      <c r="X270" s="5"/>
    </row>
    <row r="271" spans="1:24" ht="15.6" x14ac:dyDescent="0.3">
      <c r="A271" s="24"/>
      <c r="B271" s="142" t="s">
        <v>167</v>
      </c>
      <c r="C271" s="25"/>
      <c r="D271" s="25"/>
      <c r="E271" s="25"/>
      <c r="F271" s="25"/>
      <c r="G271" s="25"/>
      <c r="H271" s="95"/>
      <c r="I271" s="95"/>
      <c r="J271" s="95"/>
      <c r="K271" s="95"/>
      <c r="L271" s="95"/>
      <c r="M271" s="95"/>
      <c r="N271" s="95"/>
      <c r="O271" s="95"/>
      <c r="P271" s="95"/>
      <c r="Q271" s="95"/>
      <c r="R271" s="161">
        <f>R269+R257+R245</f>
        <v>9310</v>
      </c>
      <c r="S271" s="143"/>
      <c r="T271" s="144">
        <f>+T269+T257+T245</f>
        <v>1190669</v>
      </c>
      <c r="U271" s="143"/>
      <c r="V271" s="25"/>
      <c r="W271" s="25"/>
      <c r="X271" s="5"/>
    </row>
    <row r="272" spans="1:24" ht="15.6" x14ac:dyDescent="0.3">
      <c r="A272" s="24"/>
      <c r="B272" s="25"/>
      <c r="C272" s="25"/>
      <c r="D272" s="25"/>
      <c r="E272" s="25"/>
      <c r="F272" s="25"/>
      <c r="G272" s="25"/>
      <c r="H272" s="95"/>
      <c r="I272" s="95"/>
      <c r="J272" s="95"/>
      <c r="K272" s="95"/>
      <c r="L272" s="95"/>
      <c r="M272" s="95"/>
      <c r="N272" s="95"/>
      <c r="O272" s="95"/>
      <c r="P272" s="95"/>
      <c r="Q272" s="95"/>
      <c r="R272" s="95"/>
      <c r="S272" s="95"/>
      <c r="T272" s="53"/>
      <c r="U272" s="95"/>
      <c r="V272" s="25"/>
      <c r="W272" s="25"/>
      <c r="X272" s="5"/>
    </row>
    <row r="273" spans="1:24" ht="15.6" x14ac:dyDescent="0.3">
      <c r="A273" s="6"/>
      <c r="B273" s="8"/>
      <c r="C273" s="8"/>
      <c r="D273" s="8"/>
      <c r="E273" s="8"/>
      <c r="F273" s="8"/>
      <c r="G273" s="8"/>
      <c r="H273" s="96"/>
      <c r="I273" s="96"/>
      <c r="J273" s="96"/>
      <c r="K273" s="96"/>
      <c r="L273" s="96"/>
      <c r="M273" s="96"/>
      <c r="N273" s="96"/>
      <c r="O273" s="96"/>
      <c r="P273" s="96"/>
      <c r="Q273" s="96"/>
      <c r="R273" s="96"/>
      <c r="S273" s="96"/>
      <c r="T273" s="97"/>
      <c r="U273" s="96"/>
      <c r="V273" s="8"/>
      <c r="W273" s="8"/>
      <c r="X273" s="5"/>
    </row>
    <row r="274" spans="1:24" ht="15.6" x14ac:dyDescent="0.3">
      <c r="A274" s="167"/>
      <c r="B274" s="14" t="s">
        <v>92</v>
      </c>
      <c r="C274" s="15"/>
      <c r="D274" s="15"/>
      <c r="E274" s="15"/>
      <c r="F274" s="17" t="s">
        <v>98</v>
      </c>
      <c r="G274" s="15"/>
      <c r="H274" s="14" t="s">
        <v>100</v>
      </c>
      <c r="I274" s="14"/>
      <c r="J274" s="14"/>
      <c r="K274" s="162"/>
      <c r="L274" s="162"/>
      <c r="M274" s="162"/>
      <c r="N274" s="162"/>
      <c r="O274" s="162"/>
      <c r="P274" s="162"/>
      <c r="Q274" s="162"/>
      <c r="R274" s="162"/>
      <c r="S274" s="162"/>
      <c r="T274" s="162"/>
      <c r="U274" s="162"/>
      <c r="V274" s="162"/>
      <c r="W274" s="162"/>
      <c r="X274" s="5"/>
    </row>
    <row r="275" spans="1:24" ht="15.6" x14ac:dyDescent="0.3">
      <c r="A275" s="167"/>
      <c r="B275" s="13" t="s">
        <v>93</v>
      </c>
      <c r="C275" s="8"/>
      <c r="D275" s="8"/>
      <c r="E275" s="8"/>
      <c r="F275" s="130" t="s">
        <v>151</v>
      </c>
      <c r="G275" s="8"/>
      <c r="H275" s="13" t="s">
        <v>155</v>
      </c>
      <c r="I275" s="13"/>
      <c r="J275" s="13"/>
      <c r="K275" s="162"/>
      <c r="L275" s="162"/>
      <c r="M275" s="162"/>
      <c r="N275" s="162"/>
      <c r="O275" s="162"/>
      <c r="P275" s="162"/>
      <c r="Q275" s="162"/>
      <c r="R275" s="162"/>
      <c r="S275" s="162"/>
      <c r="T275" s="162"/>
      <c r="U275" s="162"/>
      <c r="V275" s="162"/>
      <c r="W275" s="162"/>
      <c r="X275" s="5"/>
    </row>
    <row r="276" spans="1:24" ht="15.6" x14ac:dyDescent="0.3">
      <c r="A276" s="167"/>
      <c r="B276" s="13" t="s">
        <v>281</v>
      </c>
      <c r="C276" s="13"/>
      <c r="D276" s="13"/>
      <c r="E276" s="13"/>
      <c r="F276" s="130" t="s">
        <v>282</v>
      </c>
      <c r="G276" s="13"/>
      <c r="H276" s="13" t="s">
        <v>283</v>
      </c>
      <c r="I276" s="162"/>
      <c r="J276" s="13"/>
      <c r="K276" s="162"/>
      <c r="L276" s="162"/>
      <c r="M276" s="162"/>
      <c r="N276" s="162"/>
      <c r="O276" s="162"/>
      <c r="P276" s="162"/>
      <c r="Q276" s="162"/>
      <c r="R276" s="162"/>
      <c r="S276" s="162"/>
      <c r="T276" s="162"/>
      <c r="U276" s="162"/>
      <c r="V276" s="162"/>
      <c r="W276" s="162"/>
      <c r="X276" s="5"/>
    </row>
    <row r="277" spans="1:24" ht="15.6" x14ac:dyDescent="0.3">
      <c r="A277" s="167"/>
      <c r="B277" s="13" t="s">
        <v>94</v>
      </c>
      <c r="C277" s="13"/>
      <c r="D277" s="13"/>
      <c r="E277" s="13"/>
      <c r="F277" s="130" t="s">
        <v>150</v>
      </c>
      <c r="G277" s="13"/>
      <c r="H277" s="13" t="s">
        <v>156</v>
      </c>
      <c r="I277" s="13"/>
      <c r="J277" s="13"/>
      <c r="K277" s="162"/>
      <c r="L277" s="162"/>
      <c r="M277" s="162"/>
      <c r="N277" s="162"/>
      <c r="O277" s="162"/>
      <c r="P277" s="162"/>
      <c r="Q277" s="162"/>
      <c r="R277" s="162"/>
      <c r="S277" s="162"/>
      <c r="T277" s="162"/>
      <c r="U277" s="162"/>
      <c r="V277" s="162"/>
      <c r="W277" s="162"/>
      <c r="X277" s="5"/>
    </row>
    <row r="278" spans="1:24" ht="15.6" x14ac:dyDescent="0.3">
      <c r="A278" s="167"/>
      <c r="B278" s="13"/>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ht="15.6" x14ac:dyDescent="0.3">
      <c r="A279" s="167"/>
      <c r="B279" s="13"/>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ht="18" thickBot="1" x14ac:dyDescent="0.35">
      <c r="A280" s="167"/>
      <c r="B280" s="49" t="str">
        <f>B197</f>
        <v>PM13 INVESTOR REPORT QUARTER ENDING SEPTEMBER 2008</v>
      </c>
      <c r="C280" s="13"/>
      <c r="D280" s="13"/>
      <c r="E280" s="13"/>
      <c r="F280" s="13"/>
      <c r="G280" s="99"/>
      <c r="H280" s="162"/>
      <c r="I280" s="162"/>
      <c r="J280" s="162"/>
      <c r="K280" s="162"/>
      <c r="L280" s="162"/>
      <c r="M280" s="162"/>
      <c r="N280" s="162"/>
      <c r="O280" s="162"/>
      <c r="P280" s="162"/>
      <c r="Q280" s="162"/>
      <c r="R280" s="162"/>
      <c r="S280" s="162"/>
      <c r="T280" s="162"/>
      <c r="U280" s="162"/>
      <c r="V280" s="162"/>
      <c r="W280" s="162"/>
      <c r="X280" s="5"/>
    </row>
    <row r="281" spans="1:24" x14ac:dyDescent="0.25">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row>
  </sheetData>
  <phoneticPr fontId="0" type="noConversion"/>
  <hyperlinks>
    <hyperlink ref="P233" r:id="rId1" xr:uid="{00000000-0004-0000-0700-000000000000}"/>
    <hyperlink ref="I9" r:id="rId2" xr:uid="{00000000-0004-0000-07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8" max="14" man="1"/>
    <brk id="197" max="14"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9CB31"/>
  </sheetPr>
  <dimension ref="A1:Z28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238</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239</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140</v>
      </c>
      <c r="C5" s="8"/>
      <c r="D5" s="8"/>
      <c r="E5" s="8"/>
      <c r="F5" s="8"/>
      <c r="G5" s="8"/>
      <c r="H5" s="8"/>
      <c r="I5" s="8"/>
      <c r="J5" s="8"/>
      <c r="K5" s="8"/>
      <c r="L5" s="8"/>
      <c r="M5" s="8"/>
      <c r="N5" s="8"/>
      <c r="O5" s="8"/>
      <c r="P5" s="8"/>
      <c r="Q5" s="8"/>
      <c r="R5" s="8"/>
      <c r="S5" s="8"/>
      <c r="T5" s="8"/>
      <c r="U5" s="8"/>
      <c r="V5" s="8"/>
      <c r="W5" s="8"/>
      <c r="X5" s="5"/>
    </row>
    <row r="6" spans="1:24" ht="15.6" x14ac:dyDescent="0.3">
      <c r="A6" s="6"/>
      <c r="B6" s="11" t="s">
        <v>142</v>
      </c>
      <c r="C6" s="8"/>
      <c r="D6" s="8"/>
      <c r="E6" s="8"/>
      <c r="F6" s="8"/>
      <c r="G6" s="8"/>
      <c r="H6" s="8"/>
      <c r="I6" s="8"/>
      <c r="J6" s="8"/>
      <c r="K6" s="8"/>
      <c r="L6" s="8"/>
      <c r="M6" s="8"/>
      <c r="N6" s="8"/>
      <c r="O6" s="8"/>
      <c r="P6" s="8"/>
      <c r="Q6" s="8"/>
      <c r="R6" s="8"/>
      <c r="S6" s="8"/>
      <c r="T6" s="8"/>
      <c r="U6" s="8"/>
      <c r="V6" s="8"/>
      <c r="W6" s="8"/>
      <c r="X6" s="5"/>
    </row>
    <row r="7" spans="1:24" ht="15.6" x14ac:dyDescent="0.3">
      <c r="A7" s="6"/>
      <c r="B7" s="11" t="s">
        <v>141</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169</v>
      </c>
      <c r="C9" s="8"/>
      <c r="D9" s="8"/>
      <c r="E9" s="8"/>
      <c r="F9" s="8"/>
      <c r="G9" s="8"/>
      <c r="H9" s="8"/>
      <c r="I9" s="148" t="s">
        <v>170</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240</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105</v>
      </c>
      <c r="S15" s="137">
        <v>0.57609999999999995</v>
      </c>
      <c r="T15" s="17" t="s">
        <v>143</v>
      </c>
      <c r="U15" s="137">
        <v>0.4239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105</v>
      </c>
      <c r="S16" s="137">
        <v>0.62160000000000004</v>
      </c>
      <c r="T16" s="17" t="s">
        <v>143</v>
      </c>
      <c r="U16" s="137">
        <v>0.37840000000000001</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39016</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39834</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106</v>
      </c>
      <c r="U20" s="8"/>
      <c r="V20" s="16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180</v>
      </c>
      <c r="E22" s="112"/>
      <c r="F22" s="112" t="s">
        <v>181</v>
      </c>
      <c r="G22" s="112"/>
      <c r="H22" s="112" t="s">
        <v>182</v>
      </c>
      <c r="I22" s="112"/>
      <c r="J22" s="112" t="s">
        <v>223</v>
      </c>
      <c r="K22" s="112"/>
      <c r="L22" s="112" t="s">
        <v>183</v>
      </c>
      <c r="M22" s="112"/>
      <c r="N22" s="112" t="s">
        <v>184</v>
      </c>
      <c r="O22" s="112"/>
      <c r="P22" s="112" t="s">
        <v>224</v>
      </c>
      <c r="Q22" s="112"/>
      <c r="R22" s="112" t="s">
        <v>185</v>
      </c>
      <c r="S22" s="113"/>
      <c r="T22" s="23"/>
      <c r="U22" s="162"/>
      <c r="V22" s="162"/>
      <c r="W22" s="8"/>
      <c r="X22" s="5"/>
    </row>
    <row r="23" spans="1:24" ht="15.6" x14ac:dyDescent="0.3">
      <c r="A23" s="24"/>
      <c r="B23" s="25" t="s">
        <v>7</v>
      </c>
      <c r="C23" s="26"/>
      <c r="D23" s="26" t="s">
        <v>216</v>
      </c>
      <c r="E23" s="26"/>
      <c r="F23" s="26" t="s">
        <v>144</v>
      </c>
      <c r="G23" s="26"/>
      <c r="H23" s="26" t="s">
        <v>144</v>
      </c>
      <c r="I23" s="26"/>
      <c r="J23" s="26" t="s">
        <v>144</v>
      </c>
      <c r="K23" s="26"/>
      <c r="L23" s="26" t="s">
        <v>186</v>
      </c>
      <c r="M23" s="26"/>
      <c r="N23" s="26" t="s">
        <v>186</v>
      </c>
      <c r="O23" s="26"/>
      <c r="P23" s="26" t="s">
        <v>145</v>
      </c>
      <c r="Q23" s="26"/>
      <c r="R23" s="26" t="s">
        <v>145</v>
      </c>
      <c r="S23" s="26"/>
      <c r="T23" s="26"/>
      <c r="U23" s="163"/>
      <c r="V23" s="163"/>
      <c r="W23" s="25"/>
      <c r="X23" s="5"/>
    </row>
    <row r="24" spans="1:24" ht="15.6" x14ac:dyDescent="0.3">
      <c r="A24" s="24"/>
      <c r="B24" s="25" t="s">
        <v>8</v>
      </c>
      <c r="C24" s="26"/>
      <c r="D24" s="26" t="s">
        <v>217</v>
      </c>
      <c r="E24" s="26"/>
      <c r="F24" s="26" t="s">
        <v>146</v>
      </c>
      <c r="G24" s="26"/>
      <c r="H24" s="26" t="s">
        <v>146</v>
      </c>
      <c r="I24" s="26"/>
      <c r="J24" s="26" t="s">
        <v>146</v>
      </c>
      <c r="K24" s="26"/>
      <c r="L24" s="26" t="s">
        <v>168</v>
      </c>
      <c r="M24" s="26"/>
      <c r="N24" s="26" t="s">
        <v>168</v>
      </c>
      <c r="O24" s="26"/>
      <c r="P24" s="26" t="s">
        <v>147</v>
      </c>
      <c r="Q24" s="26"/>
      <c r="R24" s="26" t="s">
        <v>147</v>
      </c>
      <c r="S24" s="26"/>
      <c r="T24" s="26"/>
      <c r="U24" s="163"/>
      <c r="V24" s="163"/>
      <c r="W24" s="25"/>
      <c r="X24" s="5"/>
    </row>
    <row r="25" spans="1:24" ht="15.6" x14ac:dyDescent="0.3">
      <c r="A25" s="28"/>
      <c r="B25" s="131" t="s">
        <v>193</v>
      </c>
      <c r="C25" s="123"/>
      <c r="D25" s="26" t="s">
        <v>218</v>
      </c>
      <c r="E25" s="26"/>
      <c r="F25" s="26" t="s">
        <v>146</v>
      </c>
      <c r="G25" s="26"/>
      <c r="H25" s="26" t="s">
        <v>146</v>
      </c>
      <c r="I25" s="26"/>
      <c r="J25" s="26" t="s">
        <v>146</v>
      </c>
      <c r="K25" s="26"/>
      <c r="L25" s="26" t="s">
        <v>168</v>
      </c>
      <c r="M25" s="26"/>
      <c r="N25" s="26" t="s">
        <v>168</v>
      </c>
      <c r="O25" s="26"/>
      <c r="P25" s="26" t="s">
        <v>147</v>
      </c>
      <c r="Q25" s="26"/>
      <c r="R25" s="26" t="s">
        <v>147</v>
      </c>
      <c r="S25" s="123"/>
      <c r="T25" s="26"/>
      <c r="U25" s="163"/>
      <c r="V25" s="163"/>
      <c r="W25" s="25"/>
      <c r="X25" s="5"/>
    </row>
    <row r="26" spans="1:24" ht="15.6" x14ac:dyDescent="0.3">
      <c r="A26" s="28"/>
      <c r="B26" s="29" t="s">
        <v>9</v>
      </c>
      <c r="C26" s="123"/>
      <c r="D26" s="123" t="s">
        <v>216</v>
      </c>
      <c r="E26" s="123"/>
      <c r="F26" s="123" t="s">
        <v>144</v>
      </c>
      <c r="G26" s="123"/>
      <c r="H26" s="123" t="s">
        <v>144</v>
      </c>
      <c r="I26" s="123"/>
      <c r="J26" s="123" t="s">
        <v>144</v>
      </c>
      <c r="K26" s="123"/>
      <c r="L26" s="123" t="s">
        <v>186</v>
      </c>
      <c r="M26" s="123"/>
      <c r="N26" s="123" t="s">
        <v>186</v>
      </c>
      <c r="O26" s="123"/>
      <c r="P26" s="123" t="s">
        <v>145</v>
      </c>
      <c r="Q26" s="123"/>
      <c r="R26" s="123" t="s">
        <v>145</v>
      </c>
      <c r="S26" s="123"/>
      <c r="T26" s="26"/>
      <c r="U26" s="163"/>
      <c r="V26" s="163"/>
      <c r="W26" s="25"/>
      <c r="X26" s="5"/>
    </row>
    <row r="27" spans="1:24" ht="15.6" x14ac:dyDescent="0.3">
      <c r="A27" s="24"/>
      <c r="B27" s="29" t="s">
        <v>194</v>
      </c>
      <c r="C27" s="26"/>
      <c r="D27" s="123" t="s">
        <v>217</v>
      </c>
      <c r="E27" s="123"/>
      <c r="F27" s="123" t="s">
        <v>146</v>
      </c>
      <c r="G27" s="123"/>
      <c r="H27" s="123" t="s">
        <v>146</v>
      </c>
      <c r="I27" s="123"/>
      <c r="J27" s="123" t="s">
        <v>146</v>
      </c>
      <c r="K27" s="123"/>
      <c r="L27" s="123" t="s">
        <v>168</v>
      </c>
      <c r="M27" s="123"/>
      <c r="N27" s="123" t="s">
        <v>168</v>
      </c>
      <c r="O27" s="123"/>
      <c r="P27" s="123" t="s">
        <v>147</v>
      </c>
      <c r="Q27" s="123"/>
      <c r="R27" s="123" t="s">
        <v>147</v>
      </c>
      <c r="S27" s="26"/>
      <c r="T27" s="30"/>
      <c r="U27" s="163"/>
      <c r="V27" s="163"/>
      <c r="W27" s="25"/>
      <c r="X27" s="5"/>
    </row>
    <row r="28" spans="1:24" ht="15.6" x14ac:dyDescent="0.3">
      <c r="A28" s="24"/>
      <c r="B28" s="153" t="s">
        <v>195</v>
      </c>
      <c r="C28" s="26"/>
      <c r="D28" s="123" t="s">
        <v>218</v>
      </c>
      <c r="E28" s="123"/>
      <c r="F28" s="123" t="s">
        <v>146</v>
      </c>
      <c r="G28" s="123"/>
      <c r="H28" s="123" t="s">
        <v>146</v>
      </c>
      <c r="I28" s="123"/>
      <c r="J28" s="123" t="s">
        <v>146</v>
      </c>
      <c r="K28" s="123"/>
      <c r="L28" s="123" t="s">
        <v>168</v>
      </c>
      <c r="M28" s="123"/>
      <c r="N28" s="123" t="s">
        <v>168</v>
      </c>
      <c r="O28" s="123"/>
      <c r="P28" s="123" t="s">
        <v>147</v>
      </c>
      <c r="Q28" s="123"/>
      <c r="R28" s="123" t="s">
        <v>147</v>
      </c>
      <c r="S28" s="26"/>
      <c r="T28" s="30"/>
      <c r="U28" s="163"/>
      <c r="V28" s="163"/>
      <c r="W28" s="25"/>
      <c r="X28" s="5"/>
    </row>
    <row r="29" spans="1:24" ht="15.6" x14ac:dyDescent="0.3">
      <c r="A29" s="24"/>
      <c r="B29" s="25" t="s">
        <v>10</v>
      </c>
      <c r="C29" s="32"/>
      <c r="D29" s="26" t="s">
        <v>348</v>
      </c>
      <c r="E29" s="26"/>
      <c r="F29" s="30" t="s">
        <v>242</v>
      </c>
      <c r="G29" s="26"/>
      <c r="H29" s="26" t="s">
        <v>243</v>
      </c>
      <c r="I29" s="26"/>
      <c r="J29" s="26" t="s">
        <v>245</v>
      </c>
      <c r="K29" s="26"/>
      <c r="L29" s="26" t="s">
        <v>246</v>
      </c>
      <c r="M29" s="26"/>
      <c r="N29" s="26" t="s">
        <v>247</v>
      </c>
      <c r="O29" s="26"/>
      <c r="P29" s="26" t="s">
        <v>248</v>
      </c>
      <c r="Q29" s="26"/>
      <c r="R29" s="26" t="s">
        <v>249</v>
      </c>
      <c r="S29" s="31"/>
      <c r="T29" s="31"/>
      <c r="U29" s="164"/>
      <c r="V29" s="31"/>
      <c r="W29" s="34"/>
      <c r="X29" s="5"/>
    </row>
    <row r="30" spans="1:24" ht="15.6" x14ac:dyDescent="0.3">
      <c r="A30" s="24"/>
      <c r="B30" s="25" t="s">
        <v>10</v>
      </c>
      <c r="C30" s="32"/>
      <c r="D30" s="26" t="s">
        <v>241</v>
      </c>
      <c r="E30" s="26"/>
      <c r="F30" s="30" t="s">
        <v>121</v>
      </c>
      <c r="G30" s="26"/>
      <c r="H30" s="26" t="s">
        <v>121</v>
      </c>
      <c r="I30" s="26"/>
      <c r="J30" s="26" t="s">
        <v>244</v>
      </c>
      <c r="K30" s="26"/>
      <c r="L30" s="26" t="s">
        <v>121</v>
      </c>
      <c r="M30" s="26"/>
      <c r="N30" s="26" t="s">
        <v>121</v>
      </c>
      <c r="O30" s="26"/>
      <c r="P30" s="26" t="s">
        <v>121</v>
      </c>
      <c r="Q30" s="26"/>
      <c r="R30" s="26" t="s">
        <v>121</v>
      </c>
      <c r="S30" s="31"/>
      <c r="T30" s="31"/>
      <c r="U30" s="164"/>
      <c r="V30" s="31"/>
      <c r="W30" s="34"/>
      <c r="X30" s="5"/>
    </row>
    <row r="31" spans="1:24" ht="15.6" x14ac:dyDescent="0.3">
      <c r="A31" s="28"/>
      <c r="B31" s="25" t="s">
        <v>136</v>
      </c>
      <c r="C31" s="36"/>
      <c r="D31" s="146">
        <v>1500000</v>
      </c>
      <c r="E31" s="32"/>
      <c r="F31" s="31">
        <v>125000</v>
      </c>
      <c r="G31" s="31"/>
      <c r="H31" s="124">
        <v>315000</v>
      </c>
      <c r="I31" s="124"/>
      <c r="J31" s="146">
        <v>350000</v>
      </c>
      <c r="K31" s="31"/>
      <c r="L31" s="31">
        <v>56000</v>
      </c>
      <c r="M31" s="31"/>
      <c r="N31" s="124">
        <v>84000</v>
      </c>
      <c r="O31" s="31"/>
      <c r="P31" s="31">
        <v>13000</v>
      </c>
      <c r="Q31" s="31"/>
      <c r="R31" s="124">
        <v>81000</v>
      </c>
      <c r="S31" s="35"/>
      <c r="T31" s="35"/>
      <c r="U31" s="37"/>
      <c r="V31" s="35"/>
      <c r="W31" s="34"/>
      <c r="X31" s="5"/>
    </row>
    <row r="32" spans="1:24" ht="15.6" x14ac:dyDescent="0.3">
      <c r="A32" s="24"/>
      <c r="B32" s="25" t="s">
        <v>135</v>
      </c>
      <c r="C32" s="32"/>
      <c r="D32" s="146">
        <f>D31*D38</f>
        <v>1148391.75</v>
      </c>
      <c r="E32" s="32"/>
      <c r="F32" s="31">
        <f>F31*F38</f>
        <v>95699.400000000009</v>
      </c>
      <c r="G32" s="31"/>
      <c r="H32" s="124">
        <f>H31*H38</f>
        <v>241162.48800000001</v>
      </c>
      <c r="I32" s="124"/>
      <c r="J32" s="146">
        <f>J31*J38</f>
        <v>267958.07500000001</v>
      </c>
      <c r="K32" s="31"/>
      <c r="L32" s="31">
        <f>L31*L38</f>
        <v>56000</v>
      </c>
      <c r="M32" s="31"/>
      <c r="N32" s="124">
        <f>N31*N38</f>
        <v>84000</v>
      </c>
      <c r="O32" s="31"/>
      <c r="P32" s="31">
        <f>P31*P38</f>
        <v>13000</v>
      </c>
      <c r="Q32" s="31"/>
      <c r="R32" s="124">
        <f>R31*R38</f>
        <v>81000</v>
      </c>
      <c r="S32" s="31"/>
      <c r="T32" s="31"/>
      <c r="U32" s="164"/>
      <c r="V32" s="31"/>
      <c r="W32" s="34"/>
      <c r="X32" s="5"/>
    </row>
    <row r="33" spans="1:24" ht="15.6" x14ac:dyDescent="0.3">
      <c r="A33" s="24"/>
      <c r="B33" s="29" t="s">
        <v>137</v>
      </c>
      <c r="C33" s="32"/>
      <c r="D33" s="151">
        <f>D37*D31</f>
        <v>1042613.5499999999</v>
      </c>
      <c r="E33" s="36"/>
      <c r="F33" s="35">
        <f>F37*F31</f>
        <v>86884.55</v>
      </c>
      <c r="G33" s="35"/>
      <c r="H33" s="125">
        <f>H31*H37</f>
        <v>218949.06600000002</v>
      </c>
      <c r="I33" s="125"/>
      <c r="J33" s="151">
        <f>J37*J31</f>
        <v>243276.495</v>
      </c>
      <c r="K33" s="35"/>
      <c r="L33" s="35">
        <f>L31*L37</f>
        <v>56000</v>
      </c>
      <c r="M33" s="35"/>
      <c r="N33" s="125">
        <f>N31*N37</f>
        <v>84000</v>
      </c>
      <c r="O33" s="35"/>
      <c r="P33" s="35">
        <f>P31*P37</f>
        <v>13000</v>
      </c>
      <c r="Q33" s="35"/>
      <c r="R33" s="125">
        <f>R31*R37</f>
        <v>81000</v>
      </c>
      <c r="S33" s="31"/>
      <c r="T33" s="31"/>
      <c r="U33" s="164"/>
      <c r="V33" s="31"/>
      <c r="W33" s="34"/>
      <c r="X33" s="5"/>
    </row>
    <row r="34" spans="1:24" ht="15.6" x14ac:dyDescent="0.3">
      <c r="A34" s="28"/>
      <c r="B34" s="25" t="s">
        <v>298</v>
      </c>
      <c r="C34" s="36"/>
      <c r="D34" s="31">
        <v>797872</v>
      </c>
      <c r="E34" s="32"/>
      <c r="F34" s="31">
        <v>125000</v>
      </c>
      <c r="G34" s="31"/>
      <c r="H34" s="31">
        <v>211409</v>
      </c>
      <c r="I34" s="31"/>
      <c r="J34" s="31">
        <v>186170</v>
      </c>
      <c r="K34" s="31"/>
      <c r="L34" s="31">
        <v>56000</v>
      </c>
      <c r="M34" s="31"/>
      <c r="N34" s="31">
        <v>56376</v>
      </c>
      <c r="O34" s="31"/>
      <c r="P34" s="31">
        <v>13000</v>
      </c>
      <c r="Q34" s="31"/>
      <c r="R34" s="31">
        <v>54363</v>
      </c>
      <c r="S34" s="35"/>
      <c r="T34" s="35"/>
      <c r="U34" s="37"/>
      <c r="V34" s="154">
        <f>SUM(C34:R34)</f>
        <v>1500190</v>
      </c>
      <c r="W34" s="34"/>
      <c r="X34" s="5"/>
    </row>
    <row r="35" spans="1:24" ht="15.6" x14ac:dyDescent="0.3">
      <c r="A35" s="28"/>
      <c r="B35" s="25" t="s">
        <v>299</v>
      </c>
      <c r="C35" s="126"/>
      <c r="D35" s="31">
        <f>D34*D38</f>
        <v>610846.414904</v>
      </c>
      <c r="E35" s="32"/>
      <c r="F35" s="31">
        <f>F34*F38</f>
        <v>95699.400000000009</v>
      </c>
      <c r="G35" s="31"/>
      <c r="H35" s="31">
        <f>H34*H38</f>
        <v>161853.71563680001</v>
      </c>
      <c r="I35" s="31"/>
      <c r="J35" s="31">
        <f>J34*J38</f>
        <v>142530.728065</v>
      </c>
      <c r="K35" s="31"/>
      <c r="L35" s="31">
        <f>L34*L38</f>
        <v>56000</v>
      </c>
      <c r="M35" s="31"/>
      <c r="N35" s="31">
        <f>N34*N38</f>
        <v>56376</v>
      </c>
      <c r="O35" s="31"/>
      <c r="P35" s="31">
        <f>P34*P38</f>
        <v>13000</v>
      </c>
      <c r="Q35" s="31"/>
      <c r="R35" s="31">
        <f>R34*R38</f>
        <v>54363</v>
      </c>
      <c r="S35" s="31"/>
      <c r="T35" s="31"/>
      <c r="U35" s="164"/>
      <c r="V35" s="154">
        <f>SUM(C35:R35)</f>
        <v>1190669.2586058001</v>
      </c>
      <c r="W35" s="34"/>
      <c r="X35" s="5"/>
    </row>
    <row r="36" spans="1:24" ht="15.6" x14ac:dyDescent="0.3">
      <c r="A36" s="28"/>
      <c r="B36" s="29" t="s">
        <v>304</v>
      </c>
      <c r="C36" s="126"/>
      <c r="D36" s="35">
        <f>D34*D37</f>
        <v>554581.43891039991</v>
      </c>
      <c r="E36" s="36"/>
      <c r="F36" s="35">
        <f>F34*F37</f>
        <v>86884.55</v>
      </c>
      <c r="G36" s="35"/>
      <c r="H36" s="35">
        <f>H34*H37</f>
        <v>146945.4066476</v>
      </c>
      <c r="I36" s="35"/>
      <c r="J36" s="35">
        <f>J34*J37</f>
        <v>129402.24306899999</v>
      </c>
      <c r="K36" s="35"/>
      <c r="L36" s="35">
        <v>56000</v>
      </c>
      <c r="M36" s="35"/>
      <c r="N36" s="35">
        <v>56376</v>
      </c>
      <c r="O36" s="35"/>
      <c r="P36" s="35">
        <v>13000</v>
      </c>
      <c r="Q36" s="35"/>
      <c r="R36" s="35">
        <v>54363</v>
      </c>
      <c r="S36" s="128"/>
      <c r="T36" s="128"/>
      <c r="U36" s="164"/>
      <c r="V36" s="155">
        <f>SUM(C36:R36)</f>
        <v>1097552.6386269999</v>
      </c>
      <c r="W36" s="34"/>
      <c r="X36" s="5"/>
    </row>
    <row r="37" spans="1:24" ht="15.6" x14ac:dyDescent="0.3">
      <c r="A37" s="24"/>
      <c r="B37" s="122" t="s">
        <v>133</v>
      </c>
      <c r="C37" s="25"/>
      <c r="D37" s="168">
        <v>0.69507569999999996</v>
      </c>
      <c r="E37" s="136"/>
      <c r="F37" s="168">
        <v>0.69507640000000004</v>
      </c>
      <c r="G37" s="135"/>
      <c r="H37" s="168">
        <v>0.69507640000000004</v>
      </c>
      <c r="I37" s="135"/>
      <c r="J37" s="168">
        <v>0.69507569999999996</v>
      </c>
      <c r="K37" s="135"/>
      <c r="L37" s="168">
        <v>1</v>
      </c>
      <c r="M37" s="135"/>
      <c r="N37" s="168">
        <v>1</v>
      </c>
      <c r="O37" s="135"/>
      <c r="P37" s="168">
        <v>1</v>
      </c>
      <c r="Q37" s="135"/>
      <c r="R37" s="168">
        <v>1</v>
      </c>
      <c r="S37" s="30"/>
      <c r="T37" s="30"/>
      <c r="U37" s="163"/>
      <c r="V37" s="163"/>
      <c r="W37" s="25"/>
      <c r="X37" s="5"/>
    </row>
    <row r="38" spans="1:24" ht="15.6" x14ac:dyDescent="0.3">
      <c r="A38" s="24"/>
      <c r="B38" s="122" t="s">
        <v>134</v>
      </c>
      <c r="C38" s="25"/>
      <c r="D38" s="168">
        <v>0.76559449999999996</v>
      </c>
      <c r="E38" s="136"/>
      <c r="F38" s="168">
        <v>0.76559520000000003</v>
      </c>
      <c r="G38" s="135"/>
      <c r="H38" s="168">
        <v>0.76559520000000003</v>
      </c>
      <c r="I38" s="135"/>
      <c r="J38" s="168">
        <v>0.76559449999999996</v>
      </c>
      <c r="K38" s="135"/>
      <c r="L38" s="135">
        <v>1</v>
      </c>
      <c r="M38" s="135"/>
      <c r="N38" s="135">
        <v>1</v>
      </c>
      <c r="O38" s="135"/>
      <c r="P38" s="135">
        <v>1</v>
      </c>
      <c r="Q38" s="135"/>
      <c r="R38" s="135">
        <v>1</v>
      </c>
      <c r="S38" s="39"/>
      <c r="T38" s="38"/>
      <c r="U38" s="163"/>
      <c r="V38" s="39"/>
      <c r="W38" s="25"/>
      <c r="X38" s="5"/>
    </row>
    <row r="39" spans="1:24" ht="15.6" x14ac:dyDescent="0.3">
      <c r="A39" s="24"/>
      <c r="B39" s="25" t="s">
        <v>11</v>
      </c>
      <c r="C39" s="25"/>
      <c r="D39" s="30" t="s">
        <v>225</v>
      </c>
      <c r="E39" s="25"/>
      <c r="F39" s="30" t="s">
        <v>225</v>
      </c>
      <c r="G39" s="30"/>
      <c r="H39" s="30" t="s">
        <v>225</v>
      </c>
      <c r="I39" s="30"/>
      <c r="J39" s="30" t="s">
        <v>251</v>
      </c>
      <c r="K39" s="30"/>
      <c r="L39" s="30" t="s">
        <v>252</v>
      </c>
      <c r="M39" s="30"/>
      <c r="N39" s="30" t="s">
        <v>253</v>
      </c>
      <c r="O39" s="30"/>
      <c r="P39" s="30" t="s">
        <v>254</v>
      </c>
      <c r="Q39" s="30"/>
      <c r="R39" s="30" t="s">
        <v>255</v>
      </c>
      <c r="S39" s="39"/>
      <c r="T39" s="38"/>
      <c r="U39" s="163"/>
      <c r="V39" s="163"/>
      <c r="W39" s="25"/>
      <c r="X39" s="5"/>
    </row>
    <row r="40" spans="1:24" ht="15.6" x14ac:dyDescent="0.3">
      <c r="A40" s="24"/>
      <c r="B40" s="25" t="s">
        <v>12</v>
      </c>
      <c r="C40" s="25"/>
      <c r="D40" s="38">
        <v>1.315E-2</v>
      </c>
      <c r="E40" s="25"/>
      <c r="F40" s="38">
        <v>6.3299999999999995E-2</v>
      </c>
      <c r="G40" s="39"/>
      <c r="H40" s="38">
        <v>5.4379999999999998E-2</v>
      </c>
      <c r="I40" s="38"/>
      <c r="J40" s="38">
        <v>4.8425000000000003E-2</v>
      </c>
      <c r="K40" s="39"/>
      <c r="L40" s="38">
        <v>6.4100000000000004E-2</v>
      </c>
      <c r="M40" s="39"/>
      <c r="N40" s="38">
        <v>5.5079999999999997E-2</v>
      </c>
      <c r="O40" s="39"/>
      <c r="P40" s="38">
        <v>6.6100000000000006E-2</v>
      </c>
      <c r="Q40" s="39"/>
      <c r="R40" s="38">
        <v>5.7079999999999999E-2</v>
      </c>
      <c r="S40" s="39"/>
      <c r="T40" s="38"/>
      <c r="U40" s="163"/>
      <c r="V40" s="30"/>
      <c r="W40" s="25"/>
      <c r="X40" s="5"/>
    </row>
    <row r="41" spans="1:24" ht="15.6" x14ac:dyDescent="0.3">
      <c r="A41" s="24"/>
      <c r="B41" s="25" t="s">
        <v>13</v>
      </c>
      <c r="C41" s="25"/>
      <c r="D41" s="38">
        <v>2.6075000000000001E-2</v>
      </c>
      <c r="E41" s="25"/>
      <c r="F41" s="38">
        <v>5.9393799999999997E-2</v>
      </c>
      <c r="G41" s="39"/>
      <c r="H41" s="38">
        <v>5.083E-2</v>
      </c>
      <c r="I41" s="38"/>
      <c r="J41" s="38">
        <v>2.88063E-2</v>
      </c>
      <c r="K41" s="39"/>
      <c r="L41" s="38">
        <v>6.0193799999999999E-2</v>
      </c>
      <c r="M41" s="39"/>
      <c r="N41" s="38">
        <v>5.1529999999999999E-2</v>
      </c>
      <c r="O41" s="39"/>
      <c r="P41" s="38">
        <v>6.21938E-2</v>
      </c>
      <c r="Q41" s="39"/>
      <c r="R41" s="38">
        <v>5.3530000000000001E-2</v>
      </c>
      <c r="S41" s="39"/>
      <c r="T41" s="38"/>
      <c r="U41" s="163"/>
      <c r="V41" s="39" t="s">
        <v>196</v>
      </c>
      <c r="W41" s="25"/>
      <c r="X41" s="5"/>
    </row>
    <row r="42" spans="1:24" ht="15.6" x14ac:dyDescent="0.3">
      <c r="A42" s="24"/>
      <c r="B42" s="25" t="s">
        <v>300</v>
      </c>
      <c r="C42" s="25"/>
      <c r="D42" s="30" t="s">
        <v>292</v>
      </c>
      <c r="E42" s="25"/>
      <c r="F42" s="30" t="s">
        <v>225</v>
      </c>
      <c r="G42" s="30"/>
      <c r="H42" s="30" t="s">
        <v>263</v>
      </c>
      <c r="I42" s="30"/>
      <c r="J42" s="30" t="s">
        <v>262</v>
      </c>
      <c r="K42" s="30"/>
      <c r="L42" s="30" t="s">
        <v>252</v>
      </c>
      <c r="M42" s="30"/>
      <c r="N42" s="30" t="s">
        <v>264</v>
      </c>
      <c r="O42" s="30"/>
      <c r="P42" s="30" t="s">
        <v>254</v>
      </c>
      <c r="Q42" s="30"/>
      <c r="R42" s="30" t="s">
        <v>260</v>
      </c>
      <c r="S42" s="39"/>
      <c r="T42" s="38"/>
      <c r="U42" s="163"/>
      <c r="V42" s="163"/>
      <c r="W42" s="25"/>
      <c r="X42" s="5"/>
    </row>
    <row r="43" spans="1:24" ht="15.6" x14ac:dyDescent="0.3">
      <c r="A43" s="24"/>
      <c r="B43" s="25" t="s">
        <v>301</v>
      </c>
      <c r="C43" s="110"/>
      <c r="D43" s="38">
        <v>6.3639200000000007E-2</v>
      </c>
      <c r="E43" s="38"/>
      <c r="F43" s="38">
        <f>+F40</f>
        <v>6.3299999999999995E-2</v>
      </c>
      <c r="G43" s="38"/>
      <c r="H43" s="38">
        <v>6.3422000000000006E-2</v>
      </c>
      <c r="I43" s="38"/>
      <c r="J43" s="38">
        <v>6.3339999999999994E-2</v>
      </c>
      <c r="K43" s="38"/>
      <c r="L43" s="38">
        <f>+L40</f>
        <v>6.4100000000000004E-2</v>
      </c>
      <c r="M43" s="38"/>
      <c r="N43" s="38">
        <v>6.4189999999999997E-2</v>
      </c>
      <c r="O43" s="38"/>
      <c r="P43" s="38">
        <f>+P40</f>
        <v>6.6100000000000006E-2</v>
      </c>
      <c r="Q43" s="39"/>
      <c r="R43" s="38">
        <v>6.6299999999999998E-2</v>
      </c>
      <c r="S43" s="30"/>
      <c r="T43" s="30"/>
      <c r="U43" s="163"/>
      <c r="V43" s="39">
        <f>SUMPRODUCT(D43:R43,D35:R35)/V35</f>
        <v>6.3742700710172823E-2</v>
      </c>
      <c r="W43" s="25"/>
      <c r="X43" s="5"/>
    </row>
    <row r="44" spans="1:24" ht="15.6" x14ac:dyDescent="0.3">
      <c r="A44" s="24"/>
      <c r="B44" s="25" t="s">
        <v>302</v>
      </c>
      <c r="C44" s="110"/>
      <c r="D44" s="38">
        <v>5.9733000000000001E-2</v>
      </c>
      <c r="E44" s="38"/>
      <c r="F44" s="38">
        <f>+F41</f>
        <v>5.9393799999999997E-2</v>
      </c>
      <c r="G44" s="38"/>
      <c r="H44" s="38">
        <v>5.9515800000000001E-2</v>
      </c>
      <c r="I44" s="38"/>
      <c r="J44" s="38">
        <v>5.9433800000000002E-2</v>
      </c>
      <c r="K44" s="38"/>
      <c r="L44" s="38">
        <f>+L41</f>
        <v>6.0193799999999999E-2</v>
      </c>
      <c r="M44" s="38"/>
      <c r="N44" s="38">
        <v>6.0283799999999998E-2</v>
      </c>
      <c r="O44" s="38"/>
      <c r="P44" s="38">
        <f>+P41</f>
        <v>6.21938E-2</v>
      </c>
      <c r="Q44" s="39"/>
      <c r="R44" s="38">
        <v>6.2393799999999999E-2</v>
      </c>
      <c r="S44" s="30"/>
      <c r="T44" s="30"/>
      <c r="U44" s="163"/>
      <c r="V44" s="163"/>
      <c r="W44" s="25"/>
      <c r="X44" s="5"/>
    </row>
    <row r="45" spans="1:24" ht="15.6" x14ac:dyDescent="0.3">
      <c r="A45" s="24"/>
      <c r="B45" s="25" t="s">
        <v>14</v>
      </c>
      <c r="C45" s="25"/>
      <c r="D45" s="110">
        <v>40466</v>
      </c>
      <c r="E45" s="110"/>
      <c r="F45" s="110">
        <v>40466</v>
      </c>
      <c r="G45" s="110"/>
      <c r="H45" s="110">
        <v>40466</v>
      </c>
      <c r="I45" s="110"/>
      <c r="J45" s="110">
        <v>40466</v>
      </c>
      <c r="K45" s="110"/>
      <c r="L45" s="110">
        <v>40466</v>
      </c>
      <c r="M45" s="110"/>
      <c r="N45" s="110">
        <v>40466</v>
      </c>
      <c r="O45" s="110"/>
      <c r="P45" s="110">
        <v>40466</v>
      </c>
      <c r="Q45" s="110"/>
      <c r="R45" s="110">
        <v>40466</v>
      </c>
      <c r="S45" s="30"/>
      <c r="T45" s="30"/>
      <c r="U45" s="163"/>
      <c r="V45" s="163"/>
      <c r="W45" s="25"/>
      <c r="X45" s="5"/>
    </row>
    <row r="46" spans="1:24" ht="15.6" x14ac:dyDescent="0.3">
      <c r="A46" s="24"/>
      <c r="B46" s="25" t="s">
        <v>15</v>
      </c>
      <c r="C46" s="25"/>
      <c r="D46" s="110" t="s">
        <v>121</v>
      </c>
      <c r="E46" s="110"/>
      <c r="F46" s="110">
        <v>40831</v>
      </c>
      <c r="G46" s="110"/>
      <c r="H46" s="110">
        <v>40831</v>
      </c>
      <c r="I46" s="110"/>
      <c r="J46" s="110">
        <v>40831</v>
      </c>
      <c r="K46" s="30"/>
      <c r="L46" s="110">
        <v>40831</v>
      </c>
      <c r="M46" s="30"/>
      <c r="N46" s="110">
        <v>40831</v>
      </c>
      <c r="O46" s="30"/>
      <c r="P46" s="110">
        <v>40831</v>
      </c>
      <c r="Q46" s="30"/>
      <c r="R46" s="110">
        <v>40831</v>
      </c>
      <c r="S46" s="30"/>
      <c r="T46" s="30"/>
      <c r="U46" s="163"/>
      <c r="V46" s="163"/>
      <c r="W46" s="25"/>
      <c r="X46" s="5"/>
    </row>
    <row r="47" spans="1:24" ht="15.6" x14ac:dyDescent="0.3">
      <c r="A47" s="24"/>
      <c r="B47" s="25" t="s">
        <v>122</v>
      </c>
      <c r="C47" s="25"/>
      <c r="D47" s="160" t="s">
        <v>121</v>
      </c>
      <c r="E47" s="25"/>
      <c r="F47" s="30" t="s">
        <v>226</v>
      </c>
      <c r="G47" s="30"/>
      <c r="H47" s="30" t="s">
        <v>226</v>
      </c>
      <c r="I47" s="30"/>
      <c r="J47" s="30" t="s">
        <v>256</v>
      </c>
      <c r="K47" s="30"/>
      <c r="L47" s="30" t="s">
        <v>254</v>
      </c>
      <c r="M47" s="30"/>
      <c r="N47" s="30" t="s">
        <v>257</v>
      </c>
      <c r="O47" s="30"/>
      <c r="P47" s="30" t="s">
        <v>258</v>
      </c>
      <c r="Q47" s="30"/>
      <c r="R47" s="30" t="s">
        <v>259</v>
      </c>
      <c r="S47" s="40"/>
      <c r="T47" s="40"/>
      <c r="U47" s="40"/>
      <c r="V47" s="40"/>
      <c r="W47" s="25"/>
      <c r="X47" s="5"/>
    </row>
    <row r="48" spans="1:24" ht="15.6" x14ac:dyDescent="0.3">
      <c r="A48" s="24"/>
      <c r="B48" s="25" t="s">
        <v>303</v>
      </c>
      <c r="C48" s="25"/>
      <c r="D48" s="30" t="s">
        <v>203</v>
      </c>
      <c r="E48" s="25"/>
      <c r="F48" s="30" t="s">
        <v>226</v>
      </c>
      <c r="G48" s="30"/>
      <c r="H48" s="30" t="s">
        <v>227</v>
      </c>
      <c r="I48" s="30"/>
      <c r="J48" s="30" t="s">
        <v>237</v>
      </c>
      <c r="K48" s="30"/>
      <c r="L48" s="30" t="s">
        <v>254</v>
      </c>
      <c r="M48" s="30"/>
      <c r="N48" s="30" t="s">
        <v>260</v>
      </c>
      <c r="O48" s="30"/>
      <c r="P48" s="30" t="s">
        <v>258</v>
      </c>
      <c r="Q48" s="30"/>
      <c r="R48" s="30" t="s">
        <v>261</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196</v>
      </c>
      <c r="W49" s="25"/>
      <c r="X49" s="5"/>
    </row>
    <row r="50" spans="1:25" ht="15.6" x14ac:dyDescent="0.3">
      <c r="A50" s="24"/>
      <c r="B50" s="25" t="s">
        <v>172</v>
      </c>
      <c r="C50" s="25"/>
      <c r="D50" s="30"/>
      <c r="E50" s="25"/>
      <c r="F50" s="30"/>
      <c r="G50" s="30"/>
      <c r="H50" s="30"/>
      <c r="I50" s="30"/>
      <c r="J50" s="30"/>
      <c r="K50" s="30"/>
      <c r="L50" s="30"/>
      <c r="M50" s="30"/>
      <c r="N50" s="30"/>
      <c r="O50" s="30"/>
      <c r="P50" s="30"/>
      <c r="Q50" s="30"/>
      <c r="R50" s="30"/>
      <c r="S50" s="25"/>
      <c r="T50" s="25"/>
      <c r="U50" s="25"/>
      <c r="V50" s="39">
        <f>SUM(L34:R34)/SUM(D34:J34)</f>
        <v>0.13611940162868597</v>
      </c>
      <c r="W50" s="25"/>
      <c r="X50" s="5"/>
    </row>
    <row r="51" spans="1:25" ht="15.6" x14ac:dyDescent="0.3">
      <c r="A51" s="24"/>
      <c r="B51" s="25" t="s">
        <v>173</v>
      </c>
      <c r="C51" s="25"/>
      <c r="D51" s="25"/>
      <c r="E51" s="25"/>
      <c r="F51" s="41"/>
      <c r="G51" s="25"/>
      <c r="H51" s="25"/>
      <c r="I51" s="25"/>
      <c r="J51" s="25"/>
      <c r="K51" s="25"/>
      <c r="L51" s="25"/>
      <c r="M51" s="25"/>
      <c r="N51" s="25"/>
      <c r="O51" s="25"/>
      <c r="P51" s="25"/>
      <c r="Q51" s="25"/>
      <c r="R51" s="25"/>
      <c r="S51" s="25"/>
      <c r="T51" s="25"/>
      <c r="U51" s="25"/>
      <c r="V51" s="39">
        <f>SUM(L36:R36)/SUM(D36:J36)</f>
        <v>0.19583387349623604</v>
      </c>
      <c r="W51" s="25"/>
      <c r="X51" s="5"/>
    </row>
    <row r="52" spans="1:25" ht="15.6" x14ac:dyDescent="0.3">
      <c r="A52" s="24"/>
      <c r="B52" s="25" t="s">
        <v>174</v>
      </c>
      <c r="C52" s="25"/>
      <c r="D52" s="25"/>
      <c r="E52" s="25"/>
      <c r="F52" s="25"/>
      <c r="G52" s="25"/>
      <c r="H52" s="25"/>
      <c r="I52" s="25"/>
      <c r="J52" s="25"/>
      <c r="K52" s="25"/>
      <c r="L52" s="25"/>
      <c r="M52" s="25"/>
      <c r="N52" s="25"/>
      <c r="O52" s="25"/>
      <c r="P52" s="25"/>
      <c r="Q52" s="25"/>
      <c r="R52" s="25"/>
      <c r="S52" s="25"/>
      <c r="T52" s="30" t="s">
        <v>107</v>
      </c>
      <c r="U52" s="30" t="s">
        <v>112</v>
      </c>
      <c r="V52" s="31">
        <f>+V34/2-SUM(L34:R34)</f>
        <v>570356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205</v>
      </c>
      <c r="C54" s="25"/>
      <c r="D54" s="25"/>
      <c r="E54" s="25"/>
      <c r="F54" s="25"/>
      <c r="G54" s="25"/>
      <c r="H54" s="25"/>
      <c r="I54" s="25"/>
      <c r="J54" s="25"/>
      <c r="K54" s="25"/>
      <c r="L54" s="25"/>
      <c r="M54" s="25"/>
      <c r="N54" s="25"/>
      <c r="O54" s="25"/>
      <c r="P54" s="25"/>
      <c r="Q54" s="25"/>
      <c r="R54" s="25"/>
      <c r="S54" s="25"/>
      <c r="T54" s="25"/>
      <c r="U54" s="25"/>
      <c r="V54" s="156" t="s">
        <v>206</v>
      </c>
      <c r="W54" s="25"/>
      <c r="X54" s="5"/>
    </row>
    <row r="55" spans="1:25" ht="15.6" x14ac:dyDescent="0.3">
      <c r="A55" s="24"/>
      <c r="B55" s="25" t="s">
        <v>236</v>
      </c>
      <c r="C55" s="25"/>
      <c r="D55" s="25"/>
      <c r="E55" s="25"/>
      <c r="F55" s="25"/>
      <c r="G55" s="25"/>
      <c r="H55" s="25"/>
      <c r="I55" s="25"/>
      <c r="J55" s="25"/>
      <c r="K55" s="25"/>
      <c r="L55" s="25"/>
      <c r="M55" s="25"/>
      <c r="N55" s="25"/>
      <c r="O55" s="25"/>
      <c r="P55" s="25"/>
      <c r="Q55" s="25"/>
      <c r="R55" s="25"/>
      <c r="S55" s="25"/>
      <c r="T55" s="30"/>
      <c r="U55" s="30"/>
      <c r="V55" s="157" t="s">
        <v>114</v>
      </c>
      <c r="W55" s="25"/>
      <c r="X55" s="5"/>
    </row>
    <row r="56" spans="1:25" ht="15.6" x14ac:dyDescent="0.3">
      <c r="A56" s="24"/>
      <c r="B56" s="29" t="s">
        <v>204</v>
      </c>
      <c r="C56" s="29"/>
      <c r="D56" s="29"/>
      <c r="E56" s="29"/>
      <c r="F56" s="29"/>
      <c r="G56" s="29"/>
      <c r="H56" s="29"/>
      <c r="I56" s="29"/>
      <c r="J56" s="29"/>
      <c r="K56" s="29"/>
      <c r="L56" s="29"/>
      <c r="M56" s="29"/>
      <c r="N56" s="29"/>
      <c r="O56" s="29"/>
      <c r="P56" s="29"/>
      <c r="Q56" s="29"/>
      <c r="R56" s="29"/>
      <c r="S56" s="29"/>
      <c r="T56" s="43"/>
      <c r="U56" s="43"/>
      <c r="V56" s="44">
        <v>39828</v>
      </c>
      <c r="W56" s="25"/>
      <c r="X56" s="5"/>
    </row>
    <row r="57" spans="1:25" ht="15.6" x14ac:dyDescent="0.3">
      <c r="A57" s="24"/>
      <c r="B57" s="25" t="s">
        <v>124</v>
      </c>
      <c r="C57" s="25"/>
      <c r="D57" s="25"/>
      <c r="E57" s="25"/>
      <c r="F57" s="25"/>
      <c r="G57" s="25"/>
      <c r="H57" s="58"/>
      <c r="I57" s="58"/>
      <c r="J57" s="58"/>
      <c r="K57" s="58"/>
      <c r="L57" s="58"/>
      <c r="M57" s="58"/>
      <c r="N57" s="58"/>
      <c r="O57" s="58"/>
      <c r="P57" s="58"/>
      <c r="Q57" s="58"/>
      <c r="R57" s="25">
        <f>+V57-T57+1</f>
        <v>92</v>
      </c>
      <c r="S57" s="58"/>
      <c r="T57" s="45">
        <v>39644</v>
      </c>
      <c r="U57" s="46"/>
      <c r="V57" s="45">
        <v>39735</v>
      </c>
      <c r="W57" s="25"/>
      <c r="X57" s="5"/>
    </row>
    <row r="58" spans="1:25" ht="15.6" x14ac:dyDescent="0.3">
      <c r="A58" s="24"/>
      <c r="B58" s="25" t="s">
        <v>125</v>
      </c>
      <c r="C58" s="25"/>
      <c r="D58" s="25"/>
      <c r="E58" s="25"/>
      <c r="F58" s="25"/>
      <c r="G58" s="25"/>
      <c r="H58" s="25"/>
      <c r="I58" s="25"/>
      <c r="J58" s="25"/>
      <c r="K58" s="25"/>
      <c r="L58" s="25"/>
      <c r="M58" s="25"/>
      <c r="N58" s="25"/>
      <c r="O58" s="25"/>
      <c r="P58" s="25"/>
      <c r="Q58" s="25"/>
      <c r="R58" s="25">
        <f>+V58-T58+1</f>
        <v>92</v>
      </c>
      <c r="S58" s="25"/>
      <c r="T58" s="45">
        <v>39736</v>
      </c>
      <c r="U58" s="46"/>
      <c r="V58" s="45">
        <v>39827</v>
      </c>
      <c r="W58" s="25"/>
      <c r="X58" s="5"/>
    </row>
    <row r="59" spans="1:25" ht="15.6" x14ac:dyDescent="0.3">
      <c r="A59" s="24"/>
      <c r="B59" s="25" t="s">
        <v>235</v>
      </c>
      <c r="C59" s="25"/>
      <c r="D59" s="25"/>
      <c r="E59" s="25"/>
      <c r="F59" s="25"/>
      <c r="G59" s="25"/>
      <c r="H59" s="25"/>
      <c r="I59" s="25"/>
      <c r="J59" s="25"/>
      <c r="K59" s="25"/>
      <c r="L59" s="25"/>
      <c r="M59" s="25"/>
      <c r="N59" s="25"/>
      <c r="O59" s="25"/>
      <c r="P59" s="25"/>
      <c r="Q59" s="25"/>
      <c r="R59" s="25"/>
      <c r="S59" s="25"/>
      <c r="T59" s="45"/>
      <c r="U59" s="46"/>
      <c r="V59" s="45" t="s">
        <v>123</v>
      </c>
      <c r="W59" s="25"/>
      <c r="X59" s="5"/>
    </row>
    <row r="60" spans="1:25" ht="15.6" x14ac:dyDescent="0.3">
      <c r="A60" s="24"/>
      <c r="B60" s="25" t="s">
        <v>234</v>
      </c>
      <c r="C60" s="25"/>
      <c r="D60" s="25"/>
      <c r="E60" s="25"/>
      <c r="F60" s="25"/>
      <c r="G60" s="25"/>
      <c r="H60" s="25"/>
      <c r="I60" s="25"/>
      <c r="J60" s="25"/>
      <c r="K60" s="25"/>
      <c r="L60" s="25"/>
      <c r="M60" s="25"/>
      <c r="N60" s="25"/>
      <c r="O60" s="25"/>
      <c r="P60" s="25"/>
      <c r="Q60" s="25"/>
      <c r="R60" s="25"/>
      <c r="S60" s="25"/>
      <c r="T60" s="45"/>
      <c r="U60" s="46"/>
      <c r="V60" s="45" t="s">
        <v>157</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39815</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293</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95</v>
      </c>
      <c r="M68" s="115"/>
      <c r="N68" s="115" t="s">
        <v>97</v>
      </c>
      <c r="O68" s="115"/>
      <c r="P68" s="115" t="s">
        <v>99</v>
      </c>
      <c r="Q68" s="115"/>
      <c r="R68" s="115" t="s">
        <v>101</v>
      </c>
      <c r="S68" s="115"/>
      <c r="T68" s="115" t="s">
        <v>108</v>
      </c>
      <c r="U68" s="115"/>
      <c r="V68" s="116" t="s">
        <v>115</v>
      </c>
      <c r="W68" s="117"/>
      <c r="X68" s="5"/>
    </row>
    <row r="69" spans="1:24" ht="15.6" x14ac:dyDescent="0.3">
      <c r="A69" s="24"/>
      <c r="B69" s="25" t="s">
        <v>19</v>
      </c>
      <c r="C69" s="34"/>
      <c r="D69" s="34"/>
      <c r="E69" s="34"/>
      <c r="F69" s="34"/>
      <c r="G69" s="34"/>
      <c r="H69" s="34"/>
      <c r="I69" s="34"/>
      <c r="J69" s="34"/>
      <c r="K69" s="34"/>
      <c r="L69" s="34">
        <f>1085286</f>
        <v>1085286</v>
      </c>
      <c r="M69" s="34"/>
      <c r="N69" s="53">
        <v>1190669</v>
      </c>
      <c r="O69" s="34"/>
      <c r="P69" s="34">
        <f>93117+357+1150-1</f>
        <v>94623</v>
      </c>
      <c r="Q69" s="34"/>
      <c r="R69" s="34">
        <f>357+1150</f>
        <v>1507</v>
      </c>
      <c r="S69" s="34"/>
      <c r="T69" s="34">
        <v>0</v>
      </c>
      <c r="U69" s="34"/>
      <c r="V69" s="53">
        <f>+N69-P69+R69-T69</f>
        <v>1097553</v>
      </c>
      <c r="W69" s="25"/>
      <c r="X69" s="5"/>
    </row>
    <row r="70" spans="1:24" ht="15.6" x14ac:dyDescent="0.3">
      <c r="A70" s="24"/>
      <c r="B70" s="25" t="s">
        <v>20</v>
      </c>
      <c r="C70" s="34"/>
      <c r="D70" s="34"/>
      <c r="E70" s="34"/>
      <c r="F70" s="34"/>
      <c r="G70" s="34"/>
      <c r="H70" s="34"/>
      <c r="I70" s="34"/>
      <c r="J70" s="34"/>
      <c r="K70" s="34"/>
      <c r="L70" s="34">
        <v>35</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1085321</v>
      </c>
      <c r="M72" s="34"/>
      <c r="N72" s="54">
        <f>N69+N70</f>
        <v>1190669</v>
      </c>
      <c r="O72" s="34"/>
      <c r="P72" s="34">
        <f>SUM(P69:P71)</f>
        <v>94623</v>
      </c>
      <c r="Q72" s="34"/>
      <c r="R72" s="34">
        <f>SUM(R69:R71)</f>
        <v>1507</v>
      </c>
      <c r="S72" s="34"/>
      <c r="T72" s="34">
        <f>SUM(T69:T71)</f>
        <v>0</v>
      </c>
      <c r="U72" s="34"/>
      <c r="V72" s="54">
        <f>SUM(V69:V71)</f>
        <v>1097553</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120</v>
      </c>
      <c r="C82" s="34"/>
      <c r="D82" s="34"/>
      <c r="E82" s="34"/>
      <c r="F82" s="34"/>
      <c r="G82" s="34"/>
      <c r="H82" s="34"/>
      <c r="I82" s="34"/>
      <c r="J82" s="34"/>
      <c r="K82" s="34"/>
      <c r="L82" s="34">
        <f>414862+7</f>
        <v>414869</v>
      </c>
      <c r="M82" s="34"/>
      <c r="N82" s="34">
        <v>0</v>
      </c>
      <c r="O82" s="34"/>
      <c r="P82" s="34">
        <v>0</v>
      </c>
      <c r="Q82" s="34"/>
      <c r="R82" s="34"/>
      <c r="S82" s="34"/>
      <c r="T82" s="34"/>
      <c r="U82" s="34"/>
      <c r="V82" s="54">
        <f>SUM(N82:R82)</f>
        <v>0</v>
      </c>
      <c r="W82" s="25"/>
      <c r="X82" s="5"/>
    </row>
    <row r="83" spans="1:24" ht="15.6" x14ac:dyDescent="0.3">
      <c r="A83" s="24"/>
      <c r="B83" s="25" t="s">
        <v>149</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1500190</v>
      </c>
      <c r="M85" s="34"/>
      <c r="N85" s="54">
        <f>SUM(N72:N84)</f>
        <v>1190669</v>
      </c>
      <c r="O85" s="34"/>
      <c r="P85" s="34"/>
      <c r="Q85" s="34"/>
      <c r="R85" s="34"/>
      <c r="S85" s="34"/>
      <c r="T85" s="54"/>
      <c r="U85" s="34"/>
      <c r="V85" s="54">
        <f>SUM(V72:V84)</f>
        <v>1097553</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96</v>
      </c>
      <c r="M88" s="17"/>
      <c r="N88" s="158">
        <f>+T198</f>
        <v>39813</v>
      </c>
      <c r="O88" s="17"/>
      <c r="P88" s="17"/>
      <c r="Q88" s="17"/>
      <c r="R88" s="17"/>
      <c r="S88" s="17"/>
      <c r="T88" s="17" t="s">
        <v>109</v>
      </c>
      <c r="U88" s="17"/>
      <c r="V88" s="17" t="s">
        <v>116</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94623+2</f>
        <v>94625</v>
      </c>
      <c r="U90" s="25"/>
      <c r="V90" s="53"/>
      <c r="W90" s="25"/>
      <c r="X90" s="5"/>
    </row>
    <row r="91" spans="1:24" ht="15.6" x14ac:dyDescent="0.3">
      <c r="A91" s="24"/>
      <c r="B91" s="25" t="s">
        <v>219</v>
      </c>
      <c r="C91" s="25"/>
      <c r="D91" s="25"/>
      <c r="E91" s="25"/>
      <c r="F91" s="25"/>
      <c r="G91" s="25"/>
      <c r="H91" s="40"/>
      <c r="I91" s="40"/>
      <c r="J91" s="40"/>
      <c r="K91" s="57"/>
      <c r="L91" s="40"/>
      <c r="M91" s="25"/>
      <c r="N91" s="127"/>
      <c r="O91" s="25"/>
      <c r="P91" s="25"/>
      <c r="Q91" s="25"/>
      <c r="R91" s="25"/>
      <c r="S91" s="25"/>
      <c r="T91" s="34"/>
      <c r="U91" s="25"/>
      <c r="V91" s="53">
        <f>11933+10273-1274-4107+161+38</f>
        <v>17024</v>
      </c>
      <c r="W91" s="25"/>
      <c r="X91" s="5"/>
    </row>
    <row r="92" spans="1:24" ht="15.6" x14ac:dyDescent="0.3">
      <c r="A92" s="24"/>
      <c r="B92" s="25" t="s">
        <v>214</v>
      </c>
      <c r="C92" s="25"/>
      <c r="D92" s="25"/>
      <c r="E92" s="25"/>
      <c r="F92" s="25"/>
      <c r="G92" s="25"/>
      <c r="H92" s="40"/>
      <c r="I92" s="40"/>
      <c r="J92" s="40"/>
      <c r="K92" s="57"/>
      <c r="L92" s="40"/>
      <c r="M92" s="25"/>
      <c r="N92" s="127"/>
      <c r="O92" s="25"/>
      <c r="P92" s="25"/>
      <c r="Q92" s="25"/>
      <c r="R92" s="25"/>
      <c r="S92" s="25"/>
      <c r="T92" s="34"/>
      <c r="U92" s="25"/>
      <c r="V92" s="53">
        <f>245+271</f>
        <v>516</v>
      </c>
      <c r="W92" s="25"/>
      <c r="X92" s="5"/>
    </row>
    <row r="93" spans="1:24" ht="15.6" x14ac:dyDescent="0.3">
      <c r="A93" s="24"/>
      <c r="B93" s="25" t="s">
        <v>215</v>
      </c>
      <c r="C93" s="25"/>
      <c r="D93" s="25"/>
      <c r="E93" s="25"/>
      <c r="F93" s="25"/>
      <c r="G93" s="25"/>
      <c r="H93" s="40"/>
      <c r="I93" s="40"/>
      <c r="J93" s="40"/>
      <c r="K93" s="57"/>
      <c r="L93" s="40"/>
      <c r="M93" s="25"/>
      <c r="N93" s="127"/>
      <c r="O93" s="25"/>
      <c r="P93" s="25"/>
      <c r="Q93" s="25"/>
      <c r="R93" s="25"/>
      <c r="S93" s="25"/>
      <c r="T93" s="34"/>
      <c r="U93" s="25"/>
      <c r="V93" s="53">
        <v>1265</v>
      </c>
      <c r="W93" s="25"/>
      <c r="X93" s="5"/>
    </row>
    <row r="94" spans="1:24" ht="15.6" x14ac:dyDescent="0.3">
      <c r="A94" s="24"/>
      <c r="B94" s="25" t="s">
        <v>277</v>
      </c>
      <c r="C94" s="25"/>
      <c r="D94" s="25"/>
      <c r="E94" s="25"/>
      <c r="F94" s="25"/>
      <c r="G94" s="25"/>
      <c r="H94" s="40"/>
      <c r="I94" s="40"/>
      <c r="J94" s="40"/>
      <c r="K94" s="57"/>
      <c r="L94" s="40"/>
      <c r="M94" s="25"/>
      <c r="N94" s="127"/>
      <c r="O94" s="25"/>
      <c r="P94" s="25"/>
      <c r="Q94" s="25"/>
      <c r="R94" s="25"/>
      <c r="S94" s="25"/>
      <c r="T94" s="34"/>
      <c r="U94" s="25"/>
      <c r="V94" s="53">
        <v>821</v>
      </c>
      <c r="W94" s="25"/>
      <c r="X94" s="5"/>
    </row>
    <row r="95" spans="1:24" ht="15.6" x14ac:dyDescent="0.3">
      <c r="A95" s="24"/>
      <c r="B95" s="25" t="s">
        <v>138</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265</v>
      </c>
      <c r="C96" s="25"/>
      <c r="D96" s="25"/>
      <c r="E96" s="25"/>
      <c r="F96" s="25"/>
      <c r="G96" s="25"/>
      <c r="H96" s="25"/>
      <c r="I96" s="25"/>
      <c r="J96" s="25"/>
      <c r="K96" s="25"/>
      <c r="L96" s="25"/>
      <c r="M96" s="25"/>
      <c r="N96" s="25"/>
      <c r="O96" s="25"/>
      <c r="P96" s="25"/>
      <c r="Q96" s="25"/>
      <c r="R96" s="25"/>
      <c r="S96" s="25"/>
      <c r="T96" s="34"/>
      <c r="U96" s="25"/>
      <c r="V96" s="53">
        <v>2698</v>
      </c>
      <c r="W96" s="25"/>
      <c r="X96" s="5"/>
    </row>
    <row r="97" spans="1:26" ht="15.6" x14ac:dyDescent="0.3">
      <c r="A97" s="24"/>
      <c r="B97" s="25" t="s">
        <v>30</v>
      </c>
      <c r="C97" s="25"/>
      <c r="D97" s="25"/>
      <c r="E97" s="25"/>
      <c r="F97" s="25"/>
      <c r="G97" s="25"/>
      <c r="H97" s="25"/>
      <c r="I97" s="25"/>
      <c r="J97" s="25"/>
      <c r="K97" s="25"/>
      <c r="L97" s="25"/>
      <c r="M97" s="25"/>
      <c r="N97" s="25"/>
      <c r="O97" s="25"/>
      <c r="P97" s="25"/>
      <c r="Q97" s="25"/>
      <c r="R97" s="25"/>
      <c r="S97" s="25"/>
      <c r="T97" s="34">
        <f>SUM(T89:T96)</f>
        <v>94625</v>
      </c>
      <c r="U97" s="25"/>
      <c r="V97" s="54">
        <f>SUM(V89:V96)</f>
        <v>22324</v>
      </c>
      <c r="W97" s="25"/>
      <c r="X97" s="5"/>
    </row>
    <row r="98" spans="1:26" ht="15.6" x14ac:dyDescent="0.3">
      <c r="A98" s="24"/>
      <c r="B98" s="25" t="s">
        <v>164</v>
      </c>
      <c r="C98" s="25"/>
      <c r="D98" s="25"/>
      <c r="E98" s="25"/>
      <c r="F98" s="25"/>
      <c r="G98" s="25"/>
      <c r="H98" s="25"/>
      <c r="I98" s="25"/>
      <c r="J98" s="25"/>
      <c r="K98" s="25"/>
      <c r="L98" s="25"/>
      <c r="M98" s="25"/>
      <c r="N98" s="25"/>
      <c r="O98" s="25"/>
      <c r="P98" s="25"/>
      <c r="Q98" s="25"/>
      <c r="R98" s="25"/>
      <c r="S98" s="25"/>
      <c r="T98" s="34">
        <f>-V98</f>
        <v>-534</v>
      </c>
      <c r="U98" s="25"/>
      <c r="V98" s="54">
        <v>534</v>
      </c>
      <c r="W98" s="25"/>
      <c r="X98" s="5"/>
    </row>
    <row r="99" spans="1:26"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6" ht="15.6" x14ac:dyDescent="0.3">
      <c r="A100" s="24"/>
      <c r="B100" s="25" t="s">
        <v>288</v>
      </c>
      <c r="C100" s="25"/>
      <c r="D100" s="25"/>
      <c r="E100" s="25"/>
      <c r="F100" s="25"/>
      <c r="G100" s="25"/>
      <c r="H100" s="25"/>
      <c r="I100" s="25"/>
      <c r="J100" s="25"/>
      <c r="K100" s="25"/>
      <c r="L100" s="25"/>
      <c r="M100" s="25"/>
      <c r="N100" s="25"/>
      <c r="O100" s="25"/>
      <c r="P100" s="25"/>
      <c r="Q100" s="25"/>
      <c r="R100" s="25"/>
      <c r="S100" s="25"/>
      <c r="T100" s="34"/>
      <c r="U100" s="25"/>
      <c r="V100" s="53">
        <v>16</v>
      </c>
      <c r="W100" s="25"/>
      <c r="X100" s="5"/>
    </row>
    <row r="101" spans="1:26"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94091</v>
      </c>
      <c r="U101" s="25"/>
      <c r="V101" s="54">
        <f>V97+V99+V98+V100</f>
        <v>22874</v>
      </c>
      <c r="W101" s="25"/>
      <c r="X101" s="5"/>
    </row>
    <row r="102" spans="1:26"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6"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6" ht="15.6" x14ac:dyDescent="0.3">
      <c r="A104" s="24">
        <f>+A103+1</f>
        <v>2</v>
      </c>
      <c r="B104" s="25" t="s">
        <v>231</v>
      </c>
      <c r="C104" s="25"/>
      <c r="D104" s="25"/>
      <c r="E104" s="25"/>
      <c r="F104" s="25"/>
      <c r="G104" s="25"/>
      <c r="H104" s="25"/>
      <c r="I104" s="25"/>
      <c r="J104" s="25"/>
      <c r="K104" s="25"/>
      <c r="L104" s="25"/>
      <c r="M104" s="25"/>
      <c r="N104" s="25"/>
      <c r="O104" s="25"/>
      <c r="P104" s="25"/>
      <c r="Q104" s="25"/>
      <c r="R104" s="25"/>
      <c r="S104" s="25"/>
      <c r="T104" s="25"/>
      <c r="U104" s="25"/>
      <c r="V104" s="53">
        <f>-2</f>
        <v>-2</v>
      </c>
      <c r="W104" s="25"/>
      <c r="X104" s="5"/>
    </row>
    <row r="105" spans="1:26" ht="15.6" x14ac:dyDescent="0.3">
      <c r="A105" s="24">
        <f>+A104+1</f>
        <v>3</v>
      </c>
      <c r="B105" s="25" t="s">
        <v>207</v>
      </c>
      <c r="C105" s="25"/>
      <c r="D105" s="25"/>
      <c r="E105" s="25"/>
      <c r="F105" s="25"/>
      <c r="G105" s="25"/>
      <c r="H105" s="25"/>
      <c r="I105" s="25"/>
      <c r="J105" s="25"/>
      <c r="K105" s="25"/>
      <c r="L105" s="25"/>
      <c r="M105" s="25"/>
      <c r="N105" s="25"/>
      <c r="O105" s="25"/>
      <c r="P105" s="25"/>
      <c r="Q105" s="25"/>
      <c r="R105" s="25"/>
      <c r="S105" s="25"/>
      <c r="T105" s="25"/>
      <c r="U105" s="25"/>
      <c r="V105" s="53">
        <f>-451-124-14</f>
        <v>-589</v>
      </c>
      <c r="W105" s="25"/>
      <c r="X105" s="5"/>
    </row>
    <row r="106" spans="1:26" ht="15.6" x14ac:dyDescent="0.3">
      <c r="A106" s="24" t="s">
        <v>130</v>
      </c>
      <c r="B106" s="25" t="s">
        <v>119</v>
      </c>
      <c r="C106" s="25"/>
      <c r="D106" s="25"/>
      <c r="E106" s="25"/>
      <c r="F106" s="25"/>
      <c r="G106" s="25"/>
      <c r="H106" s="25"/>
      <c r="I106" s="25"/>
      <c r="J106" s="25"/>
      <c r="K106" s="25"/>
      <c r="L106" s="25"/>
      <c r="M106" s="25"/>
      <c r="N106" s="25"/>
      <c r="O106" s="25"/>
      <c r="P106" s="25"/>
      <c r="Q106" s="25"/>
      <c r="R106" s="25"/>
      <c r="S106" s="25"/>
      <c r="T106" s="25"/>
      <c r="U106" s="25"/>
      <c r="V106" s="53">
        <v>0</v>
      </c>
      <c r="W106" s="25"/>
      <c r="X106" s="5"/>
    </row>
    <row r="107" spans="1:26" ht="15.6" x14ac:dyDescent="0.3">
      <c r="A107" s="24" t="s">
        <v>131</v>
      </c>
      <c r="B107" s="25" t="s">
        <v>228</v>
      </c>
      <c r="C107" s="25"/>
      <c r="D107" s="25"/>
      <c r="E107" s="25"/>
      <c r="F107" s="25"/>
      <c r="G107" s="25"/>
      <c r="H107" s="25"/>
      <c r="I107" s="25"/>
      <c r="J107" s="25"/>
      <c r="K107" s="25"/>
      <c r="L107" s="25"/>
      <c r="M107" s="25"/>
      <c r="N107" s="25"/>
      <c r="O107" s="25"/>
      <c r="P107" s="25"/>
      <c r="Q107" s="25"/>
      <c r="R107" s="25"/>
      <c r="S107" s="25"/>
      <c r="T107" s="25"/>
      <c r="U107" s="25"/>
      <c r="V107" s="53">
        <f>-16188+1527</f>
        <v>-14661</v>
      </c>
      <c r="W107" s="25"/>
      <c r="X107" s="5"/>
      <c r="Y107" s="109"/>
      <c r="Z107" s="109"/>
    </row>
    <row r="108" spans="1:26" ht="15.6" x14ac:dyDescent="0.3">
      <c r="A108" s="24" t="s">
        <v>153</v>
      </c>
      <c r="B108" s="25" t="s">
        <v>187</v>
      </c>
      <c r="C108" s="25"/>
      <c r="D108" s="25"/>
      <c r="E108" s="25"/>
      <c r="F108" s="25"/>
      <c r="G108" s="25"/>
      <c r="H108" s="25"/>
      <c r="I108" s="25"/>
      <c r="J108" s="25"/>
      <c r="K108" s="25"/>
      <c r="L108" s="25"/>
      <c r="M108" s="25"/>
      <c r="N108" s="25"/>
      <c r="O108" s="25"/>
      <c r="P108" s="25"/>
      <c r="Q108" s="25"/>
      <c r="R108" s="25"/>
      <c r="S108" s="25"/>
      <c r="T108" s="25"/>
      <c r="U108" s="25"/>
      <c r="V108" s="53">
        <v>-1527</v>
      </c>
      <c r="W108" s="25"/>
      <c r="X108" s="5"/>
      <c r="Y108" s="109"/>
    </row>
    <row r="109" spans="1:26" ht="15.6" x14ac:dyDescent="0.3">
      <c r="A109" s="24" t="s">
        <v>266</v>
      </c>
      <c r="B109" s="25" t="s">
        <v>269</v>
      </c>
      <c r="C109" s="25"/>
      <c r="D109" s="25"/>
      <c r="E109" s="25"/>
      <c r="F109" s="25"/>
      <c r="G109" s="25"/>
      <c r="H109" s="25"/>
      <c r="I109" s="25"/>
      <c r="J109" s="25"/>
      <c r="K109" s="25"/>
      <c r="L109" s="25"/>
      <c r="M109" s="25"/>
      <c r="N109" s="25"/>
      <c r="O109" s="25"/>
      <c r="P109" s="25"/>
      <c r="Q109" s="25"/>
      <c r="R109" s="25"/>
      <c r="S109" s="25"/>
      <c r="T109" s="25"/>
      <c r="U109" s="25"/>
      <c r="V109" s="53">
        <v>-2</v>
      </c>
      <c r="W109" s="25"/>
      <c r="X109" s="5"/>
    </row>
    <row r="110" spans="1:26" ht="15.6" x14ac:dyDescent="0.3">
      <c r="A110" s="24" t="s">
        <v>208</v>
      </c>
      <c r="B110" s="25" t="s">
        <v>188</v>
      </c>
      <c r="C110" s="25"/>
      <c r="D110" s="25"/>
      <c r="E110" s="25"/>
      <c r="F110" s="25"/>
      <c r="G110" s="25"/>
      <c r="H110" s="25"/>
      <c r="I110" s="25"/>
      <c r="J110" s="25"/>
      <c r="K110" s="25"/>
      <c r="L110" s="25"/>
      <c r="M110" s="25"/>
      <c r="N110" s="25"/>
      <c r="O110" s="25"/>
      <c r="P110" s="25"/>
      <c r="Q110" s="25"/>
      <c r="R110" s="25"/>
      <c r="S110" s="25"/>
      <c r="T110" s="25"/>
      <c r="U110" s="25"/>
      <c r="V110" s="53">
        <v>-912</v>
      </c>
      <c r="W110" s="25"/>
      <c r="X110" s="5"/>
      <c r="Y110" s="109"/>
    </row>
    <row r="111" spans="1:26" ht="15.6" x14ac:dyDescent="0.3">
      <c r="A111" s="24" t="s">
        <v>209</v>
      </c>
      <c r="B111" s="25" t="s">
        <v>189</v>
      </c>
      <c r="C111" s="25"/>
      <c r="D111" s="25"/>
      <c r="E111" s="25"/>
      <c r="F111" s="25"/>
      <c r="G111" s="25"/>
      <c r="H111" s="25"/>
      <c r="I111" s="25"/>
      <c r="J111" s="25"/>
      <c r="K111" s="25"/>
      <c r="L111" s="25"/>
      <c r="M111" s="25"/>
      <c r="N111" s="25"/>
      <c r="O111" s="25"/>
      <c r="P111" s="25"/>
      <c r="Q111" s="25"/>
      <c r="R111" s="25"/>
      <c r="S111" s="25"/>
      <c r="T111" s="25"/>
      <c r="U111" s="25"/>
      <c r="V111" s="53">
        <f>-1817+912</f>
        <v>-905</v>
      </c>
      <c r="W111" s="25"/>
      <c r="X111" s="5"/>
      <c r="Y111" s="109"/>
    </row>
    <row r="112" spans="1:26" ht="15.6" x14ac:dyDescent="0.3">
      <c r="A112" s="24" t="s">
        <v>210</v>
      </c>
      <c r="B112" s="25" t="s">
        <v>199</v>
      </c>
      <c r="C112" s="25"/>
      <c r="D112" s="25"/>
      <c r="E112" s="25"/>
      <c r="F112" s="25"/>
      <c r="G112" s="25"/>
      <c r="H112" s="25"/>
      <c r="I112" s="25"/>
      <c r="J112" s="25"/>
      <c r="K112" s="25"/>
      <c r="L112" s="25"/>
      <c r="M112" s="25"/>
      <c r="N112" s="25"/>
      <c r="O112" s="25"/>
      <c r="P112" s="25"/>
      <c r="Q112" s="25"/>
      <c r="R112" s="25"/>
      <c r="S112" s="25"/>
      <c r="T112" s="25"/>
      <c r="U112" s="25"/>
      <c r="V112" s="53">
        <v>-908</v>
      </c>
      <c r="W112" s="25"/>
      <c r="X112" s="5"/>
      <c r="Y112" s="109"/>
    </row>
    <row r="113" spans="1:25" ht="15.6" x14ac:dyDescent="0.3">
      <c r="A113" s="24" t="s">
        <v>230</v>
      </c>
      <c r="B113" s="25" t="s">
        <v>229</v>
      </c>
      <c r="C113" s="25"/>
      <c r="D113" s="25"/>
      <c r="E113" s="25"/>
      <c r="F113" s="25"/>
      <c r="G113" s="25"/>
      <c r="H113" s="25"/>
      <c r="I113" s="25"/>
      <c r="J113" s="25"/>
      <c r="K113" s="25"/>
      <c r="L113" s="25"/>
      <c r="M113" s="25"/>
      <c r="N113" s="25"/>
      <c r="O113" s="25"/>
      <c r="P113" s="25"/>
      <c r="Q113" s="25"/>
      <c r="R113" s="25"/>
      <c r="S113" s="25"/>
      <c r="T113" s="25"/>
      <c r="U113" s="25"/>
      <c r="V113" s="53">
        <f>-1125+908</f>
        <v>-217</v>
      </c>
      <c r="W113" s="25"/>
      <c r="X113" s="5"/>
      <c r="Y113" s="109"/>
    </row>
    <row r="114" spans="1:25" ht="15.6" x14ac:dyDescent="0.3">
      <c r="A114" s="24">
        <v>7</v>
      </c>
      <c r="B114" s="25" t="s">
        <v>35</v>
      </c>
      <c r="C114" s="25"/>
      <c r="D114" s="25"/>
      <c r="E114" s="25"/>
      <c r="F114" s="25"/>
      <c r="G114" s="25"/>
      <c r="H114" s="25"/>
      <c r="I114" s="25"/>
      <c r="J114" s="25"/>
      <c r="K114" s="25"/>
      <c r="L114" s="25"/>
      <c r="M114" s="25"/>
      <c r="N114" s="25"/>
      <c r="O114" s="25"/>
      <c r="P114" s="25"/>
      <c r="Q114" s="25"/>
      <c r="R114" s="25"/>
      <c r="S114" s="25"/>
      <c r="T114" s="25"/>
      <c r="U114" s="25"/>
      <c r="V114" s="53">
        <v>-10</v>
      </c>
      <c r="W114" s="25"/>
      <c r="X114" s="5"/>
    </row>
    <row r="115" spans="1:25" ht="15.6" x14ac:dyDescent="0.3">
      <c r="A115" s="24">
        <f t="shared" ref="A115:A121" si="0">+A114+1</f>
        <v>8</v>
      </c>
      <c r="B115" s="25" t="s">
        <v>45</v>
      </c>
      <c r="C115" s="25"/>
      <c r="D115" s="25"/>
      <c r="E115" s="25"/>
      <c r="F115" s="25"/>
      <c r="G115" s="25"/>
      <c r="H115" s="25"/>
      <c r="I115" s="25"/>
      <c r="J115" s="25"/>
      <c r="K115" s="25"/>
      <c r="L115" s="25"/>
      <c r="M115" s="25"/>
      <c r="N115" s="25"/>
      <c r="O115" s="25"/>
      <c r="P115" s="25"/>
      <c r="Q115" s="25"/>
      <c r="R115" s="25"/>
      <c r="S115" s="25"/>
      <c r="T115" s="34">
        <f>-V115</f>
        <v>-2</v>
      </c>
      <c r="U115" s="25"/>
      <c r="V115" s="53">
        <v>2</v>
      </c>
      <c r="W115" s="25"/>
      <c r="X115" s="5"/>
    </row>
    <row r="116" spans="1:25" ht="15.6" x14ac:dyDescent="0.3">
      <c r="A116" s="24">
        <f t="shared" si="0"/>
        <v>9</v>
      </c>
      <c r="B116" s="25" t="s">
        <v>128</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5" ht="15.6" x14ac:dyDescent="0.3">
      <c r="A117" s="24">
        <f t="shared" si="0"/>
        <v>10</v>
      </c>
      <c r="B117" s="25" t="s">
        <v>271</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11</v>
      </c>
      <c r="B118" s="25" t="s">
        <v>36</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12</v>
      </c>
      <c r="B119" s="25" t="s">
        <v>270</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13</v>
      </c>
      <c r="B120" s="25" t="s">
        <v>152</v>
      </c>
      <c r="C120" s="25"/>
      <c r="D120" s="25"/>
      <c r="E120" s="25"/>
      <c r="F120" s="25"/>
      <c r="G120" s="25"/>
      <c r="H120" s="25"/>
      <c r="I120" s="25"/>
      <c r="J120" s="25"/>
      <c r="K120" s="25"/>
      <c r="L120" s="25"/>
      <c r="M120" s="25"/>
      <c r="N120" s="25"/>
      <c r="O120" s="25"/>
      <c r="P120" s="25"/>
      <c r="Q120" s="25"/>
      <c r="R120" s="25"/>
      <c r="S120" s="25"/>
      <c r="T120" s="25"/>
      <c r="U120" s="25"/>
      <c r="V120" s="53">
        <v>-451</v>
      </c>
      <c r="W120" s="25"/>
      <c r="X120" s="5"/>
    </row>
    <row r="121" spans="1:25" ht="15.6" x14ac:dyDescent="0.3">
      <c r="A121" s="24">
        <f t="shared" si="0"/>
        <v>14</v>
      </c>
      <c r="B121" s="25" t="s">
        <v>129</v>
      </c>
      <c r="C121" s="25"/>
      <c r="D121" s="25"/>
      <c r="E121" s="25"/>
      <c r="F121" s="25"/>
      <c r="G121" s="25"/>
      <c r="H121" s="25"/>
      <c r="I121" s="25"/>
      <c r="J121" s="25"/>
      <c r="K121" s="25"/>
      <c r="L121" s="25"/>
      <c r="M121" s="25"/>
      <c r="N121" s="25"/>
      <c r="O121" s="25"/>
      <c r="P121" s="25"/>
      <c r="Q121" s="25"/>
      <c r="R121" s="25"/>
      <c r="S121" s="25"/>
      <c r="T121" s="25"/>
      <c r="U121" s="25"/>
      <c r="V121" s="53">
        <f>-V101-SUM(V103:V120)</f>
        <v>-2692</v>
      </c>
      <c r="W121" s="25"/>
      <c r="X121" s="5"/>
    </row>
    <row r="122" spans="1:25" ht="15.6" x14ac:dyDescent="0.3">
      <c r="A122" s="24"/>
      <c r="B122" s="118" t="s">
        <v>37</v>
      </c>
      <c r="C122" s="25"/>
      <c r="D122" s="25"/>
      <c r="E122" s="25"/>
      <c r="F122" s="25"/>
      <c r="G122" s="25"/>
      <c r="H122" s="25"/>
      <c r="I122" s="25"/>
      <c r="J122" s="25"/>
      <c r="K122" s="25"/>
      <c r="L122" s="25"/>
      <c r="M122" s="25"/>
      <c r="N122" s="25"/>
      <c r="O122" s="25"/>
      <c r="P122" s="25"/>
      <c r="Q122" s="25"/>
      <c r="R122" s="25"/>
      <c r="S122" s="25"/>
      <c r="T122" s="25"/>
      <c r="U122" s="25"/>
      <c r="V122" s="59"/>
      <c r="W122" s="25"/>
      <c r="X122" s="5"/>
    </row>
    <row r="123" spans="1:25" ht="15.6" x14ac:dyDescent="0.3">
      <c r="A123" s="24"/>
      <c r="B123" s="25" t="s">
        <v>176</v>
      </c>
      <c r="C123" s="25"/>
      <c r="D123" s="25"/>
      <c r="E123" s="25"/>
      <c r="F123" s="25"/>
      <c r="G123" s="25"/>
      <c r="H123" s="25"/>
      <c r="I123" s="25"/>
      <c r="J123" s="25"/>
      <c r="K123" s="25"/>
      <c r="L123" s="25"/>
      <c r="M123" s="25"/>
      <c r="N123" s="25"/>
      <c r="O123" s="25"/>
      <c r="P123" s="25"/>
      <c r="Q123" s="25"/>
      <c r="R123" s="25"/>
      <c r="S123" s="25"/>
      <c r="T123" s="34">
        <f>-T182</f>
        <v>-43</v>
      </c>
      <c r="U123" s="34"/>
      <c r="V123" s="53"/>
      <c r="W123" s="25"/>
      <c r="X123" s="5"/>
    </row>
    <row r="124" spans="1:25" ht="15.6" x14ac:dyDescent="0.3">
      <c r="A124" s="24"/>
      <c r="B124" s="25" t="s">
        <v>177</v>
      </c>
      <c r="C124" s="25"/>
      <c r="D124" s="25"/>
      <c r="E124" s="25"/>
      <c r="F124" s="25"/>
      <c r="G124" s="25"/>
      <c r="H124" s="25"/>
      <c r="I124" s="25"/>
      <c r="J124" s="25"/>
      <c r="K124" s="25"/>
      <c r="L124" s="25"/>
      <c r="M124" s="25"/>
      <c r="N124" s="25"/>
      <c r="O124" s="25"/>
      <c r="P124" s="25"/>
      <c r="Q124" s="25"/>
      <c r="R124" s="25"/>
      <c r="S124" s="25"/>
      <c r="T124" s="34">
        <v>-402</v>
      </c>
      <c r="U124" s="34"/>
      <c r="V124" s="53"/>
      <c r="W124" s="25"/>
      <c r="X124" s="5"/>
    </row>
    <row r="125" spans="1:25" ht="15.6" x14ac:dyDescent="0.3">
      <c r="A125" s="24"/>
      <c r="B125" s="25" t="s">
        <v>38</v>
      </c>
      <c r="C125" s="25"/>
      <c r="D125" s="25"/>
      <c r="E125" s="25"/>
      <c r="F125" s="25"/>
      <c r="G125" s="25"/>
      <c r="H125" s="25"/>
      <c r="I125" s="25"/>
      <c r="J125" s="25"/>
      <c r="K125" s="25"/>
      <c r="L125" s="25"/>
      <c r="M125" s="25"/>
      <c r="N125" s="25"/>
      <c r="O125" s="25"/>
      <c r="P125" s="25"/>
      <c r="Q125" s="25"/>
      <c r="R125" s="25"/>
      <c r="S125" s="25"/>
      <c r="T125" s="34">
        <f>-S182</f>
        <v>-528</v>
      </c>
      <c r="U125" s="34"/>
      <c r="V125" s="53"/>
      <c r="W125" s="25"/>
      <c r="X125" s="5"/>
    </row>
    <row r="126" spans="1:25" ht="15.6" x14ac:dyDescent="0.3">
      <c r="A126" s="24"/>
      <c r="B126" s="25" t="s">
        <v>200</v>
      </c>
      <c r="C126" s="25"/>
      <c r="D126" s="25"/>
      <c r="E126" s="25"/>
      <c r="F126" s="25"/>
      <c r="G126" s="25"/>
      <c r="H126" s="25"/>
      <c r="I126" s="25"/>
      <c r="J126" s="25"/>
      <c r="K126" s="25"/>
      <c r="L126" s="25"/>
      <c r="M126" s="25"/>
      <c r="N126" s="25"/>
      <c r="O126" s="25"/>
      <c r="P126" s="25"/>
      <c r="Q126" s="25"/>
      <c r="R126" s="25"/>
      <c r="S126" s="25"/>
      <c r="T126" s="34">
        <v>-56265</v>
      </c>
      <c r="U126" s="34"/>
      <c r="V126" s="53"/>
      <c r="W126" s="25"/>
      <c r="X126" s="5"/>
    </row>
    <row r="127" spans="1:25" ht="15.6" x14ac:dyDescent="0.3">
      <c r="A127" s="24"/>
      <c r="B127" s="25" t="s">
        <v>198</v>
      </c>
      <c r="C127" s="25"/>
      <c r="D127" s="25"/>
      <c r="E127" s="25"/>
      <c r="F127" s="25"/>
      <c r="G127" s="25"/>
      <c r="H127" s="25"/>
      <c r="I127" s="25"/>
      <c r="J127" s="25"/>
      <c r="K127" s="25"/>
      <c r="L127" s="25"/>
      <c r="M127" s="25"/>
      <c r="N127" s="25"/>
      <c r="O127" s="25"/>
      <c r="P127" s="25"/>
      <c r="Q127" s="25"/>
      <c r="R127" s="25"/>
      <c r="S127" s="25"/>
      <c r="T127" s="34">
        <v>-8815</v>
      </c>
      <c r="U127" s="34"/>
      <c r="V127" s="53"/>
      <c r="W127" s="25"/>
      <c r="X127" s="5"/>
    </row>
    <row r="128" spans="1:25" ht="15.6" x14ac:dyDescent="0.3">
      <c r="A128" s="24"/>
      <c r="B128" s="25" t="s">
        <v>197</v>
      </c>
      <c r="C128" s="25"/>
      <c r="D128" s="25"/>
      <c r="E128" s="25"/>
      <c r="F128" s="25"/>
      <c r="G128" s="25"/>
      <c r="H128" s="25"/>
      <c r="I128" s="25"/>
      <c r="J128" s="25"/>
      <c r="K128" s="25"/>
      <c r="L128" s="25"/>
      <c r="M128" s="25"/>
      <c r="N128" s="25"/>
      <c r="O128" s="25"/>
      <c r="P128" s="25"/>
      <c r="Q128" s="25"/>
      <c r="R128" s="25"/>
      <c r="S128" s="25"/>
      <c r="T128" s="34">
        <v>-14908</v>
      </c>
      <c r="U128" s="34"/>
      <c r="V128" s="53"/>
      <c r="W128" s="25"/>
      <c r="X128" s="5"/>
    </row>
    <row r="129" spans="1:24" ht="15.6" x14ac:dyDescent="0.3">
      <c r="A129" s="24"/>
      <c r="B129" s="25" t="s">
        <v>232</v>
      </c>
      <c r="C129" s="25"/>
      <c r="D129" s="25"/>
      <c r="E129" s="25"/>
      <c r="F129" s="25"/>
      <c r="G129" s="25"/>
      <c r="H129" s="25"/>
      <c r="I129" s="25"/>
      <c r="J129" s="25"/>
      <c r="K129" s="25"/>
      <c r="L129" s="25"/>
      <c r="M129" s="25"/>
      <c r="N129" s="25"/>
      <c r="O129" s="25"/>
      <c r="P129" s="25"/>
      <c r="Q129" s="25"/>
      <c r="R129" s="25"/>
      <c r="S129" s="25"/>
      <c r="T129" s="34">
        <v>-13128</v>
      </c>
      <c r="U129" s="34"/>
      <c r="V129" s="53"/>
      <c r="W129" s="25"/>
      <c r="X129" s="5"/>
    </row>
    <row r="130" spans="1:24" ht="15.6" x14ac:dyDescent="0.3">
      <c r="A130" s="24"/>
      <c r="B130" s="25" t="s">
        <v>192</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191</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233</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190</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39</v>
      </c>
      <c r="C134" s="25"/>
      <c r="D134" s="25"/>
      <c r="E134" s="25"/>
      <c r="F134" s="25"/>
      <c r="G134" s="25"/>
      <c r="H134" s="25"/>
      <c r="I134" s="25"/>
      <c r="J134" s="25"/>
      <c r="K134" s="25"/>
      <c r="L134" s="25"/>
      <c r="M134" s="25"/>
      <c r="N134" s="25"/>
      <c r="O134" s="25"/>
      <c r="P134" s="25"/>
      <c r="Q134" s="25"/>
      <c r="R134" s="25"/>
      <c r="S134" s="25"/>
      <c r="T134" s="34">
        <f>SUM(T123:T133)</f>
        <v>-94089</v>
      </c>
      <c r="U134" s="34"/>
      <c r="V134" s="34">
        <f>SUM(V102:V131)</f>
        <v>-22874</v>
      </c>
      <c r="W134" s="25"/>
      <c r="X134" s="5"/>
    </row>
    <row r="135" spans="1:24" ht="15.6" x14ac:dyDescent="0.3">
      <c r="A135" s="24"/>
      <c r="B135" s="25" t="s">
        <v>40</v>
      </c>
      <c r="C135" s="25"/>
      <c r="D135" s="25"/>
      <c r="E135" s="25"/>
      <c r="F135" s="25"/>
      <c r="G135" s="25"/>
      <c r="H135" s="25"/>
      <c r="I135" s="25"/>
      <c r="J135" s="25"/>
      <c r="K135" s="25"/>
      <c r="L135" s="25"/>
      <c r="M135" s="25"/>
      <c r="N135" s="25"/>
      <c r="O135" s="25"/>
      <c r="P135" s="25"/>
      <c r="Q135" s="25"/>
      <c r="R135" s="25"/>
      <c r="S135" s="25"/>
      <c r="T135" s="34">
        <f>T101+T134+T115</f>
        <v>0</v>
      </c>
      <c r="U135" s="34"/>
      <c r="V135" s="34">
        <f>V101+V134</f>
        <v>0</v>
      </c>
      <c r="W135" s="25"/>
      <c r="X135" s="5"/>
    </row>
    <row r="136" spans="1:24" ht="15.6" x14ac:dyDescent="0.3">
      <c r="A136" s="24"/>
      <c r="B136" s="25"/>
      <c r="C136" s="25"/>
      <c r="D136" s="25"/>
      <c r="E136" s="25"/>
      <c r="F136" s="25"/>
      <c r="G136" s="25"/>
      <c r="H136" s="25"/>
      <c r="I136" s="25"/>
      <c r="J136" s="25"/>
      <c r="K136" s="25"/>
      <c r="L136" s="25"/>
      <c r="M136" s="25"/>
      <c r="N136" s="25"/>
      <c r="O136" s="25"/>
      <c r="P136" s="25"/>
      <c r="Q136" s="25"/>
      <c r="R136" s="25"/>
      <c r="S136" s="25"/>
      <c r="T136" s="34"/>
      <c r="U136" s="34"/>
      <c r="V136" s="34"/>
      <c r="W136" s="25"/>
      <c r="X136" s="5"/>
    </row>
    <row r="137" spans="1:24" ht="15.6" x14ac:dyDescent="0.3">
      <c r="A137" s="6"/>
      <c r="B137" s="8"/>
      <c r="C137" s="8"/>
      <c r="D137" s="8"/>
      <c r="E137" s="8"/>
      <c r="F137" s="8"/>
      <c r="G137" s="8"/>
      <c r="H137" s="8"/>
      <c r="I137" s="8"/>
      <c r="J137" s="8"/>
      <c r="K137" s="8"/>
      <c r="L137" s="8"/>
      <c r="M137" s="8"/>
      <c r="N137" s="8"/>
      <c r="O137" s="8"/>
      <c r="P137" s="8"/>
      <c r="Q137" s="8"/>
      <c r="R137" s="8"/>
      <c r="S137" s="8"/>
      <c r="T137" s="8"/>
      <c r="U137" s="8"/>
      <c r="V137" s="52"/>
      <c r="W137" s="8"/>
      <c r="X137" s="5"/>
    </row>
    <row r="138" spans="1:24" ht="18" thickBot="1" x14ac:dyDescent="0.35">
      <c r="A138" s="101"/>
      <c r="B138" s="102" t="str">
        <f>B64</f>
        <v>PM13 INVESTOR REPORT QUARTER ENDING DECEMBER 2008</v>
      </c>
      <c r="C138" s="103"/>
      <c r="D138" s="103"/>
      <c r="E138" s="103"/>
      <c r="F138" s="103"/>
      <c r="G138" s="103"/>
      <c r="H138" s="103"/>
      <c r="I138" s="103"/>
      <c r="J138" s="103"/>
      <c r="K138" s="103"/>
      <c r="L138" s="103"/>
      <c r="M138" s="103"/>
      <c r="N138" s="103"/>
      <c r="O138" s="103"/>
      <c r="P138" s="103"/>
      <c r="Q138" s="103"/>
      <c r="R138" s="103"/>
      <c r="S138" s="103"/>
      <c r="T138" s="103"/>
      <c r="U138" s="103"/>
      <c r="V138" s="106"/>
      <c r="W138" s="105"/>
      <c r="X138" s="5"/>
    </row>
    <row r="139" spans="1:24" ht="15.6" x14ac:dyDescent="0.3">
      <c r="A139" s="2"/>
      <c r="B139" s="60" t="s">
        <v>41</v>
      </c>
      <c r="C139" s="4"/>
      <c r="D139" s="4"/>
      <c r="E139" s="4"/>
      <c r="F139" s="4"/>
      <c r="G139" s="4"/>
      <c r="H139" s="4"/>
      <c r="I139" s="4"/>
      <c r="J139" s="4"/>
      <c r="K139" s="4"/>
      <c r="L139" s="4"/>
      <c r="M139" s="4"/>
      <c r="N139" s="4"/>
      <c r="O139" s="4"/>
      <c r="P139" s="4"/>
      <c r="Q139" s="4"/>
      <c r="R139" s="4"/>
      <c r="S139" s="4"/>
      <c r="T139" s="4"/>
      <c r="U139" s="4"/>
      <c r="V139" s="50"/>
      <c r="W139" s="4"/>
      <c r="X139" s="5"/>
    </row>
    <row r="140" spans="1:24" ht="15.6" x14ac:dyDescent="0.3">
      <c r="A140" s="6"/>
      <c r="B140" s="21"/>
      <c r="C140" s="8"/>
      <c r="D140" s="8"/>
      <c r="E140" s="8"/>
      <c r="F140" s="8"/>
      <c r="G140" s="8"/>
      <c r="H140" s="8"/>
      <c r="I140" s="8"/>
      <c r="J140" s="8"/>
      <c r="K140" s="8"/>
      <c r="L140" s="8"/>
      <c r="M140" s="8"/>
      <c r="N140" s="8"/>
      <c r="O140" s="8"/>
      <c r="P140" s="8"/>
      <c r="Q140" s="8"/>
      <c r="R140" s="8"/>
      <c r="S140" s="8"/>
      <c r="T140" s="8"/>
      <c r="U140" s="8"/>
      <c r="V140" s="52"/>
      <c r="W140" s="8"/>
      <c r="X140" s="5"/>
    </row>
    <row r="141" spans="1:24" ht="15.6" x14ac:dyDescent="0.3">
      <c r="A141" s="6"/>
      <c r="B141" s="119" t="s">
        <v>42</v>
      </c>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24"/>
      <c r="B142" s="25" t="s">
        <v>43</v>
      </c>
      <c r="C142" s="25"/>
      <c r="D142" s="25"/>
      <c r="E142" s="25"/>
      <c r="F142" s="25"/>
      <c r="G142" s="25"/>
      <c r="H142" s="25"/>
      <c r="I142" s="25"/>
      <c r="J142" s="25"/>
      <c r="K142" s="25"/>
      <c r="L142" s="25"/>
      <c r="M142" s="25"/>
      <c r="N142" s="25"/>
      <c r="O142" s="25"/>
      <c r="P142" s="25"/>
      <c r="Q142" s="25"/>
      <c r="R142" s="25"/>
      <c r="S142" s="25"/>
      <c r="T142" s="25"/>
      <c r="U142" s="25"/>
      <c r="V142" s="53">
        <f>+V34*0.019</f>
        <v>28503.61</v>
      </c>
      <c r="W142" s="25"/>
      <c r="X142" s="5"/>
    </row>
    <row r="143" spans="1:24" ht="15.6" x14ac:dyDescent="0.3">
      <c r="A143" s="24"/>
      <c r="B143" s="25" t="s">
        <v>44</v>
      </c>
      <c r="C143" s="25"/>
      <c r="D143" s="25"/>
      <c r="E143" s="25"/>
      <c r="F143" s="25"/>
      <c r="G143" s="25"/>
      <c r="H143" s="25"/>
      <c r="I143" s="25"/>
      <c r="J143" s="25"/>
      <c r="K143" s="25"/>
      <c r="L143" s="25"/>
      <c r="M143" s="25"/>
      <c r="N143" s="25"/>
      <c r="O143" s="25"/>
      <c r="P143" s="25"/>
      <c r="Q143" s="25"/>
      <c r="R143" s="25"/>
      <c r="S143" s="25"/>
      <c r="T143" s="25"/>
      <c r="U143" s="25"/>
      <c r="V143" s="53">
        <v>28504</v>
      </c>
      <c r="W143" s="25"/>
      <c r="X143" s="5"/>
    </row>
    <row r="144" spans="1:24" ht="15.6" x14ac:dyDescent="0.3">
      <c r="A144" s="24"/>
      <c r="B144" s="25" t="s">
        <v>139</v>
      </c>
      <c r="C144" s="25"/>
      <c r="D144" s="25"/>
      <c r="E144" s="25"/>
      <c r="F144" s="25"/>
      <c r="G144" s="25"/>
      <c r="H144" s="25"/>
      <c r="I144" s="25"/>
      <c r="J144" s="25"/>
      <c r="K144" s="25"/>
      <c r="L144" s="25"/>
      <c r="M144" s="25"/>
      <c r="N144" s="25"/>
      <c r="O144" s="25"/>
      <c r="P144" s="25"/>
      <c r="Q144" s="25"/>
      <c r="R144" s="25"/>
      <c r="S144" s="25"/>
      <c r="T144" s="25"/>
      <c r="U144" s="25"/>
      <c r="V144" s="53"/>
      <c r="W144" s="25"/>
      <c r="X144" s="5"/>
    </row>
    <row r="145" spans="1:25" ht="15.6" x14ac:dyDescent="0.3">
      <c r="A145" s="24"/>
      <c r="B145" s="25" t="s">
        <v>126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127</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178</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45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132</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267</v>
      </c>
      <c r="C150" s="25"/>
      <c r="D150" s="25"/>
      <c r="E150" s="25"/>
      <c r="F150" s="25"/>
      <c r="G150" s="25"/>
      <c r="H150" s="25"/>
      <c r="I150" s="25"/>
      <c r="J150" s="25"/>
      <c r="K150" s="25"/>
      <c r="L150" s="25"/>
      <c r="M150" s="25"/>
      <c r="N150" s="25"/>
      <c r="O150" s="25"/>
      <c r="P150" s="25"/>
      <c r="Q150" s="25"/>
      <c r="R150" s="25"/>
      <c r="S150" s="25"/>
      <c r="T150" s="25"/>
      <c r="U150" s="25"/>
      <c r="V150" s="53">
        <v>0</v>
      </c>
      <c r="W150" s="25"/>
      <c r="X150" s="5"/>
      <c r="Y150" s="109"/>
    </row>
    <row r="151" spans="1:25" ht="15.6" x14ac:dyDescent="0.3">
      <c r="A151" s="24"/>
      <c r="B151" s="25" t="s">
        <v>46</v>
      </c>
      <c r="C151" s="25"/>
      <c r="D151" s="25"/>
      <c r="E151" s="25"/>
      <c r="F151" s="25"/>
      <c r="G151" s="25"/>
      <c r="H151" s="25"/>
      <c r="I151" s="25"/>
      <c r="J151" s="25"/>
      <c r="K151" s="25"/>
      <c r="L151" s="25"/>
      <c r="M151" s="25"/>
      <c r="N151" s="25"/>
      <c r="O151" s="25"/>
      <c r="P151" s="25"/>
      <c r="Q151" s="25"/>
      <c r="R151" s="25"/>
      <c r="S151" s="25"/>
      <c r="T151" s="25"/>
      <c r="U151" s="25"/>
      <c r="V151" s="53">
        <f>SUM(V143:V150)</f>
        <v>28504</v>
      </c>
      <c r="W151" s="25"/>
      <c r="X151" s="5"/>
    </row>
    <row r="152" spans="1:25" ht="15.6" x14ac:dyDescent="0.3">
      <c r="A152" s="24"/>
      <c r="B152" s="25"/>
      <c r="C152" s="25"/>
      <c r="D152" s="25"/>
      <c r="E152" s="25"/>
      <c r="F152" s="25"/>
      <c r="G152" s="25"/>
      <c r="H152" s="25"/>
      <c r="I152" s="25"/>
      <c r="J152" s="25"/>
      <c r="K152" s="25"/>
      <c r="L152" s="25"/>
      <c r="M152" s="25"/>
      <c r="N152" s="25"/>
      <c r="O152" s="25"/>
      <c r="P152" s="25"/>
      <c r="Q152" s="25"/>
      <c r="R152" s="25"/>
      <c r="S152" s="25"/>
      <c r="T152" s="25"/>
      <c r="U152" s="25"/>
      <c r="V152" s="53"/>
      <c r="W152" s="25"/>
      <c r="X152" s="5"/>
    </row>
    <row r="153" spans="1:25" ht="15.6" x14ac:dyDescent="0.3">
      <c r="A153" s="24"/>
      <c r="B153" s="138" t="s">
        <v>268</v>
      </c>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25" t="s">
        <v>158</v>
      </c>
      <c r="C154" s="25"/>
      <c r="D154" s="25"/>
      <c r="E154" s="25"/>
      <c r="F154" s="25"/>
      <c r="G154" s="25"/>
      <c r="H154" s="25"/>
      <c r="I154" s="25"/>
      <c r="J154" s="25"/>
      <c r="K154" s="25"/>
      <c r="L154" s="25"/>
      <c r="M154" s="25"/>
      <c r="N154" s="25"/>
      <c r="O154" s="25"/>
      <c r="P154" s="25"/>
      <c r="Q154" s="25"/>
      <c r="R154" s="25"/>
      <c r="S154" s="25"/>
      <c r="T154" s="25"/>
      <c r="U154" s="25"/>
      <c r="V154" s="53">
        <v>15000</v>
      </c>
      <c r="W154" s="25"/>
      <c r="X154" s="5"/>
    </row>
    <row r="155" spans="1:25" ht="15.6" x14ac:dyDescent="0.3">
      <c r="A155" s="24"/>
      <c r="B155" s="25" t="s">
        <v>175</v>
      </c>
      <c r="C155" s="25"/>
      <c r="D155" s="25"/>
      <c r="E155" s="25"/>
      <c r="F155" s="25"/>
      <c r="G155" s="25"/>
      <c r="H155" s="25"/>
      <c r="I155" s="25"/>
      <c r="J155" s="25"/>
      <c r="K155" s="25"/>
      <c r="L155" s="25"/>
      <c r="M155" s="25"/>
      <c r="N155" s="25"/>
      <c r="O155" s="25"/>
      <c r="P155" s="25"/>
      <c r="Q155" s="25"/>
      <c r="R155" s="25"/>
      <c r="S155" s="25"/>
      <c r="T155" s="25"/>
      <c r="U155" s="25"/>
      <c r="V155" s="53">
        <v>0</v>
      </c>
      <c r="W155" s="25"/>
      <c r="X155" s="5"/>
    </row>
    <row r="156" spans="1:25" ht="15.6" x14ac:dyDescent="0.3">
      <c r="A156" s="24"/>
      <c r="B156" s="25" t="s">
        <v>272</v>
      </c>
      <c r="C156" s="25"/>
      <c r="D156" s="25"/>
      <c r="E156" s="25"/>
      <c r="F156" s="25"/>
      <c r="G156" s="25"/>
      <c r="H156" s="25"/>
      <c r="I156" s="25"/>
      <c r="J156" s="25"/>
      <c r="K156" s="25"/>
      <c r="L156" s="25"/>
      <c r="M156" s="25"/>
      <c r="N156" s="25"/>
      <c r="O156" s="25"/>
      <c r="P156" s="25"/>
      <c r="Q156" s="25"/>
      <c r="R156" s="25"/>
      <c r="S156" s="25"/>
      <c r="T156" s="25"/>
      <c r="U156" s="25"/>
      <c r="V156" s="53">
        <v>6000</v>
      </c>
      <c r="W156" s="25"/>
      <c r="X156" s="5"/>
    </row>
    <row r="157" spans="1:25" ht="15.6" x14ac:dyDescent="0.3">
      <c r="A157" s="24"/>
      <c r="B157" s="25"/>
      <c r="C157" s="25"/>
      <c r="D157" s="25"/>
      <c r="E157" s="25"/>
      <c r="F157" s="25"/>
      <c r="G157" s="25"/>
      <c r="H157" s="25"/>
      <c r="I157" s="25"/>
      <c r="J157" s="25"/>
      <c r="K157" s="25"/>
      <c r="L157" s="25"/>
      <c r="M157" s="25"/>
      <c r="N157" s="25"/>
      <c r="O157" s="25"/>
      <c r="P157" s="25"/>
      <c r="Q157" s="25"/>
      <c r="R157" s="25"/>
      <c r="S157" s="25"/>
      <c r="T157" s="25"/>
      <c r="U157" s="25"/>
      <c r="V157" s="53"/>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61"/>
      <c r="W158" s="25"/>
      <c r="X158" s="5"/>
    </row>
    <row r="159" spans="1:25" ht="15.6" x14ac:dyDescent="0.3">
      <c r="A159" s="6"/>
      <c r="B159" s="119" t="s">
        <v>24</v>
      </c>
      <c r="C159" s="8"/>
      <c r="D159" s="8"/>
      <c r="E159" s="8"/>
      <c r="F159" s="8"/>
      <c r="G159" s="8"/>
      <c r="H159" s="8"/>
      <c r="I159" s="8"/>
      <c r="J159" s="8"/>
      <c r="K159" s="8"/>
      <c r="L159" s="8"/>
      <c r="M159" s="8"/>
      <c r="N159" s="8"/>
      <c r="O159" s="8"/>
      <c r="P159" s="8"/>
      <c r="Q159" s="8"/>
      <c r="R159" s="8"/>
      <c r="S159" s="8"/>
      <c r="T159" s="8"/>
      <c r="U159" s="8"/>
      <c r="V159" s="52"/>
      <c r="W159" s="8"/>
      <c r="X159" s="5"/>
    </row>
    <row r="160" spans="1:25" ht="15.6" x14ac:dyDescent="0.3">
      <c r="A160" s="24"/>
      <c r="B160" s="25" t="s">
        <v>47</v>
      </c>
      <c r="C160" s="25"/>
      <c r="D160" s="25"/>
      <c r="E160" s="25"/>
      <c r="F160" s="25"/>
      <c r="G160" s="25"/>
      <c r="H160" s="25"/>
      <c r="I160" s="25"/>
      <c r="J160" s="25"/>
      <c r="K160" s="25"/>
      <c r="L160" s="25"/>
      <c r="M160" s="25"/>
      <c r="N160" s="25"/>
      <c r="O160" s="25"/>
      <c r="P160" s="25"/>
      <c r="Q160" s="25"/>
      <c r="R160" s="25"/>
      <c r="S160" s="25"/>
      <c r="T160" s="25"/>
      <c r="U160" s="25"/>
      <c r="V160" s="59" t="s">
        <v>121</v>
      </c>
      <c r="W160" s="25"/>
      <c r="X160" s="5"/>
    </row>
    <row r="161" spans="1:24" ht="15.6" x14ac:dyDescent="0.3">
      <c r="A161" s="24"/>
      <c r="B161" s="25" t="s">
        <v>48</v>
      </c>
      <c r="C161" s="163"/>
      <c r="D161" s="163"/>
      <c r="E161" s="163"/>
      <c r="F161" s="163"/>
      <c r="G161" s="163"/>
      <c r="H161" s="163"/>
      <c r="I161" s="163"/>
      <c r="J161" s="163"/>
      <c r="K161" s="163"/>
      <c r="L161" s="163"/>
      <c r="M161" s="163"/>
      <c r="N161" s="163"/>
      <c r="O161" s="163"/>
      <c r="P161" s="163"/>
      <c r="Q161" s="163"/>
      <c r="R161" s="163"/>
      <c r="S161" s="163"/>
      <c r="T161" s="163"/>
      <c r="U161" s="163"/>
      <c r="V161" s="59" t="s">
        <v>121</v>
      </c>
      <c r="W161" s="25"/>
      <c r="X161" s="5"/>
    </row>
    <row r="162" spans="1:24" ht="15.6" x14ac:dyDescent="0.3">
      <c r="A162" s="24"/>
      <c r="B162" s="25" t="s">
        <v>49</v>
      </c>
      <c r="C162" s="25"/>
      <c r="D162" s="25"/>
      <c r="E162" s="25"/>
      <c r="F162" s="25"/>
      <c r="G162" s="25"/>
      <c r="H162" s="25"/>
      <c r="I162" s="25"/>
      <c r="J162" s="25"/>
      <c r="K162" s="25"/>
      <c r="L162" s="25"/>
      <c r="M162" s="25"/>
      <c r="N162" s="25"/>
      <c r="O162" s="25"/>
      <c r="P162" s="25"/>
      <c r="Q162" s="25"/>
      <c r="R162" s="25"/>
      <c r="S162" s="25"/>
      <c r="T162" s="25"/>
      <c r="U162" s="25"/>
      <c r="V162" s="59" t="s">
        <v>121</v>
      </c>
      <c r="W162" s="25"/>
      <c r="X162" s="5"/>
    </row>
    <row r="163" spans="1:24" ht="15.6" x14ac:dyDescent="0.3">
      <c r="A163" s="24"/>
      <c r="B163" s="25" t="s">
        <v>50</v>
      </c>
      <c r="C163" s="25"/>
      <c r="D163" s="25"/>
      <c r="E163" s="25"/>
      <c r="F163" s="25"/>
      <c r="G163" s="25"/>
      <c r="H163" s="25"/>
      <c r="I163" s="25"/>
      <c r="J163" s="25"/>
      <c r="K163" s="25"/>
      <c r="L163" s="25"/>
      <c r="M163" s="25"/>
      <c r="N163" s="25"/>
      <c r="O163" s="25"/>
      <c r="P163" s="25"/>
      <c r="Q163" s="25"/>
      <c r="R163" s="25"/>
      <c r="S163" s="25"/>
      <c r="T163" s="25"/>
      <c r="U163" s="25"/>
      <c r="V163" s="59" t="s">
        <v>121</v>
      </c>
      <c r="W163" s="25"/>
      <c r="X163" s="5"/>
    </row>
    <row r="164" spans="1:24" ht="15.6" x14ac:dyDescent="0.3">
      <c r="A164" s="24"/>
      <c r="B164" s="25"/>
      <c r="C164" s="25"/>
      <c r="D164" s="25"/>
      <c r="E164" s="25"/>
      <c r="F164" s="25"/>
      <c r="G164" s="25"/>
      <c r="H164" s="25"/>
      <c r="I164" s="25"/>
      <c r="J164" s="25"/>
      <c r="K164" s="25"/>
      <c r="L164" s="25"/>
      <c r="M164" s="25"/>
      <c r="N164" s="25"/>
      <c r="O164" s="25"/>
      <c r="P164" s="25"/>
      <c r="Q164" s="25"/>
      <c r="R164" s="25"/>
      <c r="S164" s="25"/>
      <c r="T164" s="25"/>
      <c r="U164" s="25"/>
      <c r="V164" s="61"/>
      <c r="W164" s="25"/>
      <c r="X164" s="5"/>
    </row>
    <row r="165" spans="1:24" ht="15.6" x14ac:dyDescent="0.3">
      <c r="A165" s="6"/>
      <c r="B165" s="119" t="s">
        <v>51</v>
      </c>
      <c r="C165" s="8"/>
      <c r="D165" s="8"/>
      <c r="E165" s="8"/>
      <c r="F165" s="8"/>
      <c r="G165" s="8"/>
      <c r="H165" s="8"/>
      <c r="I165" s="8"/>
      <c r="J165" s="8"/>
      <c r="K165" s="8"/>
      <c r="L165" s="8"/>
      <c r="M165" s="8"/>
      <c r="N165" s="8"/>
      <c r="O165" s="8"/>
      <c r="P165" s="8"/>
      <c r="Q165" s="8"/>
      <c r="R165" s="8"/>
      <c r="S165" s="8"/>
      <c r="T165" s="8"/>
      <c r="U165" s="8"/>
      <c r="V165" s="63"/>
      <c r="W165" s="8"/>
      <c r="X165" s="5"/>
    </row>
    <row r="166" spans="1:24" ht="15.6" x14ac:dyDescent="0.3">
      <c r="A166" s="24"/>
      <c r="B166" s="25" t="s">
        <v>52</v>
      </c>
      <c r="C166" s="25"/>
      <c r="D166" s="25"/>
      <c r="E166" s="25"/>
      <c r="F166" s="25"/>
      <c r="G166" s="25"/>
      <c r="H166" s="25"/>
      <c r="I166" s="25"/>
      <c r="J166" s="25"/>
      <c r="K166" s="25"/>
      <c r="L166" s="25"/>
      <c r="M166" s="25"/>
      <c r="N166" s="25"/>
      <c r="O166" s="25"/>
      <c r="P166" s="25"/>
      <c r="Q166" s="25"/>
      <c r="R166" s="25"/>
      <c r="S166" s="25"/>
      <c r="T166" s="25"/>
      <c r="U166" s="25"/>
      <c r="V166" s="53">
        <v>0</v>
      </c>
      <c r="W166" s="25"/>
      <c r="X166" s="5"/>
    </row>
    <row r="167" spans="1:24" ht="15.6" x14ac:dyDescent="0.3">
      <c r="A167" s="24"/>
      <c r="B167" s="25" t="s">
        <v>53</v>
      </c>
      <c r="C167" s="25"/>
      <c r="D167" s="25"/>
      <c r="E167" s="25"/>
      <c r="F167" s="25"/>
      <c r="G167" s="25"/>
      <c r="H167" s="25"/>
      <c r="I167" s="25"/>
      <c r="J167" s="25"/>
      <c r="K167" s="25"/>
      <c r="L167" s="25"/>
      <c r="M167" s="25"/>
      <c r="N167" s="25"/>
      <c r="O167" s="25"/>
      <c r="P167" s="25"/>
      <c r="Q167" s="25"/>
      <c r="R167" s="25"/>
      <c r="S167" s="25"/>
      <c r="T167" s="25"/>
      <c r="U167" s="25"/>
      <c r="V167" s="53">
        <f>T115</f>
        <v>-2</v>
      </c>
      <c r="W167" s="25"/>
      <c r="X167" s="5"/>
    </row>
    <row r="168" spans="1:24" ht="15.6" x14ac:dyDescent="0.3">
      <c r="A168" s="24"/>
      <c r="B168" s="25" t="s">
        <v>54</v>
      </c>
      <c r="C168" s="25"/>
      <c r="D168" s="25"/>
      <c r="E168" s="25"/>
      <c r="F168" s="25"/>
      <c r="G168" s="25"/>
      <c r="H168" s="25"/>
      <c r="I168" s="25"/>
      <c r="J168" s="25"/>
      <c r="K168" s="25"/>
      <c r="L168" s="25"/>
      <c r="M168" s="25"/>
      <c r="N168" s="25"/>
      <c r="O168" s="25"/>
      <c r="P168" s="25"/>
      <c r="Q168" s="25"/>
      <c r="R168" s="25"/>
      <c r="S168" s="25"/>
      <c r="T168" s="25"/>
      <c r="U168" s="25"/>
      <c r="V168" s="53">
        <f>V167+V166</f>
        <v>-2</v>
      </c>
      <c r="W168" s="25"/>
      <c r="X168" s="5"/>
    </row>
    <row r="169" spans="1:24" ht="15.6" x14ac:dyDescent="0.3">
      <c r="A169" s="24"/>
      <c r="B169" s="391" t="s">
        <v>318</v>
      </c>
      <c r="C169" s="25"/>
      <c r="D169" s="25"/>
      <c r="E169" s="25"/>
      <c r="F169" s="25"/>
      <c r="G169" s="25"/>
      <c r="H169" s="25"/>
      <c r="I169" s="25"/>
      <c r="J169" s="25"/>
      <c r="K169" s="25"/>
      <c r="L169" s="25"/>
      <c r="M169" s="25"/>
      <c r="N169" s="25"/>
      <c r="O169" s="25"/>
      <c r="P169" s="25"/>
      <c r="Q169" s="25"/>
      <c r="R169" s="25"/>
      <c r="S169" s="25"/>
      <c r="T169" s="25"/>
      <c r="U169" s="25"/>
      <c r="V169" s="53">
        <f>V115</f>
        <v>2</v>
      </c>
      <c r="W169" s="25"/>
      <c r="X169" s="5"/>
    </row>
    <row r="170" spans="1:24" ht="15.6" x14ac:dyDescent="0.3">
      <c r="A170" s="24"/>
      <c r="B170" s="25" t="s">
        <v>55</v>
      </c>
      <c r="C170" s="25"/>
      <c r="D170" s="25"/>
      <c r="E170" s="25"/>
      <c r="F170" s="25"/>
      <c r="G170" s="25"/>
      <c r="H170" s="25"/>
      <c r="I170" s="25"/>
      <c r="J170" s="25"/>
      <c r="K170" s="25"/>
      <c r="L170" s="25"/>
      <c r="M170" s="25"/>
      <c r="N170" s="25"/>
      <c r="O170" s="25"/>
      <c r="P170" s="25"/>
      <c r="Q170" s="25"/>
      <c r="R170" s="25"/>
      <c r="S170" s="25"/>
      <c r="T170" s="25"/>
      <c r="U170" s="25"/>
      <c r="V170" s="53">
        <f>V168+V169</f>
        <v>0</v>
      </c>
      <c r="W170" s="25"/>
      <c r="X170" s="5"/>
    </row>
    <row r="171" spans="1:24" ht="16.2" thickBot="1" x14ac:dyDescent="0.35">
      <c r="A171" s="24"/>
      <c r="B171" s="25"/>
      <c r="C171" s="25"/>
      <c r="D171" s="25"/>
      <c r="E171" s="25"/>
      <c r="F171" s="25"/>
      <c r="G171" s="25"/>
      <c r="H171" s="25"/>
      <c r="I171" s="25"/>
      <c r="J171" s="25"/>
      <c r="K171" s="25"/>
      <c r="L171" s="25"/>
      <c r="M171" s="25"/>
      <c r="N171" s="25"/>
      <c r="O171" s="25"/>
      <c r="P171" s="25"/>
      <c r="Q171" s="25"/>
      <c r="R171" s="25"/>
      <c r="S171" s="25"/>
      <c r="T171" s="25"/>
      <c r="U171" s="25"/>
      <c r="V171" s="61"/>
      <c r="W171" s="25"/>
      <c r="X171" s="5"/>
    </row>
    <row r="172" spans="1:24" ht="15.6" x14ac:dyDescent="0.3">
      <c r="A172" s="2"/>
      <c r="B172" s="4"/>
      <c r="C172" s="4"/>
      <c r="D172" s="4"/>
      <c r="E172" s="4"/>
      <c r="F172" s="4"/>
      <c r="G172" s="4"/>
      <c r="H172" s="4"/>
      <c r="I172" s="4"/>
      <c r="J172" s="4"/>
      <c r="K172" s="4"/>
      <c r="L172" s="4"/>
      <c r="M172" s="4"/>
      <c r="N172" s="4"/>
      <c r="O172" s="4"/>
      <c r="P172" s="4"/>
      <c r="Q172" s="4"/>
      <c r="R172" s="4"/>
      <c r="S172" s="4"/>
      <c r="T172" s="4"/>
      <c r="U172" s="4"/>
      <c r="V172" s="50"/>
      <c r="W172" s="4"/>
      <c r="X172" s="5"/>
    </row>
    <row r="173" spans="1:24" ht="15.6" x14ac:dyDescent="0.3">
      <c r="A173" s="6"/>
      <c r="B173" s="119" t="s">
        <v>56</v>
      </c>
      <c r="C173" s="8"/>
      <c r="D173" s="8"/>
      <c r="E173" s="8"/>
      <c r="F173" s="8"/>
      <c r="G173" s="8"/>
      <c r="H173" s="8"/>
      <c r="I173" s="8"/>
      <c r="J173" s="8"/>
      <c r="K173" s="8"/>
      <c r="L173" s="8"/>
      <c r="M173" s="8"/>
      <c r="N173" s="8"/>
      <c r="O173" s="8"/>
      <c r="P173" s="8"/>
      <c r="Q173" s="8"/>
      <c r="R173" s="8"/>
      <c r="S173" s="8"/>
      <c r="T173" s="8"/>
      <c r="U173" s="8"/>
      <c r="V173" s="52"/>
      <c r="W173" s="8"/>
      <c r="X173" s="5"/>
    </row>
    <row r="174" spans="1:24" ht="15.6" x14ac:dyDescent="0.3">
      <c r="A174" s="6"/>
      <c r="B174" s="21"/>
      <c r="C174" s="8"/>
      <c r="D174" s="8"/>
      <c r="E174" s="8"/>
      <c r="F174" s="8"/>
      <c r="G174" s="8"/>
      <c r="H174" s="8"/>
      <c r="I174" s="8"/>
      <c r="J174" s="8"/>
      <c r="K174" s="8"/>
      <c r="L174" s="8"/>
      <c r="M174" s="8"/>
      <c r="N174" s="8"/>
      <c r="O174" s="8"/>
      <c r="P174" s="8"/>
      <c r="Q174" s="8"/>
      <c r="R174" s="8"/>
      <c r="S174" s="8"/>
      <c r="T174" s="8"/>
      <c r="U174" s="8"/>
      <c r="V174" s="52"/>
      <c r="W174" s="8"/>
      <c r="X174" s="5"/>
    </row>
    <row r="175" spans="1:24" ht="15.6" x14ac:dyDescent="0.3">
      <c r="A175" s="24"/>
      <c r="B175" s="25" t="s">
        <v>57</v>
      </c>
      <c r="C175" s="25"/>
      <c r="D175" s="25"/>
      <c r="E175" s="25"/>
      <c r="F175" s="25"/>
      <c r="G175" s="25"/>
      <c r="H175" s="25"/>
      <c r="I175" s="25"/>
      <c r="J175" s="25"/>
      <c r="K175" s="25"/>
      <c r="L175" s="25"/>
      <c r="M175" s="25"/>
      <c r="N175" s="25"/>
      <c r="O175" s="25"/>
      <c r="P175" s="25"/>
      <c r="Q175" s="25"/>
      <c r="R175" s="25"/>
      <c r="S175" s="25"/>
      <c r="T175" s="25"/>
      <c r="U175" s="25"/>
      <c r="V175" s="53">
        <f>V72</f>
        <v>1097553</v>
      </c>
      <c r="W175" s="25"/>
      <c r="X175" s="5"/>
    </row>
    <row r="176" spans="1:24" ht="15.6" x14ac:dyDescent="0.3">
      <c r="A176" s="24"/>
      <c r="B176" s="25" t="s">
        <v>58</v>
      </c>
      <c r="C176" s="25"/>
      <c r="D176" s="25"/>
      <c r="E176" s="25"/>
      <c r="F176" s="25"/>
      <c r="G176" s="25"/>
      <c r="H176" s="25"/>
      <c r="I176" s="25"/>
      <c r="J176" s="25"/>
      <c r="K176" s="25"/>
      <c r="L176" s="25"/>
      <c r="M176" s="25"/>
      <c r="N176" s="25"/>
      <c r="O176" s="25"/>
      <c r="P176" s="25"/>
      <c r="Q176" s="25"/>
      <c r="R176" s="25"/>
      <c r="S176" s="25"/>
      <c r="T176" s="25"/>
      <c r="U176" s="25"/>
      <c r="V176" s="53">
        <f>V85</f>
        <v>1097553</v>
      </c>
      <c r="W176" s="25"/>
      <c r="X176" s="5"/>
    </row>
    <row r="177" spans="1:24" ht="16.2" thickBot="1" x14ac:dyDescent="0.35">
      <c r="A177" s="24"/>
      <c r="B177" s="25"/>
      <c r="C177" s="25"/>
      <c r="D177" s="25"/>
      <c r="E177" s="25"/>
      <c r="F177" s="25"/>
      <c r="G177" s="25"/>
      <c r="H177" s="25"/>
      <c r="I177" s="25"/>
      <c r="J177" s="25"/>
      <c r="K177" s="25"/>
      <c r="L177" s="25"/>
      <c r="M177" s="25"/>
      <c r="N177" s="25"/>
      <c r="O177" s="25"/>
      <c r="P177" s="25"/>
      <c r="Q177" s="25"/>
      <c r="R177" s="25"/>
      <c r="S177" s="25"/>
      <c r="T177" s="25"/>
      <c r="U177" s="25"/>
      <c r="V177" s="61"/>
      <c r="W177" s="25"/>
      <c r="X177" s="5"/>
    </row>
    <row r="178" spans="1:24" ht="15.6" x14ac:dyDescent="0.3">
      <c r="A178" s="2"/>
      <c r="B178" s="4"/>
      <c r="C178" s="4"/>
      <c r="D178" s="4"/>
      <c r="E178" s="4"/>
      <c r="F178" s="4"/>
      <c r="G178" s="4"/>
      <c r="H178" s="4"/>
      <c r="I178" s="4"/>
      <c r="J178" s="4"/>
      <c r="K178" s="4"/>
      <c r="L178" s="4"/>
      <c r="M178" s="4"/>
      <c r="N178" s="4"/>
      <c r="O178" s="4"/>
      <c r="P178" s="4"/>
      <c r="Q178" s="4"/>
      <c r="R178" s="4"/>
      <c r="S178" s="4"/>
      <c r="T178" s="4"/>
      <c r="U178" s="4"/>
      <c r="V178" s="50"/>
      <c r="W178" s="4"/>
      <c r="X178" s="5"/>
    </row>
    <row r="179" spans="1:24" ht="15.6" x14ac:dyDescent="0.3">
      <c r="A179" s="6"/>
      <c r="B179" s="119" t="s">
        <v>59</v>
      </c>
      <c r="C179" s="117"/>
      <c r="D179" s="117"/>
      <c r="E179" s="117"/>
      <c r="F179" s="117"/>
      <c r="G179" s="117"/>
      <c r="H179" s="120"/>
      <c r="I179" s="120"/>
      <c r="J179" s="120"/>
      <c r="K179" s="120"/>
      <c r="L179" s="120"/>
      <c r="M179" s="120"/>
      <c r="N179" s="120"/>
      <c r="O179" s="120"/>
      <c r="P179" s="120"/>
      <c r="Q179" s="120"/>
      <c r="R179" s="120"/>
      <c r="S179" s="120" t="s">
        <v>102</v>
      </c>
      <c r="T179" s="120" t="s">
        <v>179</v>
      </c>
      <c r="U179" s="111"/>
      <c r="V179" s="121" t="s">
        <v>117</v>
      </c>
      <c r="W179" s="10"/>
      <c r="X179" s="5"/>
    </row>
    <row r="180" spans="1:24" ht="15.6" x14ac:dyDescent="0.3">
      <c r="A180" s="24"/>
      <c r="B180" s="25" t="s">
        <v>60</v>
      </c>
      <c r="C180" s="25"/>
      <c r="D180" s="25"/>
      <c r="E180" s="25"/>
      <c r="F180" s="25"/>
      <c r="G180" s="25"/>
      <c r="H180" s="25"/>
      <c r="I180" s="25"/>
      <c r="J180" s="25"/>
      <c r="K180" s="25"/>
      <c r="L180" s="25"/>
      <c r="M180" s="25"/>
      <c r="N180" s="25"/>
      <c r="O180" s="25"/>
      <c r="P180" s="25"/>
      <c r="Q180" s="25"/>
      <c r="R180" s="25"/>
      <c r="S180" s="53">
        <f>+V34*0.16</f>
        <v>240030.4</v>
      </c>
      <c r="T180" s="40"/>
      <c r="U180" s="25"/>
      <c r="V180" s="53"/>
      <c r="W180" s="25"/>
      <c r="X180" s="5"/>
    </row>
    <row r="181" spans="1:24" ht="15.6" x14ac:dyDescent="0.3">
      <c r="A181" s="24"/>
      <c r="B181" s="25" t="s">
        <v>61</v>
      </c>
      <c r="C181" s="25"/>
      <c r="D181" s="25"/>
      <c r="E181" s="25"/>
      <c r="F181" s="25"/>
      <c r="G181" s="25"/>
      <c r="H181" s="25"/>
      <c r="I181" s="25"/>
      <c r="J181" s="25"/>
      <c r="K181" s="25"/>
      <c r="L181" s="25"/>
      <c r="M181" s="25"/>
      <c r="N181" s="25"/>
      <c r="O181" s="25"/>
      <c r="P181" s="25"/>
      <c r="Q181" s="25"/>
      <c r="R181" s="25"/>
      <c r="S181" s="53">
        <f>+'September 08'!S183</f>
        <v>38813</v>
      </c>
      <c r="T181" s="53">
        <f>+'September 08'!T183</f>
        <v>8152</v>
      </c>
      <c r="U181" s="25"/>
      <c r="V181" s="53">
        <f>S181+T181</f>
        <v>46965</v>
      </c>
      <c r="W181" s="25"/>
      <c r="X181" s="5"/>
    </row>
    <row r="182" spans="1:24" ht="15.6" x14ac:dyDescent="0.3">
      <c r="A182" s="24"/>
      <c r="B182" s="25" t="s">
        <v>62</v>
      </c>
      <c r="C182" s="25"/>
      <c r="D182" s="25"/>
      <c r="E182" s="25"/>
      <c r="F182" s="25"/>
      <c r="G182" s="25"/>
      <c r="H182" s="25"/>
      <c r="I182" s="25"/>
      <c r="J182" s="25"/>
      <c r="K182" s="25"/>
      <c r="L182" s="25"/>
      <c r="M182" s="25"/>
      <c r="N182" s="25"/>
      <c r="O182" s="25"/>
      <c r="P182" s="25"/>
      <c r="Q182" s="25"/>
      <c r="R182" s="25"/>
      <c r="S182" s="34">
        <f>314+615-401</f>
        <v>528</v>
      </c>
      <c r="T182" s="34">
        <v>43</v>
      </c>
      <c r="U182" s="25"/>
      <c r="V182" s="53">
        <f>S182+T182</f>
        <v>571</v>
      </c>
      <c r="W182" s="25"/>
      <c r="X182" s="5"/>
    </row>
    <row r="183" spans="1:24" ht="15.6" x14ac:dyDescent="0.3">
      <c r="A183" s="24"/>
      <c r="B183" s="25" t="s">
        <v>63</v>
      </c>
      <c r="C183" s="25"/>
      <c r="D183" s="25"/>
      <c r="E183" s="25"/>
      <c r="F183" s="25"/>
      <c r="G183" s="25"/>
      <c r="H183" s="25"/>
      <c r="I183" s="25"/>
      <c r="J183" s="25"/>
      <c r="K183" s="25"/>
      <c r="L183" s="25"/>
      <c r="M183" s="25"/>
      <c r="N183" s="25"/>
      <c r="O183" s="25"/>
      <c r="P183" s="25"/>
      <c r="Q183" s="25"/>
      <c r="R183" s="25"/>
      <c r="S183" s="53">
        <f>S181+S182</f>
        <v>39341</v>
      </c>
      <c r="T183" s="53">
        <f>T182+T181</f>
        <v>8195</v>
      </c>
      <c r="U183" s="25"/>
      <c r="V183" s="53">
        <f>S183+T183</f>
        <v>47536</v>
      </c>
      <c r="W183" s="25"/>
      <c r="X183" s="5"/>
    </row>
    <row r="184" spans="1:24" ht="15.6" x14ac:dyDescent="0.3">
      <c r="A184" s="24"/>
      <c r="B184" s="25" t="s">
        <v>64</v>
      </c>
      <c r="C184" s="25"/>
      <c r="D184" s="25"/>
      <c r="E184" s="25"/>
      <c r="F184" s="25"/>
      <c r="G184" s="25"/>
      <c r="H184" s="25"/>
      <c r="I184" s="25"/>
      <c r="J184" s="25"/>
      <c r="K184" s="25"/>
      <c r="L184" s="25"/>
      <c r="M184" s="25"/>
      <c r="N184" s="25"/>
      <c r="O184" s="25"/>
      <c r="P184" s="25"/>
      <c r="Q184" s="25"/>
      <c r="R184" s="25"/>
      <c r="S184" s="53">
        <f>S180-S183-T183</f>
        <v>192494.4</v>
      </c>
      <c r="T184" s="40"/>
      <c r="U184" s="25"/>
      <c r="V184" s="53"/>
      <c r="W184" s="25"/>
      <c r="X184" s="5"/>
    </row>
    <row r="185" spans="1:24" ht="16.2" thickBot="1" x14ac:dyDescent="0.35">
      <c r="A185" s="24"/>
      <c r="B185" s="25"/>
      <c r="C185" s="25"/>
      <c r="D185" s="25"/>
      <c r="E185" s="25"/>
      <c r="F185" s="25"/>
      <c r="G185" s="25"/>
      <c r="H185" s="25"/>
      <c r="I185" s="25"/>
      <c r="J185" s="25"/>
      <c r="K185" s="25"/>
      <c r="L185" s="25"/>
      <c r="M185" s="25"/>
      <c r="N185" s="25"/>
      <c r="O185" s="25"/>
      <c r="P185" s="25"/>
      <c r="Q185" s="25"/>
      <c r="R185" s="25"/>
      <c r="S185" s="25"/>
      <c r="T185" s="25"/>
      <c r="U185" s="25"/>
      <c r="V185" s="61"/>
      <c r="W185" s="25"/>
      <c r="X185" s="5"/>
    </row>
    <row r="186" spans="1:24" ht="15.6" x14ac:dyDescent="0.3">
      <c r="A186" s="2"/>
      <c r="B186" s="4"/>
      <c r="C186" s="4"/>
      <c r="D186" s="4"/>
      <c r="E186" s="4"/>
      <c r="F186" s="4"/>
      <c r="G186" s="4"/>
      <c r="H186" s="4"/>
      <c r="I186" s="4"/>
      <c r="J186" s="4"/>
      <c r="K186" s="4"/>
      <c r="L186" s="4"/>
      <c r="M186" s="4"/>
      <c r="N186" s="4"/>
      <c r="O186" s="4"/>
      <c r="P186" s="4"/>
      <c r="Q186" s="4"/>
      <c r="R186" s="4"/>
      <c r="S186" s="4"/>
      <c r="T186" s="4"/>
      <c r="U186" s="4"/>
      <c r="V186" s="50"/>
      <c r="W186" s="4"/>
      <c r="X186" s="5"/>
    </row>
    <row r="187" spans="1:24" ht="15.6" x14ac:dyDescent="0.3">
      <c r="A187" s="6"/>
      <c r="B187" s="119" t="s">
        <v>65</v>
      </c>
      <c r="C187" s="8"/>
      <c r="D187" s="8"/>
      <c r="E187" s="8"/>
      <c r="F187" s="8"/>
      <c r="G187" s="8"/>
      <c r="H187" s="8"/>
      <c r="I187" s="8"/>
      <c r="J187" s="8"/>
      <c r="K187" s="8"/>
      <c r="L187" s="8"/>
      <c r="M187" s="8"/>
      <c r="N187" s="8"/>
      <c r="O187" s="8"/>
      <c r="P187" s="8"/>
      <c r="Q187" s="8"/>
      <c r="R187" s="8"/>
      <c r="S187" s="8"/>
      <c r="T187" s="8"/>
      <c r="U187" s="8"/>
      <c r="V187" s="65"/>
      <c r="W187" s="8"/>
      <c r="X187" s="5"/>
    </row>
    <row r="188" spans="1:24" ht="15.6" x14ac:dyDescent="0.3">
      <c r="A188" s="24"/>
      <c r="B188" s="25" t="s">
        <v>66</v>
      </c>
      <c r="C188" s="25"/>
      <c r="D188" s="25"/>
      <c r="E188" s="25"/>
      <c r="F188" s="25"/>
      <c r="G188" s="25"/>
      <c r="H188" s="25"/>
      <c r="I188" s="25"/>
      <c r="J188" s="25"/>
      <c r="K188" s="25"/>
      <c r="L188" s="25"/>
      <c r="M188" s="25"/>
      <c r="N188" s="25"/>
      <c r="O188" s="25"/>
      <c r="P188" s="25"/>
      <c r="Q188" s="25"/>
      <c r="R188" s="25"/>
      <c r="S188" s="25"/>
      <c r="T188" s="25"/>
      <c r="U188" s="25"/>
      <c r="V188" s="59">
        <f>(V101+V103+V104+V105+V106)/-(V107+V108)</f>
        <v>1.3765134667655052</v>
      </c>
      <c r="W188" s="25" t="s">
        <v>118</v>
      </c>
      <c r="X188" s="5"/>
    </row>
    <row r="189" spans="1:24" ht="15.6" x14ac:dyDescent="0.3">
      <c r="A189" s="24"/>
      <c r="B189" s="25" t="s">
        <v>67</v>
      </c>
      <c r="C189" s="25"/>
      <c r="D189" s="25"/>
      <c r="E189" s="25"/>
      <c r="F189" s="25"/>
      <c r="G189" s="25"/>
      <c r="H189" s="25"/>
      <c r="I189" s="25"/>
      <c r="J189" s="25"/>
      <c r="K189" s="25"/>
      <c r="L189" s="25"/>
      <c r="M189" s="25"/>
      <c r="N189" s="25"/>
      <c r="O189" s="25"/>
      <c r="P189" s="25"/>
      <c r="Q189" s="25"/>
      <c r="R189" s="25"/>
      <c r="S189" s="25"/>
      <c r="T189" s="25"/>
      <c r="U189" s="25"/>
      <c r="V189" s="66">
        <v>1.37</v>
      </c>
      <c r="W189" s="25" t="s">
        <v>118</v>
      </c>
      <c r="X189" s="5"/>
    </row>
    <row r="190" spans="1:24" ht="15.6" x14ac:dyDescent="0.3">
      <c r="A190" s="24"/>
      <c r="B190" s="25" t="s">
        <v>68</v>
      </c>
      <c r="C190" s="25"/>
      <c r="D190" s="25"/>
      <c r="E190" s="25"/>
      <c r="F190" s="25"/>
      <c r="G190" s="25"/>
      <c r="H190" s="25"/>
      <c r="I190" s="25"/>
      <c r="J190" s="25"/>
      <c r="K190" s="25"/>
      <c r="L190" s="25"/>
      <c r="M190" s="25"/>
      <c r="N190" s="25"/>
      <c r="O190" s="25"/>
      <c r="P190" s="25"/>
      <c r="Q190" s="25"/>
      <c r="R190" s="25"/>
      <c r="S190" s="25"/>
      <c r="T190" s="25"/>
      <c r="U190" s="25"/>
      <c r="V190" s="59">
        <f>(V101+V103+V104+V105+V106+V107+V108)/-(V110+V111)</f>
        <v>3.3544303797468356</v>
      </c>
      <c r="W190" s="25" t="s">
        <v>118</v>
      </c>
      <c r="X190" s="5"/>
    </row>
    <row r="191" spans="1:24" ht="15.6" x14ac:dyDescent="0.3">
      <c r="A191" s="24"/>
      <c r="B191" s="25" t="s">
        <v>69</v>
      </c>
      <c r="C191" s="25"/>
      <c r="D191" s="25"/>
      <c r="E191" s="25"/>
      <c r="F191" s="25"/>
      <c r="G191" s="25"/>
      <c r="H191" s="25"/>
      <c r="I191" s="25"/>
      <c r="J191" s="25"/>
      <c r="K191" s="25"/>
      <c r="L191" s="25"/>
      <c r="M191" s="25"/>
      <c r="N191" s="25"/>
      <c r="O191" s="25"/>
      <c r="P191" s="25"/>
      <c r="Q191" s="25"/>
      <c r="R191" s="25"/>
      <c r="S191" s="25"/>
      <c r="T191" s="25"/>
      <c r="U191" s="25"/>
      <c r="V191" s="66">
        <v>3.85</v>
      </c>
      <c r="W191" s="25" t="s">
        <v>118</v>
      </c>
      <c r="X191" s="5"/>
    </row>
    <row r="192" spans="1:24" ht="15.6" x14ac:dyDescent="0.3">
      <c r="A192" s="24"/>
      <c r="B192" s="25" t="s">
        <v>201</v>
      </c>
      <c r="C192" s="25"/>
      <c r="D192" s="25"/>
      <c r="E192" s="25"/>
      <c r="F192" s="25"/>
      <c r="G192" s="25"/>
      <c r="H192" s="25"/>
      <c r="I192" s="25"/>
      <c r="J192" s="25"/>
      <c r="K192" s="25"/>
      <c r="L192" s="25"/>
      <c r="M192" s="25"/>
      <c r="N192" s="25"/>
      <c r="O192" s="25"/>
      <c r="P192" s="25"/>
      <c r="Q192" s="25"/>
      <c r="R192" s="25"/>
      <c r="S192" s="25"/>
      <c r="T192" s="25"/>
      <c r="U192" s="25"/>
      <c r="V192" s="59">
        <f>(V101+V103+V104+V105+V106+V107+V108+V110+V111)/-(V112+V113)</f>
        <v>3.8026666666666666</v>
      </c>
      <c r="W192" s="25" t="s">
        <v>118</v>
      </c>
      <c r="X192" s="5"/>
    </row>
    <row r="193" spans="1:24" ht="15.6" x14ac:dyDescent="0.3">
      <c r="A193" s="24"/>
      <c r="B193" s="25" t="s">
        <v>202</v>
      </c>
      <c r="C193" s="25"/>
      <c r="D193" s="25"/>
      <c r="E193" s="25"/>
      <c r="F193" s="25"/>
      <c r="G193" s="25"/>
      <c r="H193" s="25"/>
      <c r="I193" s="25"/>
      <c r="J193" s="25"/>
      <c r="K193" s="25"/>
      <c r="L193" s="25"/>
      <c r="M193" s="25"/>
      <c r="N193" s="25"/>
      <c r="O193" s="25"/>
      <c r="P193" s="25"/>
      <c r="Q193" s="25"/>
      <c r="R193" s="25"/>
      <c r="S193" s="25"/>
      <c r="T193" s="25"/>
      <c r="U193" s="25"/>
      <c r="V193" s="66">
        <v>4.59</v>
      </c>
      <c r="W193" s="25" t="s">
        <v>118</v>
      </c>
      <c r="X193" s="5"/>
    </row>
    <row r="194" spans="1:24" ht="15.6" x14ac:dyDescent="0.3">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5"/>
    </row>
    <row r="195" spans="1:24" ht="15.6" x14ac:dyDescent="0.3">
      <c r="A195" s="24"/>
      <c r="B195" s="25"/>
      <c r="C195" s="25"/>
      <c r="D195" s="25"/>
      <c r="E195" s="25"/>
      <c r="F195" s="25"/>
      <c r="G195" s="25"/>
      <c r="H195" s="25"/>
      <c r="I195" s="25"/>
      <c r="J195" s="25"/>
      <c r="K195" s="25"/>
      <c r="L195" s="25"/>
      <c r="M195" s="25"/>
      <c r="N195" s="25"/>
      <c r="O195" s="25"/>
      <c r="P195" s="25"/>
      <c r="Q195" s="25"/>
      <c r="R195" s="25"/>
      <c r="S195" s="25"/>
      <c r="T195" s="25"/>
      <c r="U195" s="25"/>
      <c r="V195" s="25"/>
      <c r="W195" s="25"/>
      <c r="X195" s="5"/>
    </row>
    <row r="196" spans="1:24" ht="15.6" x14ac:dyDescent="0.3">
      <c r="A196" s="6"/>
      <c r="B196" s="8"/>
      <c r="C196" s="8"/>
      <c r="D196" s="8"/>
      <c r="E196" s="8"/>
      <c r="F196" s="8"/>
      <c r="G196" s="8"/>
      <c r="H196" s="8"/>
      <c r="I196" s="8"/>
      <c r="J196" s="8"/>
      <c r="K196" s="8"/>
      <c r="L196" s="8"/>
      <c r="M196" s="8"/>
      <c r="N196" s="8"/>
      <c r="O196" s="8"/>
      <c r="P196" s="8"/>
      <c r="Q196" s="8"/>
      <c r="R196" s="8"/>
      <c r="S196" s="8"/>
      <c r="T196" s="8"/>
      <c r="U196" s="8"/>
      <c r="V196" s="8"/>
      <c r="W196" s="8"/>
      <c r="X196" s="5"/>
    </row>
    <row r="197" spans="1:24" ht="18" thickBot="1" x14ac:dyDescent="0.35">
      <c r="A197" s="101"/>
      <c r="B197" s="102" t="str">
        <f>B138</f>
        <v>PM13 INVESTOR REPORT QUARTER ENDING DECEMBER 2008</v>
      </c>
      <c r="C197" s="165"/>
      <c r="D197" s="165"/>
      <c r="E197" s="165"/>
      <c r="F197" s="165"/>
      <c r="G197" s="165"/>
      <c r="H197" s="165"/>
      <c r="I197" s="165"/>
      <c r="J197" s="165"/>
      <c r="K197" s="165"/>
      <c r="L197" s="165"/>
      <c r="M197" s="165"/>
      <c r="N197" s="165"/>
      <c r="O197" s="165"/>
      <c r="P197" s="165"/>
      <c r="Q197" s="165"/>
      <c r="R197" s="165"/>
      <c r="S197" s="165"/>
      <c r="T197" s="165"/>
      <c r="U197" s="165"/>
      <c r="V197" s="165"/>
      <c r="W197" s="166"/>
      <c r="X197" s="5"/>
    </row>
    <row r="198" spans="1:24" ht="15.6" x14ac:dyDescent="0.3">
      <c r="A198" s="67"/>
      <c r="B198" s="60" t="s">
        <v>70</v>
      </c>
      <c r="C198" s="68"/>
      <c r="D198" s="68"/>
      <c r="E198" s="68"/>
      <c r="F198" s="68"/>
      <c r="G198" s="69"/>
      <c r="H198" s="69"/>
      <c r="I198" s="69"/>
      <c r="J198" s="69"/>
      <c r="K198" s="69"/>
      <c r="L198" s="69"/>
      <c r="M198" s="69"/>
      <c r="N198" s="69"/>
      <c r="O198" s="69"/>
      <c r="P198" s="69"/>
      <c r="Q198" s="69"/>
      <c r="R198" s="69"/>
      <c r="S198" s="69"/>
      <c r="T198" s="70">
        <v>39813</v>
      </c>
      <c r="U198" s="4"/>
      <c r="V198" s="4"/>
      <c r="W198" s="4"/>
      <c r="X198" s="5"/>
    </row>
    <row r="199" spans="1:24" ht="15.6" x14ac:dyDescent="0.3">
      <c r="A199" s="71"/>
      <c r="B199" s="72"/>
      <c r="C199" s="73"/>
      <c r="D199" s="73"/>
      <c r="E199" s="73"/>
      <c r="F199" s="73"/>
      <c r="G199" s="74"/>
      <c r="H199" s="74"/>
      <c r="I199" s="74"/>
      <c r="J199" s="74"/>
      <c r="K199" s="74"/>
      <c r="L199" s="74"/>
      <c r="M199" s="74"/>
      <c r="N199" s="74"/>
      <c r="O199" s="74"/>
      <c r="P199" s="74"/>
      <c r="Q199" s="74"/>
      <c r="R199" s="74"/>
      <c r="S199" s="74"/>
      <c r="T199" s="74"/>
      <c r="U199" s="8"/>
      <c r="V199" s="8"/>
      <c r="W199" s="8"/>
      <c r="X199" s="5"/>
    </row>
    <row r="200" spans="1:24" ht="15.6" x14ac:dyDescent="0.3">
      <c r="A200" s="75"/>
      <c r="B200" s="76" t="s">
        <v>71</v>
      </c>
      <c r="C200" s="77"/>
      <c r="D200" s="77"/>
      <c r="E200" s="77"/>
      <c r="F200" s="77"/>
      <c r="G200" s="64"/>
      <c r="H200" s="64"/>
      <c r="I200" s="64"/>
      <c r="J200" s="64"/>
      <c r="K200" s="64"/>
      <c r="L200" s="64"/>
      <c r="M200" s="64"/>
      <c r="N200" s="64"/>
      <c r="O200" s="64"/>
      <c r="P200" s="64"/>
      <c r="Q200" s="64"/>
      <c r="R200" s="64"/>
      <c r="S200" s="64"/>
      <c r="T200" s="78">
        <v>5.4539999999999998E-2</v>
      </c>
      <c r="U200" s="25"/>
      <c r="V200" s="25"/>
      <c r="W200" s="25"/>
      <c r="X200" s="5"/>
    </row>
    <row r="201" spans="1:24" ht="15.6" x14ac:dyDescent="0.3">
      <c r="A201" s="75"/>
      <c r="B201" s="76" t="s">
        <v>154</v>
      </c>
      <c r="C201" s="77"/>
      <c r="D201" s="77"/>
      <c r="E201" s="77"/>
      <c r="F201" s="77"/>
      <c r="G201" s="64"/>
      <c r="H201" s="64"/>
      <c r="I201" s="64"/>
      <c r="J201" s="64"/>
      <c r="K201" s="64"/>
      <c r="L201" s="64"/>
      <c r="M201" s="64"/>
      <c r="N201" s="64"/>
      <c r="O201" s="64"/>
      <c r="P201" s="64"/>
      <c r="Q201" s="64"/>
      <c r="R201" s="64"/>
      <c r="S201" s="64"/>
      <c r="T201" s="39">
        <f>'Dec 06'!T199</f>
        <v>5.238600504269459E-2</v>
      </c>
      <c r="U201" s="25"/>
      <c r="V201" s="25"/>
      <c r="W201" s="25"/>
      <c r="X201" s="5"/>
    </row>
    <row r="202" spans="1:24" ht="15.6" x14ac:dyDescent="0.3">
      <c r="A202" s="75"/>
      <c r="B202" s="76" t="s">
        <v>72</v>
      </c>
      <c r="C202" s="77"/>
      <c r="D202" s="77"/>
      <c r="E202" s="77"/>
      <c r="F202" s="77"/>
      <c r="G202" s="64"/>
      <c r="H202" s="64"/>
      <c r="I202" s="64"/>
      <c r="J202" s="64"/>
      <c r="K202" s="64"/>
      <c r="L202" s="64"/>
      <c r="M202" s="64"/>
      <c r="N202" s="64"/>
      <c r="O202" s="64"/>
      <c r="P202" s="64"/>
      <c r="Q202" s="64"/>
      <c r="R202" s="64"/>
      <c r="S202" s="64"/>
      <c r="T202" s="78">
        <f>+T200-T201</f>
        <v>2.1539949573054079E-3</v>
      </c>
      <c r="U202" s="25"/>
      <c r="V202" s="25"/>
      <c r="W202" s="25"/>
      <c r="X202" s="5"/>
    </row>
    <row r="203" spans="1:24" ht="15.6" x14ac:dyDescent="0.3">
      <c r="A203" s="75"/>
      <c r="B203" s="76" t="s">
        <v>73</v>
      </c>
      <c r="C203" s="77"/>
      <c r="D203" s="77"/>
      <c r="E203" s="77"/>
      <c r="F203" s="77"/>
      <c r="G203" s="64"/>
      <c r="H203" s="64"/>
      <c r="I203" s="64"/>
      <c r="J203" s="64"/>
      <c r="K203" s="64"/>
      <c r="L203" s="64"/>
      <c r="M203" s="64"/>
      <c r="N203" s="64"/>
      <c r="O203" s="64"/>
      <c r="P203" s="64"/>
      <c r="Q203" s="64"/>
      <c r="R203" s="64"/>
      <c r="S203" s="64"/>
      <c r="T203" s="78">
        <v>5.9389999999999998E-2</v>
      </c>
      <c r="U203" s="25"/>
      <c r="V203" s="25"/>
      <c r="W203" s="25"/>
      <c r="X203" s="5"/>
    </row>
    <row r="204" spans="1:24" ht="15.6" x14ac:dyDescent="0.3">
      <c r="A204" s="75"/>
      <c r="B204" s="76" t="s">
        <v>222</v>
      </c>
      <c r="C204" s="77"/>
      <c r="D204" s="77"/>
      <c r="E204" s="77"/>
      <c r="F204" s="77"/>
      <c r="G204" s="64"/>
      <c r="H204" s="64"/>
      <c r="I204" s="64"/>
      <c r="J204" s="64"/>
      <c r="K204" s="64"/>
      <c r="L204" s="64"/>
      <c r="M204" s="64"/>
      <c r="N204" s="64"/>
      <c r="O204" s="64"/>
      <c r="P204" s="64"/>
      <c r="Q204" s="64"/>
      <c r="R204" s="64"/>
      <c r="S204" s="64"/>
      <c r="T204" s="78">
        <f>V43</f>
        <v>6.3742700710172823E-2</v>
      </c>
      <c r="U204" s="25"/>
      <c r="V204" s="25"/>
      <c r="W204" s="25"/>
      <c r="X204" s="5"/>
    </row>
    <row r="205" spans="1:24" ht="15.6" x14ac:dyDescent="0.3">
      <c r="A205" s="75"/>
      <c r="B205" s="76" t="s">
        <v>74</v>
      </c>
      <c r="C205" s="77"/>
      <c r="D205" s="77"/>
      <c r="E205" s="77"/>
      <c r="F205" s="77"/>
      <c r="G205" s="64"/>
      <c r="H205" s="64"/>
      <c r="I205" s="64"/>
      <c r="J205" s="64"/>
      <c r="K205" s="64"/>
      <c r="L205" s="64"/>
      <c r="M205" s="64"/>
      <c r="N205" s="64"/>
      <c r="O205" s="64"/>
      <c r="P205" s="64"/>
      <c r="Q205" s="64"/>
      <c r="R205" s="64"/>
      <c r="S205" s="64"/>
      <c r="T205" s="78">
        <f>T203-T204</f>
        <v>-4.3527007101728243E-3</v>
      </c>
      <c r="U205" s="25"/>
      <c r="V205" s="25"/>
      <c r="W205" s="25"/>
      <c r="X205" s="5"/>
    </row>
    <row r="206" spans="1:24" ht="15.6" x14ac:dyDescent="0.3">
      <c r="A206" s="75"/>
      <c r="B206" s="76" t="s">
        <v>274</v>
      </c>
      <c r="C206" s="77"/>
      <c r="D206" s="77"/>
      <c r="E206" s="77"/>
      <c r="F206" s="77"/>
      <c r="G206" s="64"/>
      <c r="H206" s="64"/>
      <c r="I206" s="64"/>
      <c r="J206" s="64"/>
      <c r="K206" s="64"/>
      <c r="L206" s="64"/>
      <c r="M206" s="64"/>
      <c r="N206" s="64"/>
      <c r="O206" s="64"/>
      <c r="P206" s="64"/>
      <c r="Q206" s="64"/>
      <c r="R206" s="64"/>
      <c r="S206" s="64"/>
      <c r="T206" s="78">
        <f>+V101/N72</f>
        <v>1.9211048578572216E-2</v>
      </c>
      <c r="U206" s="25"/>
      <c r="V206" s="25"/>
      <c r="W206" s="25"/>
      <c r="X206" s="5"/>
    </row>
    <row r="207" spans="1:24" ht="15.6" x14ac:dyDescent="0.3">
      <c r="A207" s="75"/>
      <c r="B207" s="76" t="s">
        <v>211</v>
      </c>
      <c r="C207" s="77"/>
      <c r="D207" s="77"/>
      <c r="E207" s="77"/>
      <c r="F207" s="77"/>
      <c r="G207" s="64"/>
      <c r="H207" s="64"/>
      <c r="I207" s="64"/>
      <c r="J207" s="64"/>
      <c r="K207" s="64"/>
      <c r="L207" s="64"/>
      <c r="M207" s="64"/>
      <c r="N207" s="64"/>
      <c r="O207" s="64"/>
      <c r="P207" s="64"/>
      <c r="Q207" s="64"/>
      <c r="R207" s="64"/>
      <c r="S207" s="64"/>
      <c r="T207" s="129">
        <v>50771</v>
      </c>
      <c r="U207" s="25"/>
      <c r="V207" s="25"/>
      <c r="W207" s="25"/>
      <c r="X207" s="5"/>
    </row>
    <row r="208" spans="1:24" ht="15.6" x14ac:dyDescent="0.3">
      <c r="A208" s="75"/>
      <c r="B208" s="76" t="s">
        <v>212</v>
      </c>
      <c r="C208" s="77"/>
      <c r="D208" s="77"/>
      <c r="E208" s="77"/>
      <c r="F208" s="77"/>
      <c r="G208" s="64"/>
      <c r="H208" s="64"/>
      <c r="I208" s="64"/>
      <c r="J208" s="64"/>
      <c r="K208" s="64"/>
      <c r="L208" s="64"/>
      <c r="M208" s="64"/>
      <c r="N208" s="64"/>
      <c r="O208" s="64"/>
      <c r="P208" s="64"/>
      <c r="Q208" s="64"/>
      <c r="R208" s="64"/>
      <c r="S208" s="64"/>
      <c r="T208" s="129">
        <v>50771</v>
      </c>
      <c r="U208" s="25"/>
      <c r="V208" s="25"/>
      <c r="W208" s="25"/>
      <c r="X208" s="5"/>
    </row>
    <row r="209" spans="1:24" ht="15.6" x14ac:dyDescent="0.3">
      <c r="A209" s="75"/>
      <c r="B209" s="76" t="s">
        <v>213</v>
      </c>
      <c r="C209" s="77"/>
      <c r="D209" s="77"/>
      <c r="E209" s="77"/>
      <c r="F209" s="77"/>
      <c r="G209" s="64"/>
      <c r="H209" s="64"/>
      <c r="I209" s="64"/>
      <c r="J209" s="64"/>
      <c r="K209" s="64"/>
      <c r="L209" s="64"/>
      <c r="M209" s="64"/>
      <c r="N209" s="64"/>
      <c r="O209" s="64"/>
      <c r="P209" s="64"/>
      <c r="Q209" s="64"/>
      <c r="R209" s="64"/>
      <c r="S209" s="64"/>
      <c r="T209" s="129">
        <v>50771</v>
      </c>
      <c r="U209" s="25"/>
      <c r="V209" s="25"/>
      <c r="W209" s="25"/>
      <c r="X209" s="5"/>
    </row>
    <row r="210" spans="1:24" ht="15.6" x14ac:dyDescent="0.3">
      <c r="A210" s="75"/>
      <c r="B210" s="76" t="s">
        <v>75</v>
      </c>
      <c r="C210" s="77"/>
      <c r="D210" s="77"/>
      <c r="E210" s="77"/>
      <c r="F210" s="77"/>
      <c r="G210" s="64"/>
      <c r="H210" s="64"/>
      <c r="I210" s="64"/>
      <c r="J210" s="64"/>
      <c r="K210" s="64"/>
      <c r="L210" s="64"/>
      <c r="M210" s="64"/>
      <c r="N210" s="64"/>
      <c r="O210" s="64"/>
      <c r="P210" s="64"/>
      <c r="Q210" s="64"/>
      <c r="R210" s="64"/>
      <c r="S210" s="64"/>
      <c r="T210" s="133">
        <v>20.66</v>
      </c>
      <c r="U210" s="25" t="s">
        <v>113</v>
      </c>
      <c r="V210" s="25"/>
      <c r="W210" s="25"/>
      <c r="X210" s="5"/>
    </row>
    <row r="211" spans="1:24" ht="15.6" x14ac:dyDescent="0.3">
      <c r="A211" s="75"/>
      <c r="B211" s="76" t="s">
        <v>76</v>
      </c>
      <c r="C211" s="77"/>
      <c r="D211" s="77"/>
      <c r="E211" s="77"/>
      <c r="F211" s="77"/>
      <c r="G211" s="64"/>
      <c r="H211" s="64"/>
      <c r="I211" s="64"/>
      <c r="J211" s="64"/>
      <c r="K211" s="64"/>
      <c r="L211" s="64"/>
      <c r="M211" s="64"/>
      <c r="N211" s="64"/>
      <c r="O211" s="64"/>
      <c r="P211" s="64"/>
      <c r="Q211" s="64"/>
      <c r="R211" s="64"/>
      <c r="S211" s="64"/>
      <c r="T211" s="133">
        <v>18.72</v>
      </c>
      <c r="U211" s="25" t="s">
        <v>113</v>
      </c>
      <c r="V211" s="25"/>
      <c r="W211" s="25"/>
      <c r="X211" s="5"/>
    </row>
    <row r="212" spans="1:24" ht="15.6" x14ac:dyDescent="0.3">
      <c r="A212" s="75"/>
      <c r="B212" s="76" t="s">
        <v>77</v>
      </c>
      <c r="C212" s="77"/>
      <c r="D212" s="77"/>
      <c r="E212" s="77"/>
      <c r="F212" s="77"/>
      <c r="G212" s="64"/>
      <c r="H212" s="64"/>
      <c r="I212" s="64"/>
      <c r="J212" s="64"/>
      <c r="K212" s="64"/>
      <c r="L212" s="64"/>
      <c r="M212" s="64"/>
      <c r="N212" s="64"/>
      <c r="O212" s="64"/>
      <c r="P212" s="64"/>
      <c r="Q212" s="64"/>
      <c r="R212" s="64"/>
      <c r="S212" s="64"/>
      <c r="T212" s="78">
        <f>+P69/N69</f>
        <v>7.9470448966085447E-2</v>
      </c>
      <c r="U212" s="25"/>
      <c r="V212" s="25"/>
      <c r="W212" s="25"/>
      <c r="X212" s="5"/>
    </row>
    <row r="213" spans="1:24" ht="15.6" x14ac:dyDescent="0.3">
      <c r="A213" s="75"/>
      <c r="B213" s="76" t="s">
        <v>78</v>
      </c>
      <c r="C213" s="77"/>
      <c r="D213" s="77"/>
      <c r="E213" s="77"/>
      <c r="F213" s="77"/>
      <c r="G213" s="64"/>
      <c r="H213" s="64"/>
      <c r="I213" s="64"/>
      <c r="J213" s="64"/>
      <c r="K213" s="64"/>
      <c r="L213" s="64"/>
      <c r="M213" s="64"/>
      <c r="N213" s="64"/>
      <c r="O213" s="64"/>
      <c r="P213" s="64"/>
      <c r="Q213" s="64"/>
      <c r="R213" s="64"/>
      <c r="S213" s="64"/>
      <c r="T213" s="78">
        <v>0.15210000000000001</v>
      </c>
      <c r="U213" s="25"/>
      <c r="V213" s="25"/>
      <c r="W213" s="25"/>
      <c r="X213" s="5"/>
    </row>
    <row r="214" spans="1:24" ht="15.6" x14ac:dyDescent="0.3">
      <c r="A214" s="75"/>
      <c r="B214" s="76"/>
      <c r="C214" s="76"/>
      <c r="D214" s="76"/>
      <c r="E214" s="76"/>
      <c r="F214" s="76"/>
      <c r="G214" s="25"/>
      <c r="H214" s="25"/>
      <c r="I214" s="25"/>
      <c r="J214" s="25"/>
      <c r="K214" s="25"/>
      <c r="L214" s="25"/>
      <c r="M214" s="25"/>
      <c r="N214" s="25"/>
      <c r="O214" s="25"/>
      <c r="P214" s="25"/>
      <c r="Q214" s="25"/>
      <c r="R214" s="25"/>
      <c r="S214" s="25"/>
      <c r="T214" s="61"/>
      <c r="U214" s="25"/>
      <c r="V214" s="79"/>
      <c r="W214" s="25"/>
      <c r="X214" s="5"/>
    </row>
    <row r="215" spans="1:24" ht="15.6" x14ac:dyDescent="0.3">
      <c r="A215" s="80"/>
      <c r="B215" s="14" t="s">
        <v>79</v>
      </c>
      <c r="C215" s="81"/>
      <c r="D215" s="81"/>
      <c r="E215" s="81"/>
      <c r="F215" s="82"/>
      <c r="G215" s="81"/>
      <c r="H215" s="17"/>
      <c r="I215" s="17"/>
      <c r="J215" s="17"/>
      <c r="K215" s="17"/>
      <c r="L215" s="17"/>
      <c r="M215" s="17"/>
      <c r="N215" s="17"/>
      <c r="O215" s="17"/>
      <c r="P215" s="17"/>
      <c r="Q215" s="17"/>
      <c r="R215" s="17"/>
      <c r="S215" s="17" t="s">
        <v>103</v>
      </c>
      <c r="T215" s="83" t="s">
        <v>110</v>
      </c>
      <c r="U215" s="8"/>
      <c r="V215" s="8"/>
      <c r="W215" s="8"/>
      <c r="X215" s="5"/>
    </row>
    <row r="216" spans="1:24" ht="15.6" x14ac:dyDescent="0.3">
      <c r="A216" s="84"/>
      <c r="B216" s="76" t="s">
        <v>80</v>
      </c>
      <c r="C216" s="54"/>
      <c r="D216" s="54"/>
      <c r="E216" s="54"/>
      <c r="F216" s="25"/>
      <c r="G216" s="25"/>
      <c r="H216" s="30"/>
      <c r="I216" s="30"/>
      <c r="J216" s="30"/>
      <c r="K216" s="30"/>
      <c r="L216" s="30"/>
      <c r="M216" s="30"/>
      <c r="N216" s="30"/>
      <c r="O216" s="30"/>
      <c r="P216" s="30"/>
      <c r="Q216" s="30"/>
      <c r="R216" s="30"/>
      <c r="S216" s="30">
        <v>2</v>
      </c>
      <c r="T216" s="85">
        <v>199</v>
      </c>
      <c r="U216" s="25"/>
      <c r="V216" s="79"/>
      <c r="W216" s="86"/>
      <c r="X216" s="5"/>
    </row>
    <row r="217" spans="1:24" ht="15.6" x14ac:dyDescent="0.3">
      <c r="A217" s="84"/>
      <c r="B217" s="76" t="s">
        <v>148</v>
      </c>
      <c r="C217" s="54"/>
      <c r="D217" s="54"/>
      <c r="E217" s="54"/>
      <c r="F217" s="25"/>
      <c r="G217" s="25"/>
      <c r="H217" s="30"/>
      <c r="I217" s="30"/>
      <c r="J217" s="30"/>
      <c r="K217" s="30"/>
      <c r="L217" s="30"/>
      <c r="M217" s="30"/>
      <c r="N217" s="30"/>
      <c r="O217" s="30"/>
      <c r="P217" s="30"/>
      <c r="Q217" s="30"/>
      <c r="R217" s="30"/>
      <c r="S217" s="152">
        <f>+R257</f>
        <v>249</v>
      </c>
      <c r="T217" s="85">
        <f>+T257</f>
        <v>32983</v>
      </c>
      <c r="U217" s="25"/>
      <c r="V217" s="79"/>
      <c r="W217" s="86"/>
      <c r="X217" s="5"/>
    </row>
    <row r="218" spans="1:24" ht="15.6" x14ac:dyDescent="0.3">
      <c r="A218" s="84"/>
      <c r="B218" s="76" t="s">
        <v>81</v>
      </c>
      <c r="C218" s="54"/>
      <c r="D218" s="54"/>
      <c r="E218" s="54"/>
      <c r="F218" s="25"/>
      <c r="G218" s="25"/>
      <c r="H218" s="30"/>
      <c r="I218" s="30"/>
      <c r="J218" s="30"/>
      <c r="K218" s="30"/>
      <c r="L218" s="30"/>
      <c r="M218" s="30"/>
      <c r="N218" s="30"/>
      <c r="O218" s="30"/>
      <c r="P218" s="30"/>
      <c r="Q218" s="30"/>
      <c r="R218" s="30"/>
      <c r="S218" s="152">
        <f>+R269</f>
        <v>1</v>
      </c>
      <c r="T218" s="85">
        <f>+T269</f>
        <v>162</v>
      </c>
      <c r="U218" s="25"/>
      <c r="V218" s="79"/>
      <c r="W218" s="86"/>
      <c r="X218" s="5"/>
    </row>
    <row r="219" spans="1:24" ht="15.6" x14ac:dyDescent="0.3">
      <c r="A219" s="84"/>
      <c r="B219" s="122" t="s">
        <v>82</v>
      </c>
      <c r="C219" s="54"/>
      <c r="D219" s="54"/>
      <c r="E219" s="54"/>
      <c r="F219" s="25"/>
      <c r="G219" s="25"/>
      <c r="H219" s="25"/>
      <c r="I219" s="25"/>
      <c r="J219" s="25"/>
      <c r="K219" s="25"/>
      <c r="L219" s="25"/>
      <c r="M219" s="25"/>
      <c r="N219" s="25"/>
      <c r="O219" s="25"/>
      <c r="P219" s="25"/>
      <c r="Q219" s="25"/>
      <c r="R219" s="25"/>
      <c r="S219" s="25"/>
      <c r="T219" s="85">
        <v>0</v>
      </c>
      <c r="U219" s="25"/>
      <c r="V219" s="79"/>
      <c r="W219" s="86"/>
      <c r="X219" s="5"/>
    </row>
    <row r="220" spans="1:24" ht="15.6" x14ac:dyDescent="0.3">
      <c r="A220" s="84"/>
      <c r="B220" s="122" t="s">
        <v>275</v>
      </c>
      <c r="C220" s="54"/>
      <c r="D220" s="54"/>
      <c r="E220" s="54"/>
      <c r="F220" s="25"/>
      <c r="G220" s="25"/>
      <c r="H220" s="25"/>
      <c r="I220" s="25"/>
      <c r="J220" s="25"/>
      <c r="K220" s="25"/>
      <c r="L220" s="25"/>
      <c r="M220" s="25"/>
      <c r="N220" s="25"/>
      <c r="O220" s="25"/>
      <c r="P220" s="25"/>
      <c r="Q220" s="25"/>
      <c r="R220" s="25"/>
      <c r="S220" s="25"/>
      <c r="T220" s="85">
        <f>+N82</f>
        <v>0</v>
      </c>
      <c r="U220" s="25"/>
      <c r="V220" s="79"/>
      <c r="W220" s="86"/>
      <c r="X220" s="5"/>
    </row>
    <row r="221" spans="1:24" ht="15.6" x14ac:dyDescent="0.3">
      <c r="A221" s="87"/>
      <c r="B221" s="122" t="s">
        <v>83</v>
      </c>
      <c r="C221" s="76"/>
      <c r="D221" s="76"/>
      <c r="E221" s="76"/>
      <c r="F221" s="76"/>
      <c r="G221" s="25"/>
      <c r="H221" s="25"/>
      <c r="I221" s="25"/>
      <c r="J221" s="25"/>
      <c r="K221" s="25"/>
      <c r="L221" s="25"/>
      <c r="M221" s="25"/>
      <c r="N221" s="25"/>
      <c r="O221" s="25"/>
      <c r="P221" s="25"/>
      <c r="Q221" s="25"/>
      <c r="R221" s="25"/>
      <c r="S221" s="25"/>
      <c r="T221" s="85"/>
      <c r="U221" s="25"/>
      <c r="V221" s="79"/>
      <c r="W221" s="88"/>
      <c r="X221" s="5"/>
    </row>
    <row r="222" spans="1:24" ht="15.6" x14ac:dyDescent="0.3">
      <c r="A222" s="87"/>
      <c r="B222" s="131" t="s">
        <v>84</v>
      </c>
      <c r="C222" s="76"/>
      <c r="D222" s="76"/>
      <c r="E222" s="76"/>
      <c r="F222" s="76"/>
      <c r="G222" s="25"/>
      <c r="H222" s="25"/>
      <c r="I222" s="25"/>
      <c r="J222" s="25"/>
      <c r="K222" s="25"/>
      <c r="L222" s="25"/>
      <c r="M222" s="25"/>
      <c r="N222" s="25"/>
      <c r="O222" s="25"/>
      <c r="P222" s="25"/>
      <c r="Q222" s="25"/>
      <c r="R222" s="25"/>
      <c r="S222" s="30"/>
      <c r="T222" s="85">
        <f>V167</f>
        <v>-2</v>
      </c>
      <c r="U222" s="25"/>
      <c r="V222" s="79"/>
      <c r="W222" s="88"/>
      <c r="X222" s="5"/>
    </row>
    <row r="223" spans="1:24" ht="15.6" x14ac:dyDescent="0.3">
      <c r="A223" s="84"/>
      <c r="B223" s="76" t="s">
        <v>85</v>
      </c>
      <c r="C223" s="54"/>
      <c r="D223" s="54"/>
      <c r="E223" s="54"/>
      <c r="F223" s="54"/>
      <c r="G223" s="25"/>
      <c r="H223" s="25"/>
      <c r="I223" s="25"/>
      <c r="J223" s="25"/>
      <c r="K223" s="25"/>
      <c r="L223" s="25"/>
      <c r="M223" s="25"/>
      <c r="N223" s="25"/>
      <c r="O223" s="25"/>
      <c r="P223" s="25"/>
      <c r="Q223" s="25"/>
      <c r="R223" s="25"/>
      <c r="S223" s="30"/>
      <c r="T223" s="85">
        <f>'September 08'!T223+T222</f>
        <v>3</v>
      </c>
      <c r="U223" s="25"/>
      <c r="V223" s="79"/>
      <c r="W223" s="88"/>
      <c r="X223" s="5"/>
    </row>
    <row r="224" spans="1:24" ht="15.6" x14ac:dyDescent="0.3">
      <c r="A224" s="87"/>
      <c r="B224" s="122" t="s">
        <v>297</v>
      </c>
      <c r="C224" s="76"/>
      <c r="D224" s="76"/>
      <c r="E224" s="76"/>
      <c r="F224" s="76"/>
      <c r="G224" s="25"/>
      <c r="H224" s="25"/>
      <c r="I224" s="25"/>
      <c r="J224" s="25"/>
      <c r="K224" s="25"/>
      <c r="L224" s="25"/>
      <c r="M224" s="25"/>
      <c r="N224" s="25"/>
      <c r="O224" s="25"/>
      <c r="P224" s="25"/>
      <c r="Q224" s="25"/>
      <c r="R224" s="25"/>
      <c r="S224" s="30"/>
      <c r="T224" s="85"/>
      <c r="U224" s="25"/>
      <c r="V224" s="79"/>
      <c r="W224" s="88"/>
      <c r="X224" s="5"/>
    </row>
    <row r="225" spans="1:25" ht="15.6" x14ac:dyDescent="0.3">
      <c r="A225" s="87"/>
      <c r="B225" s="76" t="s">
        <v>295</v>
      </c>
      <c r="C225" s="76"/>
      <c r="D225" s="76"/>
      <c r="E225" s="76"/>
      <c r="F225" s="76"/>
      <c r="G225" s="25"/>
      <c r="H225" s="25"/>
      <c r="I225" s="25"/>
      <c r="J225" s="25"/>
      <c r="K225" s="25"/>
      <c r="L225" s="25"/>
      <c r="M225" s="25"/>
      <c r="N225" s="25"/>
      <c r="O225" s="25"/>
      <c r="P225" s="25"/>
      <c r="Q225" s="25"/>
      <c r="R225" s="25"/>
      <c r="S225" s="30">
        <v>0</v>
      </c>
      <c r="T225" s="85">
        <v>0</v>
      </c>
      <c r="U225" s="25"/>
      <c r="V225" s="79"/>
      <c r="W225" s="88"/>
      <c r="X225" s="5"/>
    </row>
    <row r="226" spans="1:25" ht="15.6" x14ac:dyDescent="0.3">
      <c r="A226" s="84"/>
      <c r="B226" s="76" t="s">
        <v>87</v>
      </c>
      <c r="C226" s="89"/>
      <c r="D226" s="89"/>
      <c r="E226" s="89"/>
      <c r="F226" s="90"/>
      <c r="G226" s="25"/>
      <c r="H226" s="25"/>
      <c r="I226" s="25"/>
      <c r="J226" s="25"/>
      <c r="K226" s="25"/>
      <c r="L226" s="25"/>
      <c r="M226" s="25"/>
      <c r="N226" s="25"/>
      <c r="O226" s="25"/>
      <c r="P226" s="25"/>
      <c r="Q226" s="25"/>
      <c r="R226" s="25"/>
      <c r="S226" s="25"/>
      <c r="T226" s="62">
        <v>0</v>
      </c>
      <c r="U226" s="25"/>
      <c r="V226" s="79"/>
      <c r="W226" s="88"/>
      <c r="X226" s="5"/>
    </row>
    <row r="227" spans="1:25" ht="15.6" x14ac:dyDescent="0.3">
      <c r="A227" s="84"/>
      <c r="B227" s="76" t="s">
        <v>88</v>
      </c>
      <c r="C227" s="89"/>
      <c r="D227" s="89"/>
      <c r="E227" s="89"/>
      <c r="F227" s="90"/>
      <c r="G227" s="25"/>
      <c r="H227" s="25"/>
      <c r="I227" s="25"/>
      <c r="J227" s="25"/>
      <c r="K227" s="25"/>
      <c r="L227" s="25"/>
      <c r="M227" s="25"/>
      <c r="N227" s="25"/>
      <c r="O227" s="25"/>
      <c r="P227" s="25"/>
      <c r="Q227" s="25"/>
      <c r="R227" s="25"/>
      <c r="S227" s="25"/>
      <c r="T227" s="62">
        <v>0</v>
      </c>
      <c r="U227" s="25"/>
      <c r="V227" s="79"/>
      <c r="W227" s="88"/>
      <c r="X227" s="5"/>
    </row>
    <row r="228" spans="1:25" ht="15.6" x14ac:dyDescent="0.3">
      <c r="A228" s="84"/>
      <c r="B228" s="122" t="s">
        <v>220</v>
      </c>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5.6" x14ac:dyDescent="0.3">
      <c r="A229" s="84"/>
      <c r="B229" s="76" t="s">
        <v>295</v>
      </c>
      <c r="C229" s="89"/>
      <c r="D229" s="89"/>
      <c r="E229" s="89"/>
      <c r="F229" s="90"/>
      <c r="G229" s="25"/>
      <c r="H229" s="25"/>
      <c r="I229" s="25"/>
      <c r="J229" s="25"/>
      <c r="K229" s="25"/>
      <c r="L229" s="25"/>
      <c r="M229" s="25"/>
      <c r="N229" s="25"/>
      <c r="O229" s="25"/>
      <c r="P229" s="25"/>
      <c r="Q229" s="25"/>
      <c r="R229" s="25"/>
      <c r="S229" s="30">
        <v>0</v>
      </c>
      <c r="T229" s="85">
        <v>0</v>
      </c>
      <c r="U229" s="25"/>
      <c r="V229" s="79"/>
      <c r="W229" s="88"/>
      <c r="X229" s="5"/>
    </row>
    <row r="230" spans="1:25" ht="15.6" x14ac:dyDescent="0.3">
      <c r="A230" s="84"/>
      <c r="B230" s="76" t="s">
        <v>221</v>
      </c>
      <c r="C230" s="89"/>
      <c r="D230" s="89"/>
      <c r="E230" s="89"/>
      <c r="F230" s="90"/>
      <c r="G230" s="25"/>
      <c r="H230" s="25"/>
      <c r="I230" s="25"/>
      <c r="J230" s="25"/>
      <c r="K230" s="25"/>
      <c r="L230" s="25"/>
      <c r="M230" s="25"/>
      <c r="N230" s="25"/>
      <c r="O230" s="25"/>
      <c r="P230" s="25"/>
      <c r="Q230" s="25"/>
      <c r="R230" s="25"/>
      <c r="S230" s="25"/>
      <c r="T230" s="62">
        <v>0</v>
      </c>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7.399999999999999" x14ac:dyDescent="0.3">
      <c r="A233" s="84"/>
      <c r="B233" s="149" t="s">
        <v>171</v>
      </c>
      <c r="C233" s="89"/>
      <c r="D233" s="89"/>
      <c r="E233" s="89"/>
      <c r="F233" s="90"/>
      <c r="G233" s="25"/>
      <c r="H233" s="25"/>
      <c r="I233" s="25"/>
      <c r="J233" s="25"/>
      <c r="K233" s="25"/>
      <c r="L233" s="25"/>
      <c r="M233" s="25"/>
      <c r="N233" s="25"/>
      <c r="O233" s="25"/>
      <c r="P233" s="150" t="s">
        <v>170</v>
      </c>
      <c r="Q233" s="25"/>
      <c r="R233" s="25"/>
      <c r="S233" s="25"/>
      <c r="T233" s="91"/>
      <c r="U233" s="25"/>
      <c r="V233" s="79"/>
      <c r="W233" s="88"/>
      <c r="X233" s="5"/>
    </row>
    <row r="234" spans="1:25" ht="15.6" x14ac:dyDescent="0.3">
      <c r="A234" s="84"/>
      <c r="B234" s="76"/>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5" ht="15.6" x14ac:dyDescent="0.3">
      <c r="A235" s="6"/>
      <c r="B235" s="14" t="s">
        <v>165</v>
      </c>
      <c r="C235" s="81"/>
      <c r="D235" s="81"/>
      <c r="E235" s="81"/>
      <c r="F235" s="82"/>
      <c r="G235" s="81"/>
      <c r="H235" s="17"/>
      <c r="I235" s="17"/>
      <c r="J235" s="17"/>
      <c r="K235" s="17"/>
      <c r="L235" s="17"/>
      <c r="M235" s="17"/>
      <c r="N235" s="17"/>
      <c r="O235" s="17"/>
      <c r="P235" s="17"/>
      <c r="Q235" s="17"/>
      <c r="R235" s="83" t="s">
        <v>103</v>
      </c>
      <c r="S235" s="17" t="s">
        <v>104</v>
      </c>
      <c r="T235" s="83" t="s">
        <v>111</v>
      </c>
      <c r="U235" s="17" t="s">
        <v>104</v>
      </c>
      <c r="V235" s="8"/>
      <c r="W235" s="92"/>
      <c r="X235" s="5"/>
    </row>
    <row r="236" spans="1:25" ht="15.6" x14ac:dyDescent="0.3">
      <c r="A236" s="24"/>
      <c r="B236" s="54" t="s">
        <v>89</v>
      </c>
      <c r="C236" s="93"/>
      <c r="D236" s="93"/>
      <c r="E236" s="93"/>
      <c r="F236" s="25"/>
      <c r="G236" s="93"/>
      <c r="H236" s="93"/>
      <c r="I236" s="93"/>
      <c r="J236" s="93"/>
      <c r="K236" s="93"/>
      <c r="L236" s="93"/>
      <c r="M236" s="93"/>
      <c r="N236" s="93"/>
      <c r="O236" s="93"/>
      <c r="P236" s="93"/>
      <c r="Q236" s="93"/>
      <c r="R236" s="54">
        <v>8174</v>
      </c>
      <c r="S236" s="94">
        <f t="shared" ref="S236:S243" si="1">R236/$R$245</f>
        <v>0.97658303464755081</v>
      </c>
      <c r="T236" s="53">
        <v>1035990</v>
      </c>
      <c r="U236" s="132">
        <f t="shared" ref="U236:U243" si="2">T236/$T$245</f>
        <v>0.9733015911191949</v>
      </c>
      <c r="V236" s="79"/>
      <c r="W236" s="88"/>
      <c r="X236" s="5"/>
    </row>
    <row r="237" spans="1:25" ht="15.6" x14ac:dyDescent="0.3">
      <c r="A237" s="24"/>
      <c r="B237" s="54" t="s">
        <v>90</v>
      </c>
      <c r="C237" s="93"/>
      <c r="D237" s="93"/>
      <c r="E237" s="93"/>
      <c r="F237" s="25"/>
      <c r="G237" s="94"/>
      <c r="H237" s="93"/>
      <c r="I237" s="93"/>
      <c r="J237" s="93"/>
      <c r="K237" s="93"/>
      <c r="L237" s="93"/>
      <c r="M237" s="93"/>
      <c r="N237" s="93"/>
      <c r="O237" s="93"/>
      <c r="P237" s="93"/>
      <c r="Q237" s="93"/>
      <c r="R237" s="54">
        <v>107</v>
      </c>
      <c r="S237" s="94">
        <f t="shared" si="1"/>
        <v>1.2783751493428913E-2</v>
      </c>
      <c r="T237" s="53">
        <v>16823</v>
      </c>
      <c r="U237" s="132">
        <f t="shared" si="2"/>
        <v>1.5805029650284477E-2</v>
      </c>
      <c r="V237" s="79"/>
      <c r="W237" s="88"/>
      <c r="X237" s="5"/>
      <c r="Y237" s="109"/>
    </row>
    <row r="238" spans="1:25" ht="15.6" x14ac:dyDescent="0.3">
      <c r="A238" s="24"/>
      <c r="B238" s="54" t="s">
        <v>91</v>
      </c>
      <c r="C238" s="93"/>
      <c r="D238" s="93"/>
      <c r="E238" s="93"/>
      <c r="F238" s="25"/>
      <c r="G238" s="94"/>
      <c r="H238" s="93"/>
      <c r="I238" s="93"/>
      <c r="J238" s="93"/>
      <c r="K238" s="93"/>
      <c r="L238" s="93"/>
      <c r="M238" s="93"/>
      <c r="N238" s="93"/>
      <c r="O238" s="93"/>
      <c r="P238" s="93"/>
      <c r="Q238" s="93"/>
      <c r="R238" s="54">
        <v>61</v>
      </c>
      <c r="S238" s="94">
        <f t="shared" si="1"/>
        <v>7.2879330943847074E-3</v>
      </c>
      <c r="T238" s="53">
        <v>8180</v>
      </c>
      <c r="U238" s="132">
        <f t="shared" si="2"/>
        <v>7.6850230362793216E-3</v>
      </c>
      <c r="V238" s="79"/>
      <c r="W238" s="88"/>
      <c r="X238" s="5"/>
    </row>
    <row r="239" spans="1:25" ht="15.6" x14ac:dyDescent="0.3">
      <c r="A239" s="24"/>
      <c r="B239" s="54" t="s">
        <v>159</v>
      </c>
      <c r="C239" s="93"/>
      <c r="D239" s="93"/>
      <c r="E239" s="93"/>
      <c r="F239" s="25"/>
      <c r="G239" s="94"/>
      <c r="H239" s="93"/>
      <c r="I239" s="93"/>
      <c r="J239" s="93"/>
      <c r="K239" s="93"/>
      <c r="L239" s="93"/>
      <c r="M239" s="93"/>
      <c r="N239" s="93"/>
      <c r="O239" s="93"/>
      <c r="P239" s="93"/>
      <c r="Q239" s="93"/>
      <c r="R239" s="54">
        <v>25</v>
      </c>
      <c r="S239" s="94">
        <f t="shared" si="1"/>
        <v>2.9868578255675031E-3</v>
      </c>
      <c r="T239" s="53">
        <v>3026</v>
      </c>
      <c r="U239" s="132">
        <f t="shared" si="2"/>
        <v>2.8428948298021058E-3</v>
      </c>
      <c r="V239" s="79"/>
      <c r="W239" s="88"/>
      <c r="X239" s="5"/>
      <c r="Y239" s="109"/>
    </row>
    <row r="240" spans="1:25" ht="15.6" x14ac:dyDescent="0.3">
      <c r="A240" s="24"/>
      <c r="B240" s="54" t="s">
        <v>160</v>
      </c>
      <c r="C240" s="93"/>
      <c r="D240" s="93"/>
      <c r="E240" s="93"/>
      <c r="F240" s="25"/>
      <c r="G240" s="94"/>
      <c r="H240" s="93"/>
      <c r="I240" s="93"/>
      <c r="J240" s="93"/>
      <c r="K240" s="93"/>
      <c r="L240" s="93"/>
      <c r="M240" s="93"/>
      <c r="N240" s="93"/>
      <c r="O240" s="93"/>
      <c r="P240" s="93"/>
      <c r="Q240" s="93"/>
      <c r="R240" s="54">
        <v>1</v>
      </c>
      <c r="S240" s="94">
        <f t="shared" si="1"/>
        <v>1.1947431302270011E-4</v>
      </c>
      <c r="T240" s="53">
        <v>101</v>
      </c>
      <c r="U240" s="132">
        <f t="shared" si="2"/>
        <v>9.4888426242568642E-5</v>
      </c>
      <c r="V240" s="79"/>
      <c r="W240" s="88"/>
      <c r="X240" s="5"/>
    </row>
    <row r="241" spans="1:25" ht="15.6" x14ac:dyDescent="0.3">
      <c r="A241" s="24"/>
      <c r="B241" s="54" t="s">
        <v>161</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c r="Y241" s="109"/>
    </row>
    <row r="242" spans="1:25" ht="15.6" x14ac:dyDescent="0.3">
      <c r="A242" s="24"/>
      <c r="B242" s="54" t="s">
        <v>162</v>
      </c>
      <c r="C242" s="93"/>
      <c r="D242" s="93"/>
      <c r="E242" s="93"/>
      <c r="F242" s="25"/>
      <c r="G242" s="94"/>
      <c r="H242" s="93"/>
      <c r="I242" s="93"/>
      <c r="J242" s="93"/>
      <c r="K242" s="93"/>
      <c r="L242" s="93"/>
      <c r="M242" s="93"/>
      <c r="N242" s="93"/>
      <c r="O242" s="93"/>
      <c r="P242" s="93"/>
      <c r="Q242" s="93"/>
      <c r="R242" s="54">
        <v>2</v>
      </c>
      <c r="S242" s="94">
        <f t="shared" si="1"/>
        <v>2.3894862604540023E-4</v>
      </c>
      <c r="T242" s="53">
        <v>288</v>
      </c>
      <c r="U242" s="132">
        <f t="shared" si="2"/>
        <v>2.7057293819663134E-4</v>
      </c>
      <c r="V242" s="79"/>
      <c r="W242" s="88"/>
      <c r="X242" s="5"/>
    </row>
    <row r="243" spans="1:25" ht="15.6" x14ac:dyDescent="0.3">
      <c r="A243" s="24"/>
      <c r="B243" s="54" t="s">
        <v>163</v>
      </c>
      <c r="C243" s="93"/>
      <c r="D243" s="93"/>
      <c r="E243" s="93"/>
      <c r="F243" s="25"/>
      <c r="G243" s="94"/>
      <c r="H243" s="93"/>
      <c r="I243" s="93"/>
      <c r="J243" s="93"/>
      <c r="K243" s="93"/>
      <c r="L243" s="93"/>
      <c r="M243" s="93"/>
      <c r="N243" s="93"/>
      <c r="O243" s="93"/>
      <c r="P243" s="93"/>
      <c r="Q243" s="93"/>
      <c r="R243" s="54">
        <v>0</v>
      </c>
      <c r="S243" s="94">
        <f t="shared" si="1"/>
        <v>0</v>
      </c>
      <c r="T243" s="53">
        <v>0</v>
      </c>
      <c r="U243" s="132">
        <f t="shared" si="2"/>
        <v>0</v>
      </c>
      <c r="V243" s="79"/>
      <c r="W243" s="88"/>
      <c r="X243" s="5"/>
      <c r="Y243" s="109"/>
    </row>
    <row r="244" spans="1:25" ht="15.6" x14ac:dyDescent="0.3">
      <c r="A244" s="24"/>
      <c r="B244" s="54"/>
      <c r="C244" s="93"/>
      <c r="D244" s="93"/>
      <c r="E244" s="93"/>
      <c r="F244" s="25"/>
      <c r="G244" s="94"/>
      <c r="H244" s="93"/>
      <c r="I244" s="93"/>
      <c r="J244" s="93"/>
      <c r="K244" s="93"/>
      <c r="L244" s="93"/>
      <c r="M244" s="93"/>
      <c r="N244" s="93"/>
      <c r="O244" s="93"/>
      <c r="P244" s="93"/>
      <c r="Q244" s="93"/>
      <c r="R244" s="54"/>
      <c r="S244" s="94"/>
      <c r="T244" s="53"/>
      <c r="U244" s="132"/>
      <c r="V244" s="79"/>
      <c r="W244" s="88"/>
      <c r="X244" s="5"/>
    </row>
    <row r="245" spans="1:25" ht="15.6" x14ac:dyDescent="0.3">
      <c r="A245" s="24"/>
      <c r="B245" s="25" t="s">
        <v>117</v>
      </c>
      <c r="C245" s="25"/>
      <c r="D245" s="25"/>
      <c r="E245" s="25"/>
      <c r="F245" s="25"/>
      <c r="G245" s="25"/>
      <c r="H245" s="95"/>
      <c r="I245" s="95"/>
      <c r="J245" s="95"/>
      <c r="K245" s="95"/>
      <c r="L245" s="95"/>
      <c r="M245" s="95"/>
      <c r="N245" s="95"/>
      <c r="O245" s="95"/>
      <c r="P245" s="95"/>
      <c r="Q245" s="95"/>
      <c r="R245" s="34">
        <f>SUM(R236:R244)</f>
        <v>8370</v>
      </c>
      <c r="S245" s="132">
        <f>SUM(S236:S244)</f>
        <v>1</v>
      </c>
      <c r="T245" s="53">
        <f>SUM(T236:T244)</f>
        <v>1064408</v>
      </c>
      <c r="U245" s="132">
        <f>SUM(U236:U244)</f>
        <v>1</v>
      </c>
      <c r="V245" s="25"/>
      <c r="W245" s="25"/>
      <c r="X245" s="5"/>
    </row>
    <row r="246" spans="1:25" ht="15.6" x14ac:dyDescent="0.3">
      <c r="A246" s="24"/>
      <c r="B246" s="25"/>
      <c r="C246" s="25"/>
      <c r="D246" s="25"/>
      <c r="E246" s="25"/>
      <c r="F246" s="25"/>
      <c r="G246" s="25"/>
      <c r="H246" s="95"/>
      <c r="I246" s="95"/>
      <c r="J246" s="95"/>
      <c r="K246" s="95"/>
      <c r="L246" s="95"/>
      <c r="M246" s="95"/>
      <c r="N246" s="95"/>
      <c r="O246" s="95"/>
      <c r="P246" s="95"/>
      <c r="Q246" s="95"/>
      <c r="R246" s="34"/>
      <c r="S246" s="132"/>
      <c r="T246" s="53"/>
      <c r="U246" s="132"/>
      <c r="V246" s="25"/>
      <c r="W246" s="25"/>
      <c r="X246" s="5"/>
    </row>
    <row r="247" spans="1:25" ht="15.6" x14ac:dyDescent="0.3">
      <c r="A247" s="141"/>
      <c r="B247" s="14" t="s">
        <v>279</v>
      </c>
      <c r="C247" s="81"/>
      <c r="D247" s="81"/>
      <c r="E247" s="81"/>
      <c r="F247" s="82"/>
      <c r="G247" s="81"/>
      <c r="H247" s="17"/>
      <c r="I247" s="17"/>
      <c r="J247" s="17"/>
      <c r="K247" s="17"/>
      <c r="L247" s="17"/>
      <c r="M247" s="17"/>
      <c r="N247" s="17"/>
      <c r="O247" s="17"/>
      <c r="P247" s="17"/>
      <c r="Q247" s="17"/>
      <c r="R247" s="83" t="s">
        <v>103</v>
      </c>
      <c r="S247" s="17" t="s">
        <v>104</v>
      </c>
      <c r="T247" s="83" t="s">
        <v>111</v>
      </c>
      <c r="U247" s="17" t="s">
        <v>104</v>
      </c>
      <c r="V247" s="139"/>
      <c r="W247" s="140"/>
      <c r="X247" s="5"/>
    </row>
    <row r="248" spans="1:25" ht="15.6" x14ac:dyDescent="0.3">
      <c r="A248" s="24"/>
      <c r="B248" s="54" t="s">
        <v>89</v>
      </c>
      <c r="C248" s="93"/>
      <c r="D248" s="93"/>
      <c r="E248" s="93"/>
      <c r="F248" s="25"/>
      <c r="G248" s="93"/>
      <c r="H248" s="93"/>
      <c r="I248" s="93"/>
      <c r="J248" s="93"/>
      <c r="K248" s="93"/>
      <c r="L248" s="93"/>
      <c r="M248" s="93"/>
      <c r="N248" s="93"/>
      <c r="O248" s="93"/>
      <c r="P248" s="93"/>
      <c r="Q248" s="93"/>
      <c r="R248" s="54">
        <v>82</v>
      </c>
      <c r="S248" s="94">
        <f t="shared" ref="S248:S255" si="3">R248/$R$257</f>
        <v>0.32931726907630521</v>
      </c>
      <c r="T248" s="53">
        <v>6265</v>
      </c>
      <c r="U248" s="132">
        <f t="shared" ref="U248:U255" si="4">T248/$T$257</f>
        <v>0.18994633599126823</v>
      </c>
      <c r="V248" s="25"/>
      <c r="W248" s="25"/>
      <c r="X248" s="5"/>
    </row>
    <row r="249" spans="1:25" ht="15.6" x14ac:dyDescent="0.3">
      <c r="A249" s="24"/>
      <c r="B249" s="54" t="s">
        <v>90</v>
      </c>
      <c r="C249" s="93"/>
      <c r="D249" s="93"/>
      <c r="E249" s="93"/>
      <c r="F249" s="25"/>
      <c r="G249" s="94"/>
      <c r="H249" s="93"/>
      <c r="I249" s="93"/>
      <c r="J249" s="93"/>
      <c r="K249" s="93"/>
      <c r="L249" s="93"/>
      <c r="M249" s="93"/>
      <c r="N249" s="93"/>
      <c r="O249" s="93"/>
      <c r="P249" s="93"/>
      <c r="Q249" s="93"/>
      <c r="R249" s="54">
        <v>95</v>
      </c>
      <c r="S249" s="94">
        <f t="shared" si="3"/>
        <v>0.38152610441767071</v>
      </c>
      <c r="T249" s="53">
        <v>16212</v>
      </c>
      <c r="U249" s="132">
        <f t="shared" si="4"/>
        <v>0.49152593760422036</v>
      </c>
      <c r="V249" s="25"/>
      <c r="W249" s="25"/>
      <c r="X249" s="5"/>
    </row>
    <row r="250" spans="1:25" ht="15.6" x14ac:dyDescent="0.3">
      <c r="A250" s="24"/>
      <c r="B250" s="54" t="s">
        <v>91</v>
      </c>
      <c r="C250" s="93"/>
      <c r="D250" s="93"/>
      <c r="E250" s="93"/>
      <c r="F250" s="25"/>
      <c r="G250" s="94"/>
      <c r="H250" s="93"/>
      <c r="I250" s="93"/>
      <c r="J250" s="93"/>
      <c r="K250" s="93"/>
      <c r="L250" s="93"/>
      <c r="M250" s="93"/>
      <c r="N250" s="93"/>
      <c r="O250" s="93"/>
      <c r="P250" s="93"/>
      <c r="Q250" s="93"/>
      <c r="R250" s="54">
        <v>16</v>
      </c>
      <c r="S250" s="94">
        <f t="shared" si="3"/>
        <v>6.4257028112449793E-2</v>
      </c>
      <c r="T250" s="53">
        <v>3393</v>
      </c>
      <c r="U250" s="132">
        <f t="shared" si="4"/>
        <v>0.10287117606039475</v>
      </c>
      <c r="V250" s="25"/>
      <c r="W250" s="25"/>
      <c r="X250" s="5"/>
    </row>
    <row r="251" spans="1:25" ht="15.6" x14ac:dyDescent="0.3">
      <c r="A251" s="24"/>
      <c r="B251" s="54" t="s">
        <v>159</v>
      </c>
      <c r="C251" s="93"/>
      <c r="D251" s="93"/>
      <c r="E251" s="93"/>
      <c r="F251" s="25"/>
      <c r="G251" s="94"/>
      <c r="H251" s="93"/>
      <c r="I251" s="93"/>
      <c r="J251" s="93"/>
      <c r="K251" s="93"/>
      <c r="L251" s="93"/>
      <c r="M251" s="93"/>
      <c r="N251" s="93"/>
      <c r="O251" s="93"/>
      <c r="P251" s="93"/>
      <c r="Q251" s="93"/>
      <c r="R251" s="54">
        <v>13</v>
      </c>
      <c r="S251" s="94">
        <f t="shared" si="3"/>
        <v>5.2208835341365459E-2</v>
      </c>
      <c r="T251" s="53">
        <v>1475</v>
      </c>
      <c r="U251" s="132">
        <f t="shared" si="4"/>
        <v>4.4720007276475758E-2</v>
      </c>
      <c r="V251" s="25"/>
      <c r="W251" s="25"/>
      <c r="X251" s="5"/>
    </row>
    <row r="252" spans="1:25" ht="15.6" x14ac:dyDescent="0.3">
      <c r="A252" s="24"/>
      <c r="B252" s="54" t="s">
        <v>160</v>
      </c>
      <c r="C252" s="93"/>
      <c r="D252" s="93"/>
      <c r="E252" s="93"/>
      <c r="F252" s="25"/>
      <c r="G252" s="94"/>
      <c r="H252" s="93"/>
      <c r="I252" s="93"/>
      <c r="J252" s="93"/>
      <c r="K252" s="93"/>
      <c r="L252" s="93"/>
      <c r="M252" s="93"/>
      <c r="N252" s="93"/>
      <c r="O252" s="93"/>
      <c r="P252" s="93"/>
      <c r="Q252" s="93"/>
      <c r="R252" s="54">
        <v>8</v>
      </c>
      <c r="S252" s="94">
        <f t="shared" si="3"/>
        <v>3.2128514056224897E-2</v>
      </c>
      <c r="T252" s="53">
        <v>1009</v>
      </c>
      <c r="U252" s="132">
        <f t="shared" si="4"/>
        <v>3.059151684200952E-2</v>
      </c>
      <c r="V252" s="25"/>
      <c r="W252" s="25"/>
      <c r="X252" s="5"/>
    </row>
    <row r="253" spans="1:25" ht="15.6" x14ac:dyDescent="0.3">
      <c r="A253" s="24"/>
      <c r="B253" s="54" t="s">
        <v>161</v>
      </c>
      <c r="C253" s="93"/>
      <c r="D253" s="93"/>
      <c r="E253" s="93"/>
      <c r="F253" s="25"/>
      <c r="G253" s="94"/>
      <c r="H253" s="93"/>
      <c r="I253" s="93"/>
      <c r="J253" s="93"/>
      <c r="K253" s="93"/>
      <c r="L253" s="93"/>
      <c r="M253" s="93"/>
      <c r="N253" s="93"/>
      <c r="O253" s="93"/>
      <c r="P253" s="93"/>
      <c r="Q253" s="93"/>
      <c r="R253" s="54">
        <v>6</v>
      </c>
      <c r="S253" s="94">
        <f t="shared" si="3"/>
        <v>2.4096385542168676E-2</v>
      </c>
      <c r="T253" s="53">
        <v>1082</v>
      </c>
      <c r="U253" s="132">
        <f t="shared" si="4"/>
        <v>3.2804778219082557E-2</v>
      </c>
      <c r="V253" s="25"/>
      <c r="W253" s="25"/>
      <c r="X253" s="5"/>
    </row>
    <row r="254" spans="1:25" ht="15.6" x14ac:dyDescent="0.3">
      <c r="A254" s="24"/>
      <c r="B254" s="54" t="s">
        <v>162</v>
      </c>
      <c r="C254" s="93"/>
      <c r="D254" s="93"/>
      <c r="E254" s="93"/>
      <c r="F254" s="25"/>
      <c r="G254" s="94"/>
      <c r="H254" s="93"/>
      <c r="I254" s="93"/>
      <c r="J254" s="93"/>
      <c r="K254" s="93"/>
      <c r="L254" s="93"/>
      <c r="M254" s="93"/>
      <c r="N254" s="93"/>
      <c r="O254" s="93"/>
      <c r="P254" s="93"/>
      <c r="Q254" s="93"/>
      <c r="R254" s="54">
        <v>18</v>
      </c>
      <c r="S254" s="94">
        <f t="shared" si="3"/>
        <v>7.2289156626506021E-2</v>
      </c>
      <c r="T254" s="53">
        <v>2086</v>
      </c>
      <c r="U254" s="132">
        <f t="shared" si="4"/>
        <v>6.3244701816087073E-2</v>
      </c>
      <c r="V254" s="25"/>
      <c r="W254" s="25"/>
      <c r="X254" s="5"/>
    </row>
    <row r="255" spans="1:25" ht="15.6" x14ac:dyDescent="0.3">
      <c r="A255" s="24"/>
      <c r="B255" s="54" t="s">
        <v>163</v>
      </c>
      <c r="C255" s="93"/>
      <c r="D255" s="93"/>
      <c r="E255" s="93"/>
      <c r="F255" s="25"/>
      <c r="G255" s="94"/>
      <c r="H255" s="93"/>
      <c r="I255" s="93"/>
      <c r="J255" s="93"/>
      <c r="K255" s="93"/>
      <c r="L255" s="93"/>
      <c r="M255" s="93"/>
      <c r="N255" s="93"/>
      <c r="O255" s="93"/>
      <c r="P255" s="93"/>
      <c r="Q255" s="93"/>
      <c r="R255" s="54">
        <v>11</v>
      </c>
      <c r="S255" s="94">
        <f t="shared" si="3"/>
        <v>4.4176706827309238E-2</v>
      </c>
      <c r="T255" s="53">
        <v>1461</v>
      </c>
      <c r="U255" s="132">
        <f t="shared" si="4"/>
        <v>4.4295546190461756E-2</v>
      </c>
      <c r="V255" s="25"/>
      <c r="W255" s="25"/>
      <c r="X255" s="5"/>
    </row>
    <row r="256" spans="1:25" ht="15.6" x14ac:dyDescent="0.3">
      <c r="A256" s="24"/>
      <c r="B256" s="54"/>
      <c r="C256" s="93"/>
      <c r="D256" s="93"/>
      <c r="E256" s="93"/>
      <c r="F256" s="25"/>
      <c r="G256" s="94"/>
      <c r="H256" s="93"/>
      <c r="I256" s="93"/>
      <c r="J256" s="93"/>
      <c r="K256" s="93"/>
      <c r="L256" s="93"/>
      <c r="M256" s="93"/>
      <c r="N256" s="93"/>
      <c r="O256" s="93"/>
      <c r="P256" s="93"/>
      <c r="Q256" s="93"/>
      <c r="R256" s="54"/>
      <c r="S256" s="94"/>
      <c r="T256" s="53"/>
      <c r="U256" s="132"/>
      <c r="V256" s="25"/>
      <c r="W256" s="25"/>
      <c r="X256" s="5"/>
    </row>
    <row r="257" spans="1:24" ht="15.6" x14ac:dyDescent="0.3">
      <c r="A257" s="24"/>
      <c r="B257" s="25" t="s">
        <v>117</v>
      </c>
      <c r="C257" s="25"/>
      <c r="D257" s="25"/>
      <c r="E257" s="25"/>
      <c r="F257" s="25"/>
      <c r="G257" s="25"/>
      <c r="H257" s="95"/>
      <c r="I257" s="95"/>
      <c r="J257" s="95"/>
      <c r="K257" s="95"/>
      <c r="L257" s="95"/>
      <c r="M257" s="95"/>
      <c r="N257" s="95"/>
      <c r="O257" s="95"/>
      <c r="P257" s="95"/>
      <c r="Q257" s="95"/>
      <c r="R257" s="34">
        <f>SUM(R248:R256)</f>
        <v>249</v>
      </c>
      <c r="S257" s="132">
        <f>SUM(S248:S256)</f>
        <v>0.99999999999999989</v>
      </c>
      <c r="T257" s="53">
        <f>SUM(T248:T256)</f>
        <v>32983</v>
      </c>
      <c r="U257" s="132">
        <f>SUM(U248:U256)</f>
        <v>1</v>
      </c>
      <c r="V257" s="25"/>
      <c r="W257" s="25"/>
      <c r="X257" s="5"/>
    </row>
    <row r="258" spans="1:24" ht="15.6" x14ac:dyDescent="0.3">
      <c r="A258" s="24"/>
      <c r="B258" s="25"/>
      <c r="C258" s="25"/>
      <c r="D258" s="25"/>
      <c r="E258" s="25"/>
      <c r="F258" s="25"/>
      <c r="G258" s="25"/>
      <c r="H258" s="95"/>
      <c r="I258" s="95"/>
      <c r="J258" s="95"/>
      <c r="K258" s="95"/>
      <c r="L258" s="95"/>
      <c r="M258" s="95"/>
      <c r="N258" s="95"/>
      <c r="O258" s="95"/>
      <c r="P258" s="95"/>
      <c r="Q258" s="95"/>
      <c r="R258" s="34"/>
      <c r="S258" s="132"/>
      <c r="T258" s="53"/>
      <c r="U258" s="132"/>
      <c r="V258" s="25"/>
      <c r="W258" s="25"/>
      <c r="X258" s="5"/>
    </row>
    <row r="259" spans="1:24" ht="15.6" x14ac:dyDescent="0.3">
      <c r="A259" s="141"/>
      <c r="B259" s="14" t="s">
        <v>166</v>
      </c>
      <c r="C259" s="139"/>
      <c r="D259" s="139"/>
      <c r="E259" s="139"/>
      <c r="F259" s="139"/>
      <c r="G259" s="139"/>
      <c r="H259" s="145"/>
      <c r="I259" s="145"/>
      <c r="J259" s="145"/>
      <c r="K259" s="145"/>
      <c r="L259" s="145"/>
      <c r="M259" s="145"/>
      <c r="N259" s="145"/>
      <c r="O259" s="145"/>
      <c r="P259" s="145"/>
      <c r="Q259" s="145"/>
      <c r="R259" s="83" t="s">
        <v>103</v>
      </c>
      <c r="S259" s="17" t="s">
        <v>104</v>
      </c>
      <c r="T259" s="83" t="s">
        <v>111</v>
      </c>
      <c r="U259" s="17" t="s">
        <v>104</v>
      </c>
      <c r="V259" s="139"/>
      <c r="W259" s="140"/>
      <c r="X259" s="5"/>
    </row>
    <row r="260" spans="1:24" ht="15.6" x14ac:dyDescent="0.3">
      <c r="A260" s="24"/>
      <c r="B260" s="54" t="s">
        <v>89</v>
      </c>
      <c r="C260" s="25"/>
      <c r="D260" s="25"/>
      <c r="E260" s="25"/>
      <c r="F260" s="25"/>
      <c r="G260" s="25"/>
      <c r="H260" s="95"/>
      <c r="I260" s="95"/>
      <c r="J260" s="95"/>
      <c r="K260" s="95"/>
      <c r="L260" s="95"/>
      <c r="M260" s="95"/>
      <c r="N260" s="95"/>
      <c r="O260" s="95"/>
      <c r="P260" s="95"/>
      <c r="Q260" s="95"/>
      <c r="R260" s="54">
        <v>0</v>
      </c>
      <c r="S260" s="94">
        <f t="shared" ref="S260:S267" si="5">R260/$R$269</f>
        <v>0</v>
      </c>
      <c r="T260" s="53">
        <v>0</v>
      </c>
      <c r="U260" s="94">
        <f>T260/$T$269</f>
        <v>0</v>
      </c>
      <c r="V260" s="25"/>
      <c r="W260" s="25"/>
      <c r="X260" s="5"/>
    </row>
    <row r="261" spans="1:24" ht="15.6" x14ac:dyDescent="0.3">
      <c r="A261" s="24"/>
      <c r="B261" s="54" t="s">
        <v>90</v>
      </c>
      <c r="C261" s="25"/>
      <c r="D261" s="25"/>
      <c r="E261" s="25"/>
      <c r="F261" s="25"/>
      <c r="G261" s="25"/>
      <c r="H261" s="95"/>
      <c r="I261" s="95"/>
      <c r="J261" s="95"/>
      <c r="K261" s="95"/>
      <c r="L261" s="95"/>
      <c r="M261" s="95"/>
      <c r="N261" s="95"/>
      <c r="O261" s="95"/>
      <c r="P261" s="95"/>
      <c r="Q261" s="95"/>
      <c r="R261" s="54">
        <v>0</v>
      </c>
      <c r="S261" s="94">
        <f t="shared" si="5"/>
        <v>0</v>
      </c>
      <c r="T261" s="53">
        <v>0</v>
      </c>
      <c r="U261" s="94">
        <f t="shared" ref="U261:U267" si="6">T261/$T$269</f>
        <v>0</v>
      </c>
      <c r="V261" s="25"/>
      <c r="W261" s="25"/>
      <c r="X261" s="5"/>
    </row>
    <row r="262" spans="1:24" ht="15.6" x14ac:dyDescent="0.3">
      <c r="A262" s="24"/>
      <c r="B262" s="54" t="s">
        <v>91</v>
      </c>
      <c r="C262" s="25"/>
      <c r="D262" s="25"/>
      <c r="E262" s="25"/>
      <c r="F262" s="25"/>
      <c r="G262" s="25"/>
      <c r="H262" s="95"/>
      <c r="I262" s="95"/>
      <c r="J262" s="95"/>
      <c r="K262" s="95"/>
      <c r="L262" s="95"/>
      <c r="M262" s="95"/>
      <c r="N262" s="95"/>
      <c r="O262" s="95"/>
      <c r="P262" s="95"/>
      <c r="Q262" s="95"/>
      <c r="R262" s="54">
        <v>0</v>
      </c>
      <c r="S262" s="94">
        <f t="shared" si="5"/>
        <v>0</v>
      </c>
      <c r="T262" s="53">
        <v>0</v>
      </c>
      <c r="U262" s="94">
        <f t="shared" si="6"/>
        <v>0</v>
      </c>
      <c r="V262" s="25"/>
      <c r="W262" s="25"/>
      <c r="X262" s="5"/>
    </row>
    <row r="263" spans="1:24" ht="15.6" x14ac:dyDescent="0.3">
      <c r="A263" s="24"/>
      <c r="B263" s="54" t="s">
        <v>159</v>
      </c>
      <c r="C263" s="25"/>
      <c r="D263" s="25"/>
      <c r="E263" s="25"/>
      <c r="F263" s="25"/>
      <c r="G263" s="25"/>
      <c r="H263" s="95"/>
      <c r="I263" s="95"/>
      <c r="J263" s="95"/>
      <c r="K263" s="95"/>
      <c r="L263" s="95"/>
      <c r="M263" s="95"/>
      <c r="N263" s="95"/>
      <c r="O263" s="95"/>
      <c r="P263" s="95"/>
      <c r="Q263" s="95"/>
      <c r="R263" s="54">
        <v>0</v>
      </c>
      <c r="S263" s="94">
        <f t="shared" si="5"/>
        <v>0</v>
      </c>
      <c r="T263" s="53">
        <v>0</v>
      </c>
      <c r="U263" s="94">
        <f t="shared" si="6"/>
        <v>0</v>
      </c>
      <c r="V263" s="25"/>
      <c r="W263" s="25"/>
      <c r="X263" s="5"/>
    </row>
    <row r="264" spans="1:24" ht="15.6" x14ac:dyDescent="0.3">
      <c r="A264" s="24"/>
      <c r="B264" s="54" t="s">
        <v>160</v>
      </c>
      <c r="C264" s="25"/>
      <c r="D264" s="25"/>
      <c r="E264" s="25"/>
      <c r="F264" s="25"/>
      <c r="G264" s="25"/>
      <c r="H264" s="95"/>
      <c r="I264" s="95"/>
      <c r="J264" s="95"/>
      <c r="K264" s="95"/>
      <c r="L264" s="95"/>
      <c r="M264" s="95"/>
      <c r="N264" s="95"/>
      <c r="O264" s="95"/>
      <c r="P264" s="95"/>
      <c r="Q264" s="95"/>
      <c r="R264" s="54">
        <v>0</v>
      </c>
      <c r="S264" s="94">
        <f t="shared" si="5"/>
        <v>0</v>
      </c>
      <c r="T264" s="53">
        <v>0</v>
      </c>
      <c r="U264" s="94">
        <f t="shared" si="6"/>
        <v>0</v>
      </c>
      <c r="V264" s="25"/>
      <c r="W264" s="25"/>
      <c r="X264" s="5"/>
    </row>
    <row r="265" spans="1:24" ht="15.6" x14ac:dyDescent="0.3">
      <c r="A265" s="24"/>
      <c r="B265" s="54" t="s">
        <v>161</v>
      </c>
      <c r="C265" s="25"/>
      <c r="D265" s="25"/>
      <c r="E265" s="25"/>
      <c r="F265" s="25"/>
      <c r="G265" s="25"/>
      <c r="H265" s="95"/>
      <c r="I265" s="95"/>
      <c r="J265" s="95"/>
      <c r="K265" s="95"/>
      <c r="L265" s="95"/>
      <c r="M265" s="95"/>
      <c r="N265" s="95"/>
      <c r="O265" s="95"/>
      <c r="P265" s="95"/>
      <c r="Q265" s="95"/>
      <c r="R265" s="54">
        <v>0</v>
      </c>
      <c r="S265" s="94">
        <f t="shared" si="5"/>
        <v>0</v>
      </c>
      <c r="T265" s="53">
        <v>0</v>
      </c>
      <c r="U265" s="94">
        <f t="shared" si="6"/>
        <v>0</v>
      </c>
      <c r="V265" s="25"/>
      <c r="W265" s="25"/>
      <c r="X265" s="5"/>
    </row>
    <row r="266" spans="1:24" ht="15.6" x14ac:dyDescent="0.3">
      <c r="A266" s="24"/>
      <c r="B266" s="54" t="s">
        <v>162</v>
      </c>
      <c r="C266" s="25"/>
      <c r="D266" s="25"/>
      <c r="E266" s="25"/>
      <c r="F266" s="25"/>
      <c r="G266" s="25"/>
      <c r="H266" s="95"/>
      <c r="I266" s="95"/>
      <c r="J266" s="95"/>
      <c r="K266" s="95"/>
      <c r="L266" s="95"/>
      <c r="M266" s="95"/>
      <c r="N266" s="95"/>
      <c r="O266" s="95"/>
      <c r="P266" s="95"/>
      <c r="Q266" s="95"/>
      <c r="R266" s="54">
        <v>1</v>
      </c>
      <c r="S266" s="94">
        <f t="shared" si="5"/>
        <v>1</v>
      </c>
      <c r="T266" s="53">
        <v>162</v>
      </c>
      <c r="U266" s="94">
        <f t="shared" si="6"/>
        <v>1</v>
      </c>
      <c r="V266" s="25"/>
      <c r="W266" s="25"/>
      <c r="X266" s="5"/>
    </row>
    <row r="267" spans="1:24" ht="15.6" x14ac:dyDescent="0.3">
      <c r="A267" s="24"/>
      <c r="B267" s="54" t="s">
        <v>163</v>
      </c>
      <c r="C267" s="25"/>
      <c r="D267" s="25"/>
      <c r="E267" s="25"/>
      <c r="F267" s="25"/>
      <c r="G267" s="25"/>
      <c r="H267" s="95"/>
      <c r="I267" s="95"/>
      <c r="J267" s="95"/>
      <c r="K267" s="95"/>
      <c r="L267" s="95"/>
      <c r="M267" s="95"/>
      <c r="N267" s="95"/>
      <c r="O267" s="95"/>
      <c r="P267" s="95"/>
      <c r="Q267" s="95"/>
      <c r="R267" s="54">
        <v>0</v>
      </c>
      <c r="S267" s="94">
        <f t="shared" si="5"/>
        <v>0</v>
      </c>
      <c r="T267" s="53">
        <v>0</v>
      </c>
      <c r="U267" s="94">
        <f t="shared" si="6"/>
        <v>0</v>
      </c>
      <c r="V267" s="25"/>
      <c r="W267" s="25"/>
      <c r="X267" s="5"/>
    </row>
    <row r="268" spans="1:24" ht="15.6" x14ac:dyDescent="0.3">
      <c r="A268" s="24"/>
      <c r="B268" s="54"/>
      <c r="C268" s="25"/>
      <c r="D268" s="25"/>
      <c r="E268" s="25"/>
      <c r="F268" s="25"/>
      <c r="G268" s="25"/>
      <c r="H268" s="95"/>
      <c r="I268" s="95"/>
      <c r="J268" s="95"/>
      <c r="K268" s="95"/>
      <c r="L268" s="95"/>
      <c r="M268" s="95"/>
      <c r="N268" s="95"/>
      <c r="O268" s="95"/>
      <c r="P268" s="95"/>
      <c r="Q268" s="95"/>
      <c r="R268" s="54"/>
      <c r="S268" s="94"/>
      <c r="T268" s="53"/>
      <c r="U268" s="132"/>
      <c r="V268" s="25"/>
      <c r="W268" s="25"/>
      <c r="X268" s="5"/>
    </row>
    <row r="269" spans="1:24" ht="15.6" x14ac:dyDescent="0.3">
      <c r="A269" s="24"/>
      <c r="B269" s="25" t="s">
        <v>117</v>
      </c>
      <c r="C269" s="25"/>
      <c r="D269" s="25"/>
      <c r="E269" s="25"/>
      <c r="F269" s="25"/>
      <c r="G269" s="25"/>
      <c r="H269" s="95"/>
      <c r="I269" s="95"/>
      <c r="J269" s="95"/>
      <c r="K269" s="95"/>
      <c r="L269" s="95"/>
      <c r="M269" s="95"/>
      <c r="N269" s="95"/>
      <c r="O269" s="95"/>
      <c r="P269" s="95"/>
      <c r="Q269" s="95"/>
      <c r="R269" s="34">
        <f>SUM(R260:R267)</f>
        <v>1</v>
      </c>
      <c r="S269" s="94">
        <f>SUM(S260:S267)</f>
        <v>1</v>
      </c>
      <c r="T269" s="53">
        <f>SUM(T260:T267)</f>
        <v>162</v>
      </c>
      <c r="U269" s="132">
        <f>SUM(U260:U267)</f>
        <v>1</v>
      </c>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34"/>
      <c r="S270" s="132"/>
      <c r="T270" s="53"/>
      <c r="U270" s="132"/>
      <c r="V270" s="25"/>
      <c r="W270" s="25"/>
      <c r="X270" s="5"/>
    </row>
    <row r="271" spans="1:24" ht="15.6" x14ac:dyDescent="0.3">
      <c r="A271" s="24"/>
      <c r="B271" s="142" t="s">
        <v>167</v>
      </c>
      <c r="C271" s="25"/>
      <c r="D271" s="25"/>
      <c r="E271" s="25"/>
      <c r="F271" s="25"/>
      <c r="G271" s="25"/>
      <c r="H271" s="95"/>
      <c r="I271" s="95"/>
      <c r="J271" s="95"/>
      <c r="K271" s="95"/>
      <c r="L271" s="95"/>
      <c r="M271" s="95"/>
      <c r="N271" s="95"/>
      <c r="O271" s="95"/>
      <c r="P271" s="95"/>
      <c r="Q271" s="95"/>
      <c r="R271" s="161">
        <f>R269+R257+R245</f>
        <v>8620</v>
      </c>
      <c r="S271" s="143"/>
      <c r="T271" s="144">
        <f>+T269+T257+T245</f>
        <v>1097553</v>
      </c>
      <c r="U271" s="143"/>
      <c r="V271" s="25"/>
      <c r="W271" s="25"/>
      <c r="X271" s="5"/>
    </row>
    <row r="272" spans="1:24" ht="15.6" x14ac:dyDescent="0.3">
      <c r="A272" s="24"/>
      <c r="B272" s="25"/>
      <c r="C272" s="25"/>
      <c r="D272" s="25"/>
      <c r="E272" s="25"/>
      <c r="F272" s="25"/>
      <c r="G272" s="25"/>
      <c r="H272" s="95"/>
      <c r="I272" s="95"/>
      <c r="J272" s="95"/>
      <c r="K272" s="95"/>
      <c r="L272" s="95"/>
      <c r="M272" s="95"/>
      <c r="N272" s="95"/>
      <c r="O272" s="95"/>
      <c r="P272" s="95"/>
      <c r="Q272" s="95"/>
      <c r="R272" s="95"/>
      <c r="S272" s="95"/>
      <c r="T272" s="53"/>
      <c r="U272" s="95"/>
      <c r="V272" s="25"/>
      <c r="W272" s="25"/>
      <c r="X272" s="5"/>
    </row>
    <row r="273" spans="1:24" ht="15.6" x14ac:dyDescent="0.3">
      <c r="A273" s="6"/>
      <c r="B273" s="8"/>
      <c r="C273" s="8"/>
      <c r="D273" s="8"/>
      <c r="E273" s="8"/>
      <c r="F273" s="8"/>
      <c r="G273" s="8"/>
      <c r="H273" s="96"/>
      <c r="I273" s="96"/>
      <c r="J273" s="96"/>
      <c r="K273" s="96"/>
      <c r="L273" s="96"/>
      <c r="M273" s="96"/>
      <c r="N273" s="96"/>
      <c r="O273" s="96"/>
      <c r="P273" s="96"/>
      <c r="Q273" s="96"/>
      <c r="R273" s="96"/>
      <c r="S273" s="96"/>
      <c r="T273" s="97"/>
      <c r="U273" s="96"/>
      <c r="V273" s="8"/>
      <c r="W273" s="8"/>
      <c r="X273" s="5"/>
    </row>
    <row r="274" spans="1:24" ht="15.6" x14ac:dyDescent="0.3">
      <c r="A274" s="167"/>
      <c r="B274" s="14" t="s">
        <v>92</v>
      </c>
      <c r="C274" s="15"/>
      <c r="D274" s="15"/>
      <c r="E274" s="15"/>
      <c r="F274" s="17" t="s">
        <v>98</v>
      </c>
      <c r="G274" s="15"/>
      <c r="H274" s="14" t="s">
        <v>100</v>
      </c>
      <c r="I274" s="14"/>
      <c r="J274" s="14"/>
      <c r="K274" s="162"/>
      <c r="L274" s="162"/>
      <c r="M274" s="162"/>
      <c r="N274" s="162"/>
      <c r="O274" s="162"/>
      <c r="P274" s="162"/>
      <c r="Q274" s="162"/>
      <c r="R274" s="162"/>
      <c r="S274" s="162"/>
      <c r="T274" s="162"/>
      <c r="U274" s="162"/>
      <c r="V274" s="162"/>
      <c r="W274" s="162"/>
      <c r="X274" s="5"/>
    </row>
    <row r="275" spans="1:24" ht="15.6" x14ac:dyDescent="0.3">
      <c r="A275" s="167"/>
      <c r="B275" s="13" t="s">
        <v>93</v>
      </c>
      <c r="C275" s="8"/>
      <c r="D275" s="8"/>
      <c r="E275" s="8"/>
      <c r="F275" s="130" t="s">
        <v>151</v>
      </c>
      <c r="G275" s="8"/>
      <c r="H275" s="13" t="s">
        <v>155</v>
      </c>
      <c r="I275" s="13"/>
      <c r="J275" s="13"/>
      <c r="K275" s="162"/>
      <c r="L275" s="162"/>
      <c r="M275" s="162"/>
      <c r="N275" s="162"/>
      <c r="O275" s="162"/>
      <c r="P275" s="162"/>
      <c r="Q275" s="162"/>
      <c r="R275" s="162"/>
      <c r="S275" s="162"/>
      <c r="T275" s="162"/>
      <c r="U275" s="162"/>
      <c r="V275" s="162"/>
      <c r="W275" s="162"/>
      <c r="X275" s="5"/>
    </row>
    <row r="276" spans="1:24" ht="15.6" x14ac:dyDescent="0.3">
      <c r="A276" s="167"/>
      <c r="B276" s="13" t="s">
        <v>281</v>
      </c>
      <c r="C276" s="13"/>
      <c r="D276" s="13"/>
      <c r="E276" s="13"/>
      <c r="F276" s="130" t="s">
        <v>282</v>
      </c>
      <c r="G276" s="13"/>
      <c r="H276" s="13" t="s">
        <v>283</v>
      </c>
      <c r="I276" s="162"/>
      <c r="J276" s="13"/>
      <c r="K276" s="162"/>
      <c r="L276" s="162"/>
      <c r="M276" s="162"/>
      <c r="N276" s="162"/>
      <c r="O276" s="162"/>
      <c r="P276" s="162"/>
      <c r="Q276" s="162"/>
      <c r="R276" s="162"/>
      <c r="S276" s="162"/>
      <c r="T276" s="162"/>
      <c r="U276" s="162"/>
      <c r="V276" s="162"/>
      <c r="W276" s="162"/>
      <c r="X276" s="5"/>
    </row>
    <row r="277" spans="1:24" ht="15.6" x14ac:dyDescent="0.3">
      <c r="A277" s="167"/>
      <c r="B277" s="13" t="s">
        <v>94</v>
      </c>
      <c r="C277" s="13"/>
      <c r="D277" s="13"/>
      <c r="E277" s="13"/>
      <c r="F277" s="130" t="s">
        <v>150</v>
      </c>
      <c r="G277" s="13"/>
      <c r="H277" s="13" t="s">
        <v>156</v>
      </c>
      <c r="I277" s="13"/>
      <c r="J277" s="13"/>
      <c r="K277" s="162"/>
      <c r="L277" s="162"/>
      <c r="M277" s="162"/>
      <c r="N277" s="162"/>
      <c r="O277" s="162"/>
      <c r="P277" s="162"/>
      <c r="Q277" s="162"/>
      <c r="R277" s="162"/>
      <c r="S277" s="162"/>
      <c r="T277" s="162"/>
      <c r="U277" s="162"/>
      <c r="V277" s="162"/>
      <c r="W277" s="162"/>
      <c r="X277" s="5"/>
    </row>
    <row r="278" spans="1:24" ht="15.6" x14ac:dyDescent="0.3">
      <c r="A278" s="167"/>
      <c r="B278" s="13"/>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ht="15.6" x14ac:dyDescent="0.3">
      <c r="A279" s="167"/>
      <c r="B279" s="13"/>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ht="18" thickBot="1" x14ac:dyDescent="0.35">
      <c r="A280" s="167"/>
      <c r="B280" s="49" t="str">
        <f>B197</f>
        <v>PM13 INVESTOR REPORT QUARTER ENDING DECEMBER 2008</v>
      </c>
      <c r="C280" s="13"/>
      <c r="D280" s="13"/>
      <c r="E280" s="13"/>
      <c r="F280" s="13"/>
      <c r="G280" s="99"/>
      <c r="H280" s="162"/>
      <c r="I280" s="162"/>
      <c r="J280" s="162"/>
      <c r="K280" s="162"/>
      <c r="L280" s="162"/>
      <c r="M280" s="162"/>
      <c r="N280" s="162"/>
      <c r="O280" s="162"/>
      <c r="P280" s="162"/>
      <c r="Q280" s="162"/>
      <c r="R280" s="162"/>
      <c r="S280" s="162"/>
      <c r="T280" s="162"/>
      <c r="U280" s="162"/>
      <c r="V280" s="162"/>
      <c r="W280" s="162"/>
      <c r="X280" s="5"/>
    </row>
    <row r="281" spans="1:24" x14ac:dyDescent="0.25">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row>
  </sheetData>
  <phoneticPr fontId="0" type="noConversion"/>
  <hyperlinks>
    <hyperlink ref="P233" r:id="rId1" xr:uid="{00000000-0004-0000-0800-000000000000}"/>
    <hyperlink ref="I9" r:id="rId2" xr:uid="{00000000-0004-0000-08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8" max="14" man="1"/>
    <brk id="197" max="14"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291</vt:i4>
      </vt:variant>
    </vt:vector>
  </HeadingPairs>
  <TitlesOfParts>
    <vt:vector size="349" baseType="lpstr">
      <vt:lpstr>Dec 06</vt:lpstr>
      <vt:lpstr>March 07</vt:lpstr>
      <vt:lpstr>June 07</vt:lpstr>
      <vt:lpstr>September 07</vt:lpstr>
      <vt:lpstr>Dec 07</vt:lpstr>
      <vt:lpstr>March 08</vt:lpstr>
      <vt:lpstr>June 08</vt:lpstr>
      <vt:lpstr>September 08</vt:lpstr>
      <vt:lpstr>Dec 08</vt:lpstr>
      <vt:lpstr>March 09</vt:lpstr>
      <vt:lpstr>June 09</vt:lpstr>
      <vt:lpstr>September 09</vt:lpstr>
      <vt:lpstr>Dec 09</vt:lpstr>
      <vt:lpstr>March 10</vt:lpstr>
      <vt:lpstr>June 10</vt:lpstr>
      <vt:lpstr>September 10</vt:lpstr>
      <vt:lpstr>Dec 10</vt:lpstr>
      <vt:lpstr>March 11</vt:lpstr>
      <vt:lpstr>June 11</vt:lpstr>
      <vt:lpstr>September 11</vt:lpstr>
      <vt:lpstr>Dec 11</vt:lpstr>
      <vt:lpstr>March 12</vt:lpstr>
      <vt:lpstr>June 12</vt:lpstr>
      <vt:lpstr>September 12</vt:lpstr>
      <vt:lpstr>Dec 12</vt:lpstr>
      <vt:lpstr>March 13</vt:lpstr>
      <vt:lpstr>June 13</vt:lpstr>
      <vt:lpstr>September 13</vt:lpstr>
      <vt:lpstr>Dec 13</vt:lpstr>
      <vt:lpstr>March 14</vt:lpstr>
      <vt:lpstr>June 14</vt:lpstr>
      <vt:lpstr>Sept 14</vt:lpstr>
      <vt:lpstr>Dec 14</vt:lpstr>
      <vt:lpstr>March 15</vt:lpstr>
      <vt:lpstr>June 15</vt:lpstr>
      <vt:lpstr>Sept 15</vt:lpstr>
      <vt:lpstr>Dec 15</vt:lpstr>
      <vt:lpstr>March 16</vt:lpstr>
      <vt:lpstr>June 16</vt:lpstr>
      <vt:lpstr>Sept 2016</vt:lpstr>
      <vt:lpstr>Dec 16</vt:lpstr>
      <vt:lpstr>March 17</vt:lpstr>
      <vt:lpstr>June 17</vt:lpstr>
      <vt:lpstr>Sept 17</vt:lpstr>
      <vt:lpstr>Dec 17</vt:lpstr>
      <vt:lpstr>March 18</vt:lpstr>
      <vt:lpstr>June 18</vt:lpstr>
      <vt:lpstr>Sept 18</vt:lpstr>
      <vt:lpstr>Dec 18</vt:lpstr>
      <vt:lpstr>March 19</vt:lpstr>
      <vt:lpstr>June 19</vt:lpstr>
      <vt:lpstr>Sept 19</vt:lpstr>
      <vt:lpstr>Dec 19</vt:lpstr>
      <vt:lpstr>Mar 20</vt:lpstr>
      <vt:lpstr>June 20</vt:lpstr>
      <vt:lpstr>Sept 20</vt:lpstr>
      <vt:lpstr>Dec 20</vt:lpstr>
      <vt:lpstr>Mar 21</vt:lpstr>
      <vt:lpstr>'June 12'!_100PAGE_4</vt:lpstr>
      <vt:lpstr>'June 13'!_101PAGE_4</vt:lpstr>
      <vt:lpstr>'March 07'!_102PAGE_4</vt:lpstr>
      <vt:lpstr>'March 08'!_103PAGE_4</vt:lpstr>
      <vt:lpstr>'March 09'!_104PAGE_4</vt:lpstr>
      <vt:lpstr>'March 10'!_105PAGE_4</vt:lpstr>
      <vt:lpstr>'March 11'!_106PAGE_4</vt:lpstr>
      <vt:lpstr>'March 12'!_107PAGE_4</vt:lpstr>
      <vt:lpstr>'March 13'!_108PAGE_4</vt:lpstr>
      <vt:lpstr>'September 07'!_109PAGE_4</vt:lpstr>
      <vt:lpstr>'June 09'!_10PAGE_1</vt:lpstr>
      <vt:lpstr>'September 08'!_110PAGE_4</vt:lpstr>
      <vt:lpstr>'September 09'!_111PAGE_4</vt:lpstr>
      <vt:lpstr>'September 10'!_112PAGE_4</vt:lpstr>
      <vt:lpstr>'September 11'!_113PAGE_4</vt:lpstr>
      <vt:lpstr>'September 12'!_114PAGE_4</vt:lpstr>
      <vt:lpstr>'September 13'!_115PAGE_4</vt:lpstr>
      <vt:lpstr>_116PAGE_4</vt:lpstr>
      <vt:lpstr>'June 10'!_11PAGE_1</vt:lpstr>
      <vt:lpstr>'June 11'!_12PAGE_1</vt:lpstr>
      <vt:lpstr>'June 12'!_13PAGE_1</vt:lpstr>
      <vt:lpstr>'June 13'!_14PAGE_1</vt:lpstr>
      <vt:lpstr>'March 07'!_15PAGE_1</vt:lpstr>
      <vt:lpstr>'March 08'!_16PAGE_1</vt:lpstr>
      <vt:lpstr>'March 09'!_17PAGE_1</vt:lpstr>
      <vt:lpstr>'March 10'!_18PAGE_1</vt:lpstr>
      <vt:lpstr>'March 11'!_19PAGE_1</vt:lpstr>
      <vt:lpstr>'Dec 07'!_1PAGE_1</vt:lpstr>
      <vt:lpstr>'March 12'!_20PAGE_1</vt:lpstr>
      <vt:lpstr>'March 13'!_21PAGE_1</vt:lpstr>
      <vt:lpstr>'September 07'!_22PAGE_1</vt:lpstr>
      <vt:lpstr>'September 08'!_23PAGE_1</vt:lpstr>
      <vt:lpstr>'September 09'!_24PAGE_1</vt:lpstr>
      <vt:lpstr>'September 10'!_25PAGE_1</vt:lpstr>
      <vt:lpstr>'September 11'!_26PAGE_1</vt:lpstr>
      <vt:lpstr>'September 12'!_27PAGE_1</vt:lpstr>
      <vt:lpstr>'September 13'!_28PAGE_1</vt:lpstr>
      <vt:lpstr>_29PAGE_1</vt:lpstr>
      <vt:lpstr>'Dec 08'!_2PAGE_1</vt:lpstr>
      <vt:lpstr>'Dec 07'!_30PAGE_2</vt:lpstr>
      <vt:lpstr>'Dec 08'!_31PAGE_2</vt:lpstr>
      <vt:lpstr>'Dec 09'!_32PAGE_2</vt:lpstr>
      <vt:lpstr>'Dec 10'!_33PAGE_2</vt:lpstr>
      <vt:lpstr>'Dec 11'!_34PAGE_2</vt:lpstr>
      <vt:lpstr>'Dec 12'!_35PAGE_2</vt:lpstr>
      <vt:lpstr>'Dec 13'!_36PAGE_2</vt:lpstr>
      <vt:lpstr>'Dec 14'!_36PAGE_2</vt:lpstr>
      <vt:lpstr>'Dec 15'!_36PAGE_2</vt:lpstr>
      <vt:lpstr>'Dec 16'!_36PAGE_2</vt:lpstr>
      <vt:lpstr>'Dec 17'!_36PAGE_2</vt:lpstr>
      <vt:lpstr>'Dec 18'!_36PAGE_2</vt:lpstr>
      <vt:lpstr>'Dec 19'!_36PAGE_2</vt:lpstr>
      <vt:lpstr>'Dec 20'!_36PAGE_2</vt:lpstr>
      <vt:lpstr>'June 14'!_36PAGE_2</vt:lpstr>
      <vt:lpstr>'June 15'!_36PAGE_2</vt:lpstr>
      <vt:lpstr>'June 16'!_36PAGE_2</vt:lpstr>
      <vt:lpstr>'June 17'!_36PAGE_2</vt:lpstr>
      <vt:lpstr>'June 18'!_36PAGE_2</vt:lpstr>
      <vt:lpstr>'June 19'!_36PAGE_2</vt:lpstr>
      <vt:lpstr>'June 20'!_36PAGE_2</vt:lpstr>
      <vt:lpstr>'Mar 20'!_36PAGE_2</vt:lpstr>
      <vt:lpstr>'Mar 21'!_36PAGE_2</vt:lpstr>
      <vt:lpstr>'March 14'!_36PAGE_2</vt:lpstr>
      <vt:lpstr>'March 15'!_36PAGE_2</vt:lpstr>
      <vt:lpstr>'March 16'!_36PAGE_2</vt:lpstr>
      <vt:lpstr>'March 17'!_36PAGE_2</vt:lpstr>
      <vt:lpstr>'March 18'!_36PAGE_2</vt:lpstr>
      <vt:lpstr>'March 19'!_36PAGE_2</vt:lpstr>
      <vt:lpstr>'Sept 14'!_36PAGE_2</vt:lpstr>
      <vt:lpstr>'Sept 15'!_36PAGE_2</vt:lpstr>
      <vt:lpstr>'Sept 17'!_36PAGE_2</vt:lpstr>
      <vt:lpstr>'Sept 18'!_36PAGE_2</vt:lpstr>
      <vt:lpstr>'Sept 19'!_36PAGE_2</vt:lpstr>
      <vt:lpstr>'Sept 20'!_36PAGE_2</vt:lpstr>
      <vt:lpstr>'Sept 2016'!_36PAGE_2</vt:lpstr>
      <vt:lpstr>'June 07'!_37PAGE_2</vt:lpstr>
      <vt:lpstr>'June 08'!_38PAGE_2</vt:lpstr>
      <vt:lpstr>'June 09'!_39PAGE_2</vt:lpstr>
      <vt:lpstr>'Dec 09'!_3PAGE_1</vt:lpstr>
      <vt:lpstr>'June 10'!_40PAGE_2</vt:lpstr>
      <vt:lpstr>'June 11'!_41PAGE_2</vt:lpstr>
      <vt:lpstr>'June 12'!_42PAGE_2</vt:lpstr>
      <vt:lpstr>'June 13'!_43PAGE_2</vt:lpstr>
      <vt:lpstr>'March 07'!_44PAGE_2</vt:lpstr>
      <vt:lpstr>'March 08'!_45PAGE_2</vt:lpstr>
      <vt:lpstr>'March 09'!_46PAGE_2</vt:lpstr>
      <vt:lpstr>'March 10'!_47PAGE_2</vt:lpstr>
      <vt:lpstr>'March 11'!_48PAGE_2</vt:lpstr>
      <vt:lpstr>'March 12'!_49PAGE_2</vt:lpstr>
      <vt:lpstr>'Dec 10'!_4PAGE_1</vt:lpstr>
      <vt:lpstr>'March 13'!_50PAGE_2</vt:lpstr>
      <vt:lpstr>'September 07'!_51PAGE_2</vt:lpstr>
      <vt:lpstr>'September 08'!_52PAGE_2</vt:lpstr>
      <vt:lpstr>'September 09'!_53PAGE_2</vt:lpstr>
      <vt:lpstr>'September 10'!_54PAGE_2</vt:lpstr>
      <vt:lpstr>'September 11'!_55PAGE_2</vt:lpstr>
      <vt:lpstr>'September 12'!_56PAGE_2</vt:lpstr>
      <vt:lpstr>'September 13'!_57PAGE_2</vt:lpstr>
      <vt:lpstr>_58PAGE_2</vt:lpstr>
      <vt:lpstr>'Dec 07'!_59PAGE_3</vt:lpstr>
      <vt:lpstr>'Dec 11'!_5PAGE_1</vt:lpstr>
      <vt:lpstr>'Dec 08'!_60PAGE_3</vt:lpstr>
      <vt:lpstr>'Dec 09'!_61PAGE_3</vt:lpstr>
      <vt:lpstr>'Dec 10'!_62PAGE_3</vt:lpstr>
      <vt:lpstr>'Dec 11'!_63PAGE_3</vt:lpstr>
      <vt:lpstr>'Dec 12'!_64PAGE_3</vt:lpstr>
      <vt:lpstr>'Dec 13'!_65PAGE_3</vt:lpstr>
      <vt:lpstr>'Dec 14'!_65PAGE_3</vt:lpstr>
      <vt:lpstr>'Dec 15'!_65PAGE_3</vt:lpstr>
      <vt:lpstr>'Dec 16'!_65PAGE_3</vt:lpstr>
      <vt:lpstr>'Dec 17'!_65PAGE_3</vt:lpstr>
      <vt:lpstr>'Dec 18'!_65PAGE_3</vt:lpstr>
      <vt:lpstr>'Dec 19'!_65PAGE_3</vt:lpstr>
      <vt:lpstr>'Dec 20'!_65PAGE_3</vt:lpstr>
      <vt:lpstr>'June 14'!_65PAGE_3</vt:lpstr>
      <vt:lpstr>'June 15'!_65PAGE_3</vt:lpstr>
      <vt:lpstr>'June 16'!_65PAGE_3</vt:lpstr>
      <vt:lpstr>'June 17'!_65PAGE_3</vt:lpstr>
      <vt:lpstr>'June 18'!_65PAGE_3</vt:lpstr>
      <vt:lpstr>'June 19'!_65PAGE_3</vt:lpstr>
      <vt:lpstr>'June 20'!_65PAGE_3</vt:lpstr>
      <vt:lpstr>'Mar 20'!_65PAGE_3</vt:lpstr>
      <vt:lpstr>'Mar 21'!_65PAGE_3</vt:lpstr>
      <vt:lpstr>'March 14'!_65PAGE_3</vt:lpstr>
      <vt:lpstr>'March 15'!_65PAGE_3</vt:lpstr>
      <vt:lpstr>'March 16'!_65PAGE_3</vt:lpstr>
      <vt:lpstr>'March 17'!_65PAGE_3</vt:lpstr>
      <vt:lpstr>'March 18'!_65PAGE_3</vt:lpstr>
      <vt:lpstr>'March 19'!_65PAGE_3</vt:lpstr>
      <vt:lpstr>'Sept 14'!_65PAGE_3</vt:lpstr>
      <vt:lpstr>'Sept 15'!_65PAGE_3</vt:lpstr>
      <vt:lpstr>'Sept 17'!_65PAGE_3</vt:lpstr>
      <vt:lpstr>'Sept 18'!_65PAGE_3</vt:lpstr>
      <vt:lpstr>'Sept 19'!_65PAGE_3</vt:lpstr>
      <vt:lpstr>'Sept 20'!_65PAGE_3</vt:lpstr>
      <vt:lpstr>'Sept 2016'!_65PAGE_3</vt:lpstr>
      <vt:lpstr>'June 07'!_66PAGE_3</vt:lpstr>
      <vt:lpstr>'June 08'!_67PAGE_3</vt:lpstr>
      <vt:lpstr>'June 09'!_68PAGE_3</vt:lpstr>
      <vt:lpstr>'June 10'!_69PAGE_3</vt:lpstr>
      <vt:lpstr>'Dec 12'!_6PAGE_1</vt:lpstr>
      <vt:lpstr>'June 11'!_70PAGE_3</vt:lpstr>
      <vt:lpstr>'June 12'!_71PAGE_3</vt:lpstr>
      <vt:lpstr>'June 13'!_72PAGE_3</vt:lpstr>
      <vt:lpstr>'March 07'!_73PAGE_3</vt:lpstr>
      <vt:lpstr>'March 08'!_74PAGE_3</vt:lpstr>
      <vt:lpstr>'March 09'!_75PAGE_3</vt:lpstr>
      <vt:lpstr>'March 10'!_76PAGE_3</vt:lpstr>
      <vt:lpstr>'March 11'!_77PAGE_3</vt:lpstr>
      <vt:lpstr>'March 12'!_78PAGE_3</vt:lpstr>
      <vt:lpstr>'March 13'!_79PAGE_3</vt:lpstr>
      <vt:lpstr>'Dec 13'!_7PAGE_1</vt:lpstr>
      <vt:lpstr>'Dec 14'!_7PAGE_1</vt:lpstr>
      <vt:lpstr>'Dec 15'!_7PAGE_1</vt:lpstr>
      <vt:lpstr>'Dec 16'!_7PAGE_1</vt:lpstr>
      <vt:lpstr>'Dec 17'!_7PAGE_1</vt:lpstr>
      <vt:lpstr>'Dec 18'!_7PAGE_1</vt:lpstr>
      <vt:lpstr>'Dec 19'!_7PAGE_1</vt:lpstr>
      <vt:lpstr>'Dec 20'!_7PAGE_1</vt:lpstr>
      <vt:lpstr>'June 14'!_7PAGE_1</vt:lpstr>
      <vt:lpstr>'June 15'!_7PAGE_1</vt:lpstr>
      <vt:lpstr>'June 16'!_7PAGE_1</vt:lpstr>
      <vt:lpstr>'June 17'!_7PAGE_1</vt:lpstr>
      <vt:lpstr>'June 18'!_7PAGE_1</vt:lpstr>
      <vt:lpstr>'June 19'!_7PAGE_1</vt:lpstr>
      <vt:lpstr>'June 20'!_7PAGE_1</vt:lpstr>
      <vt:lpstr>'Mar 20'!_7PAGE_1</vt:lpstr>
      <vt:lpstr>'Mar 21'!_7PAGE_1</vt:lpstr>
      <vt:lpstr>'March 14'!_7PAGE_1</vt:lpstr>
      <vt:lpstr>'March 15'!_7PAGE_1</vt:lpstr>
      <vt:lpstr>'March 16'!_7PAGE_1</vt:lpstr>
      <vt:lpstr>'March 17'!_7PAGE_1</vt:lpstr>
      <vt:lpstr>'March 18'!_7PAGE_1</vt:lpstr>
      <vt:lpstr>'March 19'!_7PAGE_1</vt:lpstr>
      <vt:lpstr>'Sept 14'!_7PAGE_1</vt:lpstr>
      <vt:lpstr>'Sept 15'!_7PAGE_1</vt:lpstr>
      <vt:lpstr>'Sept 17'!_7PAGE_1</vt:lpstr>
      <vt:lpstr>'Sept 18'!_7PAGE_1</vt:lpstr>
      <vt:lpstr>'Sept 19'!_7PAGE_1</vt:lpstr>
      <vt:lpstr>'Sept 20'!_7PAGE_1</vt:lpstr>
      <vt:lpstr>'Sept 2016'!_7PAGE_1</vt:lpstr>
      <vt:lpstr>'September 07'!_80PAGE_3</vt:lpstr>
      <vt:lpstr>'September 08'!_81PAGE_3</vt:lpstr>
      <vt:lpstr>'September 09'!_82PAGE_3</vt:lpstr>
      <vt:lpstr>'September 10'!_83PAGE_3</vt:lpstr>
      <vt:lpstr>'September 11'!_84PAGE_3</vt:lpstr>
      <vt:lpstr>'September 12'!_85PAGE_3</vt:lpstr>
      <vt:lpstr>'September 13'!_86PAGE_3</vt:lpstr>
      <vt:lpstr>_87PAGE_3</vt:lpstr>
      <vt:lpstr>'Dec 07'!_88PAGE_4</vt:lpstr>
      <vt:lpstr>'Dec 08'!_89PAGE_4</vt:lpstr>
      <vt:lpstr>'June 07'!_8PAGE_1</vt:lpstr>
      <vt:lpstr>'Dec 09'!_90PAGE_4</vt:lpstr>
      <vt:lpstr>'Dec 10'!_91PAGE_4</vt:lpstr>
      <vt:lpstr>'Dec 11'!_92PAGE_4</vt:lpstr>
      <vt:lpstr>'Dec 12'!_93PAGE_4</vt:lpstr>
      <vt:lpstr>'Dec 13'!_94PAGE_4</vt:lpstr>
      <vt:lpstr>'Dec 14'!_94PAGE_4</vt:lpstr>
      <vt:lpstr>'Dec 15'!_94PAGE_4</vt:lpstr>
      <vt:lpstr>'Dec 16'!_94PAGE_4</vt:lpstr>
      <vt:lpstr>'Dec 17'!_94PAGE_4</vt:lpstr>
      <vt:lpstr>'Dec 18'!_94PAGE_4</vt:lpstr>
      <vt:lpstr>'Dec 19'!_94PAGE_4</vt:lpstr>
      <vt:lpstr>'Dec 20'!_94PAGE_4</vt:lpstr>
      <vt:lpstr>'June 14'!_94PAGE_4</vt:lpstr>
      <vt:lpstr>'June 15'!_94PAGE_4</vt:lpstr>
      <vt:lpstr>'June 16'!_94PAGE_4</vt:lpstr>
      <vt:lpstr>'June 17'!_94PAGE_4</vt:lpstr>
      <vt:lpstr>'June 18'!_94PAGE_4</vt:lpstr>
      <vt:lpstr>'June 19'!_94PAGE_4</vt:lpstr>
      <vt:lpstr>'June 20'!_94PAGE_4</vt:lpstr>
      <vt:lpstr>'Mar 20'!_94PAGE_4</vt:lpstr>
      <vt:lpstr>'Mar 21'!_94PAGE_4</vt:lpstr>
      <vt:lpstr>'March 14'!_94PAGE_4</vt:lpstr>
      <vt:lpstr>'March 15'!_94PAGE_4</vt:lpstr>
      <vt:lpstr>'March 16'!_94PAGE_4</vt:lpstr>
      <vt:lpstr>'March 17'!_94PAGE_4</vt:lpstr>
      <vt:lpstr>'March 18'!_94PAGE_4</vt:lpstr>
      <vt:lpstr>'March 19'!_94PAGE_4</vt:lpstr>
      <vt:lpstr>'Sept 14'!_94PAGE_4</vt:lpstr>
      <vt:lpstr>'Sept 15'!_94PAGE_4</vt:lpstr>
      <vt:lpstr>'Sept 17'!_94PAGE_4</vt:lpstr>
      <vt:lpstr>'Sept 18'!_94PAGE_4</vt:lpstr>
      <vt:lpstr>'Sept 19'!_94PAGE_4</vt:lpstr>
      <vt:lpstr>'Sept 20'!_94PAGE_4</vt:lpstr>
      <vt:lpstr>'Sept 2016'!_94PAGE_4</vt:lpstr>
      <vt:lpstr>'June 07'!_95PAGE_4</vt:lpstr>
      <vt:lpstr>'June 08'!_96PAGE_4</vt:lpstr>
      <vt:lpstr>'June 09'!_97PAGE_4</vt:lpstr>
      <vt:lpstr>'June 10'!_98PAGE_4</vt:lpstr>
      <vt:lpstr>'June 11'!_99PAGE_4</vt:lpstr>
      <vt:lpstr>'June 08'!_9PAGE_1</vt:lpstr>
      <vt:lpstr>'Dec 06'!Print_Area</vt:lpstr>
      <vt:lpstr>'Dec 07'!Print_Area</vt:lpstr>
      <vt:lpstr>'Dec 08'!Print_Area</vt:lpstr>
      <vt:lpstr>'Dec 09'!Print_Area</vt:lpstr>
      <vt:lpstr>'Dec 10'!Print_Area</vt:lpstr>
      <vt:lpstr>'Dec 11'!Print_Area</vt:lpstr>
      <vt:lpstr>'Dec 12'!Print_Area</vt:lpstr>
      <vt:lpstr>'Dec 13'!Print_Area</vt:lpstr>
      <vt:lpstr>'Dec 14'!Print_Area</vt:lpstr>
      <vt:lpstr>'Dec 15'!Print_Area</vt:lpstr>
      <vt:lpstr>'Dec 16'!Print_Area</vt:lpstr>
      <vt:lpstr>'Dec 17'!Print_Area</vt:lpstr>
      <vt:lpstr>'Dec 18'!Print_Area</vt:lpstr>
      <vt:lpstr>'Dec 19'!Print_Area</vt:lpstr>
      <vt:lpstr>'Dec 20'!Print_Area</vt:lpstr>
      <vt:lpstr>'June 07'!Print_Area</vt:lpstr>
      <vt:lpstr>'June 08'!Print_Area</vt:lpstr>
      <vt:lpstr>'June 09'!Print_Area</vt:lpstr>
      <vt:lpstr>'June 10'!Print_Area</vt:lpstr>
      <vt:lpstr>'June 11'!Print_Area</vt:lpstr>
      <vt:lpstr>'June 12'!Print_Area</vt:lpstr>
      <vt:lpstr>'June 13'!Print_Area</vt:lpstr>
      <vt:lpstr>'June 14'!Print_Area</vt:lpstr>
      <vt:lpstr>'June 15'!Print_Area</vt:lpstr>
      <vt:lpstr>'June 16'!Print_Area</vt:lpstr>
      <vt:lpstr>'June 17'!Print_Area</vt:lpstr>
      <vt:lpstr>'June 18'!Print_Area</vt:lpstr>
      <vt:lpstr>'June 19'!Print_Area</vt:lpstr>
      <vt:lpstr>'June 20'!Print_Area</vt:lpstr>
      <vt:lpstr>'Mar 20'!Print_Area</vt:lpstr>
      <vt:lpstr>'Mar 21'!Print_Area</vt:lpstr>
      <vt:lpstr>'March 07'!Print_Area</vt:lpstr>
      <vt:lpstr>'March 08'!Print_Area</vt:lpstr>
      <vt:lpstr>'March 09'!Print_Area</vt:lpstr>
      <vt:lpstr>'March 10'!Print_Area</vt:lpstr>
      <vt:lpstr>'March 11'!Print_Area</vt:lpstr>
      <vt:lpstr>'March 12'!Print_Area</vt:lpstr>
      <vt:lpstr>'March 13'!Print_Area</vt:lpstr>
      <vt:lpstr>'March 14'!Print_Area</vt:lpstr>
      <vt:lpstr>'March 15'!Print_Area</vt:lpstr>
      <vt:lpstr>'March 16'!Print_Area</vt:lpstr>
      <vt:lpstr>'March 17'!Print_Area</vt:lpstr>
      <vt:lpstr>'March 18'!Print_Area</vt:lpstr>
      <vt:lpstr>'March 19'!Print_Area</vt:lpstr>
      <vt:lpstr>'Sept 14'!Print_Area</vt:lpstr>
      <vt:lpstr>'Sept 15'!Print_Area</vt:lpstr>
      <vt:lpstr>'Sept 17'!Print_Area</vt:lpstr>
      <vt:lpstr>'Sept 18'!Print_Area</vt:lpstr>
      <vt:lpstr>'Sept 19'!Print_Area</vt:lpstr>
      <vt:lpstr>'Sept 20'!Print_Area</vt:lpstr>
      <vt:lpstr>'Sept 2016'!Print_Area</vt:lpstr>
      <vt:lpstr>'September 07'!Print_Area</vt:lpstr>
      <vt:lpstr>'September 08'!Print_Area</vt:lpstr>
      <vt:lpstr>'September 09'!Print_Area</vt:lpstr>
      <vt:lpstr>'September 10'!Print_Area</vt:lpstr>
      <vt:lpstr>'September 11'!Print_Area</vt:lpstr>
      <vt:lpstr>'September 12'!Print_Area</vt:lpstr>
      <vt:lpstr>'September 13'!Print_Area</vt:lpstr>
      <vt:lps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Andrew Kitching</cp:lastModifiedBy>
  <cp:lastPrinted>2019-10-08T08:19:16Z</cp:lastPrinted>
  <dcterms:created xsi:type="dcterms:W3CDTF">2003-11-18T07:58:35Z</dcterms:created>
  <dcterms:modified xsi:type="dcterms:W3CDTF">2021-04-20T13:05:51Z</dcterms:modified>
</cp:coreProperties>
</file>